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niversidadeaneduco.sharepoint.com/sites/TRABAJODEGRADO395/Documentos compartidos/General/4. Trabajo Final V1/"/>
    </mc:Choice>
  </mc:AlternateContent>
  <xr:revisionPtr revIDLastSave="20" documentId="13_ncr:1_{011B6936-21E0-4CD5-A956-F898B014EF0D}" xr6:coauthVersionLast="47" xr6:coauthVersionMax="47" xr10:uidLastSave="{562AEA8F-0C99-4FDE-9844-9200342F8902}"/>
  <bookViews>
    <workbookView xWindow="20370" yWindow="-120" windowWidth="20730" windowHeight="11160" tabRatio="722" firstSheet="8" activeTab="16" xr2:uid="{CA8E5779-AF50-43BB-937C-7737CAF6C216}"/>
  </bookViews>
  <sheets>
    <sheet name="Balance Sheet USD" sheetId="27" state="hidden" r:id="rId1"/>
    <sheet name=" Balance Sheet COP$" sheetId="26" state="hidden" r:id="rId2"/>
    <sheet name="SPL 25 USD" sheetId="21" state="hidden" r:id="rId3"/>
    <sheet name="Presupuesto Inversión" sheetId="68" r:id="rId4"/>
    <sheet name="Depreciación" sheetId="67" r:id="rId5"/>
    <sheet name="Amortización" sheetId="73" r:id="rId6"/>
    <sheet name="Staff_shift" sheetId="63" r:id="rId7"/>
    <sheet name="Sales" sheetId="42" r:id="rId8"/>
    <sheet name="Profile" sheetId="64" r:id="rId9"/>
    <sheet name="Cost" sheetId="43" r:id="rId10"/>
    <sheet name="TIO" sheetId="75" r:id="rId11"/>
    <sheet name="Proyección mensual" sheetId="46" r:id="rId12"/>
    <sheet name="Q&amp;KPIs USD2024" sheetId="34" state="hidden" r:id="rId13"/>
    <sheet name="FCL_mensual" sheetId="72" r:id="rId14"/>
    <sheet name="Proyección Anual" sheetId="65" r:id="rId15"/>
    <sheet name="FCL_Anual" sheetId="66" r:id="rId16"/>
    <sheet name="SPL24Comp. USD" sheetId="33" r:id="rId17"/>
    <sheet name="Flujos de caja" sheetId="45" state="hidden" r:id="rId18"/>
    <sheet name="Q&amp;KPIs USD2025" sheetId="51" state="hidden" r:id="rId19"/>
    <sheet name="DPL25 Summary USD" sheetId="22" state="hidden" r:id="rId20"/>
    <sheet name="DPL24 Summary USD" sheetId="48" state="hidden" r:id="rId21"/>
    <sheet name="Personnel" sheetId="37" state="hidden" r:id="rId22"/>
    <sheet name="DPL25Summary" sheetId="4" state="hidden" r:id="rId23"/>
    <sheet name="DPL25 MLS" sheetId="16" state="hidden" r:id="rId24"/>
    <sheet name="SummaryQ USD" sheetId="40" state="hidden" r:id="rId25"/>
    <sheet name="DPL24 MLS USD" sheetId="24" state="hidden" r:id="rId26"/>
    <sheet name="DPL23Downhole USD" sheetId="25" state="hidden" r:id="rId27"/>
    <sheet name="DPL23Downhole" sheetId="18" state="hidden" r:id="rId28"/>
    <sheet name="SummaryQ COP$" sheetId="41" state="hidden" r:id="rId29"/>
    <sheet name="Sales-OPD-2025" sheetId="50" state="hidden" r:id="rId30"/>
    <sheet name="Gtos Export" sheetId="53" state="hidden" r:id="rId31"/>
    <sheet name="Honorarios" sheetId="54" state="hidden" r:id="rId32"/>
    <sheet name="Transporte Person" sheetId="52" state="hidden" r:id="rId33"/>
    <sheet name="Consumibles" sheetId="55" state="hidden" r:id="rId34"/>
    <sheet name="Alquiler de Equipo" sheetId="56" state="hidden" r:id="rId35"/>
    <sheet name="Transp Craga" sheetId="57" state="hidden" r:id="rId36"/>
    <sheet name="Serv Telef" sheetId="58" state="hidden" r:id="rId37"/>
    <sheet name="Training" sheetId="59" state="hidden" r:id="rId38"/>
    <sheet name="Polizas" sheetId="60" state="hidden" r:id="rId39"/>
    <sheet name="FX Rates" sheetId="20" state="hidden" r:id="rId40"/>
    <sheet name="DPL24-Budget" sheetId="29" state="hidden" r:id="rId41"/>
    <sheet name="MLS24-Budget" sheetId="30" state="hidden" r:id="rId42"/>
    <sheet name="SPL 23 USD" sheetId="32" state="hidden" r:id="rId43"/>
    <sheet name="Downhole23-Budget" sheetId="31" state="hidden" r:id="rId44"/>
  </sheets>
  <functionGroups builtInGroupCount="19"/>
  <definedNames>
    <definedName name="_____Dis1">#REF!</definedName>
    <definedName name="_____Dis2">#REF!</definedName>
    <definedName name="____Dis1">#REF!</definedName>
    <definedName name="____Dis2">#REF!</definedName>
    <definedName name="___Dis1">#REF!</definedName>
    <definedName name="___Dis2">#REF!</definedName>
    <definedName name="__Dis1">#REF!</definedName>
    <definedName name="__Dis2">#REF!</definedName>
    <definedName name="_Dis1">#REF!</definedName>
    <definedName name="_Dis2">#REF!</definedName>
    <definedName name="_xleta.OR" hidden="1" xlm="1">#NAME?</definedName>
    <definedName name="A_IMPRESIÓN_IM">#REF!</definedName>
    <definedName name="ad">#REF!</definedName>
    <definedName name="Admin">#REF!</definedName>
    <definedName name="_xlnm.Extract">#REF!</definedName>
    <definedName name="_xlnm.Print_Area" localSheetId="23">'DPL25 MLS'!$A$1:$Z$17</definedName>
    <definedName name="_xlnm.Print_Area" localSheetId="14">'Proyección Anual'!$A$1:$L$25</definedName>
    <definedName name="_xlnm.Print_Area" localSheetId="11">'Proyección mensual'!$A$1:$Z$17</definedName>
    <definedName name="_xlnm.Print_Area">#REF!</definedName>
    <definedName name="asdf">#REF!</definedName>
    <definedName name="Asistentes">#REF!</definedName>
    <definedName name="Average">#REF!</definedName>
    <definedName name="B" localSheetId="6">#REF!</definedName>
    <definedName name="B">#REF!</definedName>
    <definedName name="BaseDatos">#REF!</definedName>
    <definedName name="_xlnm.Database">#REF!</definedName>
    <definedName name="Bits">#REF!</definedName>
    <definedName name="BLANK_PIPE_4.5_N80_11.6lbs_BTC">#REF!</definedName>
    <definedName name="Bodega_20ft_dia">#REF!</definedName>
    <definedName name="Brazo_Hyd_12HR">#REF!</definedName>
    <definedName name="Brazo_Hyd_24HR">#REF!</definedName>
    <definedName name="Brazo_Hyd_Stby">#REF!</definedName>
    <definedName name="Broca_6.128_PDC">#REF!</definedName>
    <definedName name="Broca_8.5_PDC">#REF!</definedName>
    <definedName name="Broca_Triconica_12.25">#REF!</definedName>
    <definedName name="Broca_Triconica_6.128">#REF!</definedName>
    <definedName name="Broca_Triconica_8.5">#REF!</definedName>
    <definedName name="Cabezal_ESP_Seccion_A">#REF!</definedName>
    <definedName name="Cabezal_ESP_Seccion_B">#REF!</definedName>
    <definedName name="Cabezal_ESP_Seccion_C">#REF!</definedName>
    <definedName name="CABEZALES">#REF!</definedName>
    <definedName name="Cama_alta_12Hr">#REF!</definedName>
    <definedName name="Cama_alta_24Hr">#REF!</definedName>
    <definedName name="Cama_alta_stby">#REF!</definedName>
    <definedName name="Cama_baja">#REF!</definedName>
    <definedName name="Cama_baja_12Hr">#REF!</definedName>
    <definedName name="Cama_baja_24Hr">#REF!</definedName>
    <definedName name="Cama_baja_stby">#REF!</definedName>
    <definedName name="Camion_100">#REF!</definedName>
    <definedName name="Camion_300">#REF!</definedName>
    <definedName name="Camion_600">#REF!</definedName>
    <definedName name="Camion_de_vacio_12hrs">#REF!</definedName>
    <definedName name="Camion_de_vacio_dia">#REF!</definedName>
    <definedName name="Camioneta_coman">#REF!</definedName>
    <definedName name="Cant_Total">#REF!</definedName>
    <definedName name="Carro_alta_MovDemob">#REF!</definedName>
    <definedName name="Carro_baja_MovDemob">#REF!</definedName>
    <definedName name="Carro_macho_12Hr">#REF!</definedName>
    <definedName name="Carro_macho_24Hr">#REF!</definedName>
    <definedName name="Carro_macho_MovDemob">#REF!</definedName>
    <definedName name="Carro_macho_stby">#REF!</definedName>
    <definedName name="Carro_tanque_agua">#REF!</definedName>
    <definedName name="Caseta_8pax_dia">#REF!</definedName>
    <definedName name="Casing_Accessories">#REF!</definedName>
    <definedName name="Casing_Intermedio">#REF!</definedName>
    <definedName name="Casing_Superficie">#REF!</definedName>
    <definedName name="Cem">#REF!</definedName>
    <definedName name="Cement">#REF!</definedName>
    <definedName name="CH_TLC">#REF!</definedName>
    <definedName name="CH_Tractor">#REF!</definedName>
    <definedName name="CJC">#REF!</definedName>
    <definedName name="Coman">#REF!</definedName>
    <definedName name="Comercial">#REF!</definedName>
    <definedName name="Comida">#REF!</definedName>
    <definedName name="Communications">#REF!</definedName>
    <definedName name="Comp._Days">#REF!</definedName>
    <definedName name="comp._days_2">#REF!</definedName>
    <definedName name="Completamiento_liner">#REF!</definedName>
    <definedName name="Completion_Svcs">#REF!</definedName>
    <definedName name="Con">#REF!</definedName>
    <definedName name="Cons">#REF!</definedName>
    <definedName name="Contingency">#REF!</definedName>
    <definedName name="Contract_Services">#REF!</definedName>
    <definedName name="COP_A">#REF!</definedName>
    <definedName name="COP_B">#REF!</definedName>
    <definedName name="COP_C">#REF!</definedName>
    <definedName name="copia">#REF!</definedName>
    <definedName name="copm">#REF!</definedName>
    <definedName name="CSG_5.5_N80_22.5lbs_CSHYD_R3">#REF!</definedName>
    <definedName name="CSG_9.625J55_36lbs_BTC">#REF!</definedName>
    <definedName name="CSG_SIN_COS_7__N80_23lbs_BTC">#REF!</definedName>
    <definedName name="Ctl_BU">#REF!</definedName>
    <definedName name="Ctl_GFO_Desc">#REF!</definedName>
    <definedName name="Cuadrilla_8hr_Turno">#REF!</definedName>
    <definedName name="Cuadrilla_de_inspeccion_mensual">#REF!</definedName>
    <definedName name="Date">#REF!</definedName>
    <definedName name="Datos">#REF!</definedName>
    <definedName name="dd">#REF!</definedName>
    <definedName name="deee">#N/A</definedName>
    <definedName name="Dias_Estándar">#REF!</definedName>
    <definedName name="Dir_tools">#REF!</definedName>
    <definedName name="Directional">#REF!</definedName>
    <definedName name="Dis">#REF!</definedName>
    <definedName name="Dow">#REF!</definedName>
    <definedName name="Downhole_prod_equip">#REF!</definedName>
    <definedName name="Dril">#REF!</definedName>
    <definedName name="Drilling_Days">#REF!</definedName>
    <definedName name="Drlg_Comp_Fluids">#REF!</definedName>
    <definedName name="edison">#REF!</definedName>
    <definedName name="Empaque_circulacion">#REF!</definedName>
    <definedName name="Empaque_circulacion_personal">#REF!</definedName>
    <definedName name="Enlace_satelital">#REF!</definedName>
    <definedName name="Environmental">#REF!</definedName>
    <definedName name="Equipment_Rental">#REF!</definedName>
    <definedName name="Equipo_Completando">#REF!</definedName>
    <definedName name="Equipo_ESP_fondo_4000_8000BFPD_SLB">#REF!</definedName>
    <definedName name="Equipo_ESP_fondo_4000_8000BFPD_WG">#REF!</definedName>
    <definedName name="Equipo_ESP_fondo_8000_12000BFPD">#REF!</definedName>
    <definedName name="Equipo_ESP_superficie">#REF!</definedName>
    <definedName name="Equipo_Movilizando">#REF!</definedName>
    <definedName name="Equipo_Operando">#REF!</definedName>
    <definedName name="Equipo_PCP">#REF!</definedName>
    <definedName name="Equipos_control_solidos">#REF!</definedName>
    <definedName name="FactInc">#REF!</definedName>
    <definedName name="FGNBFGNB">#REF!</definedName>
    <definedName name="Fishing">#REF!</definedName>
    <definedName name="Flo">#REF!</definedName>
    <definedName name="FS">#REF!</definedName>
    <definedName name="FSR">#REF!</definedName>
    <definedName name="Fuel_Water_Power">#REF!</definedName>
    <definedName name="Grua_12Hr">#REF!</definedName>
    <definedName name="Grua_24Hrs">#REF!</definedName>
    <definedName name="Grua_hora_adicional">#REF!</definedName>
    <definedName name="Grua_Stby">#REF!</definedName>
    <definedName name="gvb">#REF!</definedName>
    <definedName name="Ind">#REF!</definedName>
    <definedName name="Inspeccion_BHA">#REF!</definedName>
    <definedName name="Inyectivity_test">#REF!</definedName>
    <definedName name="Linner_Ranurado_4.5">#REF!</definedName>
    <definedName name="ListaNombres">#REF!</definedName>
    <definedName name="Locacion">#REF!</definedName>
    <definedName name="Location">#REF!</definedName>
    <definedName name="Lodos_materiales">#REF!</definedName>
    <definedName name="Logging">#REF!</definedName>
    <definedName name="Lost_Damaged_equip">#REF!</definedName>
    <definedName name="Lunch">#REF!</definedName>
    <definedName name="MA">#REF!</definedName>
    <definedName name="MAA">#REF!</definedName>
    <definedName name="MainMenu">#REF!</definedName>
    <definedName name="MaxLimite">#REF!</definedName>
    <definedName name="MaxPuntaje">#REF!</definedName>
    <definedName name="MB">#REF!</definedName>
    <definedName name="MBB">#REF!</definedName>
    <definedName name="MC">#REF!</definedName>
    <definedName name="MCC">#REF!</definedName>
    <definedName name="MD">#REF!</definedName>
    <definedName name="MDD">#REF!</definedName>
    <definedName name="ME">#REF!</definedName>
    <definedName name="MEE">#REF!</definedName>
    <definedName name="Menu">#REF!</definedName>
    <definedName name="MF">#REF!</definedName>
    <definedName name="MFF">#REF!</definedName>
    <definedName name="MinLimite">#REF!</definedName>
    <definedName name="Misc">#REF!</definedName>
    <definedName name="Mob">#REF!</definedName>
    <definedName name="Model1Cost">#REF!</definedName>
    <definedName name="Model1Util">#REF!</definedName>
    <definedName name="Model2Cost">#REF!</definedName>
    <definedName name="Model2Util">#REF!</definedName>
    <definedName name="Model3Cost">#REF!</definedName>
    <definedName name="Model3Util">#REF!</definedName>
    <definedName name="Model4Cost">#REF!</definedName>
    <definedName name="Model4Util">#REF!</definedName>
    <definedName name="Model5Cost">#REF!</definedName>
    <definedName name="Model5Util">#REF!</definedName>
    <definedName name="Monta_Cargas_12Hrs">#REF!</definedName>
    <definedName name="Monta_Cargas_24Hrs">#REF!</definedName>
    <definedName name="Monta_Cargas_Stby">#REF!</definedName>
    <definedName name="Mud">#REF!</definedName>
    <definedName name="Mudl">#REF!</definedName>
    <definedName name="ODT">#REF!</definedName>
    <definedName name="PA_Days">#REF!</definedName>
    <definedName name="Pcc">#REF!</definedName>
    <definedName name="Perforating">#REF!</definedName>
    <definedName name="PMA">#REF!</definedName>
    <definedName name="PP">#REF!</definedName>
    <definedName name="Pre">#REF!</definedName>
    <definedName name="principio">#REF!</definedName>
    <definedName name="PrincipiosHS">#REF!</definedName>
    <definedName name="PRINT_AREA_MI">#REF!</definedName>
    <definedName name="PRINT_TITLES_MI">#REF!</definedName>
    <definedName name="PrintData">#REF!</definedName>
    <definedName name="prueba">#REF!</definedName>
    <definedName name="PTR">#REF!</definedName>
    <definedName name="Puntaje">#REF!</definedName>
    <definedName name="PUP_JOINT_3.5_N80_9.3lbs_EUE_5ft">#REF!</definedName>
    <definedName name="PUP_JOINT_4.5_J55_11.6lbs_BTC">#REF!</definedName>
    <definedName name="PUP_JOINT_7_N80_23lbs_BTC_10ft">#REF!</definedName>
    <definedName name="Radio_mensual">#REF!</definedName>
    <definedName name="RangoRef">#REF!</definedName>
    <definedName name="RangoUS">#REF!</definedName>
    <definedName name="rate">#REF!</definedName>
    <definedName name="Rig">#REF!</definedName>
    <definedName name="Ser">#REF!</definedName>
    <definedName name="Servidumbres">#REF!</definedName>
    <definedName name="Set_packer">#REF!</definedName>
    <definedName name="Shorebase">#REF!</definedName>
    <definedName name="SL">#REF!</definedName>
    <definedName name="Speed_Well">#REF!</definedName>
    <definedName name="Stim_Sand_Control">#REF!</definedName>
    <definedName name="Supervision">#REF!</definedName>
    <definedName name="TASA_DE_CAMBIO">#REF!</definedName>
    <definedName name="tasa_estandar">#REF!</definedName>
    <definedName name="Tasa_Estándar">#REF!</definedName>
    <definedName name="TBG_SIN_COSTURA_3.5_N80_9.3lbs_EUE">#REF!</definedName>
    <definedName name="Tecnico_mensual">#REF!</definedName>
    <definedName name="Tiquete_aereo">#REF!</definedName>
    <definedName name="_xlnm.Print_Titles" localSheetId="20">'DPL24 Summary USD'!$1:$5</definedName>
    <definedName name="_xlnm.Print_Titles" localSheetId="40">'DPL24-Budget'!$1:$5</definedName>
    <definedName name="_xlnm.Print_Titles" localSheetId="19">'DPL25 Summary USD'!$1:$5</definedName>
    <definedName name="_xlnm.Print_Titles" localSheetId="22">DPL25Summary!$1:$5</definedName>
    <definedName name="Tools_manejo_mensual">#REF!</definedName>
    <definedName name="Total_Base">#REF!</definedName>
    <definedName name="Total_Intangibles">#REF!</definedName>
    <definedName name="Total_Tangibles">#REF!</definedName>
    <definedName name="TotalUS">#REF!</definedName>
    <definedName name="TR">#REF!</definedName>
    <definedName name="Transportation">#REF!</definedName>
    <definedName name="Transporte_cuadrilla">#REF!</definedName>
    <definedName name="Tub">#REF!</definedName>
    <definedName name="Tuberia_4">#REF!</definedName>
    <definedName name="Tubular_Wellhead_Svcs">#REF!</definedName>
    <definedName name="Tubulars">#REF!</definedName>
    <definedName name="Unidad_Registrando">#REF!</definedName>
    <definedName name="Unidad_Rigdown_Rigup">#REF!</definedName>
    <definedName name="UNNA">#REF!</definedName>
    <definedName name="USD_A">#REF!</definedName>
    <definedName name="USD_B">#REF!</definedName>
    <definedName name="USD_C">#REF!</definedName>
    <definedName name="vbg">#REF!</definedName>
    <definedName name="Vigilancia">#REF!</definedName>
    <definedName name="WASH_PIPE_2.375_N80_4.7_lbs_CSHYD">#REF!</definedName>
    <definedName name="wdew">#REF!</definedName>
    <definedName name="wdf">#REF!</definedName>
    <definedName name="Well1">#REF!</definedName>
    <definedName name="Well2">#REF!</definedName>
    <definedName name="Well3">#REF!</definedName>
    <definedName name="Well4">#REF!</definedName>
    <definedName name="Well5">#REF!</definedName>
    <definedName name="Wellhead">#REF!</definedName>
    <definedName name="Wellsite_accom">#REF!</definedName>
    <definedName name="Weo">#REF!</definedName>
    <definedName name="WERWg">#REF!</definedName>
    <definedName name="wET">#REF!</definedName>
    <definedName name="wFREG">#REF!</definedName>
    <definedName name="WorkOver">#REF!</definedName>
    <definedName name="WorkOverCost">#REF!</definedName>
    <definedName name="XXX">#REF!</definedName>
    <definedName name="xxxxx">#REF!</definedName>
    <definedName name="Zapato_rimador_4.5">#REF!</definedName>
    <definedName name="Zapato_rimador_7">#REF!</definedName>
    <definedName name="ZASRGT">#REF!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3" i="68" l="1"/>
  <c r="B54" i="68" s="1"/>
  <c r="A15" i="65"/>
  <c r="D7" i="65"/>
  <c r="F7" i="65" s="1"/>
  <c r="H7" i="65" s="1"/>
  <c r="J7" i="65" s="1"/>
  <c r="B9" i="65"/>
  <c r="F8" i="65"/>
  <c r="H8" i="65" s="1"/>
  <c r="J8" i="65" s="1"/>
  <c r="D10" i="65"/>
  <c r="A7" i="46"/>
  <c r="G82" i="43"/>
  <c r="P82" i="43" s="1"/>
  <c r="A6" i="67"/>
  <c r="C112" i="43" s="1"/>
  <c r="A3" i="67"/>
  <c r="A4" i="67"/>
  <c r="C110" i="43" s="1"/>
  <c r="A5" i="67"/>
  <c r="C111" i="43" s="1"/>
  <c r="A2" i="67"/>
  <c r="C40" i="68"/>
  <c r="F40" i="68"/>
  <c r="I40" i="68"/>
  <c r="C41" i="68"/>
  <c r="F41" i="68"/>
  <c r="G41" i="68" s="1"/>
  <c r="I41" i="68"/>
  <c r="C10" i="68"/>
  <c r="B5" i="67" s="1"/>
  <c r="D5" i="67" s="1"/>
  <c r="E5" i="67" s="1"/>
  <c r="H111" i="43" s="1"/>
  <c r="C11" i="68"/>
  <c r="C12" i="68"/>
  <c r="C13" i="68"/>
  <c r="B6" i="67" s="1"/>
  <c r="D6" i="67" s="1"/>
  <c r="E6" i="67" s="1"/>
  <c r="H112" i="43" s="1"/>
  <c r="C14" i="68"/>
  <c r="C9" i="68"/>
  <c r="B4" i="67" s="1"/>
  <c r="B4" i="68"/>
  <c r="R28" i="63"/>
  <c r="AF82" i="43" l="1"/>
  <c r="X82" i="43"/>
  <c r="AL82" i="43"/>
  <c r="G40" i="68"/>
  <c r="B3" i="68" l="1"/>
  <c r="C6" i="68"/>
  <c r="B3" i="67" s="1"/>
  <c r="F10" i="65" l="1"/>
  <c r="D26" i="75"/>
  <c r="D11" i="75"/>
  <c r="D25" i="75"/>
  <c r="D28" i="75" l="1"/>
  <c r="D33" i="75" s="1"/>
  <c r="D35" i="75" s="1"/>
  <c r="B22" i="72" s="1"/>
  <c r="C21" i="66" l="1"/>
  <c r="D9" i="75"/>
  <c r="D10" i="75" l="1"/>
  <c r="D13" i="75" l="1"/>
  <c r="D18" i="75" s="1"/>
  <c r="D20" i="75" s="1"/>
  <c r="C33" i="66" s="1"/>
  <c r="I44" i="68" l="1"/>
  <c r="I43" i="68"/>
  <c r="I39" i="68"/>
  <c r="I38" i="68"/>
  <c r="I37" i="68"/>
  <c r="I36" i="68"/>
  <c r="I34" i="68"/>
  <c r="I33" i="68"/>
  <c r="I32" i="68"/>
  <c r="I31" i="68"/>
  <c r="I30" i="68"/>
  <c r="I29" i="68"/>
  <c r="I28" i="68"/>
  <c r="H27" i="68"/>
  <c r="I27" i="68" s="1"/>
  <c r="H26" i="68"/>
  <c r="I26" i="68" s="1"/>
  <c r="J10" i="65" l="1"/>
  <c r="H10" i="65"/>
  <c r="F37" i="68"/>
  <c r="F36" i="68"/>
  <c r="C39" i="68"/>
  <c r="C38" i="68"/>
  <c r="C37" i="68"/>
  <c r="C36" i="68"/>
  <c r="B35" i="68"/>
  <c r="F15" i="68"/>
  <c r="G15" i="68" s="1"/>
  <c r="F16" i="68"/>
  <c r="G16" i="68" s="1"/>
  <c r="F18" i="68"/>
  <c r="G18" i="68" s="1"/>
  <c r="F20" i="68"/>
  <c r="F21" i="68"/>
  <c r="F24" i="68"/>
  <c r="F26" i="68"/>
  <c r="F27" i="68"/>
  <c r="F28" i="68"/>
  <c r="F29" i="68"/>
  <c r="F30" i="68"/>
  <c r="F31" i="68"/>
  <c r="F32" i="68"/>
  <c r="F33" i="68"/>
  <c r="F34" i="68"/>
  <c r="F38" i="68"/>
  <c r="F39" i="68"/>
  <c r="F43" i="68"/>
  <c r="F44" i="68"/>
  <c r="B19" i="68"/>
  <c r="F19" i="68" s="1"/>
  <c r="F5" i="68"/>
  <c r="B1" i="46"/>
  <c r="D1" i="46"/>
  <c r="F1" i="65"/>
  <c r="AB5" i="42"/>
  <c r="C44" i="68"/>
  <c r="C43" i="68"/>
  <c r="B42" i="68"/>
  <c r="C8" i="68"/>
  <c r="F10" i="68"/>
  <c r="F12" i="68"/>
  <c r="G12" i="68" s="1"/>
  <c r="B25" i="68"/>
  <c r="C21" i="68"/>
  <c r="F7" i="68"/>
  <c r="H7" i="68"/>
  <c r="I7" i="68"/>
  <c r="J7" i="68"/>
  <c r="C20" i="68"/>
  <c r="G43" i="68" l="1"/>
  <c r="G21" i="68"/>
  <c r="G38" i="68"/>
  <c r="F42" i="68"/>
  <c r="I42" i="68"/>
  <c r="F35" i="68"/>
  <c r="I35" i="68"/>
  <c r="G20" i="68"/>
  <c r="G44" i="68"/>
  <c r="G10" i="68"/>
  <c r="G39" i="68"/>
  <c r="G37" i="68"/>
  <c r="G36" i="68"/>
  <c r="C35" i="68"/>
  <c r="C5" i="68"/>
  <c r="F9" i="68"/>
  <c r="G9" i="68" s="1"/>
  <c r="F8" i="68"/>
  <c r="G8" i="68" s="1"/>
  <c r="C42" i="68"/>
  <c r="D9" i="65"/>
  <c r="G5" i="68" l="1"/>
  <c r="G42" i="68"/>
  <c r="F25" i="68"/>
  <c r="B17" i="68"/>
  <c r="F17" i="68" s="1"/>
  <c r="G35" i="68"/>
  <c r="CU125" i="63"/>
  <c r="CU124" i="63"/>
  <c r="CU123" i="63"/>
  <c r="CU122" i="63"/>
  <c r="CU121" i="63"/>
  <c r="CU120" i="63"/>
  <c r="CU119" i="63"/>
  <c r="CU118" i="63"/>
  <c r="CU117" i="63"/>
  <c r="CU116" i="63"/>
  <c r="CU115" i="63"/>
  <c r="CU114" i="63"/>
  <c r="CU113" i="63"/>
  <c r="CU112" i="63"/>
  <c r="CU111" i="63"/>
  <c r="CU110" i="63"/>
  <c r="CU109" i="63"/>
  <c r="CU108" i="63"/>
  <c r="CU107" i="63"/>
  <c r="CU106" i="63"/>
  <c r="BN125" i="63"/>
  <c r="BN124" i="63"/>
  <c r="BN123" i="63"/>
  <c r="BN122" i="63"/>
  <c r="BN121" i="63"/>
  <c r="BN120" i="63"/>
  <c r="BN119" i="63"/>
  <c r="BN118" i="63"/>
  <c r="BN117" i="63"/>
  <c r="BN116" i="63"/>
  <c r="BN115" i="63"/>
  <c r="BN114" i="63"/>
  <c r="BN113" i="63"/>
  <c r="BN112" i="63"/>
  <c r="BN111" i="63"/>
  <c r="BN110" i="63"/>
  <c r="BN109" i="63"/>
  <c r="BN108" i="63"/>
  <c r="BN107" i="63"/>
  <c r="BN106" i="63"/>
  <c r="AG125" i="63"/>
  <c r="AG124" i="63"/>
  <c r="AG123" i="63"/>
  <c r="AG122" i="63"/>
  <c r="AG121" i="63"/>
  <c r="AG120" i="63"/>
  <c r="AG119" i="63"/>
  <c r="AG118" i="63"/>
  <c r="AG117" i="63"/>
  <c r="AG116" i="63"/>
  <c r="AG115" i="63"/>
  <c r="AG114" i="63"/>
  <c r="AG113" i="63"/>
  <c r="AG112" i="63"/>
  <c r="AG111" i="63"/>
  <c r="AG110" i="63"/>
  <c r="AG109" i="63"/>
  <c r="AG108" i="63"/>
  <c r="AG107" i="63"/>
  <c r="AG106" i="63"/>
  <c r="AG100" i="63"/>
  <c r="AG99" i="63"/>
  <c r="AG98" i="63"/>
  <c r="AG97" i="63"/>
  <c r="AG96" i="63"/>
  <c r="AG95" i="63"/>
  <c r="AG94" i="63"/>
  <c r="AG93" i="63"/>
  <c r="AG92" i="63"/>
  <c r="AG91" i="63"/>
  <c r="AG90" i="63"/>
  <c r="AG89" i="63"/>
  <c r="AG88" i="63"/>
  <c r="AG87" i="63"/>
  <c r="AG86" i="63"/>
  <c r="AG85" i="63"/>
  <c r="AG84" i="63"/>
  <c r="AG83" i="63"/>
  <c r="AG82" i="63"/>
  <c r="AG81" i="63"/>
  <c r="BN100" i="63"/>
  <c r="BN99" i="63"/>
  <c r="BN98" i="63"/>
  <c r="BN97" i="63"/>
  <c r="BN96" i="63"/>
  <c r="BN95" i="63"/>
  <c r="BN94" i="63"/>
  <c r="BN93" i="63"/>
  <c r="BN92" i="63"/>
  <c r="BN91" i="63"/>
  <c r="BN90" i="63"/>
  <c r="BN89" i="63"/>
  <c r="BN88" i="63"/>
  <c r="BN87" i="63"/>
  <c r="BN86" i="63"/>
  <c r="BN85" i="63"/>
  <c r="BN84" i="63"/>
  <c r="BN83" i="63"/>
  <c r="BN82" i="63"/>
  <c r="BN81" i="63"/>
  <c r="CU100" i="63"/>
  <c r="CU99" i="63"/>
  <c r="CU98" i="63"/>
  <c r="CU97" i="63"/>
  <c r="CU96" i="63"/>
  <c r="CU95" i="63"/>
  <c r="CU94" i="63"/>
  <c r="CU93" i="63"/>
  <c r="CU92" i="63"/>
  <c r="CU91" i="63"/>
  <c r="CU90" i="63"/>
  <c r="CU89" i="63"/>
  <c r="CU88" i="63"/>
  <c r="CU87" i="63"/>
  <c r="CU86" i="63"/>
  <c r="CU85" i="63"/>
  <c r="CU84" i="63"/>
  <c r="CU83" i="63"/>
  <c r="CU82" i="63"/>
  <c r="CU81" i="63"/>
  <c r="CU75" i="63"/>
  <c r="CU74" i="63"/>
  <c r="CU73" i="63"/>
  <c r="CU72" i="63"/>
  <c r="CU71" i="63"/>
  <c r="CU70" i="63"/>
  <c r="CU69" i="63"/>
  <c r="CU68" i="63"/>
  <c r="CU67" i="63"/>
  <c r="CU66" i="63"/>
  <c r="CU65" i="63"/>
  <c r="CU64" i="63"/>
  <c r="CU63" i="63"/>
  <c r="CU62" i="63"/>
  <c r="CU61" i="63"/>
  <c r="CU60" i="63"/>
  <c r="CU59" i="63"/>
  <c r="CU58" i="63"/>
  <c r="CU57" i="63"/>
  <c r="CU56" i="63"/>
  <c r="CU50" i="63"/>
  <c r="CU49" i="63"/>
  <c r="CU48" i="63"/>
  <c r="CU47" i="63"/>
  <c r="CU46" i="63"/>
  <c r="CU45" i="63"/>
  <c r="CU44" i="63"/>
  <c r="CU43" i="63"/>
  <c r="CU42" i="63"/>
  <c r="CU41" i="63"/>
  <c r="CU40" i="63"/>
  <c r="CU39" i="63"/>
  <c r="CU38" i="63"/>
  <c r="CU37" i="63"/>
  <c r="CU36" i="63"/>
  <c r="CU35" i="63"/>
  <c r="CU34" i="63"/>
  <c r="CU33" i="63"/>
  <c r="CU32" i="63"/>
  <c r="CU31" i="63"/>
  <c r="BN75" i="63"/>
  <c r="BN74" i="63"/>
  <c r="BN73" i="63"/>
  <c r="BN72" i="63"/>
  <c r="BN71" i="63"/>
  <c r="BN70" i="63"/>
  <c r="BN69" i="63"/>
  <c r="BN68" i="63"/>
  <c r="BN67" i="63"/>
  <c r="BN66" i="63"/>
  <c r="BN65" i="63"/>
  <c r="BN64" i="63"/>
  <c r="BN63" i="63"/>
  <c r="BN62" i="63"/>
  <c r="BN61" i="63"/>
  <c r="BN60" i="63"/>
  <c r="BN59" i="63"/>
  <c r="BN58" i="63"/>
  <c r="BN57" i="63"/>
  <c r="BN56" i="63"/>
  <c r="AG75" i="63"/>
  <c r="AG74" i="63"/>
  <c r="AG73" i="63"/>
  <c r="AG72" i="63"/>
  <c r="AG71" i="63"/>
  <c r="AG70" i="63"/>
  <c r="AG69" i="63"/>
  <c r="AG68" i="63"/>
  <c r="AG67" i="63"/>
  <c r="AG66" i="63"/>
  <c r="AG65" i="63"/>
  <c r="AG64" i="63"/>
  <c r="AG63" i="63"/>
  <c r="AG62" i="63"/>
  <c r="AG61" i="63"/>
  <c r="AG60" i="63"/>
  <c r="AG59" i="63"/>
  <c r="AG58" i="63"/>
  <c r="AG57" i="63"/>
  <c r="AG56" i="63"/>
  <c r="BN50" i="63"/>
  <c r="BN49" i="63"/>
  <c r="BN48" i="63"/>
  <c r="BN47" i="63"/>
  <c r="BN46" i="63"/>
  <c r="BN45" i="63"/>
  <c r="BN44" i="63"/>
  <c r="BN43" i="63"/>
  <c r="BN42" i="63"/>
  <c r="BN41" i="63"/>
  <c r="BN40" i="63"/>
  <c r="BN39" i="63"/>
  <c r="BN38" i="63"/>
  <c r="BN37" i="63"/>
  <c r="BN36" i="63"/>
  <c r="BN35" i="63"/>
  <c r="BN34" i="63"/>
  <c r="BN33" i="63"/>
  <c r="BN32" i="63"/>
  <c r="BN31" i="63"/>
  <c r="AG50" i="63"/>
  <c r="AG49" i="63"/>
  <c r="AG48" i="63"/>
  <c r="AG47" i="63"/>
  <c r="AG46" i="63"/>
  <c r="AG45" i="63"/>
  <c r="AG44" i="63"/>
  <c r="AG43" i="63"/>
  <c r="AG32" i="63"/>
  <c r="AG31" i="63"/>
  <c r="CI53" i="63" a="1"/>
  <c r="T103" i="63" a="1"/>
  <c r="AY28" i="63" a="1"/>
  <c r="CF28" i="63" a="1"/>
  <c r="U28" i="63" a="1"/>
  <c r="BC53" i="63" a="1"/>
  <c r="CG78" i="63" a="1"/>
  <c r="BB28" i="63" a="1"/>
  <c r="T53" i="63" a="1"/>
  <c r="CF78" i="63" a="1"/>
  <c r="CH78" i="63" a="1"/>
  <c r="AY103" i="63" a="1"/>
  <c r="AY78" i="63" a="1"/>
  <c r="BB103" i="63" a="1"/>
  <c r="V78" i="63" a="1"/>
  <c r="AZ28" i="63" a="1"/>
  <c r="CJ28" i="63" a="1"/>
  <c r="U78" i="63" a="1"/>
  <c r="CG53" i="63" a="1"/>
  <c r="S103" i="63" a="1"/>
  <c r="U103" i="63" a="1"/>
  <c r="BC28" i="63" a="1"/>
  <c r="CJ78" i="63" a="1"/>
  <c r="AY53" i="63" a="1"/>
  <c r="R53" i="63" a="1"/>
  <c r="CH103" i="63" a="1"/>
  <c r="BA78" i="63" a="1"/>
  <c r="CH53" i="63" a="1"/>
  <c r="CJ53" i="63" a="1"/>
  <c r="T28" i="63" a="1"/>
  <c r="AZ78" i="63" a="1"/>
  <c r="BA53" i="63" a="1"/>
  <c r="S53" i="63" a="1"/>
  <c r="S28" i="63" a="1"/>
  <c r="V103" i="63" a="1"/>
  <c r="R78" i="63" a="1"/>
  <c r="CF103" i="63" a="1"/>
  <c r="BC78" i="63" a="1"/>
  <c r="AZ53" i="63" a="1"/>
  <c r="CJ103" i="63" a="1"/>
  <c r="BA28" i="63" a="1"/>
  <c r="BB78" i="63" a="1"/>
  <c r="BA103" i="63" a="1"/>
  <c r="BC103" i="63" a="1"/>
  <c r="BB53" i="63" a="1"/>
  <c r="CI28" i="63" a="1"/>
  <c r="V53" i="63" a="1"/>
  <c r="CH28" i="63" a="1"/>
  <c r="CI78" i="63" a="1"/>
  <c r="U53" i="63" a="1"/>
  <c r="CG28" i="63" a="1"/>
  <c r="CI103" i="63" a="1"/>
  <c r="AZ103" i="63" a="1"/>
  <c r="V28" i="63" a="1"/>
  <c r="T78" i="63" a="1"/>
  <c r="R103" i="63" a="1"/>
  <c r="CG103" i="63" a="1"/>
  <c r="CF53" i="63" a="1"/>
  <c r="S78" i="63" a="1"/>
  <c r="F11" i="68" l="1"/>
  <c r="G11" i="68" s="1"/>
  <c r="CF103" i="63"/>
  <c r="R103" i="63"/>
  <c r="BB103" i="63"/>
  <c r="T103" i="63"/>
  <c r="AZ103" i="63"/>
  <c r="U103" i="63"/>
  <c r="BA103" i="63"/>
  <c r="CG103" i="63"/>
  <c r="AB7" i="42" s="1"/>
  <c r="CH103" i="63"/>
  <c r="AB8" i="42" s="1"/>
  <c r="V103" i="63"/>
  <c r="S103" i="63"/>
  <c r="AY103" i="63"/>
  <c r="Z4" i="42" s="1"/>
  <c r="BC103" i="63"/>
  <c r="CI103" i="63"/>
  <c r="AB9" i="42" s="1"/>
  <c r="CJ103" i="63"/>
  <c r="AB10" i="42" s="1"/>
  <c r="U78" i="63"/>
  <c r="BA78" i="63"/>
  <c r="CG78" i="63"/>
  <c r="R78" i="63"/>
  <c r="CH78" i="63"/>
  <c r="V78" i="63"/>
  <c r="BB78" i="63"/>
  <c r="S78" i="63"/>
  <c r="AY78" i="63"/>
  <c r="BC78" i="63"/>
  <c r="CI78" i="63"/>
  <c r="T78" i="63"/>
  <c r="AZ78" i="63"/>
  <c r="CF78" i="63"/>
  <c r="CJ78" i="63"/>
  <c r="AY53" i="63"/>
  <c r="T53" i="63"/>
  <c r="CF53" i="63"/>
  <c r="U53" i="63"/>
  <c r="CG53" i="63"/>
  <c r="S53" i="63"/>
  <c r="BC53" i="63"/>
  <c r="AZ53" i="63"/>
  <c r="CJ53" i="63"/>
  <c r="BA53" i="63"/>
  <c r="R53" i="63"/>
  <c r="V53" i="63"/>
  <c r="BB53" i="63"/>
  <c r="CH53" i="63"/>
  <c r="CI53" i="63"/>
  <c r="CF28" i="63"/>
  <c r="CG28" i="63"/>
  <c r="CH28" i="63"/>
  <c r="CI28" i="63"/>
  <c r="CJ28" i="63"/>
  <c r="AY28" i="63"/>
  <c r="BC28" i="63"/>
  <c r="AZ28" i="63"/>
  <c r="BB28" i="63"/>
  <c r="BA28" i="63"/>
  <c r="V28" i="63"/>
  <c r="U28" i="63"/>
  <c r="T28" i="63"/>
  <c r="S28" i="63"/>
  <c r="C7" i="68"/>
  <c r="C33" i="68"/>
  <c r="G33" i="68" s="1"/>
  <c r="C32" i="68"/>
  <c r="G32" i="68" s="1"/>
  <c r="C31" i="68"/>
  <c r="G31" i="68" s="1"/>
  <c r="C30" i="68"/>
  <c r="G30" i="68" s="1"/>
  <c r="C24" i="68"/>
  <c r="G24" i="68" s="1"/>
  <c r="C29" i="68"/>
  <c r="G29" i="68" s="1"/>
  <c r="C28" i="68"/>
  <c r="G28" i="68" s="1"/>
  <c r="G7" i="68" l="1"/>
  <c r="C4" i="68"/>
  <c r="F4" i="68"/>
  <c r="F3" i="68"/>
  <c r="AB4" i="42"/>
  <c r="G4" i="68" l="1"/>
  <c r="C27" i="68"/>
  <c r="G27" i="68" s="1"/>
  <c r="AB6" i="42"/>
  <c r="Z6" i="42"/>
  <c r="X6" i="42"/>
  <c r="V6" i="42"/>
  <c r="T6" i="42"/>
  <c r="R6" i="42"/>
  <c r="P6" i="42"/>
  <c r="N6" i="42"/>
  <c r="L6" i="42"/>
  <c r="J6" i="42"/>
  <c r="H6" i="42"/>
  <c r="F6" i="42"/>
  <c r="Z5" i="42"/>
  <c r="X5" i="42"/>
  <c r="V5" i="42"/>
  <c r="T5" i="42"/>
  <c r="R5" i="42"/>
  <c r="P5" i="42"/>
  <c r="N5" i="42"/>
  <c r="L5" i="42"/>
  <c r="J5" i="42"/>
  <c r="H5" i="42"/>
  <c r="F5" i="42"/>
  <c r="G74" i="43" l="1"/>
  <c r="J74" i="43" s="1"/>
  <c r="G51" i="43"/>
  <c r="J51" i="43" s="1"/>
  <c r="H49" i="43"/>
  <c r="G49" i="43"/>
  <c r="J48" i="43"/>
  <c r="H47" i="43"/>
  <c r="H46" i="43"/>
  <c r="J49" i="43" l="1"/>
  <c r="C4" i="73"/>
  <c r="C3" i="73"/>
  <c r="Y2" i="72"/>
  <c r="W2" i="72"/>
  <c r="U2" i="72"/>
  <c r="S2" i="72"/>
  <c r="Q2" i="72"/>
  <c r="O2" i="72"/>
  <c r="M2" i="72"/>
  <c r="K2" i="72"/>
  <c r="I2" i="72"/>
  <c r="G2" i="72"/>
  <c r="E2" i="72"/>
  <c r="C2" i="72"/>
  <c r="C34" i="68"/>
  <c r="G34" i="68" s="1"/>
  <c r="C26" i="68"/>
  <c r="G26" i="68" s="1"/>
  <c r="C25" i="68" l="1"/>
  <c r="G25" i="68" s="1"/>
  <c r="B2" i="67"/>
  <c r="C3" i="68" l="1"/>
  <c r="G3" i="68" s="1"/>
  <c r="J9" i="65"/>
  <c r="B9" i="67"/>
  <c r="C109" i="43"/>
  <c r="C108" i="43"/>
  <c r="D4" i="67"/>
  <c r="E4" i="67" s="1"/>
  <c r="H110" i="43" s="1"/>
  <c r="D3" i="67"/>
  <c r="E3" i="67" s="1"/>
  <c r="H109" i="43" s="1"/>
  <c r="D2" i="67"/>
  <c r="E2" i="67" s="1"/>
  <c r="H108" i="43" l="1"/>
  <c r="H115" i="43" s="1"/>
  <c r="F2" i="67"/>
  <c r="F3" i="67"/>
  <c r="G3" i="67" s="1"/>
  <c r="H3" i="67" s="1"/>
  <c r="I3" i="67" s="1"/>
  <c r="F4" i="67"/>
  <c r="G4" i="67" s="1"/>
  <c r="H4" i="67" s="1"/>
  <c r="I4" i="67" s="1"/>
  <c r="D9" i="67"/>
  <c r="E9" i="67" l="1"/>
  <c r="C11" i="72" s="1"/>
  <c r="P115" i="43"/>
  <c r="B47" i="46" s="1"/>
  <c r="O4" i="67"/>
  <c r="G2" i="67"/>
  <c r="F9" i="67"/>
  <c r="O3" i="67"/>
  <c r="Y11" i="72" l="1"/>
  <c r="Q11" i="72"/>
  <c r="M11" i="72"/>
  <c r="I11" i="72"/>
  <c r="S11" i="72"/>
  <c r="U11" i="72"/>
  <c r="E11" i="72"/>
  <c r="O11" i="72"/>
  <c r="G11" i="72"/>
  <c r="E11" i="66"/>
  <c r="W11" i="72"/>
  <c r="K11" i="72"/>
  <c r="R115" i="43"/>
  <c r="T115" i="43" s="1"/>
  <c r="V115" i="43" s="1"/>
  <c r="X115" i="43" s="1"/>
  <c r="Z115" i="43" s="1"/>
  <c r="AB115" i="43" s="1"/>
  <c r="AD115" i="43" s="1"/>
  <c r="AF115" i="43" s="1"/>
  <c r="AH115" i="43" s="1"/>
  <c r="AJ115" i="43" s="1"/>
  <c r="AL115" i="43" s="1"/>
  <c r="G9" i="67"/>
  <c r="H2" i="67"/>
  <c r="AA11" i="72" l="1"/>
  <c r="G11" i="66"/>
  <c r="I11" i="66"/>
  <c r="H9" i="67"/>
  <c r="K11" i="66" s="1"/>
  <c r="I2" i="67"/>
  <c r="I9" i="67" l="1"/>
  <c r="M11" i="66" s="1"/>
  <c r="O11" i="66" s="1"/>
  <c r="J2" i="67"/>
  <c r="K2" i="67" l="1"/>
  <c r="L2" i="67" s="1"/>
  <c r="M2" i="67" s="1"/>
  <c r="N2" i="67" s="1"/>
  <c r="O2" i="67" l="1"/>
  <c r="L20" i="65"/>
  <c r="H9" i="65"/>
  <c r="F9" i="65"/>
  <c r="C1" i="64"/>
  <c r="M15" i="64" l="1"/>
  <c r="M4" i="64"/>
  <c r="G4" i="64"/>
  <c r="M18" i="64"/>
  <c r="G18" i="64"/>
  <c r="J1" i="65"/>
  <c r="H1" i="65"/>
  <c r="D1" i="65"/>
  <c r="B1" i="65"/>
  <c r="N10" i="43" l="1"/>
  <c r="N5" i="43" s="1"/>
  <c r="C31" i="43"/>
  <c r="Y127" i="43"/>
  <c r="Y128" i="43" s="1"/>
  <c r="Y129" i="43" s="1"/>
  <c r="AI127" i="43"/>
  <c r="AI128" i="43" s="1"/>
  <c r="AI129" i="43" s="1"/>
  <c r="H18" i="43" l="1"/>
  <c r="AC6" i="42"/>
  <c r="AC5" i="42"/>
  <c r="L21" i="43"/>
  <c r="K21" i="43"/>
  <c r="J21" i="43"/>
  <c r="G21" i="43"/>
  <c r="F21" i="43"/>
  <c r="L20" i="43"/>
  <c r="K20" i="43"/>
  <c r="J20" i="43"/>
  <c r="G20" i="43"/>
  <c r="F20" i="43"/>
  <c r="L19" i="43"/>
  <c r="K19" i="43"/>
  <c r="J19" i="43"/>
  <c r="G19" i="43"/>
  <c r="F19" i="43"/>
  <c r="C21" i="43"/>
  <c r="C20" i="43"/>
  <c r="C19" i="43"/>
  <c r="G65" i="43"/>
  <c r="J65" i="43" s="1"/>
  <c r="AD65" i="43" s="1"/>
  <c r="G64" i="43"/>
  <c r="J64" i="43" s="1"/>
  <c r="AF64" i="43" s="1"/>
  <c r="C40" i="43"/>
  <c r="C41" i="43"/>
  <c r="C42" i="43"/>
  <c r="C65" i="43"/>
  <c r="C66" i="43"/>
  <c r="C64" i="43"/>
  <c r="C63" i="43"/>
  <c r="C39" i="43"/>
  <c r="AC261" i="34"/>
  <c r="AC260" i="34"/>
  <c r="AC259" i="34"/>
  <c r="AA261" i="34"/>
  <c r="Y261" i="34"/>
  <c r="W261" i="34"/>
  <c r="U261" i="34"/>
  <c r="S261" i="34"/>
  <c r="Q261" i="34"/>
  <c r="O261" i="34"/>
  <c r="I261" i="34"/>
  <c r="M261" i="34"/>
  <c r="K261" i="34"/>
  <c r="G261" i="34"/>
  <c r="E261" i="34"/>
  <c r="L18" i="43"/>
  <c r="K18" i="43"/>
  <c r="J18" i="43"/>
  <c r="G18" i="43"/>
  <c r="F18" i="43"/>
  <c r="C18" i="43"/>
  <c r="AG35" i="63"/>
  <c r="AG36" i="63"/>
  <c r="AG37" i="63"/>
  <c r="AG38" i="63"/>
  <c r="AG39" i="63"/>
  <c r="AG40" i="63"/>
  <c r="AG41" i="63"/>
  <c r="AG42" i="63"/>
  <c r="M14" i="64"/>
  <c r="N32" i="43" s="1"/>
  <c r="M12" i="64"/>
  <c r="N22" i="43" s="1"/>
  <c r="M33" i="43"/>
  <c r="M32" i="43"/>
  <c r="M31" i="43"/>
  <c r="L12" i="43"/>
  <c r="L13" i="43"/>
  <c r="L14" i="43"/>
  <c r="L15" i="43"/>
  <c r="L16" i="43"/>
  <c r="L17" i="43"/>
  <c r="L22" i="43"/>
  <c r="L31" i="43"/>
  <c r="L32" i="43"/>
  <c r="L33" i="43"/>
  <c r="K12" i="43"/>
  <c r="K13" i="43"/>
  <c r="K14" i="43"/>
  <c r="K15" i="43"/>
  <c r="K16" i="43"/>
  <c r="K17" i="43"/>
  <c r="K22" i="43"/>
  <c r="K31" i="43"/>
  <c r="K32" i="43"/>
  <c r="K33" i="43"/>
  <c r="J12" i="43"/>
  <c r="J13" i="43"/>
  <c r="J14" i="43"/>
  <c r="J15" i="43"/>
  <c r="J16" i="43"/>
  <c r="J17" i="43"/>
  <c r="J22" i="43"/>
  <c r="J31" i="43"/>
  <c r="J32" i="43"/>
  <c r="J33" i="43"/>
  <c r="G12" i="43"/>
  <c r="G13" i="43"/>
  <c r="G14" i="43"/>
  <c r="G15" i="43"/>
  <c r="G16" i="43"/>
  <c r="G17" i="43"/>
  <c r="G22" i="43"/>
  <c r="G31" i="43"/>
  <c r="G32" i="43"/>
  <c r="G33" i="43"/>
  <c r="F14" i="43"/>
  <c r="F15" i="43"/>
  <c r="F16" i="43"/>
  <c r="F17" i="43"/>
  <c r="F22" i="43"/>
  <c r="F31" i="43"/>
  <c r="F32" i="43"/>
  <c r="F33" i="43"/>
  <c r="F13" i="43"/>
  <c r="F12" i="43"/>
  <c r="C16" i="43"/>
  <c r="C17" i="43"/>
  <c r="C22" i="43"/>
  <c r="C32" i="43"/>
  <c r="C33" i="43"/>
  <c r="C13" i="43"/>
  <c r="C14" i="43"/>
  <c r="C15" i="43"/>
  <c r="C12" i="43"/>
  <c r="C11" i="43"/>
  <c r="F11" i="43"/>
  <c r="L11" i="43"/>
  <c r="K11" i="43"/>
  <c r="J11" i="43"/>
  <c r="G11" i="43"/>
  <c r="L10" i="43"/>
  <c r="K10" i="43"/>
  <c r="J10" i="43"/>
  <c r="G10" i="43"/>
  <c r="F10" i="43"/>
  <c r="C10" i="43"/>
  <c r="M5" i="64"/>
  <c r="M6" i="64"/>
  <c r="M7" i="64"/>
  <c r="N19" i="43" s="1"/>
  <c r="M8" i="64"/>
  <c r="M9" i="64"/>
  <c r="M10" i="64"/>
  <c r="M11" i="64"/>
  <c r="M13" i="64"/>
  <c r="N31" i="43" s="1"/>
  <c r="N13" i="43"/>
  <c r="M16" i="64"/>
  <c r="N12" i="43" s="1"/>
  <c r="M17" i="64"/>
  <c r="N33" i="43" s="1"/>
  <c r="N18" i="43"/>
  <c r="G5" i="64"/>
  <c r="G6" i="64"/>
  <c r="G7" i="64"/>
  <c r="H19" i="43" s="1"/>
  <c r="G8" i="64"/>
  <c r="G9" i="64"/>
  <c r="G10" i="64"/>
  <c r="G11" i="64"/>
  <c r="G12" i="64"/>
  <c r="H22" i="43" s="1"/>
  <c r="G13" i="64"/>
  <c r="G14" i="64"/>
  <c r="H32" i="43" s="1"/>
  <c r="G15" i="64"/>
  <c r="G16" i="64"/>
  <c r="H20" i="43" s="1"/>
  <c r="G17" i="64"/>
  <c r="H33" i="43" s="1"/>
  <c r="H31" i="43" l="1"/>
  <c r="P31" i="43" s="1"/>
  <c r="AF31" i="43" s="1"/>
  <c r="H14" i="43"/>
  <c r="N14" i="43"/>
  <c r="N15" i="43"/>
  <c r="P32" i="43"/>
  <c r="R32" i="43" s="1"/>
  <c r="T32" i="43" s="1"/>
  <c r="V32" i="43" s="1"/>
  <c r="X32" i="43" s="1"/>
  <c r="Z32" i="43" s="1"/>
  <c r="AB32" i="43" s="1"/>
  <c r="AD32" i="43" s="1"/>
  <c r="AF32" i="43" s="1"/>
  <c r="AH32" i="43" s="1"/>
  <c r="AJ32" i="43" s="1"/>
  <c r="AL32" i="43" s="1"/>
  <c r="N11" i="43"/>
  <c r="H21" i="43"/>
  <c r="H11" i="43"/>
  <c r="H10" i="43"/>
  <c r="P10" i="43" s="1"/>
  <c r="H15" i="43"/>
  <c r="AB18" i="43"/>
  <c r="AB19" i="43"/>
  <c r="H13" i="43"/>
  <c r="N17" i="43"/>
  <c r="H12" i="43"/>
  <c r="AB12" i="43" s="1"/>
  <c r="N16" i="43"/>
  <c r="N21" i="43"/>
  <c r="H17" i="43"/>
  <c r="N20" i="43"/>
  <c r="AL20" i="43" s="1"/>
  <c r="H16" i="43"/>
  <c r="V18" i="43"/>
  <c r="AL19" i="43"/>
  <c r="T19" i="43"/>
  <c r="V19" i="43"/>
  <c r="AD18" i="43"/>
  <c r="Z19" i="43"/>
  <c r="Z18" i="43"/>
  <c r="X19" i="43"/>
  <c r="AF19" i="43"/>
  <c r="T18" i="43"/>
  <c r="X18" i="43"/>
  <c r="AL18" i="43"/>
  <c r="R19" i="43"/>
  <c r="P18" i="43"/>
  <c r="R18" i="43"/>
  <c r="P19" i="43"/>
  <c r="R65" i="43"/>
  <c r="AB65" i="43"/>
  <c r="AD64" i="43"/>
  <c r="AB64" i="43"/>
  <c r="T64" i="43"/>
  <c r="X65" i="43"/>
  <c r="T65" i="43"/>
  <c r="AL65" i="43"/>
  <c r="V65" i="43"/>
  <c r="X64" i="43"/>
  <c r="P65" i="43"/>
  <c r="Z65" i="43" s="1"/>
  <c r="AJ65" i="43"/>
  <c r="AL64" i="43"/>
  <c r="V64" i="43"/>
  <c r="P64" i="43"/>
  <c r="Z64" i="43" s="1"/>
  <c r="AH65" i="43"/>
  <c r="AJ64" i="43"/>
  <c r="AF65" i="43"/>
  <c r="AH64" i="43"/>
  <c r="R64" i="43"/>
  <c r="N8" i="42"/>
  <c r="V10" i="42"/>
  <c r="V8" i="42"/>
  <c r="P8" i="42"/>
  <c r="Z10" i="42"/>
  <c r="Z8" i="42"/>
  <c r="X10" i="42"/>
  <c r="X8" i="42"/>
  <c r="T10" i="42"/>
  <c r="T8" i="42"/>
  <c r="R10" i="42"/>
  <c r="R8" i="42"/>
  <c r="P10" i="42"/>
  <c r="N10" i="42"/>
  <c r="L10" i="42"/>
  <c r="L8" i="42"/>
  <c r="J10" i="42"/>
  <c r="H10" i="42"/>
  <c r="H7" i="42"/>
  <c r="G85" i="43"/>
  <c r="G75" i="43"/>
  <c r="J75" i="43" s="1"/>
  <c r="G71" i="43"/>
  <c r="G66" i="43"/>
  <c r="J66" i="43" s="1"/>
  <c r="G67" i="43"/>
  <c r="J67" i="43" s="1"/>
  <c r="P67" i="43" s="1"/>
  <c r="G63" i="43"/>
  <c r="J63" i="43" s="1"/>
  <c r="G59" i="43"/>
  <c r="G58" i="43"/>
  <c r="J58" i="43" s="1"/>
  <c r="G57" i="43"/>
  <c r="J57" i="43" s="1"/>
  <c r="G46" i="43"/>
  <c r="J46" i="43" s="1"/>
  <c r="G47" i="43"/>
  <c r="J47" i="43" s="1"/>
  <c r="G50" i="43"/>
  <c r="J50" i="43" s="1"/>
  <c r="G52" i="43"/>
  <c r="J52" i="43" s="1"/>
  <c r="P52" i="43" s="1"/>
  <c r="H42" i="43"/>
  <c r="I42" i="43" s="1"/>
  <c r="K42" i="43" s="1"/>
  <c r="P42" i="43" s="1"/>
  <c r="H41" i="43"/>
  <c r="I41" i="43" s="1"/>
  <c r="K41" i="43" s="1"/>
  <c r="H40" i="43"/>
  <c r="I40" i="43" s="1"/>
  <c r="K40" i="43" s="1"/>
  <c r="P40" i="43" s="1"/>
  <c r="H39" i="43"/>
  <c r="X31" i="43" l="1"/>
  <c r="AJ52" i="43"/>
  <c r="AB52" i="43"/>
  <c r="T52" i="43"/>
  <c r="AH52" i="43"/>
  <c r="Z52" i="43"/>
  <c r="R52" i="43"/>
  <c r="AF52" i="43"/>
  <c r="X52" i="43"/>
  <c r="AL52" i="43"/>
  <c r="V52" i="43"/>
  <c r="AD52" i="43"/>
  <c r="AB14" i="43"/>
  <c r="F24" i="43"/>
  <c r="G24" i="43" s="1"/>
  <c r="L43" i="43"/>
  <c r="AL14" i="43"/>
  <c r="AD14" i="43"/>
  <c r="Z14" i="43"/>
  <c r="AL10" i="43"/>
  <c r="P14" i="43"/>
  <c r="AD15" i="43"/>
  <c r="F27" i="43"/>
  <c r="AB15" i="43"/>
  <c r="AD10" i="43"/>
  <c r="AF10" i="43"/>
  <c r="P11" i="43"/>
  <c r="Z15" i="43"/>
  <c r="Z10" i="43"/>
  <c r="P15" i="43"/>
  <c r="AL15" i="43"/>
  <c r="X21" i="43"/>
  <c r="AD11" i="43"/>
  <c r="AL11" i="43"/>
  <c r="Z11" i="43"/>
  <c r="AB10" i="43"/>
  <c r="T17" i="43"/>
  <c r="AB11" i="43"/>
  <c r="V4" i="42"/>
  <c r="T4" i="42"/>
  <c r="H4" i="42"/>
  <c r="J53" i="43"/>
  <c r="P21" i="43"/>
  <c r="P16" i="43"/>
  <c r="P34" i="43"/>
  <c r="P17" i="43"/>
  <c r="AB17" i="43"/>
  <c r="T21" i="43"/>
  <c r="AD12" i="43"/>
  <c r="T16" i="43"/>
  <c r="AD17" i="43"/>
  <c r="AB21" i="43"/>
  <c r="AD21" i="43"/>
  <c r="V21" i="43"/>
  <c r="AB16" i="43"/>
  <c r="AL13" i="43"/>
  <c r="AB13" i="43"/>
  <c r="AD13" i="43"/>
  <c r="Z13" i="43"/>
  <c r="AB20" i="43"/>
  <c r="R17" i="43"/>
  <c r="R21" i="43"/>
  <c r="X16" i="43"/>
  <c r="X17" i="43"/>
  <c r="AF21" i="43"/>
  <c r="AL17" i="43"/>
  <c r="Z21" i="43"/>
  <c r="AL21" i="43"/>
  <c r="V17" i="43"/>
  <c r="AL16" i="43"/>
  <c r="AF20" i="43"/>
  <c r="Z12" i="43"/>
  <c r="AD20" i="43"/>
  <c r="T20" i="43"/>
  <c r="P20" i="43"/>
  <c r="R16" i="43"/>
  <c r="T31" i="43"/>
  <c r="R34" i="43"/>
  <c r="AD16" i="43"/>
  <c r="Z20" i="43"/>
  <c r="Z16" i="43"/>
  <c r="V16" i="43"/>
  <c r="V20" i="43"/>
  <c r="Z17" i="43"/>
  <c r="X20" i="43"/>
  <c r="AL12" i="43"/>
  <c r="R20" i="43"/>
  <c r="T9" i="42"/>
  <c r="V9" i="42"/>
  <c r="J9" i="42"/>
  <c r="H9" i="42"/>
  <c r="I39" i="43"/>
  <c r="K39" i="43" s="1"/>
  <c r="AF63" i="43"/>
  <c r="V63" i="43"/>
  <c r="AJ63" i="43"/>
  <c r="R63" i="43"/>
  <c r="AD63" i="43"/>
  <c r="P63" i="43"/>
  <c r="AL63" i="43"/>
  <c r="AH63" i="43"/>
  <c r="X63" i="43"/>
  <c r="AB63" i="43"/>
  <c r="T63" i="43"/>
  <c r="Z40" i="43"/>
  <c r="V40" i="43"/>
  <c r="T40" i="43"/>
  <c r="AB66" i="43"/>
  <c r="AD66" i="43"/>
  <c r="AF66" i="43"/>
  <c r="AH66" i="43"/>
  <c r="T66" i="43"/>
  <c r="AJ66" i="43"/>
  <c r="P66" i="43"/>
  <c r="Z66" i="43" s="1"/>
  <c r="V66" i="43"/>
  <c r="AL66" i="43"/>
  <c r="X66" i="43"/>
  <c r="R66" i="43"/>
  <c r="R40" i="43"/>
  <c r="AH41" i="43"/>
  <c r="AJ41" i="43"/>
  <c r="AF41" i="43"/>
  <c r="AB41" i="43"/>
  <c r="AL41" i="43"/>
  <c r="AD41" i="43"/>
  <c r="AD42" i="43"/>
  <c r="AJ42" i="43"/>
  <c r="AL42" i="43"/>
  <c r="AF42" i="43"/>
  <c r="AB42" i="43"/>
  <c r="AH42" i="43"/>
  <c r="T41" i="43"/>
  <c r="Z41" i="43"/>
  <c r="V42" i="43"/>
  <c r="R42" i="43"/>
  <c r="X42" i="43"/>
  <c r="T42" i="43"/>
  <c r="Z42" i="43"/>
  <c r="R41" i="43"/>
  <c r="V41" i="43"/>
  <c r="P41" i="43"/>
  <c r="X41" i="43"/>
  <c r="AF40" i="43"/>
  <c r="AJ40" i="43"/>
  <c r="AB40" i="43"/>
  <c r="AD40" i="43"/>
  <c r="AL40" i="43"/>
  <c r="AH40" i="43"/>
  <c r="X40" i="43"/>
  <c r="L9" i="42"/>
  <c r="X9" i="42"/>
  <c r="N9" i="42"/>
  <c r="R9" i="42"/>
  <c r="Z9" i="42"/>
  <c r="P9" i="42"/>
  <c r="X4" i="42"/>
  <c r="R4" i="42"/>
  <c r="P4" i="42"/>
  <c r="L4" i="42"/>
  <c r="J4" i="42"/>
  <c r="J8" i="42"/>
  <c r="H8" i="42"/>
  <c r="L7" i="42"/>
  <c r="P7" i="42"/>
  <c r="V7" i="42"/>
  <c r="T7" i="42"/>
  <c r="R7" i="42"/>
  <c r="Z7" i="42"/>
  <c r="X7" i="42"/>
  <c r="N7" i="42"/>
  <c r="J7" i="42"/>
  <c r="J68" i="43"/>
  <c r="B19" i="46" l="1"/>
  <c r="B20" i="46" s="1"/>
  <c r="AL34" i="43"/>
  <c r="F26" i="43"/>
  <c r="G26" i="43" s="1"/>
  <c r="G27" i="43"/>
  <c r="F25" i="43"/>
  <c r="G25" i="43" s="1"/>
  <c r="H24" i="43" s="1"/>
  <c r="J24" i="43" s="1"/>
  <c r="AL28" i="43"/>
  <c r="AB28" i="43"/>
  <c r="T34" i="43"/>
  <c r="Z39" i="43"/>
  <c r="Z43" i="43" s="1"/>
  <c r="AL39" i="43"/>
  <c r="AL43" i="43" s="1"/>
  <c r="AB39" i="43"/>
  <c r="AB43" i="43" s="1"/>
  <c r="V39" i="43"/>
  <c r="V43" i="43" s="1"/>
  <c r="V68" i="43"/>
  <c r="R68" i="43"/>
  <c r="AL68" i="43"/>
  <c r="X35" i="46" s="1"/>
  <c r="T39" i="43"/>
  <c r="T43" i="43" s="1"/>
  <c r="AJ68" i="43"/>
  <c r="AB68" i="43"/>
  <c r="AF39" i="43"/>
  <c r="AF43" i="43" s="1"/>
  <c r="T68" i="43"/>
  <c r="AD39" i="43"/>
  <c r="AD43" i="43" s="1"/>
  <c r="X39" i="43"/>
  <c r="X43" i="43" s="1"/>
  <c r="Z63" i="43"/>
  <c r="Z68" i="43" s="1"/>
  <c r="P68" i="43"/>
  <c r="AH39" i="43"/>
  <c r="AH43" i="43" s="1"/>
  <c r="P39" i="43"/>
  <c r="P43" i="43" s="1"/>
  <c r="M43" i="43" s="1"/>
  <c r="R39" i="43"/>
  <c r="R43" i="43" s="1"/>
  <c r="AD68" i="43"/>
  <c r="X68" i="43"/>
  <c r="AF68" i="43"/>
  <c r="AJ39" i="43"/>
  <c r="AJ43" i="43" s="1"/>
  <c r="AH68" i="43"/>
  <c r="AB12" i="42"/>
  <c r="AB13" i="42" s="1"/>
  <c r="Z12" i="42"/>
  <c r="Z13" i="42" s="1"/>
  <c r="F8" i="42"/>
  <c r="AC8" i="42" s="1"/>
  <c r="F7" i="42"/>
  <c r="AC7" i="42" s="1"/>
  <c r="F4" i="42"/>
  <c r="X47" i="46"/>
  <c r="X42" i="46"/>
  <c r="X40" i="46"/>
  <c r="X36" i="46"/>
  <c r="X26" i="46"/>
  <c r="V26" i="46"/>
  <c r="T26" i="46"/>
  <c r="R26" i="46"/>
  <c r="P26" i="46"/>
  <c r="AJ105" i="43" l="1"/>
  <c r="X7" i="46"/>
  <c r="X13" i="46" s="1"/>
  <c r="X45" i="46" s="1"/>
  <c r="AL105" i="43"/>
  <c r="H26" i="43"/>
  <c r="J26" i="43" s="1"/>
  <c r="P83" i="43"/>
  <c r="V34" i="43"/>
  <c r="V7" i="46"/>
  <c r="X29" i="46"/>
  <c r="F10" i="42"/>
  <c r="AC10" i="42" s="1"/>
  <c r="F9" i="42"/>
  <c r="AC9" i="42" s="1"/>
  <c r="K90" i="43"/>
  <c r="K89" i="43"/>
  <c r="K91" i="43"/>
  <c r="K88" i="43"/>
  <c r="R83" i="43" l="1"/>
  <c r="T83" i="43" s="1"/>
  <c r="V83" i="43" s="1"/>
  <c r="X83" i="43" s="1"/>
  <c r="Z83" i="43" s="1"/>
  <c r="AB83" i="43" s="1"/>
  <c r="AD83" i="43" s="1"/>
  <c r="AF83" i="43" s="1"/>
  <c r="AH83" i="43" s="1"/>
  <c r="AJ83" i="43" s="1"/>
  <c r="AL83" i="43" s="1"/>
  <c r="P85" i="43"/>
  <c r="Y45" i="46"/>
  <c r="W1" i="72"/>
  <c r="Y1" i="72"/>
  <c r="F12" i="42"/>
  <c r="F13" i="42" s="1"/>
  <c r="T82" i="43"/>
  <c r="R53" i="43"/>
  <c r="P53" i="43"/>
  <c r="X34" i="43"/>
  <c r="K95" i="43"/>
  <c r="P105" i="43" l="1"/>
  <c r="R85" i="43"/>
  <c r="V82" i="43"/>
  <c r="T85" i="43"/>
  <c r="B7" i="46"/>
  <c r="B13" i="46" s="1"/>
  <c r="B45" i="46" s="1"/>
  <c r="AB31" i="43"/>
  <c r="Z34" i="43"/>
  <c r="D47" i="46"/>
  <c r="C1" i="72" l="1"/>
  <c r="I4" i="72" s="1"/>
  <c r="V85" i="43"/>
  <c r="T53" i="43"/>
  <c r="AB34" i="43"/>
  <c r="AD31" i="43"/>
  <c r="F47" i="46"/>
  <c r="H47" i="46"/>
  <c r="B55" i="46" l="1"/>
  <c r="C55" i="46" s="1"/>
  <c r="C45" i="46"/>
  <c r="X85" i="43"/>
  <c r="V53" i="43"/>
  <c r="AD34" i="43"/>
  <c r="J47" i="46"/>
  <c r="AB82" i="43" l="1"/>
  <c r="Z85" i="43"/>
  <c r="X53" i="43"/>
  <c r="C7" i="72"/>
  <c r="AF34" i="43"/>
  <c r="L47" i="46"/>
  <c r="AD82" i="43" l="1"/>
  <c r="AB85" i="43"/>
  <c r="Z53" i="43"/>
  <c r="AJ31" i="43"/>
  <c r="AH34" i="43"/>
  <c r="N47" i="46"/>
  <c r="AD85" i="43" l="1"/>
  <c r="AB53" i="43"/>
  <c r="AJ34" i="43"/>
  <c r="AL31" i="43"/>
  <c r="P47" i="46"/>
  <c r="AF85" i="43" l="1"/>
  <c r="AD53" i="43"/>
  <c r="R47" i="46"/>
  <c r="AJ82" i="43" l="1"/>
  <c r="AH85" i="43"/>
  <c r="AF53" i="43"/>
  <c r="T47" i="46"/>
  <c r="AL85" i="43" l="1"/>
  <c r="X32" i="46" s="1"/>
  <c r="AJ85" i="43"/>
  <c r="AH53" i="43"/>
  <c r="V47" i="46"/>
  <c r="AJ53" i="43" l="1"/>
  <c r="J93" i="43"/>
  <c r="J92" i="43"/>
  <c r="AJ12" i="43"/>
  <c r="AJ13" i="43"/>
  <c r="AJ14" i="43"/>
  <c r="AJ15" i="43"/>
  <c r="AJ16" i="43"/>
  <c r="AJ17" i="43"/>
  <c r="AJ18" i="43"/>
  <c r="AJ19" i="43"/>
  <c r="AJ20" i="43"/>
  <c r="AJ21" i="43"/>
  <c r="AJ10" i="43"/>
  <c r="AH11" i="43"/>
  <c r="AH12" i="43"/>
  <c r="AH13" i="43"/>
  <c r="AH14" i="43"/>
  <c r="AH15" i="43"/>
  <c r="AH16" i="43"/>
  <c r="AH17" i="43"/>
  <c r="AH18" i="43"/>
  <c r="AH19" i="43"/>
  <c r="AH20" i="43"/>
  <c r="AH21" i="43"/>
  <c r="AH10" i="43"/>
  <c r="AF12" i="43"/>
  <c r="AF13" i="43"/>
  <c r="AF14" i="43"/>
  <c r="AF15" i="43"/>
  <c r="AF16" i="43"/>
  <c r="AF17" i="43"/>
  <c r="AF18" i="43"/>
  <c r="X11" i="43"/>
  <c r="X12" i="43"/>
  <c r="X13" i="43"/>
  <c r="X14" i="43"/>
  <c r="X15" i="43"/>
  <c r="X10" i="43"/>
  <c r="V11" i="43"/>
  <c r="V12" i="43"/>
  <c r="V13" i="43"/>
  <c r="V14" i="43"/>
  <c r="V15" i="43"/>
  <c r="V10" i="43"/>
  <c r="T11" i="43"/>
  <c r="T12" i="43"/>
  <c r="T13" i="43"/>
  <c r="T14" i="43"/>
  <c r="T15" i="43"/>
  <c r="T10" i="43"/>
  <c r="R11" i="43"/>
  <c r="R12" i="43"/>
  <c r="R13" i="43"/>
  <c r="R14" i="43"/>
  <c r="R15" i="43"/>
  <c r="R10" i="43"/>
  <c r="AG33" i="63"/>
  <c r="P12" i="43" s="1"/>
  <c r="AG34" i="63"/>
  <c r="P13" i="43" s="1"/>
  <c r="V31" i="46" l="1"/>
  <c r="P28" i="43"/>
  <c r="P1" i="43" s="1"/>
  <c r="AL53" i="43"/>
  <c r="AJ11" i="43"/>
  <c r="AJ28" i="43" s="1"/>
  <c r="AF11" i="43"/>
  <c r="AF28" i="43" s="1"/>
  <c r="AD19" i="43"/>
  <c r="AD28" i="43" s="1"/>
  <c r="AH28" i="43"/>
  <c r="X28" i="43"/>
  <c r="R28" i="43"/>
  <c r="D16" i="46" s="1"/>
  <c r="V28" i="43"/>
  <c r="T28" i="43"/>
  <c r="F16" i="46" s="1"/>
  <c r="V35" i="46"/>
  <c r="N4" i="42"/>
  <c r="AC4" i="42" s="1"/>
  <c r="B35" i="46"/>
  <c r="X31" i="46" l="1"/>
  <c r="Z28" i="43"/>
  <c r="AC12" i="42"/>
  <c r="B39" i="46" l="1"/>
  <c r="D39" i="46"/>
  <c r="P35" i="46"/>
  <c r="N35" i="46"/>
  <c r="L35" i="46"/>
  <c r="D35" i="46"/>
  <c r="C38" i="45" l="1"/>
  <c r="C114" i="45"/>
  <c r="X29" i="45"/>
  <c r="AE46" i="51" l="1"/>
  <c r="U261" i="51"/>
  <c r="AE46" i="34"/>
  <c r="T35" i="16"/>
  <c r="R35" i="16"/>
  <c r="H35" i="16"/>
  <c r="X36" i="16"/>
  <c r="X32" i="16"/>
  <c r="V32" i="16"/>
  <c r="T32" i="16"/>
  <c r="J94" i="43"/>
  <c r="J85" i="43"/>
  <c r="B32" i="46" s="1"/>
  <c r="D32" i="46" l="1"/>
  <c r="B35" i="16"/>
  <c r="R35" i="46"/>
  <c r="P95" i="43"/>
  <c r="L32" i="46"/>
  <c r="J32" i="46"/>
  <c r="H32" i="46"/>
  <c r="T32" i="46"/>
  <c r="V32" i="46"/>
  <c r="R32" i="46"/>
  <c r="N32" i="46"/>
  <c r="P32" i="46"/>
  <c r="F32" i="46"/>
  <c r="N35" i="16"/>
  <c r="P35" i="16"/>
  <c r="F35" i="46"/>
  <c r="H35" i="46"/>
  <c r="J35" i="46"/>
  <c r="Q27" i="50"/>
  <c r="P27" i="50"/>
  <c r="Q26" i="50"/>
  <c r="P26" i="50"/>
  <c r="Q23" i="50"/>
  <c r="P23" i="50"/>
  <c r="O27" i="50"/>
  <c r="O26" i="50"/>
  <c r="O23" i="50"/>
  <c r="M27" i="50"/>
  <c r="M26" i="50"/>
  <c r="M23" i="50"/>
  <c r="L23" i="50"/>
  <c r="K23" i="50"/>
  <c r="H23" i="50"/>
  <c r="I23" i="50"/>
  <c r="H26" i="50"/>
  <c r="H27" i="50"/>
  <c r="G27" i="50"/>
  <c r="G26" i="50"/>
  <c r="G23" i="50"/>
  <c r="C23" i="50"/>
  <c r="E23" i="50"/>
  <c r="D23" i="50"/>
  <c r="Q20" i="50"/>
  <c r="P20" i="50"/>
  <c r="O20" i="50"/>
  <c r="M20" i="50"/>
  <c r="L20" i="50"/>
  <c r="K20" i="50"/>
  <c r="I20" i="50"/>
  <c r="H20" i="50"/>
  <c r="G20" i="50"/>
  <c r="E20" i="50"/>
  <c r="D20" i="50"/>
  <c r="C20" i="50"/>
  <c r="D35" i="16" l="1"/>
  <c r="T35" i="46"/>
  <c r="B29" i="46"/>
  <c r="D26" i="46"/>
  <c r="F26" i="46"/>
  <c r="H26" i="46"/>
  <c r="J26" i="46"/>
  <c r="L26" i="46"/>
  <c r="N26" i="46"/>
  <c r="B26" i="46"/>
  <c r="F35" i="16"/>
  <c r="K21" i="50"/>
  <c r="I21" i="50"/>
  <c r="L21" i="50"/>
  <c r="E21" i="50"/>
  <c r="C21" i="50"/>
  <c r="D21" i="50"/>
  <c r="N12" i="42"/>
  <c r="N13" i="42" s="1"/>
  <c r="G21" i="50"/>
  <c r="M21" i="50"/>
  <c r="H21" i="50"/>
  <c r="O21" i="50"/>
  <c r="Q21" i="50"/>
  <c r="P12" i="42"/>
  <c r="P13" i="42" s="1"/>
  <c r="P21" i="50"/>
  <c r="K27" i="50"/>
  <c r="D27" i="50"/>
  <c r="E27" i="50"/>
  <c r="C27" i="50"/>
  <c r="L27" i="50"/>
  <c r="I27" i="50"/>
  <c r="J12" i="42"/>
  <c r="J13" i="42" s="1"/>
  <c r="H12" i="42"/>
  <c r="L26" i="50"/>
  <c r="I26" i="50"/>
  <c r="J26" i="50" s="1"/>
  <c r="L12" i="42"/>
  <c r="L13" i="42" s="1"/>
  <c r="K26" i="50"/>
  <c r="R12" i="42"/>
  <c r="R13" i="42" s="1"/>
  <c r="C26" i="50"/>
  <c r="T12" i="42"/>
  <c r="T13" i="42" s="1"/>
  <c r="V12" i="42"/>
  <c r="V13" i="42" s="1"/>
  <c r="D26" i="50"/>
  <c r="E26" i="50"/>
  <c r="X12" i="42"/>
  <c r="X13" i="42" s="1"/>
  <c r="L35" i="16"/>
  <c r="R26" i="50"/>
  <c r="R39" i="16"/>
  <c r="S261" i="51"/>
  <c r="G261" i="51"/>
  <c r="E261" i="51"/>
  <c r="C261" i="51"/>
  <c r="R32" i="16"/>
  <c r="P32" i="16"/>
  <c r="N32" i="16"/>
  <c r="L32" i="16"/>
  <c r="J32" i="16"/>
  <c r="H32" i="16"/>
  <c r="F32" i="16"/>
  <c r="D32" i="16"/>
  <c r="B32" i="16"/>
  <c r="C32" i="45"/>
  <c r="Z105" i="43" l="1"/>
  <c r="AB105" i="43"/>
  <c r="T105" i="43"/>
  <c r="AH105" i="43"/>
  <c r="V105" i="43"/>
  <c r="AD105" i="43"/>
  <c r="X105" i="43"/>
  <c r="AF105" i="43"/>
  <c r="L7" i="46"/>
  <c r="J7" i="46"/>
  <c r="F7" i="46"/>
  <c r="T7" i="46"/>
  <c r="U1" i="72" s="1"/>
  <c r="N7" i="46"/>
  <c r="R7" i="46"/>
  <c r="H7" i="46"/>
  <c r="P7" i="46"/>
  <c r="H13" i="42"/>
  <c r="J29" i="46"/>
  <c r="F26" i="50"/>
  <c r="T29" i="46"/>
  <c r="L29" i="46"/>
  <c r="P29" i="46"/>
  <c r="D29" i="46"/>
  <c r="N29" i="46"/>
  <c r="F29" i="46"/>
  <c r="R29" i="46"/>
  <c r="H29" i="46"/>
  <c r="V29" i="46"/>
  <c r="N26" i="50"/>
  <c r="Q9" i="50"/>
  <c r="Q4" i="50" s="1"/>
  <c r="V4" i="45"/>
  <c r="X3" i="45" s="1"/>
  <c r="P9" i="50"/>
  <c r="P11" i="50" s="1"/>
  <c r="P31" i="50" s="1"/>
  <c r="U4" i="45"/>
  <c r="W3" i="45" s="1"/>
  <c r="O9" i="50"/>
  <c r="O11" i="50" s="1"/>
  <c r="T4" i="45"/>
  <c r="V39" i="46"/>
  <c r="P39" i="16"/>
  <c r="X39" i="16"/>
  <c r="T39" i="46"/>
  <c r="N39" i="16"/>
  <c r="F4" i="60"/>
  <c r="F8" i="59"/>
  <c r="F7" i="59"/>
  <c r="F6" i="59"/>
  <c r="F5" i="59"/>
  <c r="F4" i="59"/>
  <c r="F3" i="58"/>
  <c r="T3" i="58" s="1"/>
  <c r="F4" i="57"/>
  <c r="Z4" i="57" s="1"/>
  <c r="F6" i="56"/>
  <c r="F5" i="56"/>
  <c r="F4" i="56"/>
  <c r="F25" i="55"/>
  <c r="F24" i="55"/>
  <c r="F23" i="55"/>
  <c r="F22" i="55"/>
  <c r="F21" i="55"/>
  <c r="F20" i="55"/>
  <c r="F19" i="55"/>
  <c r="F18" i="55"/>
  <c r="F17" i="55"/>
  <c r="F16" i="55"/>
  <c r="F15" i="55"/>
  <c r="F14" i="55"/>
  <c r="F13" i="55"/>
  <c r="F12" i="55"/>
  <c r="F11" i="55"/>
  <c r="F10" i="55"/>
  <c r="F9" i="55"/>
  <c r="F8" i="55"/>
  <c r="F7" i="55"/>
  <c r="F6" i="55"/>
  <c r="F5" i="55"/>
  <c r="F4" i="55"/>
  <c r="F3" i="55"/>
  <c r="E4" i="52"/>
  <c r="G4" i="52" s="1"/>
  <c r="G7" i="52"/>
  <c r="G6" i="52"/>
  <c r="G5" i="52"/>
  <c r="G9" i="52" s="1"/>
  <c r="Z8" i="52" s="1"/>
  <c r="G16" i="54"/>
  <c r="H16" i="54" s="1"/>
  <c r="G15" i="54"/>
  <c r="H15" i="54" s="1"/>
  <c r="G14" i="54"/>
  <c r="H14" i="54" s="1"/>
  <c r="G13" i="54"/>
  <c r="H13" i="54" s="1"/>
  <c r="G12" i="54"/>
  <c r="H12" i="54" s="1"/>
  <c r="G11" i="54"/>
  <c r="H11" i="54" s="1"/>
  <c r="G10" i="54"/>
  <c r="H10" i="54" s="1"/>
  <c r="G9" i="54"/>
  <c r="H9" i="54" s="1"/>
  <c r="G8" i="54"/>
  <c r="H8" i="54" s="1"/>
  <c r="G7" i="54"/>
  <c r="H7" i="54" s="1"/>
  <c r="G6" i="54"/>
  <c r="H6" i="54" s="1"/>
  <c r="G5" i="54"/>
  <c r="H5" i="54" s="1"/>
  <c r="G4" i="54"/>
  <c r="H4" i="54" s="1"/>
  <c r="Z7" i="53"/>
  <c r="X7" i="53"/>
  <c r="V7" i="53"/>
  <c r="T7" i="53"/>
  <c r="R7" i="53"/>
  <c r="P7" i="53"/>
  <c r="N7" i="53"/>
  <c r="L7" i="53"/>
  <c r="J7" i="53"/>
  <c r="H6" i="53"/>
  <c r="R6" i="53" s="1"/>
  <c r="Z5" i="53"/>
  <c r="X5" i="53"/>
  <c r="V5" i="53"/>
  <c r="T5" i="53"/>
  <c r="R5" i="53"/>
  <c r="P5" i="53"/>
  <c r="N5" i="53"/>
  <c r="L5" i="53"/>
  <c r="J5" i="53"/>
  <c r="Z4" i="53"/>
  <c r="X4" i="53"/>
  <c r="V4" i="53"/>
  <c r="T4" i="53"/>
  <c r="R4" i="53"/>
  <c r="P4" i="53"/>
  <c r="N4" i="53"/>
  <c r="L4" i="53"/>
  <c r="J4" i="53"/>
  <c r="B4" i="34"/>
  <c r="AE77" i="51"/>
  <c r="AE60" i="51" s="1"/>
  <c r="AE59" i="51" s="1"/>
  <c r="AC77" i="51"/>
  <c r="AC60" i="51" s="1"/>
  <c r="AC59" i="51" s="1"/>
  <c r="AA77" i="51"/>
  <c r="AA60" i="51" s="1"/>
  <c r="W77" i="51"/>
  <c r="W60" i="51" s="1"/>
  <c r="W59" i="51" s="1"/>
  <c r="U77" i="51"/>
  <c r="S77" i="51"/>
  <c r="O77" i="51"/>
  <c r="O60" i="51" s="1"/>
  <c r="O59" i="51" s="1"/>
  <c r="M77" i="51"/>
  <c r="M60" i="51" s="1"/>
  <c r="M59" i="51" s="1"/>
  <c r="K77" i="51"/>
  <c r="K60" i="51" s="1"/>
  <c r="G77" i="51"/>
  <c r="G60" i="51" s="1"/>
  <c r="G59" i="51" s="1"/>
  <c r="E77" i="51"/>
  <c r="C77" i="51"/>
  <c r="AG76" i="51"/>
  <c r="Y76" i="51"/>
  <c r="Q76" i="51"/>
  <c r="I76" i="51"/>
  <c r="AG75" i="51"/>
  <c r="Y75" i="51"/>
  <c r="Q75" i="51"/>
  <c r="I75" i="51"/>
  <c r="AG74" i="51"/>
  <c r="Y74" i="51"/>
  <c r="Q74" i="51"/>
  <c r="I74" i="51"/>
  <c r="AI74" i="51" s="1"/>
  <c r="AG73" i="51"/>
  <c r="Y73" i="51"/>
  <c r="Q73" i="51"/>
  <c r="I73" i="51"/>
  <c r="AG72" i="51"/>
  <c r="Y72" i="51"/>
  <c r="Q72" i="51"/>
  <c r="I72" i="51"/>
  <c r="AI72" i="51" s="1"/>
  <c r="AG71" i="51"/>
  <c r="Y71" i="51"/>
  <c r="Q71" i="51"/>
  <c r="I71" i="51"/>
  <c r="U60" i="51"/>
  <c r="U59" i="51" s="1"/>
  <c r="S60" i="51"/>
  <c r="S59" i="51" s="1"/>
  <c r="C60" i="51"/>
  <c r="E59" i="51"/>
  <c r="AI46" i="51"/>
  <c r="AG46" i="51"/>
  <c r="AC46" i="51"/>
  <c r="AA46" i="51"/>
  <c r="W46" i="51"/>
  <c r="U46" i="51"/>
  <c r="S46" i="51"/>
  <c r="O46" i="51"/>
  <c r="M46" i="51"/>
  <c r="K46" i="51"/>
  <c r="G46" i="51"/>
  <c r="E46" i="51"/>
  <c r="C46" i="51"/>
  <c r="C45" i="51"/>
  <c r="E11" i="51"/>
  <c r="E45" i="51" s="1"/>
  <c r="B4" i="51"/>
  <c r="Q28" i="50"/>
  <c r="P28" i="50"/>
  <c r="O28" i="50"/>
  <c r="M28" i="50"/>
  <c r="L28" i="50"/>
  <c r="K28" i="50"/>
  <c r="I28" i="50"/>
  <c r="H28" i="50"/>
  <c r="G28" i="50"/>
  <c r="E28" i="50"/>
  <c r="D28" i="50"/>
  <c r="C28" i="50"/>
  <c r="R27" i="50"/>
  <c r="N27" i="50"/>
  <c r="J27" i="50"/>
  <c r="F27" i="50"/>
  <c r="R25" i="50"/>
  <c r="N25" i="50"/>
  <c r="J25" i="50"/>
  <c r="F25" i="50"/>
  <c r="R24" i="50"/>
  <c r="N24" i="50"/>
  <c r="J24" i="50"/>
  <c r="F24" i="50"/>
  <c r="R23" i="50"/>
  <c r="N23" i="50"/>
  <c r="J23" i="50"/>
  <c r="F23" i="50"/>
  <c r="R22" i="50"/>
  <c r="N22" i="50"/>
  <c r="J22" i="50"/>
  <c r="F22" i="50"/>
  <c r="R21" i="50"/>
  <c r="N21" i="50"/>
  <c r="J21" i="50"/>
  <c r="F21" i="50"/>
  <c r="R20" i="50"/>
  <c r="N20" i="50"/>
  <c r="J20" i="50"/>
  <c r="F20" i="50"/>
  <c r="Q16" i="50"/>
  <c r="P16" i="50"/>
  <c r="O16" i="50"/>
  <c r="M16" i="50"/>
  <c r="L16" i="50"/>
  <c r="K16" i="50"/>
  <c r="I16" i="50"/>
  <c r="H16" i="50"/>
  <c r="G16" i="50"/>
  <c r="E16" i="50"/>
  <c r="D16" i="50"/>
  <c r="C16" i="50"/>
  <c r="R15" i="50"/>
  <c r="N15" i="50"/>
  <c r="J15" i="50"/>
  <c r="F15" i="50"/>
  <c r="R14" i="50"/>
  <c r="N14" i="50"/>
  <c r="J14" i="50"/>
  <c r="F14" i="50"/>
  <c r="B14" i="50"/>
  <c r="R10" i="50"/>
  <c r="R5" i="50" s="1"/>
  <c r="N10" i="50"/>
  <c r="J10" i="50"/>
  <c r="F10" i="50"/>
  <c r="B9" i="50"/>
  <c r="Q5" i="50"/>
  <c r="P5" i="50"/>
  <c r="O5" i="50"/>
  <c r="M5" i="50"/>
  <c r="L5" i="50"/>
  <c r="K5" i="50"/>
  <c r="I5" i="50"/>
  <c r="H5" i="50"/>
  <c r="G5" i="50"/>
  <c r="E5" i="50"/>
  <c r="D5" i="50"/>
  <c r="C5" i="50"/>
  <c r="R16" i="50" l="1"/>
  <c r="F16" i="50"/>
  <c r="N5" i="50"/>
  <c r="R105" i="43"/>
  <c r="AC13" i="42"/>
  <c r="K1" i="72"/>
  <c r="Q4" i="72" s="1"/>
  <c r="Q1" i="72"/>
  <c r="W4" i="72" s="1"/>
  <c r="O1" i="72"/>
  <c r="U4" i="72" s="1"/>
  <c r="I1" i="72"/>
  <c r="O4" i="72" s="1"/>
  <c r="S1" i="72"/>
  <c r="Y4" i="72" s="1"/>
  <c r="G1" i="72"/>
  <c r="M4" i="72" s="1"/>
  <c r="M1" i="72"/>
  <c r="S4" i="72" s="1"/>
  <c r="D7" i="46"/>
  <c r="S26" i="50"/>
  <c r="J39" i="16"/>
  <c r="L39" i="16"/>
  <c r="H39" i="16"/>
  <c r="F39" i="16"/>
  <c r="D39" i="16"/>
  <c r="B39" i="16"/>
  <c r="W10" i="45"/>
  <c r="V3" i="45"/>
  <c r="O4" i="50"/>
  <c r="P4" i="50"/>
  <c r="Q11" i="50"/>
  <c r="Q31" i="50" s="1"/>
  <c r="R9" i="50"/>
  <c r="R4" i="50" s="1"/>
  <c r="X10" i="45"/>
  <c r="V39" i="16"/>
  <c r="T39" i="16"/>
  <c r="P6" i="50"/>
  <c r="N28" i="50"/>
  <c r="S27" i="50"/>
  <c r="S22" i="50"/>
  <c r="S24" i="50"/>
  <c r="R28" i="50"/>
  <c r="O30" i="50"/>
  <c r="J5" i="50"/>
  <c r="J16" i="50"/>
  <c r="S20" i="50"/>
  <c r="S10" i="50"/>
  <c r="S15" i="50"/>
  <c r="N16" i="50"/>
  <c r="J28" i="50"/>
  <c r="S23" i="50"/>
  <c r="S25" i="50"/>
  <c r="P30" i="50"/>
  <c r="P32" i="50" s="1"/>
  <c r="V7" i="16"/>
  <c r="T7" i="16"/>
  <c r="F9" i="59"/>
  <c r="V3" i="58"/>
  <c r="J3" i="58"/>
  <c r="Z3" i="58"/>
  <c r="X3" i="58"/>
  <c r="L3" i="58"/>
  <c r="N3" i="58"/>
  <c r="P3" i="58"/>
  <c r="R3" i="58"/>
  <c r="F7" i="56"/>
  <c r="X7" i="56" s="1"/>
  <c r="Z7" i="56"/>
  <c r="J7" i="56"/>
  <c r="V7" i="56"/>
  <c r="P7" i="56"/>
  <c r="N7" i="56"/>
  <c r="F26" i="55"/>
  <c r="R26" i="55" s="1"/>
  <c r="T26" i="55"/>
  <c r="J26" i="55"/>
  <c r="N26" i="55"/>
  <c r="G8" i="52"/>
  <c r="V8" i="52" s="1"/>
  <c r="X8" i="52"/>
  <c r="Z12" i="54"/>
  <c r="J12" i="54"/>
  <c r="X12" i="54"/>
  <c r="R12" i="54"/>
  <c r="V12" i="54"/>
  <c r="T12" i="54"/>
  <c r="P12" i="54"/>
  <c r="N12" i="54"/>
  <c r="L12" i="54"/>
  <c r="H18" i="54"/>
  <c r="H17" i="54"/>
  <c r="T6" i="53"/>
  <c r="V6" i="53"/>
  <c r="J6" i="53"/>
  <c r="Z6" i="53"/>
  <c r="L6" i="53"/>
  <c r="N6" i="53"/>
  <c r="P6" i="53"/>
  <c r="X6" i="53"/>
  <c r="Q77" i="51"/>
  <c r="I77" i="51"/>
  <c r="Y77" i="51"/>
  <c r="AI75" i="51"/>
  <c r="Y60" i="51"/>
  <c r="AG77" i="51"/>
  <c r="G11" i="51"/>
  <c r="AG60" i="51"/>
  <c r="AA59" i="51"/>
  <c r="Y59" i="51"/>
  <c r="Q60" i="51"/>
  <c r="K59" i="51"/>
  <c r="AI76" i="51"/>
  <c r="C59" i="51"/>
  <c r="I60" i="51"/>
  <c r="AI71" i="51"/>
  <c r="AI73" i="51"/>
  <c r="F28" i="50"/>
  <c r="F5" i="50"/>
  <c r="S14" i="50"/>
  <c r="S21" i="50"/>
  <c r="O31" i="50"/>
  <c r="O6" i="50"/>
  <c r="Z26" i="55" l="1"/>
  <c r="L26" i="55"/>
  <c r="X26" i="55"/>
  <c r="E1" i="72"/>
  <c r="K4" i="72" s="1"/>
  <c r="AA4" i="72" s="1"/>
  <c r="E4" i="66" s="1"/>
  <c r="Z7" i="46"/>
  <c r="B15" i="65" s="1"/>
  <c r="D15" i="65" s="1"/>
  <c r="Q30" i="50"/>
  <c r="Q32" i="50" s="1"/>
  <c r="X7" i="16"/>
  <c r="Q6" i="50"/>
  <c r="R11" i="50"/>
  <c r="R6" i="50" s="1"/>
  <c r="O32" i="50"/>
  <c r="S28" i="50"/>
  <c r="S16" i="50"/>
  <c r="S5" i="50"/>
  <c r="R7" i="56"/>
  <c r="T7" i="56"/>
  <c r="L7" i="56"/>
  <c r="P26" i="55"/>
  <c r="V26" i="55"/>
  <c r="L8" i="52"/>
  <c r="N8" i="52"/>
  <c r="P8" i="52"/>
  <c r="J8" i="52"/>
  <c r="R8" i="52"/>
  <c r="T8" i="52"/>
  <c r="V17" i="54"/>
  <c r="T17" i="54"/>
  <c r="N17" i="54"/>
  <c r="R17" i="54"/>
  <c r="P17" i="54"/>
  <c r="L17" i="54"/>
  <c r="J17" i="54"/>
  <c r="X17" i="54"/>
  <c r="Z17" i="54"/>
  <c r="AI77" i="51"/>
  <c r="I59" i="51"/>
  <c r="AG59" i="51"/>
  <c r="G45" i="51"/>
  <c r="I11" i="51"/>
  <c r="K11" i="51" s="1"/>
  <c r="Q59" i="51"/>
  <c r="AI60" i="51"/>
  <c r="F15" i="65" l="1"/>
  <c r="F53" i="65" s="1"/>
  <c r="D53" i="65"/>
  <c r="AI59" i="51"/>
  <c r="M11" i="51"/>
  <c r="K45" i="51"/>
  <c r="O11" i="51" l="1"/>
  <c r="M45" i="51"/>
  <c r="H15" i="65" l="1"/>
  <c r="H53" i="65" s="1"/>
  <c r="O45" i="51"/>
  <c r="Q11" i="51"/>
  <c r="S11" i="51" s="1"/>
  <c r="J15" i="65" l="1"/>
  <c r="J53" i="65" s="1"/>
  <c r="S45" i="51"/>
  <c r="U11" i="51"/>
  <c r="L15" i="65" l="1"/>
  <c r="U45" i="51"/>
  <c r="W11" i="51"/>
  <c r="W45" i="51" l="1"/>
  <c r="Y11" i="51"/>
  <c r="AA11" i="51" s="1"/>
  <c r="AA45" i="51" l="1"/>
  <c r="AC11" i="51"/>
  <c r="AC45" i="51" l="1"/>
  <c r="AE11" i="51"/>
  <c r="AG11" i="51" l="1"/>
  <c r="AE45" i="51"/>
  <c r="AG45" i="51"/>
  <c r="AI11" i="51"/>
  <c r="AI45" i="51" s="1"/>
  <c r="A1" i="48" l="1"/>
  <c r="B99" i="48"/>
  <c r="D99" i="48" s="1"/>
  <c r="F99" i="48" s="1"/>
  <c r="H99" i="48" s="1"/>
  <c r="AD88" i="48"/>
  <c r="AB87" i="48"/>
  <c r="AD84" i="48"/>
  <c r="AB82" i="48"/>
  <c r="AB81" i="48"/>
  <c r="AB80" i="48"/>
  <c r="AB79" i="48"/>
  <c r="AB78" i="48"/>
  <c r="AB77" i="48"/>
  <c r="AB76" i="48"/>
  <c r="AD75" i="48"/>
  <c r="AD74" i="48"/>
  <c r="AD73" i="48"/>
  <c r="AD71" i="48"/>
  <c r="AB70" i="48"/>
  <c r="AB69" i="48"/>
  <c r="AB68" i="48"/>
  <c r="AB67" i="48"/>
  <c r="AB66" i="48"/>
  <c r="AB65" i="48"/>
  <c r="AB64" i="48"/>
  <c r="AB63" i="48"/>
  <c r="AB62" i="48"/>
  <c r="AB61" i="48"/>
  <c r="AB60" i="48"/>
  <c r="AB59" i="48"/>
  <c r="AB58" i="48"/>
  <c r="AB57" i="48"/>
  <c r="AB56" i="48"/>
  <c r="AB55" i="48"/>
  <c r="AB54" i="48"/>
  <c r="AB53" i="48"/>
  <c r="AD48" i="48"/>
  <c r="AD15" i="48"/>
  <c r="AD14" i="48"/>
  <c r="AD12" i="48"/>
  <c r="AF7" i="48"/>
  <c r="AB4" i="48"/>
  <c r="D4" i="48"/>
  <c r="F4" i="48" s="1"/>
  <c r="H4" i="48" s="1"/>
  <c r="J4" i="48" s="1"/>
  <c r="L4" i="48" s="1"/>
  <c r="N4" i="48" s="1"/>
  <c r="P4" i="48" s="1"/>
  <c r="R4" i="48" s="1"/>
  <c r="T4" i="48" s="1"/>
  <c r="V4" i="48" s="1"/>
  <c r="X4" i="48" s="1"/>
  <c r="Z4" i="48" s="1"/>
  <c r="A2" i="48"/>
  <c r="Z47" i="46"/>
  <c r="B55" i="65" s="1"/>
  <c r="Z46" i="46"/>
  <c r="B54" i="65" s="1"/>
  <c r="Z44" i="46"/>
  <c r="B52" i="65" s="1"/>
  <c r="Z43" i="46"/>
  <c r="B51" i="65" s="1"/>
  <c r="Z41" i="46"/>
  <c r="B49" i="65" s="1"/>
  <c r="Z38" i="46"/>
  <c r="B46" i="65" s="1"/>
  <c r="Z34" i="46"/>
  <c r="B42" i="65" s="1"/>
  <c r="Z32" i="46"/>
  <c r="B40" i="65" s="1"/>
  <c r="Z30" i="46"/>
  <c r="B38" i="65" s="1"/>
  <c r="Z28" i="46"/>
  <c r="B36" i="65" s="1"/>
  <c r="Z27" i="46"/>
  <c r="B35" i="65" s="1"/>
  <c r="Z25" i="46"/>
  <c r="B33" i="65" s="1"/>
  <c r="Z24" i="46"/>
  <c r="B32" i="65" s="1"/>
  <c r="Z23" i="46"/>
  <c r="B31" i="65" s="1"/>
  <c r="Z22" i="46"/>
  <c r="B30" i="65" s="1"/>
  <c r="Z21" i="46"/>
  <c r="B29" i="65" s="1"/>
  <c r="Z18" i="46"/>
  <c r="B26" i="65" s="1"/>
  <c r="Z12" i="46"/>
  <c r="R11" i="46"/>
  <c r="Z11" i="46" s="1"/>
  <c r="B19" i="65" s="1"/>
  <c r="Z10" i="46"/>
  <c r="B18" i="65" s="1"/>
  <c r="Z9" i="46"/>
  <c r="B17" i="65" s="1"/>
  <c r="Z8" i="46"/>
  <c r="B16" i="65" s="1"/>
  <c r="X4" i="46"/>
  <c r="Z4" i="46" s="1"/>
  <c r="X1" i="46"/>
  <c r="V1" i="46"/>
  <c r="T1" i="46"/>
  <c r="R1" i="46"/>
  <c r="P1" i="46"/>
  <c r="N1" i="46"/>
  <c r="L1" i="46"/>
  <c r="J1" i="46"/>
  <c r="H1" i="46"/>
  <c r="F1" i="46"/>
  <c r="N105" i="45"/>
  <c r="H105" i="45"/>
  <c r="N104" i="45"/>
  <c r="H104" i="45"/>
  <c r="B76" i="45"/>
  <c r="B75" i="45"/>
  <c r="B74" i="45"/>
  <c r="M73" i="45"/>
  <c r="M108" i="45" s="1"/>
  <c r="L73" i="45"/>
  <c r="L108" i="45" s="1"/>
  <c r="K73" i="45"/>
  <c r="J73" i="45"/>
  <c r="G73" i="45"/>
  <c r="G108" i="45" s="1"/>
  <c r="F73" i="45"/>
  <c r="E73" i="45"/>
  <c r="D73" i="45"/>
  <c r="B73" i="45"/>
  <c r="M72" i="45"/>
  <c r="L72" i="45"/>
  <c r="K72" i="45"/>
  <c r="J72" i="45"/>
  <c r="G72" i="45"/>
  <c r="F72" i="45"/>
  <c r="E72" i="45"/>
  <c r="D72" i="45"/>
  <c r="B72" i="45"/>
  <c r="M71" i="45"/>
  <c r="M101" i="45" s="1"/>
  <c r="L71" i="45"/>
  <c r="L101" i="45" s="1"/>
  <c r="K71" i="45"/>
  <c r="K101" i="45" s="1"/>
  <c r="J71" i="45"/>
  <c r="G71" i="45"/>
  <c r="G101" i="45" s="1"/>
  <c r="F71" i="45"/>
  <c r="F101" i="45" s="1"/>
  <c r="E71" i="45"/>
  <c r="E101" i="45" s="1"/>
  <c r="D71" i="45"/>
  <c r="B71" i="45"/>
  <c r="M70" i="45"/>
  <c r="M102" i="45" s="1"/>
  <c r="L70" i="45"/>
  <c r="L102" i="45" s="1"/>
  <c r="K70" i="45"/>
  <c r="K102" i="45" s="1"/>
  <c r="J70" i="45"/>
  <c r="G70" i="45"/>
  <c r="G102" i="45" s="1"/>
  <c r="F70" i="45"/>
  <c r="F102" i="45" s="1"/>
  <c r="E70" i="45"/>
  <c r="E102" i="45" s="1"/>
  <c r="D70" i="45"/>
  <c r="D102" i="45" s="1"/>
  <c r="B70" i="45"/>
  <c r="D69" i="45"/>
  <c r="B69" i="45"/>
  <c r="B68" i="45"/>
  <c r="M67" i="45"/>
  <c r="L67" i="45"/>
  <c r="K67" i="45"/>
  <c r="J67" i="45"/>
  <c r="G67" i="45"/>
  <c r="F67" i="45"/>
  <c r="E67" i="45"/>
  <c r="D67" i="45"/>
  <c r="B67" i="45"/>
  <c r="B66" i="45"/>
  <c r="M65" i="45"/>
  <c r="M103" i="45" s="1"/>
  <c r="L65" i="45"/>
  <c r="L103" i="45" s="1"/>
  <c r="K65" i="45"/>
  <c r="K103" i="45" s="1"/>
  <c r="J65" i="45"/>
  <c r="J103" i="45" s="1"/>
  <c r="G65" i="45"/>
  <c r="G103" i="45" s="1"/>
  <c r="F65" i="45"/>
  <c r="F103" i="45" s="1"/>
  <c r="E65" i="45"/>
  <c r="E103" i="45" s="1"/>
  <c r="D65" i="45"/>
  <c r="D103" i="45" s="1"/>
  <c r="B65" i="45"/>
  <c r="M64" i="45"/>
  <c r="L64" i="45"/>
  <c r="K64" i="45"/>
  <c r="J64" i="45"/>
  <c r="G64" i="45"/>
  <c r="F64" i="45"/>
  <c r="E64" i="45"/>
  <c r="D64" i="45"/>
  <c r="B64" i="45"/>
  <c r="M63" i="45"/>
  <c r="L63" i="45"/>
  <c r="K63" i="45"/>
  <c r="J63" i="45"/>
  <c r="G63" i="45"/>
  <c r="F63" i="45"/>
  <c r="E63" i="45"/>
  <c r="D63" i="45"/>
  <c r="M62" i="45"/>
  <c r="L62" i="45"/>
  <c r="K62" i="45"/>
  <c r="J62" i="45"/>
  <c r="G62" i="45"/>
  <c r="F62" i="45"/>
  <c r="E62" i="45"/>
  <c r="D62" i="45"/>
  <c r="M61" i="45"/>
  <c r="L61" i="45"/>
  <c r="K61" i="45"/>
  <c r="J61" i="45"/>
  <c r="G61" i="45"/>
  <c r="F61" i="45"/>
  <c r="E61" i="45"/>
  <c r="D61" i="45"/>
  <c r="B61" i="45"/>
  <c r="M60" i="45"/>
  <c r="L60" i="45"/>
  <c r="K60" i="45"/>
  <c r="J60" i="45"/>
  <c r="G60" i="45"/>
  <c r="F60" i="45"/>
  <c r="E60" i="45"/>
  <c r="D60" i="45"/>
  <c r="B60" i="45"/>
  <c r="M59" i="45"/>
  <c r="L59" i="45"/>
  <c r="K59" i="45"/>
  <c r="J59" i="45"/>
  <c r="G59" i="45"/>
  <c r="F59" i="45"/>
  <c r="E59" i="45"/>
  <c r="D59" i="45"/>
  <c r="M58" i="45"/>
  <c r="L58" i="45"/>
  <c r="K58" i="45"/>
  <c r="J58" i="45"/>
  <c r="G58" i="45"/>
  <c r="F58" i="45"/>
  <c r="E58" i="45"/>
  <c r="D58" i="45"/>
  <c r="B58" i="45"/>
  <c r="B57" i="45"/>
  <c r="B56" i="45"/>
  <c r="B55" i="45"/>
  <c r="E54" i="45"/>
  <c r="D54" i="45"/>
  <c r="B54" i="45"/>
  <c r="B94" i="45" s="1"/>
  <c r="M53" i="45"/>
  <c r="M93" i="45" s="1"/>
  <c r="L53" i="45"/>
  <c r="L93" i="45" s="1"/>
  <c r="K53" i="45"/>
  <c r="K93" i="45" s="1"/>
  <c r="J53" i="45"/>
  <c r="J93" i="45" s="1"/>
  <c r="G53" i="45"/>
  <c r="G93" i="45" s="1"/>
  <c r="F53" i="45"/>
  <c r="F93" i="45" s="1"/>
  <c r="E53" i="45"/>
  <c r="E93" i="45" s="1"/>
  <c r="D53" i="45"/>
  <c r="B53" i="45"/>
  <c r="B93" i="45" s="1"/>
  <c r="M52" i="45"/>
  <c r="M92" i="45" s="1"/>
  <c r="L52" i="45"/>
  <c r="L92" i="45" s="1"/>
  <c r="K52" i="45"/>
  <c r="K92" i="45" s="1"/>
  <c r="J52" i="45"/>
  <c r="J92" i="45" s="1"/>
  <c r="G52" i="45"/>
  <c r="G92" i="45" s="1"/>
  <c r="F52" i="45"/>
  <c r="F92" i="45" s="1"/>
  <c r="E52" i="45"/>
  <c r="E92" i="45" s="1"/>
  <c r="D52" i="45"/>
  <c r="D92" i="45" s="1"/>
  <c r="B52" i="45"/>
  <c r="B92" i="45" s="1"/>
  <c r="M51" i="45"/>
  <c r="M91" i="45" s="1"/>
  <c r="L51" i="45"/>
  <c r="L91" i="45" s="1"/>
  <c r="K51" i="45"/>
  <c r="K91" i="45" s="1"/>
  <c r="J51" i="45"/>
  <c r="G51" i="45"/>
  <c r="G91" i="45" s="1"/>
  <c r="F51" i="45"/>
  <c r="F91" i="45" s="1"/>
  <c r="E51" i="45"/>
  <c r="E91" i="45" s="1"/>
  <c r="D51" i="45"/>
  <c r="D91" i="45" s="1"/>
  <c r="B51" i="45"/>
  <c r="B91" i="45" s="1"/>
  <c r="M50" i="45"/>
  <c r="M90" i="45" s="1"/>
  <c r="L50" i="45"/>
  <c r="L90" i="45" s="1"/>
  <c r="K50" i="45"/>
  <c r="K90" i="45" s="1"/>
  <c r="J50" i="45"/>
  <c r="J90" i="45" s="1"/>
  <c r="G50" i="45"/>
  <c r="G90" i="45" s="1"/>
  <c r="F50" i="45"/>
  <c r="F90" i="45" s="1"/>
  <c r="E50" i="45"/>
  <c r="E90" i="45" s="1"/>
  <c r="D50" i="45"/>
  <c r="B50" i="45"/>
  <c r="B90" i="45" s="1"/>
  <c r="E49" i="45"/>
  <c r="E89" i="45" s="1"/>
  <c r="D49" i="45"/>
  <c r="D89" i="45" s="1"/>
  <c r="B49" i="45"/>
  <c r="B89" i="45" s="1"/>
  <c r="F16" i="45"/>
  <c r="E16" i="45"/>
  <c r="D16" i="45"/>
  <c r="C16" i="45"/>
  <c r="F54" i="45"/>
  <c r="C8" i="45"/>
  <c r="A1" i="16"/>
  <c r="C12" i="33" l="1"/>
  <c r="D55" i="65"/>
  <c r="D40" i="65"/>
  <c r="F40" i="65" s="1"/>
  <c r="H40" i="65" s="1"/>
  <c r="J40" i="65" s="1"/>
  <c r="E12" i="33"/>
  <c r="H30" i="65"/>
  <c r="F30" i="65"/>
  <c r="D30" i="65"/>
  <c r="J30" i="65"/>
  <c r="F42" i="65"/>
  <c r="H42" i="65"/>
  <c r="D42" i="65"/>
  <c r="J42" i="65"/>
  <c r="J46" i="65"/>
  <c r="F46" i="65"/>
  <c r="H46" i="65"/>
  <c r="D46" i="65"/>
  <c r="D17" i="65"/>
  <c r="F17" i="65"/>
  <c r="J17" i="65"/>
  <c r="H17" i="65"/>
  <c r="H32" i="65"/>
  <c r="D32" i="65"/>
  <c r="J32" i="65"/>
  <c r="F32" i="65"/>
  <c r="D49" i="65"/>
  <c r="H49" i="65"/>
  <c r="J49" i="65"/>
  <c r="F49" i="65"/>
  <c r="D51" i="65"/>
  <c r="F31" i="65"/>
  <c r="J31" i="65"/>
  <c r="H31" i="65"/>
  <c r="D31" i="65"/>
  <c r="D19" i="65"/>
  <c r="F19" i="65"/>
  <c r="H19" i="65"/>
  <c r="J19" i="65"/>
  <c r="J35" i="65"/>
  <c r="H35" i="65"/>
  <c r="F35" i="65"/>
  <c r="D35" i="65"/>
  <c r="J52" i="65"/>
  <c r="D52" i="65"/>
  <c r="H52" i="65"/>
  <c r="F52" i="65"/>
  <c r="H29" i="65"/>
  <c r="D29" i="65"/>
  <c r="J29" i="65"/>
  <c r="F29" i="65"/>
  <c r="D18" i="65"/>
  <c r="F18" i="65"/>
  <c r="H18" i="65"/>
  <c r="J18" i="65"/>
  <c r="H36" i="65"/>
  <c r="F36" i="65"/>
  <c r="J36" i="65"/>
  <c r="D36" i="65"/>
  <c r="F54" i="65"/>
  <c r="D54" i="65"/>
  <c r="J54" i="65"/>
  <c r="H54" i="65"/>
  <c r="F16" i="65"/>
  <c r="D16" i="65"/>
  <c r="H16" i="65"/>
  <c r="J16" i="65"/>
  <c r="B21" i="65"/>
  <c r="J33" i="65"/>
  <c r="H33" i="65"/>
  <c r="F33" i="65"/>
  <c r="D33" i="65"/>
  <c r="D26" i="65"/>
  <c r="F26" i="65"/>
  <c r="H26" i="65"/>
  <c r="J26" i="65"/>
  <c r="J38" i="65"/>
  <c r="F38" i="65"/>
  <c r="H38" i="65"/>
  <c r="D38" i="65"/>
  <c r="R16" i="46"/>
  <c r="J16" i="46"/>
  <c r="L16" i="46"/>
  <c r="X19" i="46"/>
  <c r="X20" i="46" s="1"/>
  <c r="P19" i="46"/>
  <c r="P20" i="46" s="1"/>
  <c r="H19" i="46"/>
  <c r="H20" i="46" s="1"/>
  <c r="T16" i="46"/>
  <c r="X16" i="46"/>
  <c r="P16" i="46"/>
  <c r="H16" i="46"/>
  <c r="T19" i="46"/>
  <c r="T20" i="46" s="1"/>
  <c r="J19" i="46"/>
  <c r="J20" i="46" s="1"/>
  <c r="V19" i="46"/>
  <c r="V20" i="46" s="1"/>
  <c r="N19" i="46"/>
  <c r="N20" i="46" s="1"/>
  <c r="F19" i="46"/>
  <c r="F20" i="46" s="1"/>
  <c r="L19" i="46"/>
  <c r="L20" i="46" s="1"/>
  <c r="V16" i="46"/>
  <c r="N16" i="46"/>
  <c r="D19" i="46"/>
  <c r="D20" i="46" s="1"/>
  <c r="R19" i="46"/>
  <c r="R20" i="46" s="1"/>
  <c r="D99" i="45"/>
  <c r="F100" i="45"/>
  <c r="L99" i="45"/>
  <c r="F99" i="45"/>
  <c r="K100" i="45"/>
  <c r="H51" i="45"/>
  <c r="N59" i="45"/>
  <c r="G99" i="45"/>
  <c r="H103" i="45"/>
  <c r="H73" i="45"/>
  <c r="H50" i="45"/>
  <c r="N51" i="45"/>
  <c r="H60" i="45"/>
  <c r="H63" i="45"/>
  <c r="J99" i="45"/>
  <c r="N70" i="45"/>
  <c r="E100" i="45"/>
  <c r="N63" i="45"/>
  <c r="H64" i="45"/>
  <c r="N62" i="45"/>
  <c r="N72" i="45"/>
  <c r="J91" i="45"/>
  <c r="N91" i="45" s="1"/>
  <c r="H72" i="45"/>
  <c r="H53" i="45"/>
  <c r="M99" i="45"/>
  <c r="N64" i="45"/>
  <c r="N71" i="45"/>
  <c r="L100" i="45"/>
  <c r="F108" i="45"/>
  <c r="H108" i="45" s="1"/>
  <c r="J101" i="45"/>
  <c r="N101" i="45" s="1"/>
  <c r="N103" i="45"/>
  <c r="N93" i="45"/>
  <c r="J100" i="45"/>
  <c r="D90" i="45"/>
  <c r="D93" i="45"/>
  <c r="H93" i="45" s="1"/>
  <c r="H59" i="45"/>
  <c r="D55" i="45"/>
  <c r="E99" i="45"/>
  <c r="G100" i="45"/>
  <c r="H67" i="45"/>
  <c r="N52" i="45"/>
  <c r="H61" i="45"/>
  <c r="H71" i="45"/>
  <c r="N73" i="45"/>
  <c r="N90" i="45"/>
  <c r="K99" i="45"/>
  <c r="N61" i="45"/>
  <c r="H65" i="45"/>
  <c r="N65" i="45"/>
  <c r="N108" i="45"/>
  <c r="AB72" i="48"/>
  <c r="J99" i="48"/>
  <c r="AB83" i="48"/>
  <c r="H75" i="45"/>
  <c r="N75" i="45"/>
  <c r="N67" i="45"/>
  <c r="E95" i="45"/>
  <c r="N92" i="45"/>
  <c r="H102" i="45"/>
  <c r="H91" i="45"/>
  <c r="F94" i="45"/>
  <c r="H92" i="45"/>
  <c r="N50" i="45"/>
  <c r="H70" i="45"/>
  <c r="D100" i="45"/>
  <c r="M100" i="45"/>
  <c r="H52" i="45"/>
  <c r="N53" i="45"/>
  <c r="N60" i="45"/>
  <c r="H62" i="45"/>
  <c r="J102" i="45"/>
  <c r="N102" i="45" s="1"/>
  <c r="D101" i="45"/>
  <c r="H101" i="45" s="1"/>
  <c r="N58" i="45"/>
  <c r="E55" i="45"/>
  <c r="H58" i="45"/>
  <c r="H15" i="45"/>
  <c r="AI46" i="34"/>
  <c r="AG46" i="34"/>
  <c r="AC46" i="34"/>
  <c r="AA46" i="34"/>
  <c r="W46" i="34"/>
  <c r="U46" i="34"/>
  <c r="S46" i="34"/>
  <c r="O46" i="34"/>
  <c r="M46" i="34"/>
  <c r="K46" i="34"/>
  <c r="G46" i="34"/>
  <c r="E46" i="34"/>
  <c r="C45" i="34"/>
  <c r="C46" i="34"/>
  <c r="S4" i="45"/>
  <c r="U3" i="45" s="1"/>
  <c r="F55" i="65" l="1"/>
  <c r="G12" i="33" s="1"/>
  <c r="F21" i="65"/>
  <c r="L29" i="65"/>
  <c r="L33" i="65"/>
  <c r="L36" i="65"/>
  <c r="L46" i="65"/>
  <c r="L30" i="65"/>
  <c r="C55" i="65"/>
  <c r="C7" i="33"/>
  <c r="L49" i="65"/>
  <c r="L19" i="65"/>
  <c r="L18" i="65"/>
  <c r="L31" i="65"/>
  <c r="J21" i="65"/>
  <c r="K53" i="65" s="1"/>
  <c r="L17" i="65"/>
  <c r="L38" i="65"/>
  <c r="L16" i="65"/>
  <c r="H21" i="65"/>
  <c r="D21" i="65"/>
  <c r="L51" i="65"/>
  <c r="L52" i="65"/>
  <c r="L26" i="65"/>
  <c r="L54" i="65"/>
  <c r="L35" i="65"/>
  <c r="K17" i="65"/>
  <c r="L42" i="65"/>
  <c r="L32" i="65"/>
  <c r="L40" i="65"/>
  <c r="T17" i="46"/>
  <c r="F17" i="46"/>
  <c r="N17" i="46"/>
  <c r="V17" i="46"/>
  <c r="H17" i="46"/>
  <c r="D17" i="46"/>
  <c r="P17" i="46"/>
  <c r="L17" i="46"/>
  <c r="X17" i="46"/>
  <c r="J17" i="46"/>
  <c r="R17" i="46"/>
  <c r="Z19" i="46"/>
  <c r="B27" i="65" s="1"/>
  <c r="H99" i="45"/>
  <c r="H100" i="45"/>
  <c r="D95" i="45"/>
  <c r="N99" i="45"/>
  <c r="H90" i="45"/>
  <c r="L99" i="48"/>
  <c r="N100" i="45"/>
  <c r="I15" i="45"/>
  <c r="D27" i="65" l="1"/>
  <c r="F27" i="65" s="1"/>
  <c r="H27" i="65" s="1"/>
  <c r="J27" i="65" s="1"/>
  <c r="K7" i="33"/>
  <c r="I7" i="33"/>
  <c r="G7" i="33"/>
  <c r="H28" i="33" s="1"/>
  <c r="E7" i="33"/>
  <c r="H55" i="65"/>
  <c r="G42" i="65"/>
  <c r="I4" i="66"/>
  <c r="G36" i="65"/>
  <c r="G49" i="65"/>
  <c r="G15" i="65"/>
  <c r="G21" i="65"/>
  <c r="G30" i="65"/>
  <c r="G52" i="65"/>
  <c r="G29" i="65"/>
  <c r="G26" i="65"/>
  <c r="G46" i="65"/>
  <c r="G33" i="65"/>
  <c r="G31" i="65"/>
  <c r="G35" i="65"/>
  <c r="G40" i="65"/>
  <c r="G51" i="65"/>
  <c r="F63" i="65"/>
  <c r="G58" i="65"/>
  <c r="G38" i="65"/>
  <c r="G32" i="65"/>
  <c r="G54" i="65"/>
  <c r="G55" i="65"/>
  <c r="J63" i="65"/>
  <c r="K18" i="33" s="1"/>
  <c r="G4" i="66"/>
  <c r="L21" i="65"/>
  <c r="K15" i="65"/>
  <c r="M4" i="66"/>
  <c r="K21" i="65"/>
  <c r="K54" i="65"/>
  <c r="E54" i="65"/>
  <c r="E32" i="65"/>
  <c r="K29" i="65"/>
  <c r="K26" i="65"/>
  <c r="K42" i="65"/>
  <c r="E35" i="65"/>
  <c r="E51" i="65"/>
  <c r="K46" i="65"/>
  <c r="I49" i="65"/>
  <c r="I36" i="65"/>
  <c r="I54" i="65"/>
  <c r="I33" i="65"/>
  <c r="I30" i="65"/>
  <c r="K33" i="65"/>
  <c r="E29" i="65"/>
  <c r="E55" i="65"/>
  <c r="E26" i="65"/>
  <c r="E38" i="65"/>
  <c r="E30" i="65"/>
  <c r="I40" i="65"/>
  <c r="K35" i="65"/>
  <c r="K30" i="65"/>
  <c r="K36" i="65"/>
  <c r="K49" i="65"/>
  <c r="I52" i="65"/>
  <c r="E31" i="65"/>
  <c r="E46" i="65"/>
  <c r="K31" i="65"/>
  <c r="K51" i="65"/>
  <c r="I26" i="65"/>
  <c r="I35" i="65"/>
  <c r="I29" i="65"/>
  <c r="I38" i="65"/>
  <c r="E52" i="65"/>
  <c r="K40" i="65"/>
  <c r="E36" i="65"/>
  <c r="I32" i="65"/>
  <c r="I31" i="65"/>
  <c r="I51" i="65"/>
  <c r="E40" i="65"/>
  <c r="E58" i="65"/>
  <c r="D63" i="65"/>
  <c r="E21" i="65"/>
  <c r="E15" i="65"/>
  <c r="H63" i="65"/>
  <c r="I21" i="65"/>
  <c r="K58" i="65"/>
  <c r="K4" i="66"/>
  <c r="I58" i="65"/>
  <c r="I15" i="65"/>
  <c r="I42" i="65"/>
  <c r="E49" i="65"/>
  <c r="K52" i="65"/>
  <c r="K38" i="65"/>
  <c r="E33" i="65"/>
  <c r="I46" i="65"/>
  <c r="K32" i="65"/>
  <c r="E42" i="65"/>
  <c r="I27" i="65"/>
  <c r="G27" i="65"/>
  <c r="E27" i="65"/>
  <c r="K27" i="65"/>
  <c r="Z20" i="46"/>
  <c r="B28" i="65" s="1"/>
  <c r="D28" i="65" s="1"/>
  <c r="F28" i="65" s="1"/>
  <c r="H28" i="65" s="1"/>
  <c r="J28" i="65" s="1"/>
  <c r="N99" i="48"/>
  <c r="J15" i="45"/>
  <c r="I55" i="65" l="1"/>
  <c r="I12" i="33"/>
  <c r="I21" i="33"/>
  <c r="J21" i="33" s="1"/>
  <c r="I18" i="33"/>
  <c r="J18" i="33" s="1"/>
  <c r="G21" i="33"/>
  <c r="H21" i="33" s="1"/>
  <c r="G18" i="33"/>
  <c r="H18" i="33" s="1"/>
  <c r="E21" i="33"/>
  <c r="E18" i="33"/>
  <c r="H29" i="33"/>
  <c r="H11" i="33"/>
  <c r="H27" i="33"/>
  <c r="H25" i="33"/>
  <c r="J55" i="65"/>
  <c r="M52" i="65"/>
  <c r="O4" i="66"/>
  <c r="G63" i="65"/>
  <c r="I7" i="66"/>
  <c r="M7" i="66"/>
  <c r="K21" i="33"/>
  <c r="L21" i="33" s="1"/>
  <c r="K63" i="65"/>
  <c r="L29" i="33"/>
  <c r="L11" i="33"/>
  <c r="L18" i="33"/>
  <c r="L25" i="33"/>
  <c r="L27" i="33"/>
  <c r="L28" i="33"/>
  <c r="J27" i="33"/>
  <c r="J11" i="33"/>
  <c r="J25" i="33"/>
  <c r="J29" i="33"/>
  <c r="J28" i="33"/>
  <c r="M46" i="65"/>
  <c r="M30" i="65"/>
  <c r="M15" i="65"/>
  <c r="M35" i="65"/>
  <c r="M20" i="65"/>
  <c r="M18" i="65"/>
  <c r="L63" i="65"/>
  <c r="M63" i="65" s="1"/>
  <c r="M31" i="65"/>
  <c r="M36" i="65"/>
  <c r="M58" i="65"/>
  <c r="M17" i="65"/>
  <c r="M16" i="65"/>
  <c r="M42" i="65"/>
  <c r="M51" i="65"/>
  <c r="M19" i="65"/>
  <c r="M32" i="65"/>
  <c r="M49" i="65"/>
  <c r="M29" i="65"/>
  <c r="M33" i="65"/>
  <c r="M38" i="65"/>
  <c r="M26" i="65"/>
  <c r="M54" i="65"/>
  <c r="M40" i="65"/>
  <c r="E63" i="65"/>
  <c r="G7" i="66"/>
  <c r="K7" i="66"/>
  <c r="I63" i="65"/>
  <c r="G28" i="65"/>
  <c r="E28" i="65"/>
  <c r="I28" i="65"/>
  <c r="K28" i="65"/>
  <c r="L27" i="65"/>
  <c r="M27" i="65" s="1"/>
  <c r="P99" i="48"/>
  <c r="K15" i="45"/>
  <c r="G54" i="45"/>
  <c r="L55" i="65" l="1"/>
  <c r="M55" i="65" s="1"/>
  <c r="K12" i="33"/>
  <c r="K55" i="65"/>
  <c r="L28" i="65"/>
  <c r="M28" i="65" s="1"/>
  <c r="R99" i="48"/>
  <c r="G94" i="45"/>
  <c r="H54" i="45"/>
  <c r="L15" i="45"/>
  <c r="P39" i="46" l="1"/>
  <c r="R39" i="46"/>
  <c r="T99" i="48"/>
  <c r="M15" i="45"/>
  <c r="H94" i="45"/>
  <c r="V99" i="48" l="1"/>
  <c r="N15" i="45"/>
  <c r="J54" i="45"/>
  <c r="X99" i="48" l="1"/>
  <c r="J94" i="45"/>
  <c r="O15" i="45"/>
  <c r="Z99" i="48" l="1"/>
  <c r="P15" i="45"/>
  <c r="Q15" i="45" l="1"/>
  <c r="K54" i="45"/>
  <c r="K94" i="45" l="1"/>
  <c r="R15" i="45"/>
  <c r="S15" i="45" l="1"/>
  <c r="T15" i="45" l="1"/>
  <c r="L54" i="45"/>
  <c r="L94" i="45" l="1"/>
  <c r="U15" i="45"/>
  <c r="V15" i="45" l="1"/>
  <c r="W15" i="45" s="1"/>
  <c r="X15" i="45" l="1"/>
  <c r="X16" i="45" s="1"/>
  <c r="W16" i="45"/>
  <c r="M54" i="45"/>
  <c r="M94" i="45" l="1"/>
  <c r="N54" i="45"/>
  <c r="J98" i="43"/>
  <c r="J79" i="43"/>
  <c r="J76" i="43"/>
  <c r="J71" i="43"/>
  <c r="J59" i="43"/>
  <c r="K43" i="43"/>
  <c r="R4" i="45"/>
  <c r="T3" i="45" s="1"/>
  <c r="P76" i="43" l="1"/>
  <c r="P71" i="43"/>
  <c r="B36" i="46" s="1"/>
  <c r="N39" i="46"/>
  <c r="F39" i="46"/>
  <c r="H39" i="46"/>
  <c r="J39" i="46"/>
  <c r="L39" i="46"/>
  <c r="P79" i="43"/>
  <c r="B40" i="46" s="1"/>
  <c r="V40" i="46"/>
  <c r="T40" i="46"/>
  <c r="V35" i="16"/>
  <c r="X35" i="16"/>
  <c r="T36" i="16"/>
  <c r="V36" i="16"/>
  <c r="J60" i="43"/>
  <c r="AL60" i="43" s="1"/>
  <c r="J36" i="16"/>
  <c r="H36" i="16"/>
  <c r="R36" i="16"/>
  <c r="N36" i="16"/>
  <c r="L36" i="16"/>
  <c r="P36" i="16"/>
  <c r="P36" i="46"/>
  <c r="N94" i="45"/>
  <c r="L40" i="46"/>
  <c r="N40" i="46"/>
  <c r="R40" i="46"/>
  <c r="P40" i="46"/>
  <c r="D40" i="46"/>
  <c r="F40" i="46"/>
  <c r="H40" i="46"/>
  <c r="J40" i="46"/>
  <c r="L36" i="46"/>
  <c r="N36" i="46"/>
  <c r="F36" i="46"/>
  <c r="D36" i="46"/>
  <c r="X37" i="46" l="1"/>
  <c r="X33" i="46"/>
  <c r="B37" i="46"/>
  <c r="J36" i="46"/>
  <c r="D36" i="16"/>
  <c r="D36" i="4" s="1"/>
  <c r="D136" i="4" s="1"/>
  <c r="T36" i="46"/>
  <c r="Z39" i="46"/>
  <c r="B47" i="65" s="1"/>
  <c r="H36" i="46"/>
  <c r="F36" i="16"/>
  <c r="F36" i="4" s="1"/>
  <c r="F136" i="4" s="1"/>
  <c r="V36" i="46"/>
  <c r="Z40" i="46"/>
  <c r="B48" i="65" s="1"/>
  <c r="B36" i="16"/>
  <c r="B36" i="41" s="1"/>
  <c r="R36" i="46"/>
  <c r="P60" i="43"/>
  <c r="B33" i="46" s="1"/>
  <c r="P37" i="46"/>
  <c r="N37" i="46"/>
  <c r="L37" i="46"/>
  <c r="V37" i="46"/>
  <c r="T37" i="46"/>
  <c r="R37" i="46"/>
  <c r="J37" i="46"/>
  <c r="D37" i="46"/>
  <c r="F37" i="46"/>
  <c r="J35" i="16"/>
  <c r="J35" i="4" s="1"/>
  <c r="N37" i="16"/>
  <c r="J37" i="16"/>
  <c r="J37" i="4" s="1"/>
  <c r="AB60" i="43"/>
  <c r="T33" i="16"/>
  <c r="X33" i="16"/>
  <c r="AB33" i="41" s="1"/>
  <c r="V33" i="16"/>
  <c r="V33" i="4" s="1"/>
  <c r="V134" i="4" s="1"/>
  <c r="J31" i="16"/>
  <c r="L31" i="41" s="1"/>
  <c r="V31" i="16"/>
  <c r="V31" i="4" s="1"/>
  <c r="N31" i="16"/>
  <c r="L31" i="16"/>
  <c r="X31" i="16"/>
  <c r="H31" i="16"/>
  <c r="H31" i="4" s="1"/>
  <c r="T31" i="16"/>
  <c r="R31" i="16"/>
  <c r="V31" i="41" s="1"/>
  <c r="V126" i="41" s="1"/>
  <c r="P31" i="16"/>
  <c r="P31" i="4" s="1"/>
  <c r="P132" i="4" s="1"/>
  <c r="S29" i="45"/>
  <c r="L9" i="50"/>
  <c r="L4" i="50" s="1"/>
  <c r="M9" i="50"/>
  <c r="L33" i="16"/>
  <c r="L33" i="4" s="1"/>
  <c r="J33" i="16"/>
  <c r="J33" i="4" s="1"/>
  <c r="H33" i="16"/>
  <c r="H33" i="4" s="1"/>
  <c r="H134" i="4" s="1"/>
  <c r="AJ60" i="43"/>
  <c r="AH60" i="43"/>
  <c r="P33" i="16"/>
  <c r="P33" i="4" s="1"/>
  <c r="P134" i="4" s="1"/>
  <c r="R33" i="16"/>
  <c r="R33" i="4" s="1"/>
  <c r="R134" i="4" s="1"/>
  <c r="N33" i="16"/>
  <c r="R33" i="41" s="1"/>
  <c r="R128" i="41" s="1"/>
  <c r="R60" i="43"/>
  <c r="D33" i="46" s="1"/>
  <c r="X60" i="43"/>
  <c r="AD60" i="43"/>
  <c r="V60" i="43"/>
  <c r="T60" i="43"/>
  <c r="AF60" i="43"/>
  <c r="Q29" i="45"/>
  <c r="P29" i="45"/>
  <c r="Z60" i="43"/>
  <c r="AB87" i="22"/>
  <c r="AB82" i="22"/>
  <c r="AB81" i="22"/>
  <c r="AB80" i="22"/>
  <c r="AB79" i="22"/>
  <c r="AB78" i="22"/>
  <c r="AB77" i="22"/>
  <c r="AB76" i="22"/>
  <c r="AB70" i="22"/>
  <c r="AB69" i="22"/>
  <c r="AB68" i="22"/>
  <c r="AB67" i="22"/>
  <c r="AB66" i="22"/>
  <c r="AB65" i="22"/>
  <c r="AB64" i="22"/>
  <c r="AB63" i="22"/>
  <c r="AC21" i="21" s="1"/>
  <c r="AB62" i="22"/>
  <c r="AB61" i="22"/>
  <c r="AB60" i="22"/>
  <c r="AB59" i="22"/>
  <c r="AB58" i="22"/>
  <c r="AB57" i="22"/>
  <c r="AB56" i="22"/>
  <c r="AC18" i="21" s="1"/>
  <c r="AB55" i="22"/>
  <c r="AB54" i="22"/>
  <c r="AB53" i="22"/>
  <c r="C4" i="31"/>
  <c r="D4" i="31" s="1"/>
  <c r="E4" i="31" s="1"/>
  <c r="F4" i="31" s="1"/>
  <c r="G4" i="31" s="1"/>
  <c r="H4" i="31"/>
  <c r="I4" i="31" s="1"/>
  <c r="J4" i="31" s="1"/>
  <c r="K4" i="31" s="1"/>
  <c r="L4" i="31" s="1"/>
  <c r="M4" i="31" s="1"/>
  <c r="N4" i="31" s="1"/>
  <c r="N7" i="31"/>
  <c r="N8" i="31"/>
  <c r="N9" i="31"/>
  <c r="N10" i="31"/>
  <c r="N11" i="31"/>
  <c r="N12" i="31"/>
  <c r="N16" i="31"/>
  <c r="N17" i="31"/>
  <c r="N18" i="31"/>
  <c r="N19" i="31"/>
  <c r="N20" i="31"/>
  <c r="N21" i="31"/>
  <c r="N22" i="31"/>
  <c r="N23" i="31"/>
  <c r="N24" i="31"/>
  <c r="N25" i="31"/>
  <c r="N26" i="31"/>
  <c r="N27" i="31"/>
  <c r="N28" i="31"/>
  <c r="N29" i="31"/>
  <c r="N30" i="31"/>
  <c r="N31" i="31"/>
  <c r="N32" i="31"/>
  <c r="N33" i="31"/>
  <c r="N34" i="31"/>
  <c r="N35" i="31"/>
  <c r="N36" i="31"/>
  <c r="N37" i="31"/>
  <c r="N38" i="31"/>
  <c r="N39" i="31"/>
  <c r="N40" i="31"/>
  <c r="N41" i="31"/>
  <c r="N42" i="31"/>
  <c r="N43" i="31"/>
  <c r="N44" i="31"/>
  <c r="N45" i="31"/>
  <c r="N46" i="31"/>
  <c r="N47" i="31"/>
  <c r="N48" i="31"/>
  <c r="C4" i="32"/>
  <c r="D4" i="32" s="1"/>
  <c r="E4" i="32" s="1"/>
  <c r="F4" i="32" s="1"/>
  <c r="G4" i="32" s="1"/>
  <c r="H4" i="32" s="1"/>
  <c r="I4" i="32" s="1"/>
  <c r="J4" i="32" s="1"/>
  <c r="K4" i="32" s="1"/>
  <c r="L4" i="32" s="1"/>
  <c r="M4" i="32" s="1"/>
  <c r="N4" i="32" s="1"/>
  <c r="N7" i="32"/>
  <c r="N10" i="32"/>
  <c r="N11" i="32"/>
  <c r="B12" i="32"/>
  <c r="C12" i="32"/>
  <c r="D12" i="32"/>
  <c r="E12" i="32"/>
  <c r="E14" i="32" s="1"/>
  <c r="F12" i="32"/>
  <c r="F14" i="32" s="1"/>
  <c r="G12" i="32"/>
  <c r="H12" i="32"/>
  <c r="I12" i="32"/>
  <c r="I14" i="32" s="1"/>
  <c r="J12" i="32"/>
  <c r="J14" i="32" s="1"/>
  <c r="K12" i="32"/>
  <c r="L12" i="32"/>
  <c r="M12" i="32"/>
  <c r="B14" i="32"/>
  <c r="G14" i="32"/>
  <c r="H14" i="32"/>
  <c r="N17" i="32"/>
  <c r="N18" i="32"/>
  <c r="N19" i="32"/>
  <c r="N20" i="32"/>
  <c r="N21" i="32"/>
  <c r="N22" i="32"/>
  <c r="N23" i="32"/>
  <c r="N24" i="32"/>
  <c r="B25" i="32"/>
  <c r="B27" i="32" s="1"/>
  <c r="C25" i="32"/>
  <c r="D25" i="32"/>
  <c r="E25" i="32"/>
  <c r="F25" i="32"/>
  <c r="G25" i="32"/>
  <c r="H25" i="32"/>
  <c r="I25" i="32"/>
  <c r="J25" i="32"/>
  <c r="J27" i="32" s="1"/>
  <c r="K25" i="32"/>
  <c r="L25" i="32"/>
  <c r="M25" i="32"/>
  <c r="F27" i="32"/>
  <c r="G27" i="32"/>
  <c r="G36" i="32" s="1"/>
  <c r="G40" i="32" s="1"/>
  <c r="H27" i="32"/>
  <c r="N29" i="32"/>
  <c r="N30" i="32"/>
  <c r="N31" i="32"/>
  <c r="N32" i="32"/>
  <c r="N33" i="32"/>
  <c r="B34" i="32"/>
  <c r="C34" i="32"/>
  <c r="D34" i="32"/>
  <c r="E34" i="32"/>
  <c r="F34" i="32"/>
  <c r="G34" i="32"/>
  <c r="H34" i="32"/>
  <c r="I34" i="32"/>
  <c r="J34" i="32"/>
  <c r="K34" i="32"/>
  <c r="L34" i="32"/>
  <c r="M34" i="32"/>
  <c r="N34" i="32"/>
  <c r="H36" i="32"/>
  <c r="H40" i="32" s="1"/>
  <c r="N38" i="32"/>
  <c r="T2" i="30"/>
  <c r="U2" i="30" s="1"/>
  <c r="V2" i="30"/>
  <c r="W2" i="30" s="1"/>
  <c r="X2" i="30" s="1"/>
  <c r="Y2" i="30" s="1"/>
  <c r="Z2" i="30" s="1"/>
  <c r="AA2" i="30" s="1"/>
  <c r="AB2" i="30"/>
  <c r="AC2" i="30" s="1"/>
  <c r="AD2" i="30" s="1"/>
  <c r="C4" i="30"/>
  <c r="D4" i="30" s="1"/>
  <c r="E4" i="30" s="1"/>
  <c r="F4" i="30" s="1"/>
  <c r="G4" i="30" s="1"/>
  <c r="H4" i="30" s="1"/>
  <c r="I4" i="30" s="1"/>
  <c r="J4" i="30" s="1"/>
  <c r="K4" i="30" s="1"/>
  <c r="L4" i="30" s="1"/>
  <c r="M4" i="30" s="1"/>
  <c r="N4" i="30" s="1"/>
  <c r="T4" i="30"/>
  <c r="U4" i="30"/>
  <c r="V4" i="30" s="1"/>
  <c r="W4" i="30" s="1"/>
  <c r="X4" i="30" s="1"/>
  <c r="Y4" i="30" s="1"/>
  <c r="Z4" i="30" s="1"/>
  <c r="AA4" i="30" s="1"/>
  <c r="AB4" i="30" s="1"/>
  <c r="AC4" i="30" s="1"/>
  <c r="AD4" i="30" s="1"/>
  <c r="AE4" i="30" s="1"/>
  <c r="N7" i="30"/>
  <c r="AE7" i="30"/>
  <c r="N8" i="30"/>
  <c r="AE8" i="30"/>
  <c r="N9" i="30"/>
  <c r="AE9" i="30"/>
  <c r="N10" i="30"/>
  <c r="AE10" i="30"/>
  <c r="N11" i="30"/>
  <c r="AE11" i="30"/>
  <c r="B13" i="30"/>
  <c r="C13" i="30"/>
  <c r="D13" i="30"/>
  <c r="E13" i="30"/>
  <c r="F13" i="30"/>
  <c r="G13" i="30"/>
  <c r="H13" i="30"/>
  <c r="I13" i="30"/>
  <c r="J13" i="30"/>
  <c r="K13" i="30"/>
  <c r="L13" i="30"/>
  <c r="M13" i="30"/>
  <c r="N13" i="30"/>
  <c r="S13" i="30"/>
  <c r="T13" i="30"/>
  <c r="U13" i="30"/>
  <c r="V13" i="30"/>
  <c r="W13" i="30"/>
  <c r="X13" i="30"/>
  <c r="Y13" i="30"/>
  <c r="Z13" i="30"/>
  <c r="AA13" i="30"/>
  <c r="AB13" i="30"/>
  <c r="AC13" i="30"/>
  <c r="AD13" i="30"/>
  <c r="N16" i="30"/>
  <c r="P16" i="30"/>
  <c r="AE16" i="30"/>
  <c r="AG16" i="30"/>
  <c r="N17" i="30"/>
  <c r="P17" i="30"/>
  <c r="AE17" i="30"/>
  <c r="AG17" i="30"/>
  <c r="N18" i="30"/>
  <c r="P18" i="30"/>
  <c r="AE18" i="30"/>
  <c r="AG18" i="30"/>
  <c r="N19" i="30"/>
  <c r="P19" i="30"/>
  <c r="AE19" i="30"/>
  <c r="AG19" i="30"/>
  <c r="N20" i="30"/>
  <c r="P20" i="30"/>
  <c r="AE20" i="30"/>
  <c r="AG20" i="30"/>
  <c r="N21" i="30"/>
  <c r="P21" i="30"/>
  <c r="AE21" i="30"/>
  <c r="AG21" i="30"/>
  <c r="N22" i="30"/>
  <c r="P22" i="30"/>
  <c r="AE22" i="30"/>
  <c r="AG22" i="30"/>
  <c r="N23" i="30"/>
  <c r="P23" i="30"/>
  <c r="AE23" i="30"/>
  <c r="AG23" i="30"/>
  <c r="N24" i="30"/>
  <c r="P24" i="30"/>
  <c r="AE24" i="30"/>
  <c r="AG24" i="30"/>
  <c r="N25" i="30"/>
  <c r="P25" i="30"/>
  <c r="AE25" i="30"/>
  <c r="AG25" i="30"/>
  <c r="N26" i="30"/>
  <c r="P26" i="30"/>
  <c r="AE26" i="30"/>
  <c r="AG26" i="30"/>
  <c r="N27" i="30"/>
  <c r="P27" i="30"/>
  <c r="AE27" i="30"/>
  <c r="AG27" i="30"/>
  <c r="N28" i="30"/>
  <c r="P28" i="30"/>
  <c r="AE28" i="30"/>
  <c r="AG28" i="30"/>
  <c r="N29" i="30"/>
  <c r="P29" i="30"/>
  <c r="AE29" i="30"/>
  <c r="AG29" i="30"/>
  <c r="N30" i="30"/>
  <c r="P30" i="30"/>
  <c r="AE30" i="30"/>
  <c r="AG30" i="30"/>
  <c r="N31" i="30"/>
  <c r="P31" i="30"/>
  <c r="AE31" i="30"/>
  <c r="AG31" i="30"/>
  <c r="N32" i="30"/>
  <c r="P32" i="30"/>
  <c r="AE32" i="30"/>
  <c r="AG32" i="30"/>
  <c r="N33" i="30"/>
  <c r="P33" i="30"/>
  <c r="AE33" i="30"/>
  <c r="AG33" i="30"/>
  <c r="N34" i="30"/>
  <c r="P34" i="30"/>
  <c r="AE34" i="30"/>
  <c r="AG34" i="30"/>
  <c r="N35" i="30"/>
  <c r="P35" i="30"/>
  <c r="AE35" i="30"/>
  <c r="AG35" i="30"/>
  <c r="N36" i="30"/>
  <c r="P36" i="30"/>
  <c r="AE36" i="30"/>
  <c r="AG36" i="30"/>
  <c r="N37" i="30"/>
  <c r="P37" i="30"/>
  <c r="AE37" i="30"/>
  <c r="AG37" i="30"/>
  <c r="N38" i="30"/>
  <c r="P38" i="30"/>
  <c r="AE38" i="30"/>
  <c r="AG38" i="30"/>
  <c r="N39" i="30"/>
  <c r="P39" i="30"/>
  <c r="AE39" i="30"/>
  <c r="AG39" i="30"/>
  <c r="N40" i="30"/>
  <c r="P40" i="30"/>
  <c r="AE40" i="30"/>
  <c r="AG40" i="30"/>
  <c r="N41" i="30"/>
  <c r="P41" i="30"/>
  <c r="AE41" i="30"/>
  <c r="AG41" i="30"/>
  <c r="N42" i="30"/>
  <c r="P42" i="30"/>
  <c r="AE42" i="30"/>
  <c r="AG42" i="30"/>
  <c r="N43" i="30"/>
  <c r="P43" i="30"/>
  <c r="AE43" i="30"/>
  <c r="AG43" i="30"/>
  <c r="N44" i="30"/>
  <c r="P44" i="30"/>
  <c r="AE44" i="30"/>
  <c r="AG44" i="30"/>
  <c r="N45" i="30"/>
  <c r="P45" i="30"/>
  <c r="AE45" i="30"/>
  <c r="AG45" i="30"/>
  <c r="N46" i="30"/>
  <c r="P46" i="30"/>
  <c r="AE46" i="30"/>
  <c r="AG46" i="30"/>
  <c r="N47" i="30"/>
  <c r="P47" i="30"/>
  <c r="AE47" i="30"/>
  <c r="AG47" i="30"/>
  <c r="B49" i="30"/>
  <c r="AB49" i="24" s="1"/>
  <c r="C49" i="30"/>
  <c r="D49" i="30"/>
  <c r="E49" i="30"/>
  <c r="F49" i="30"/>
  <c r="G49" i="30"/>
  <c r="H49" i="30"/>
  <c r="I49" i="30"/>
  <c r="J49" i="30"/>
  <c r="K49" i="30"/>
  <c r="L49" i="30"/>
  <c r="M49" i="30"/>
  <c r="S49" i="30"/>
  <c r="T49" i="30"/>
  <c r="U49" i="30"/>
  <c r="V49" i="30"/>
  <c r="W49" i="30"/>
  <c r="X49" i="30"/>
  <c r="Y49" i="30"/>
  <c r="Z49" i="30"/>
  <c r="AA49" i="30"/>
  <c r="AB49" i="30"/>
  <c r="AC49" i="30"/>
  <c r="AD49" i="30"/>
  <c r="C4" i="29"/>
  <c r="D4" i="29" s="1"/>
  <c r="E4" i="29" s="1"/>
  <c r="F4" i="29" s="1"/>
  <c r="G4" i="29" s="1"/>
  <c r="H4" i="29" s="1"/>
  <c r="I4" i="29" s="1"/>
  <c r="J4" i="29" s="1"/>
  <c r="K4" i="29" s="1"/>
  <c r="L4" i="29" s="1"/>
  <c r="M4" i="29" s="1"/>
  <c r="N4" i="29" s="1"/>
  <c r="T4" i="29"/>
  <c r="U4" i="29" s="1"/>
  <c r="V4" i="29" s="1"/>
  <c r="W4" i="29" s="1"/>
  <c r="X4" i="29" s="1"/>
  <c r="Y4" i="29" s="1"/>
  <c r="Z4" i="29" s="1"/>
  <c r="AA4" i="29" s="1"/>
  <c r="AB4" i="29" s="1"/>
  <c r="AC4" i="29" s="1"/>
  <c r="AD4" i="29" s="1"/>
  <c r="AE4" i="29" s="1"/>
  <c r="B7" i="29"/>
  <c r="AE7" i="40" s="1"/>
  <c r="C7" i="29"/>
  <c r="D7" i="29"/>
  <c r="E7" i="29"/>
  <c r="F7" i="29"/>
  <c r="G7" i="29"/>
  <c r="H7" i="29"/>
  <c r="I7" i="29"/>
  <c r="J7" i="29"/>
  <c r="K7" i="29"/>
  <c r="L7" i="29"/>
  <c r="M7" i="29"/>
  <c r="S7" i="29"/>
  <c r="T7" i="29"/>
  <c r="U7" i="29"/>
  <c r="V7" i="29"/>
  <c r="W7" i="29"/>
  <c r="X7" i="29"/>
  <c r="Y7" i="29"/>
  <c r="Z7" i="29"/>
  <c r="AA7" i="29"/>
  <c r="AA13" i="29" s="1"/>
  <c r="AB7" i="29"/>
  <c r="AC7" i="29"/>
  <c r="AD7" i="29"/>
  <c r="B8" i="29"/>
  <c r="C8" i="29"/>
  <c r="D8" i="29"/>
  <c r="E8" i="29"/>
  <c r="F8" i="29"/>
  <c r="G8" i="29"/>
  <c r="H8" i="29"/>
  <c r="I8" i="29"/>
  <c r="J8" i="29"/>
  <c r="K8" i="29"/>
  <c r="L8" i="29"/>
  <c r="M8" i="29"/>
  <c r="S8" i="29"/>
  <c r="T8" i="29"/>
  <c r="U8" i="29"/>
  <c r="V8" i="29"/>
  <c r="W8" i="29"/>
  <c r="X8" i="29"/>
  <c r="Y8" i="29"/>
  <c r="Z8" i="29"/>
  <c r="AA8" i="29"/>
  <c r="AB8" i="29"/>
  <c r="AC8" i="29"/>
  <c r="AD8" i="29"/>
  <c r="B9" i="29"/>
  <c r="AE9" i="40" s="1"/>
  <c r="C9" i="29"/>
  <c r="D9" i="29"/>
  <c r="E9" i="29"/>
  <c r="F9" i="29"/>
  <c r="G9" i="29"/>
  <c r="H9" i="29"/>
  <c r="I9" i="29"/>
  <c r="J9" i="29"/>
  <c r="K9" i="29"/>
  <c r="L9" i="29"/>
  <c r="M9" i="29"/>
  <c r="S9" i="29"/>
  <c r="T9" i="29"/>
  <c r="U9" i="29"/>
  <c r="V9" i="29"/>
  <c r="W9" i="29"/>
  <c r="X9" i="29"/>
  <c r="Y9" i="29"/>
  <c r="Z9" i="29"/>
  <c r="AA9" i="29"/>
  <c r="AB9" i="29"/>
  <c r="AC9" i="29"/>
  <c r="AD9" i="29"/>
  <c r="B10" i="29"/>
  <c r="AE10" i="40" s="1"/>
  <c r="C10" i="29"/>
  <c r="D10" i="29"/>
  <c r="E10" i="29"/>
  <c r="F10" i="29"/>
  <c r="G10" i="29"/>
  <c r="H10" i="29"/>
  <c r="I10" i="29"/>
  <c r="J10" i="29"/>
  <c r="K10" i="29"/>
  <c r="L10" i="29"/>
  <c r="M10" i="29"/>
  <c r="S10" i="29"/>
  <c r="T10" i="29"/>
  <c r="U10" i="29"/>
  <c r="V10" i="29"/>
  <c r="W10" i="29"/>
  <c r="X10" i="29"/>
  <c r="Y10" i="29"/>
  <c r="Z10" i="29"/>
  <c r="AA10" i="29"/>
  <c r="AB10" i="29"/>
  <c r="AC10" i="29"/>
  <c r="AD10" i="29"/>
  <c r="B11" i="29"/>
  <c r="C11" i="29"/>
  <c r="D11" i="29"/>
  <c r="E11" i="29"/>
  <c r="F11" i="29"/>
  <c r="G11" i="29"/>
  <c r="H11" i="29"/>
  <c r="I11" i="29"/>
  <c r="J11" i="29"/>
  <c r="K11" i="29"/>
  <c r="L11" i="29"/>
  <c r="M11" i="29"/>
  <c r="S11" i="29"/>
  <c r="T11" i="29"/>
  <c r="U11" i="29"/>
  <c r="V11" i="29"/>
  <c r="W11" i="29"/>
  <c r="X11" i="29"/>
  <c r="Y11" i="29"/>
  <c r="Z11" i="29"/>
  <c r="AA11" i="29"/>
  <c r="AB11" i="29"/>
  <c r="AC11" i="29"/>
  <c r="AD11" i="29"/>
  <c r="AE11" i="29"/>
  <c r="G13" i="29"/>
  <c r="T13" i="29"/>
  <c r="AB13" i="29"/>
  <c r="B16" i="29"/>
  <c r="C16" i="29"/>
  <c r="D16" i="29"/>
  <c r="E16" i="29"/>
  <c r="F16" i="29"/>
  <c r="G16" i="29"/>
  <c r="H16" i="29"/>
  <c r="I16" i="29"/>
  <c r="J16" i="29"/>
  <c r="K16" i="29"/>
  <c r="L16" i="29"/>
  <c r="M16" i="29"/>
  <c r="S16" i="29"/>
  <c r="T16" i="29"/>
  <c r="U16" i="29"/>
  <c r="V16" i="29"/>
  <c r="W16" i="29"/>
  <c r="X16" i="29"/>
  <c r="Y16" i="29"/>
  <c r="Z16" i="29"/>
  <c r="AA16" i="29"/>
  <c r="AB16" i="29"/>
  <c r="AC16" i="29"/>
  <c r="AD16" i="29"/>
  <c r="B17" i="29"/>
  <c r="C17" i="29"/>
  <c r="D17" i="29"/>
  <c r="E17" i="29"/>
  <c r="F17" i="29"/>
  <c r="G17" i="29"/>
  <c r="H17" i="29"/>
  <c r="I17" i="29"/>
  <c r="J17" i="29"/>
  <c r="K17" i="29"/>
  <c r="L17" i="29"/>
  <c r="M17" i="29"/>
  <c r="S17" i="29"/>
  <c r="T17" i="29"/>
  <c r="U17" i="29"/>
  <c r="V17" i="29"/>
  <c r="W17" i="29"/>
  <c r="X17" i="29"/>
  <c r="Y17" i="29"/>
  <c r="Z17" i="29"/>
  <c r="AA17" i="29"/>
  <c r="AB17" i="29"/>
  <c r="AC17" i="29"/>
  <c r="AD17" i="29"/>
  <c r="B18" i="29"/>
  <c r="C18" i="29"/>
  <c r="D18" i="29"/>
  <c r="E18" i="29"/>
  <c r="F18" i="29"/>
  <c r="G18" i="29"/>
  <c r="H18" i="29"/>
  <c r="I18" i="29"/>
  <c r="J18" i="29"/>
  <c r="K18" i="29"/>
  <c r="L18" i="29"/>
  <c r="M18" i="29"/>
  <c r="S18" i="29"/>
  <c r="T18" i="29"/>
  <c r="U18" i="29"/>
  <c r="V18" i="29"/>
  <c r="W18" i="29"/>
  <c r="X18" i="29"/>
  <c r="Y18" i="29"/>
  <c r="Z18" i="29"/>
  <c r="AA18" i="29"/>
  <c r="AB18" i="29"/>
  <c r="AC18" i="29"/>
  <c r="AD18" i="29"/>
  <c r="B19" i="29"/>
  <c r="C19" i="29"/>
  <c r="D19" i="29"/>
  <c r="E19" i="29"/>
  <c r="F19" i="29"/>
  <c r="G19" i="29"/>
  <c r="H19" i="29"/>
  <c r="I19" i="29"/>
  <c r="J19" i="29"/>
  <c r="K19" i="29"/>
  <c r="L19" i="29"/>
  <c r="M19" i="29"/>
  <c r="S19" i="29"/>
  <c r="T19" i="29"/>
  <c r="U19" i="29"/>
  <c r="V19" i="29"/>
  <c r="W19" i="29"/>
  <c r="X19" i="29"/>
  <c r="Y19" i="29"/>
  <c r="Z19" i="29"/>
  <c r="AA19" i="29"/>
  <c r="AB19" i="29"/>
  <c r="AC19" i="29"/>
  <c r="AD19" i="29"/>
  <c r="B20" i="29"/>
  <c r="C20" i="29"/>
  <c r="D20" i="29"/>
  <c r="E20" i="29"/>
  <c r="F20" i="29"/>
  <c r="G20" i="29"/>
  <c r="H20" i="29"/>
  <c r="I20" i="29"/>
  <c r="J20" i="29"/>
  <c r="K20" i="29"/>
  <c r="L20" i="29"/>
  <c r="M20" i="29"/>
  <c r="S20" i="29"/>
  <c r="T20" i="29"/>
  <c r="U20" i="29"/>
  <c r="V20" i="29"/>
  <c r="W20" i="29"/>
  <c r="X20" i="29"/>
  <c r="Y20" i="29"/>
  <c r="Z20" i="29"/>
  <c r="AA20" i="29"/>
  <c r="AB20" i="29"/>
  <c r="AC20" i="29"/>
  <c r="AD20" i="29"/>
  <c r="B21" i="29"/>
  <c r="C21" i="29"/>
  <c r="D21" i="29"/>
  <c r="E21" i="29"/>
  <c r="F21" i="29"/>
  <c r="G21" i="29"/>
  <c r="H21" i="29"/>
  <c r="I21" i="29"/>
  <c r="J21" i="29"/>
  <c r="K21" i="29"/>
  <c r="L21" i="29"/>
  <c r="M21" i="29"/>
  <c r="S21" i="29"/>
  <c r="T21" i="29"/>
  <c r="U21" i="29"/>
  <c r="V21" i="29"/>
  <c r="W21" i="29"/>
  <c r="X21" i="29"/>
  <c r="Y21" i="29"/>
  <c r="Z21" i="29"/>
  <c r="AA21" i="29"/>
  <c r="AB21" i="29"/>
  <c r="AC21" i="29"/>
  <c r="AD21" i="29"/>
  <c r="B22" i="29"/>
  <c r="C22" i="29"/>
  <c r="D22" i="29"/>
  <c r="E22" i="29"/>
  <c r="F22" i="29"/>
  <c r="G22" i="29"/>
  <c r="H22" i="29"/>
  <c r="I22" i="29"/>
  <c r="J22" i="29"/>
  <c r="K22" i="29"/>
  <c r="L22" i="29"/>
  <c r="M22" i="29"/>
  <c r="S22" i="29"/>
  <c r="T22" i="29"/>
  <c r="U22" i="29"/>
  <c r="V22" i="29"/>
  <c r="W22" i="29"/>
  <c r="X22" i="29"/>
  <c r="Y22" i="29"/>
  <c r="Z22" i="29"/>
  <c r="AA22" i="29"/>
  <c r="AB22" i="29"/>
  <c r="AC22" i="29"/>
  <c r="AD22" i="29"/>
  <c r="B23" i="29"/>
  <c r="C23" i="29"/>
  <c r="D23" i="29"/>
  <c r="E23" i="29"/>
  <c r="F23" i="29"/>
  <c r="G23" i="29"/>
  <c r="H23" i="29"/>
  <c r="I23" i="29"/>
  <c r="J23" i="29"/>
  <c r="K23" i="29"/>
  <c r="L23" i="29"/>
  <c r="M23" i="29"/>
  <c r="S23" i="29"/>
  <c r="T23" i="29"/>
  <c r="U23" i="29"/>
  <c r="V23" i="29"/>
  <c r="W23" i="29"/>
  <c r="X23" i="29"/>
  <c r="Y23" i="29"/>
  <c r="Z23" i="29"/>
  <c r="AA23" i="29"/>
  <c r="AB23" i="29"/>
  <c r="AC23" i="29"/>
  <c r="AD23" i="29"/>
  <c r="B24" i="29"/>
  <c r="AE24" i="40" s="1"/>
  <c r="C24" i="29"/>
  <c r="D24" i="29"/>
  <c r="E24" i="29"/>
  <c r="F24" i="29"/>
  <c r="G24" i="29"/>
  <c r="H24" i="29"/>
  <c r="I24" i="29"/>
  <c r="J24" i="29"/>
  <c r="K24" i="29"/>
  <c r="L24" i="29"/>
  <c r="M24" i="29"/>
  <c r="N24" i="29"/>
  <c r="S24" i="29"/>
  <c r="T24" i="29"/>
  <c r="U24" i="29"/>
  <c r="V24" i="29"/>
  <c r="W24" i="29"/>
  <c r="X24" i="29"/>
  <c r="Y24" i="29"/>
  <c r="Z24" i="29"/>
  <c r="AA24" i="29"/>
  <c r="AB24" i="29"/>
  <c r="AC24" i="29"/>
  <c r="AD24" i="29"/>
  <c r="B25" i="29"/>
  <c r="C25" i="29"/>
  <c r="D25" i="29"/>
  <c r="E25" i="29"/>
  <c r="F25" i="29"/>
  <c r="G25" i="29"/>
  <c r="H25" i="29"/>
  <c r="I25" i="29"/>
  <c r="J25" i="29"/>
  <c r="K25" i="29"/>
  <c r="L25" i="29"/>
  <c r="M25" i="29"/>
  <c r="S25" i="29"/>
  <c r="T25" i="29"/>
  <c r="AE25" i="29" s="1"/>
  <c r="U25" i="29"/>
  <c r="V25" i="29"/>
  <c r="W25" i="29"/>
  <c r="X25" i="29"/>
  <c r="Y25" i="29"/>
  <c r="Z25" i="29"/>
  <c r="AA25" i="29"/>
  <c r="AB25" i="29"/>
  <c r="AC25" i="29"/>
  <c r="AD25" i="29"/>
  <c r="B26" i="29"/>
  <c r="C26" i="29"/>
  <c r="D26" i="29"/>
  <c r="E26" i="29"/>
  <c r="F26" i="29"/>
  <c r="G26" i="29"/>
  <c r="H26" i="29"/>
  <c r="I26" i="29"/>
  <c r="J26" i="29"/>
  <c r="K26" i="29"/>
  <c r="L26" i="29"/>
  <c r="M26" i="29"/>
  <c r="S26" i="29"/>
  <c r="T26" i="29"/>
  <c r="U26" i="29"/>
  <c r="V26" i="29"/>
  <c r="W26" i="29"/>
  <c r="X26" i="29"/>
  <c r="Y26" i="29"/>
  <c r="Z26" i="29"/>
  <c r="AA26" i="29"/>
  <c r="AB26" i="29"/>
  <c r="AC26" i="29"/>
  <c r="AD26" i="29"/>
  <c r="B27" i="29"/>
  <c r="C27" i="29"/>
  <c r="D27" i="29"/>
  <c r="E27" i="29"/>
  <c r="F27" i="29"/>
  <c r="G27" i="29"/>
  <c r="H27" i="29"/>
  <c r="I27" i="29"/>
  <c r="J27" i="29"/>
  <c r="K27" i="29"/>
  <c r="L27" i="29"/>
  <c r="M27" i="29"/>
  <c r="S27" i="29"/>
  <c r="T27" i="29"/>
  <c r="U27" i="29"/>
  <c r="V27" i="29"/>
  <c r="W27" i="29"/>
  <c r="X27" i="29"/>
  <c r="Y27" i="29"/>
  <c r="Z27" i="29"/>
  <c r="AA27" i="29"/>
  <c r="AB27" i="29"/>
  <c r="AC27" i="29"/>
  <c r="AD27" i="29"/>
  <c r="B28" i="29"/>
  <c r="C28" i="29"/>
  <c r="D28" i="29"/>
  <c r="E28" i="29"/>
  <c r="F28" i="29"/>
  <c r="G28" i="29"/>
  <c r="H28" i="29"/>
  <c r="I28" i="29"/>
  <c r="J28" i="29"/>
  <c r="K28" i="29"/>
  <c r="L28" i="29"/>
  <c r="M28" i="29"/>
  <c r="S28" i="29"/>
  <c r="T28" i="29"/>
  <c r="U28" i="29"/>
  <c r="V28" i="29"/>
  <c r="W28" i="29"/>
  <c r="X28" i="29"/>
  <c r="Y28" i="29"/>
  <c r="Z28" i="29"/>
  <c r="AA28" i="29"/>
  <c r="AB28" i="29"/>
  <c r="AC28" i="29"/>
  <c r="AD28" i="29"/>
  <c r="B29" i="29"/>
  <c r="C29" i="29"/>
  <c r="D29" i="29"/>
  <c r="E29" i="29"/>
  <c r="F29" i="29"/>
  <c r="G29" i="29"/>
  <c r="H29" i="29"/>
  <c r="I29" i="29"/>
  <c r="J29" i="29"/>
  <c r="K29" i="29"/>
  <c r="L29" i="29"/>
  <c r="M29" i="29"/>
  <c r="S29" i="29"/>
  <c r="T29" i="29"/>
  <c r="U29" i="29"/>
  <c r="V29" i="29"/>
  <c r="W29" i="29"/>
  <c r="X29" i="29"/>
  <c r="Y29" i="29"/>
  <c r="Z29" i="29"/>
  <c r="AA29" i="29"/>
  <c r="AB29" i="29"/>
  <c r="AC29" i="29"/>
  <c r="AD29" i="29"/>
  <c r="B30" i="29"/>
  <c r="C30" i="29"/>
  <c r="D30" i="29"/>
  <c r="E30" i="29"/>
  <c r="F30" i="29"/>
  <c r="G30" i="29"/>
  <c r="H30" i="29"/>
  <c r="I30" i="29"/>
  <c r="J30" i="29"/>
  <c r="K30" i="29"/>
  <c r="L30" i="29"/>
  <c r="M30" i="29"/>
  <c r="S30" i="29"/>
  <c r="T30" i="29"/>
  <c r="U30" i="29"/>
  <c r="V30" i="29"/>
  <c r="V102" i="29" s="1"/>
  <c r="W30" i="29"/>
  <c r="X30" i="29"/>
  <c r="Y30" i="29"/>
  <c r="Z30" i="29"/>
  <c r="AA30" i="29"/>
  <c r="AB30" i="29"/>
  <c r="AC30" i="29"/>
  <c r="AD30" i="29"/>
  <c r="B31" i="29"/>
  <c r="C31" i="29"/>
  <c r="D31" i="29"/>
  <c r="E31" i="29"/>
  <c r="F31" i="29"/>
  <c r="G31" i="29"/>
  <c r="H31" i="29"/>
  <c r="I31" i="29"/>
  <c r="J31" i="29"/>
  <c r="K31" i="29"/>
  <c r="L31" i="29"/>
  <c r="M31" i="29"/>
  <c r="S31" i="29"/>
  <c r="T31" i="29"/>
  <c r="U31" i="29"/>
  <c r="V31" i="29"/>
  <c r="W31" i="29"/>
  <c r="X31" i="29"/>
  <c r="Y31" i="29"/>
  <c r="Z31" i="29"/>
  <c r="AA31" i="29"/>
  <c r="AB31" i="29"/>
  <c r="AC31" i="29"/>
  <c r="AD31" i="29"/>
  <c r="B32" i="29"/>
  <c r="C32" i="29"/>
  <c r="D32" i="29"/>
  <c r="E32" i="29"/>
  <c r="F32" i="29"/>
  <c r="G32" i="29"/>
  <c r="H32" i="29"/>
  <c r="I32" i="29"/>
  <c r="J32" i="29"/>
  <c r="K32" i="29"/>
  <c r="L32" i="29"/>
  <c r="M32" i="29"/>
  <c r="S32" i="29"/>
  <c r="T32" i="29"/>
  <c r="U32" i="29"/>
  <c r="V32" i="29"/>
  <c r="W32" i="29"/>
  <c r="X32" i="29"/>
  <c r="Y32" i="29"/>
  <c r="Z32" i="29"/>
  <c r="AA32" i="29"/>
  <c r="AB32" i="29"/>
  <c r="AC32" i="29"/>
  <c r="AD32" i="29"/>
  <c r="B33" i="29"/>
  <c r="C33" i="29"/>
  <c r="D33" i="29"/>
  <c r="E33" i="29"/>
  <c r="F33" i="29"/>
  <c r="G33" i="29"/>
  <c r="H33" i="29"/>
  <c r="I33" i="29"/>
  <c r="J33" i="29"/>
  <c r="K33" i="29"/>
  <c r="L33" i="29"/>
  <c r="M33" i="29"/>
  <c r="S33" i="29"/>
  <c r="T33" i="29"/>
  <c r="U33" i="29"/>
  <c r="V33" i="29"/>
  <c r="W33" i="29"/>
  <c r="X33" i="29"/>
  <c r="Y33" i="29"/>
  <c r="Z33" i="29"/>
  <c r="AA33" i="29"/>
  <c r="AB33" i="29"/>
  <c r="AB102" i="29" s="1"/>
  <c r="AC33" i="29"/>
  <c r="AD33" i="29"/>
  <c r="B34" i="29"/>
  <c r="C34" i="29"/>
  <c r="D34" i="29"/>
  <c r="E34" i="29"/>
  <c r="F34" i="29"/>
  <c r="G34" i="29"/>
  <c r="H34" i="29"/>
  <c r="I34" i="29"/>
  <c r="J34" i="29"/>
  <c r="K34" i="29"/>
  <c r="L34" i="29"/>
  <c r="M34" i="29"/>
  <c r="S34" i="29"/>
  <c r="S103" i="29" s="1"/>
  <c r="T34" i="29"/>
  <c r="U34" i="29"/>
  <c r="V34" i="29"/>
  <c r="W34" i="29"/>
  <c r="X34" i="29"/>
  <c r="Y34" i="29"/>
  <c r="Y103" i="29" s="1"/>
  <c r="Z34" i="29"/>
  <c r="AA34" i="29"/>
  <c r="AB34" i="29"/>
  <c r="AC34" i="29"/>
  <c r="AD34" i="29"/>
  <c r="B35" i="29"/>
  <c r="C35" i="29"/>
  <c r="D35" i="29"/>
  <c r="E35" i="29"/>
  <c r="F35" i="29"/>
  <c r="G35" i="29"/>
  <c r="H35" i="29"/>
  <c r="I35" i="29"/>
  <c r="J35" i="29"/>
  <c r="K35" i="29"/>
  <c r="L35" i="29"/>
  <c r="M35" i="29"/>
  <c r="S35" i="29"/>
  <c r="T35" i="29"/>
  <c r="U35" i="29"/>
  <c r="V35" i="29"/>
  <c r="W35" i="29"/>
  <c r="X35" i="29"/>
  <c r="Y35" i="29"/>
  <c r="Z35" i="29"/>
  <c r="AA35" i="29"/>
  <c r="AB35" i="29"/>
  <c r="AC35" i="29"/>
  <c r="AD35" i="29"/>
  <c r="B36" i="29"/>
  <c r="AE36" i="40" s="1"/>
  <c r="C36" i="29"/>
  <c r="D36" i="29"/>
  <c r="E36" i="29"/>
  <c r="F36" i="29"/>
  <c r="G36" i="29"/>
  <c r="H36" i="29"/>
  <c r="I36" i="29"/>
  <c r="J36" i="29"/>
  <c r="K36" i="29"/>
  <c r="L36" i="29"/>
  <c r="M36" i="29"/>
  <c r="S36" i="29"/>
  <c r="T36" i="29"/>
  <c r="U36" i="29"/>
  <c r="V36" i="29"/>
  <c r="W36" i="29"/>
  <c r="X36" i="29"/>
  <c r="Y36" i="29"/>
  <c r="Z36" i="29"/>
  <c r="AA36" i="29"/>
  <c r="AB36" i="29"/>
  <c r="AC36" i="29"/>
  <c r="AD36" i="29"/>
  <c r="B37" i="29"/>
  <c r="C37" i="29"/>
  <c r="D37" i="29"/>
  <c r="E37" i="29"/>
  <c r="F37" i="29"/>
  <c r="G37" i="29"/>
  <c r="H37" i="29"/>
  <c r="I37" i="29"/>
  <c r="J37" i="29"/>
  <c r="K37" i="29"/>
  <c r="L37" i="29"/>
  <c r="M37" i="29"/>
  <c r="S37" i="29"/>
  <c r="T37" i="29"/>
  <c r="U37" i="29"/>
  <c r="V37" i="29"/>
  <c r="W37" i="29"/>
  <c r="X37" i="29"/>
  <c r="Y37" i="29"/>
  <c r="Z37" i="29"/>
  <c r="AA37" i="29"/>
  <c r="AB37" i="29"/>
  <c r="AC37" i="29"/>
  <c r="AD37" i="29"/>
  <c r="B38" i="29"/>
  <c r="C38" i="29"/>
  <c r="D38" i="29"/>
  <c r="E38" i="29"/>
  <c r="F38" i="29"/>
  <c r="G38" i="29"/>
  <c r="H38" i="29"/>
  <c r="I38" i="29"/>
  <c r="J38" i="29"/>
  <c r="K38" i="29"/>
  <c r="L38" i="29"/>
  <c r="M38" i="29"/>
  <c r="S38" i="29"/>
  <c r="T38" i="29"/>
  <c r="U38" i="29"/>
  <c r="V38" i="29"/>
  <c r="W38" i="29"/>
  <c r="X38" i="29"/>
  <c r="Y38" i="29"/>
  <c r="Z38" i="29"/>
  <c r="AA38" i="29"/>
  <c r="AB38" i="29"/>
  <c r="AC38" i="29"/>
  <c r="AD38" i="29"/>
  <c r="B39" i="29"/>
  <c r="C39" i="29"/>
  <c r="D39" i="29"/>
  <c r="E39" i="29"/>
  <c r="F39" i="29"/>
  <c r="G39" i="29"/>
  <c r="H39" i="29"/>
  <c r="I39" i="29"/>
  <c r="J39" i="29"/>
  <c r="K39" i="29"/>
  <c r="L39" i="29"/>
  <c r="M39" i="29"/>
  <c r="S39" i="29"/>
  <c r="T39" i="29"/>
  <c r="U39" i="29"/>
  <c r="V39" i="29"/>
  <c r="W39" i="29"/>
  <c r="X39" i="29"/>
  <c r="Y39" i="29"/>
  <c r="Z39" i="29"/>
  <c r="AA39" i="29"/>
  <c r="AB39" i="29"/>
  <c r="AC39" i="29"/>
  <c r="AD39" i="29"/>
  <c r="B40" i="29"/>
  <c r="AE40" i="40" s="1"/>
  <c r="C40" i="29"/>
  <c r="D40" i="29"/>
  <c r="E40" i="29"/>
  <c r="F40" i="29"/>
  <c r="G40" i="29"/>
  <c r="H40" i="29"/>
  <c r="I40" i="29"/>
  <c r="J40" i="29"/>
  <c r="K40" i="29"/>
  <c r="L40" i="29"/>
  <c r="M40" i="29"/>
  <c r="S40" i="29"/>
  <c r="T40" i="29"/>
  <c r="U40" i="29"/>
  <c r="V40" i="29"/>
  <c r="W40" i="29"/>
  <c r="X40" i="29"/>
  <c r="Y40" i="29"/>
  <c r="Z40" i="29"/>
  <c r="AA40" i="29"/>
  <c r="AB40" i="29"/>
  <c r="AC40" i="29"/>
  <c r="AD40" i="29"/>
  <c r="B41" i="29"/>
  <c r="C41" i="29"/>
  <c r="D41" i="29"/>
  <c r="E41" i="29"/>
  <c r="F41" i="29"/>
  <c r="G41" i="29"/>
  <c r="H41" i="29"/>
  <c r="I41" i="29"/>
  <c r="J41" i="29"/>
  <c r="K41" i="29"/>
  <c r="L41" i="29"/>
  <c r="M41" i="29"/>
  <c r="S41" i="29"/>
  <c r="T41" i="29"/>
  <c r="U41" i="29"/>
  <c r="V41" i="29"/>
  <c r="W41" i="29"/>
  <c r="X41" i="29"/>
  <c r="Y41" i="29"/>
  <c r="Z41" i="29"/>
  <c r="AA41" i="29"/>
  <c r="AB41" i="29"/>
  <c r="AC41" i="29"/>
  <c r="AD41" i="29"/>
  <c r="B42" i="29"/>
  <c r="C42" i="29"/>
  <c r="D42" i="29"/>
  <c r="E42" i="29"/>
  <c r="F42" i="29"/>
  <c r="G42" i="29"/>
  <c r="H42" i="29"/>
  <c r="I42" i="29"/>
  <c r="J42" i="29"/>
  <c r="K42" i="29"/>
  <c r="L42" i="29"/>
  <c r="M42" i="29"/>
  <c r="S42" i="29"/>
  <c r="T42" i="29"/>
  <c r="U42" i="29"/>
  <c r="V42" i="29"/>
  <c r="W42" i="29"/>
  <c r="X42" i="29"/>
  <c r="Y42" i="29"/>
  <c r="Z42" i="29"/>
  <c r="AA42" i="29"/>
  <c r="AB42" i="29"/>
  <c r="AC42" i="29"/>
  <c r="AD42" i="29"/>
  <c r="B43" i="29"/>
  <c r="C43" i="29"/>
  <c r="D43" i="29"/>
  <c r="D105" i="29" s="1"/>
  <c r="E43" i="29"/>
  <c r="F43" i="29"/>
  <c r="G43" i="29"/>
  <c r="H43" i="29"/>
  <c r="I43" i="29"/>
  <c r="J43" i="29"/>
  <c r="J105" i="29" s="1"/>
  <c r="K43" i="29"/>
  <c r="L43" i="29"/>
  <c r="M43" i="29"/>
  <c r="S43" i="29"/>
  <c r="T43" i="29"/>
  <c r="U43" i="29"/>
  <c r="V43" i="29"/>
  <c r="W43" i="29"/>
  <c r="X43" i="29"/>
  <c r="Y43" i="29"/>
  <c r="Z43" i="29"/>
  <c r="AA43" i="29"/>
  <c r="AB43" i="29"/>
  <c r="AC43" i="29"/>
  <c r="AD43" i="29"/>
  <c r="B44" i="29"/>
  <c r="AE44" i="40" s="1"/>
  <c r="C44" i="29"/>
  <c r="D44" i="29"/>
  <c r="E44" i="29"/>
  <c r="F44" i="29"/>
  <c r="G44" i="29"/>
  <c r="H44" i="29"/>
  <c r="I44" i="29"/>
  <c r="J44" i="29"/>
  <c r="K44" i="29"/>
  <c r="L44" i="29"/>
  <c r="M44" i="29"/>
  <c r="S44" i="29"/>
  <c r="T44" i="29"/>
  <c r="U44" i="29"/>
  <c r="V44" i="29"/>
  <c r="W44" i="29"/>
  <c r="X44" i="29"/>
  <c r="Y44" i="29"/>
  <c r="Z44" i="29"/>
  <c r="AA44" i="29"/>
  <c r="AB44" i="29"/>
  <c r="AC44" i="29"/>
  <c r="AD44" i="29"/>
  <c r="B45" i="29"/>
  <c r="C45" i="29"/>
  <c r="D45" i="29"/>
  <c r="E45" i="29"/>
  <c r="F45" i="29"/>
  <c r="G45" i="29"/>
  <c r="H45" i="29"/>
  <c r="I45" i="29"/>
  <c r="J45" i="29"/>
  <c r="K45" i="29"/>
  <c r="L45" i="29"/>
  <c r="M45" i="29"/>
  <c r="S45" i="29"/>
  <c r="T45" i="29"/>
  <c r="U45" i="29"/>
  <c r="V45" i="29"/>
  <c r="W45" i="29"/>
  <c r="X45" i="29"/>
  <c r="Y45" i="29"/>
  <c r="Z45" i="29"/>
  <c r="AA45" i="29"/>
  <c r="AB45" i="29"/>
  <c r="AC45" i="29"/>
  <c r="AD45" i="29"/>
  <c r="AE45" i="29"/>
  <c r="B46" i="29"/>
  <c r="C46" i="29"/>
  <c r="C104" i="29" s="1"/>
  <c r="D46" i="29"/>
  <c r="E46" i="29"/>
  <c r="F46" i="29"/>
  <c r="G46" i="29"/>
  <c r="H46" i="29"/>
  <c r="I46" i="29"/>
  <c r="I104" i="29" s="1"/>
  <c r="J46" i="29"/>
  <c r="J104" i="29" s="1"/>
  <c r="K46" i="29"/>
  <c r="K104" i="29" s="1"/>
  <c r="L46" i="29"/>
  <c r="M46" i="29"/>
  <c r="M104" i="29" s="1"/>
  <c r="S46" i="29"/>
  <c r="T46" i="29"/>
  <c r="T104" i="29" s="1"/>
  <c r="U46" i="29"/>
  <c r="V46" i="29"/>
  <c r="V104" i="29" s="1"/>
  <c r="W46" i="29"/>
  <c r="W104" i="29" s="1"/>
  <c r="X46" i="29"/>
  <c r="Y46" i="29"/>
  <c r="Z46" i="29"/>
  <c r="Z104" i="29" s="1"/>
  <c r="AA46" i="29"/>
  <c r="AA104" i="29" s="1"/>
  <c r="AB46" i="29"/>
  <c r="AC46" i="29"/>
  <c r="AC104" i="29" s="1"/>
  <c r="AD46" i="29"/>
  <c r="AD104" i="29" s="1"/>
  <c r="B47" i="29"/>
  <c r="C47" i="29"/>
  <c r="D47" i="29"/>
  <c r="E47" i="29"/>
  <c r="F47" i="29"/>
  <c r="G47" i="29"/>
  <c r="H47" i="29"/>
  <c r="I47" i="29"/>
  <c r="J47" i="29"/>
  <c r="K47" i="29"/>
  <c r="L47" i="29"/>
  <c r="M47" i="29"/>
  <c r="S47" i="29"/>
  <c r="T47" i="29"/>
  <c r="U47" i="29"/>
  <c r="V47" i="29"/>
  <c r="V105" i="29" s="1"/>
  <c r="W47" i="29"/>
  <c r="X47" i="29"/>
  <c r="Y47" i="29"/>
  <c r="Z47" i="29"/>
  <c r="AA47" i="29"/>
  <c r="AB47" i="29"/>
  <c r="AC47" i="29"/>
  <c r="AD47" i="29"/>
  <c r="AD105" i="29" s="1"/>
  <c r="N53" i="29"/>
  <c r="N72" i="29" s="1"/>
  <c r="AE53" i="29"/>
  <c r="N54" i="29"/>
  <c r="AE54" i="29"/>
  <c r="N55" i="29"/>
  <c r="AE55" i="29"/>
  <c r="N56" i="29"/>
  <c r="AE56" i="29"/>
  <c r="N57" i="29"/>
  <c r="AE57" i="29"/>
  <c r="N58" i="29"/>
  <c r="AE58" i="29"/>
  <c r="N59" i="29"/>
  <c r="N112" i="29" s="1"/>
  <c r="AE59" i="29"/>
  <c r="N60" i="29"/>
  <c r="AE60" i="29"/>
  <c r="N61" i="29"/>
  <c r="AE61" i="29"/>
  <c r="N62" i="29"/>
  <c r="AE62" i="29"/>
  <c r="N63" i="29"/>
  <c r="AE63" i="29"/>
  <c r="N64" i="29"/>
  <c r="AE64" i="29"/>
  <c r="N65" i="29"/>
  <c r="AE65" i="29"/>
  <c r="N66" i="29"/>
  <c r="AE66" i="29"/>
  <c r="N67" i="29"/>
  <c r="N115" i="29" s="1"/>
  <c r="AE67" i="29"/>
  <c r="N68" i="29"/>
  <c r="AE68" i="29"/>
  <c r="N69" i="29"/>
  <c r="AE69" i="29"/>
  <c r="AE116" i="29" s="1"/>
  <c r="N70" i="29"/>
  <c r="AE70" i="29"/>
  <c r="N71" i="29"/>
  <c r="AE71" i="29"/>
  <c r="B72" i="29"/>
  <c r="C72" i="29"/>
  <c r="D72" i="29"/>
  <c r="E72" i="29"/>
  <c r="F72" i="29"/>
  <c r="G72" i="29"/>
  <c r="H72" i="29"/>
  <c r="I72" i="29"/>
  <c r="J72" i="29"/>
  <c r="K72" i="29"/>
  <c r="L72" i="29"/>
  <c r="M72" i="29"/>
  <c r="S72" i="29"/>
  <c r="T72" i="29"/>
  <c r="U72" i="29"/>
  <c r="V72" i="29"/>
  <c r="W72" i="29"/>
  <c r="X72" i="29"/>
  <c r="Y72" i="29"/>
  <c r="Z72" i="29"/>
  <c r="AA72" i="29"/>
  <c r="AB72" i="29"/>
  <c r="AC72" i="29"/>
  <c r="AD72" i="29"/>
  <c r="N76" i="29"/>
  <c r="AE76" i="29"/>
  <c r="N77" i="29"/>
  <c r="AE77" i="29"/>
  <c r="N78" i="29"/>
  <c r="AE78" i="29"/>
  <c r="N79" i="29"/>
  <c r="AE79" i="29"/>
  <c r="N80" i="29"/>
  <c r="AE80" i="29"/>
  <c r="N81" i="29"/>
  <c r="AE81" i="29"/>
  <c r="N82" i="29"/>
  <c r="AE82" i="29"/>
  <c r="B83" i="29"/>
  <c r="C83" i="29"/>
  <c r="D83" i="29"/>
  <c r="E83" i="29"/>
  <c r="F83" i="29"/>
  <c r="G83" i="29"/>
  <c r="H83" i="29"/>
  <c r="I83" i="29"/>
  <c r="J83" i="29"/>
  <c r="K83" i="29"/>
  <c r="L83" i="29"/>
  <c r="M83" i="29"/>
  <c r="S83" i="29"/>
  <c r="T83" i="29"/>
  <c r="U83" i="29"/>
  <c r="V83" i="29"/>
  <c r="W83" i="29"/>
  <c r="X83" i="29"/>
  <c r="Y83" i="29"/>
  <c r="Z83" i="29"/>
  <c r="AA83" i="29"/>
  <c r="AB83" i="29"/>
  <c r="AC83" i="29"/>
  <c r="AD83" i="29"/>
  <c r="N85" i="29"/>
  <c r="AE85" i="29"/>
  <c r="S90" i="29"/>
  <c r="T90" i="29"/>
  <c r="U90" i="29"/>
  <c r="V90" i="29"/>
  <c r="W90" i="29"/>
  <c r="X90" i="29"/>
  <c r="Y90" i="29"/>
  <c r="Z90" i="29"/>
  <c r="AA90" i="29"/>
  <c r="AB90" i="29"/>
  <c r="AC90" i="29"/>
  <c r="AD90" i="29"/>
  <c r="I102" i="29"/>
  <c r="D103" i="29"/>
  <c r="E103" i="29"/>
  <c r="G103" i="29"/>
  <c r="H103" i="29"/>
  <c r="L103" i="29"/>
  <c r="M103" i="29"/>
  <c r="T103" i="29"/>
  <c r="X103" i="29"/>
  <c r="Z103" i="29"/>
  <c r="AB103" i="29"/>
  <c r="D104" i="29"/>
  <c r="E104" i="29"/>
  <c r="F104" i="29"/>
  <c r="G104" i="29"/>
  <c r="H104" i="29"/>
  <c r="L104" i="29"/>
  <c r="S104" i="29"/>
  <c r="X104" i="29"/>
  <c r="Y104" i="29"/>
  <c r="AB104" i="29"/>
  <c r="C105" i="29"/>
  <c r="K105" i="29"/>
  <c r="X105" i="29"/>
  <c r="B111" i="29"/>
  <c r="C111" i="29"/>
  <c r="D111" i="29"/>
  <c r="D117" i="29" s="1"/>
  <c r="D119" i="29" s="1"/>
  <c r="E111" i="29"/>
  <c r="F111" i="29"/>
  <c r="G111" i="29"/>
  <c r="H111" i="29"/>
  <c r="I111" i="29"/>
  <c r="J111" i="29"/>
  <c r="K111" i="29"/>
  <c r="L111" i="29"/>
  <c r="M111" i="29"/>
  <c r="N111" i="29"/>
  <c r="S111" i="29"/>
  <c r="T111" i="29"/>
  <c r="U111" i="29"/>
  <c r="V111" i="29"/>
  <c r="W111" i="29"/>
  <c r="X111" i="29"/>
  <c r="Y111" i="29"/>
  <c r="Z111" i="29"/>
  <c r="AA111" i="29"/>
  <c r="AB111" i="29"/>
  <c r="AC111" i="29"/>
  <c r="AD111" i="29"/>
  <c r="B112" i="29"/>
  <c r="C112" i="29"/>
  <c r="D112" i="29"/>
  <c r="E112" i="29"/>
  <c r="F112" i="29"/>
  <c r="G112" i="29"/>
  <c r="G117" i="29" s="1"/>
  <c r="H112" i="29"/>
  <c r="I112" i="29"/>
  <c r="J112" i="29"/>
  <c r="K112" i="29"/>
  <c r="L112" i="29"/>
  <c r="M112" i="29"/>
  <c r="S112" i="29"/>
  <c r="T112" i="29"/>
  <c r="U112" i="29"/>
  <c r="V112" i="29"/>
  <c r="W112" i="29"/>
  <c r="X112" i="29"/>
  <c r="Y112" i="29"/>
  <c r="Z112" i="29"/>
  <c r="AA112" i="29"/>
  <c r="AB112" i="29"/>
  <c r="AC112" i="29"/>
  <c r="AD112" i="29"/>
  <c r="B113" i="29"/>
  <c r="C113" i="29"/>
  <c r="D113" i="29"/>
  <c r="E113" i="29"/>
  <c r="F113" i="29"/>
  <c r="G113" i="29"/>
  <c r="H113" i="29"/>
  <c r="I113" i="29"/>
  <c r="J113" i="29"/>
  <c r="K113" i="29"/>
  <c r="L113" i="29"/>
  <c r="M113" i="29"/>
  <c r="N113" i="29"/>
  <c r="S113" i="29"/>
  <c r="T113" i="29"/>
  <c r="U113" i="29"/>
  <c r="V113" i="29"/>
  <c r="W113" i="29"/>
  <c r="X113" i="29"/>
  <c r="Y113" i="29"/>
  <c r="Z113" i="29"/>
  <c r="AA113" i="29"/>
  <c r="AB113" i="29"/>
  <c r="AC113" i="29"/>
  <c r="AD113" i="29"/>
  <c r="AD117" i="29" s="1"/>
  <c r="AD119" i="29" s="1"/>
  <c r="AE113" i="29"/>
  <c r="B114" i="29"/>
  <c r="C114" i="29"/>
  <c r="D114" i="29"/>
  <c r="E114" i="29"/>
  <c r="F114" i="29"/>
  <c r="G114" i="29"/>
  <c r="H114" i="29"/>
  <c r="I114" i="29"/>
  <c r="J114" i="29"/>
  <c r="K114" i="29"/>
  <c r="L114" i="29"/>
  <c r="M114" i="29"/>
  <c r="N114" i="29"/>
  <c r="S114" i="29"/>
  <c r="T114" i="29"/>
  <c r="U114" i="29"/>
  <c r="V114" i="29"/>
  <c r="W114" i="29"/>
  <c r="X114" i="29"/>
  <c r="Y114" i="29"/>
  <c r="Z114" i="29"/>
  <c r="AA114" i="29"/>
  <c r="AB114" i="29"/>
  <c r="AC114" i="29"/>
  <c r="AD114" i="29"/>
  <c r="B115" i="29"/>
  <c r="C115" i="29"/>
  <c r="D115" i="29"/>
  <c r="E115" i="29"/>
  <c r="F115" i="29"/>
  <c r="G115" i="29"/>
  <c r="H115" i="29"/>
  <c r="I115" i="29"/>
  <c r="J115" i="29"/>
  <c r="K115" i="29"/>
  <c r="L115" i="29"/>
  <c r="M115" i="29"/>
  <c r="S115" i="29"/>
  <c r="T115" i="29"/>
  <c r="U115" i="29"/>
  <c r="V115" i="29"/>
  <c r="W115" i="29"/>
  <c r="X115" i="29"/>
  <c r="Y115" i="29"/>
  <c r="Z115" i="29"/>
  <c r="AA115" i="29"/>
  <c r="AB115" i="29"/>
  <c r="AC115" i="29"/>
  <c r="AD115" i="29"/>
  <c r="AE115" i="29"/>
  <c r="B116" i="29"/>
  <c r="C116" i="29"/>
  <c r="D116" i="29"/>
  <c r="E116" i="29"/>
  <c r="F116" i="29"/>
  <c r="G116" i="29"/>
  <c r="H116" i="29"/>
  <c r="I116" i="29"/>
  <c r="I117" i="29" s="1"/>
  <c r="I119" i="29" s="1"/>
  <c r="J116" i="29"/>
  <c r="K116" i="29"/>
  <c r="L116" i="29"/>
  <c r="M116" i="29"/>
  <c r="N116" i="29"/>
  <c r="S116" i="29"/>
  <c r="T116" i="29"/>
  <c r="U116" i="29"/>
  <c r="V116" i="29"/>
  <c r="W116" i="29"/>
  <c r="X116" i="29"/>
  <c r="Y116" i="29"/>
  <c r="Z116" i="29"/>
  <c r="AA116" i="29"/>
  <c r="AB116" i="29"/>
  <c r="AC116" i="29"/>
  <c r="AC117" i="29" s="1"/>
  <c r="AC119" i="29" s="1"/>
  <c r="AD116" i="29"/>
  <c r="H117" i="29"/>
  <c r="H119" i="29" s="1"/>
  <c r="V117" i="29"/>
  <c r="V119" i="29" s="1"/>
  <c r="N2" i="20"/>
  <c r="B3" i="20"/>
  <c r="B3" i="48" s="1"/>
  <c r="C3" i="20"/>
  <c r="D3" i="48" s="1"/>
  <c r="D36" i="48" s="1"/>
  <c r="D3" i="20"/>
  <c r="E3" i="20"/>
  <c r="H3" i="48" s="1"/>
  <c r="H39" i="48" s="1"/>
  <c r="F3" i="20"/>
  <c r="J3" i="48" s="1"/>
  <c r="J40" i="48" s="1"/>
  <c r="G3" i="20"/>
  <c r="H3" i="20"/>
  <c r="I3" i="20"/>
  <c r="P3" i="48" s="1"/>
  <c r="P40" i="48" s="1"/>
  <c r="J3" i="20"/>
  <c r="R3" i="48" s="1"/>
  <c r="K3" i="20"/>
  <c r="T3" i="48" s="1"/>
  <c r="L3" i="20"/>
  <c r="M3" i="20"/>
  <c r="X3" i="48" s="1"/>
  <c r="X35" i="48" s="1"/>
  <c r="C5" i="20"/>
  <c r="D5" i="20"/>
  <c r="E5" i="20"/>
  <c r="F5" i="20"/>
  <c r="G5" i="20"/>
  <c r="H5" i="20"/>
  <c r="I5" i="20"/>
  <c r="J5" i="20"/>
  <c r="K5" i="20"/>
  <c r="L5" i="20"/>
  <c r="M5" i="20"/>
  <c r="G6" i="20"/>
  <c r="D7" i="20"/>
  <c r="B1" i="16"/>
  <c r="D1" i="16"/>
  <c r="F1" i="16"/>
  <c r="H1" i="16"/>
  <c r="J1" i="16"/>
  <c r="L1" i="16"/>
  <c r="N1" i="16"/>
  <c r="P1" i="16"/>
  <c r="R1" i="16"/>
  <c r="T1" i="16"/>
  <c r="V1" i="16"/>
  <c r="X1" i="16"/>
  <c r="B3" i="16"/>
  <c r="D4" i="16"/>
  <c r="F4" i="16" s="1"/>
  <c r="H4" i="16" s="1"/>
  <c r="J4" i="16" s="1"/>
  <c r="L4" i="16" s="1"/>
  <c r="N4" i="16" s="1"/>
  <c r="P4" i="16" s="1"/>
  <c r="R4" i="16" s="1"/>
  <c r="T4" i="16" s="1"/>
  <c r="V4" i="16" s="1"/>
  <c r="X4" i="16" s="1"/>
  <c r="Z4" i="16" s="1"/>
  <c r="Z8" i="16"/>
  <c r="Z9" i="16"/>
  <c r="Z10" i="16"/>
  <c r="R11" i="16"/>
  <c r="Z12" i="16"/>
  <c r="Z18" i="16"/>
  <c r="F21" i="4"/>
  <c r="F148" i="4" s="1"/>
  <c r="Z23" i="16"/>
  <c r="Z24" i="16"/>
  <c r="Z25" i="16"/>
  <c r="Z27" i="16"/>
  <c r="Z28" i="16"/>
  <c r="Z30" i="16"/>
  <c r="Z39" i="16"/>
  <c r="Z40" i="16"/>
  <c r="Z41" i="16"/>
  <c r="Z43" i="16"/>
  <c r="Z45" i="16"/>
  <c r="AB47" i="16"/>
  <c r="AB49" i="16"/>
  <c r="B68" i="16"/>
  <c r="B69" i="16" s="1"/>
  <c r="D68" i="16"/>
  <c r="D69" i="16" s="1"/>
  <c r="F68" i="16"/>
  <c r="F69" i="16" s="1"/>
  <c r="H68" i="16"/>
  <c r="H69" i="16" s="1"/>
  <c r="J68" i="16"/>
  <c r="J69" i="16" s="1"/>
  <c r="L68" i="16"/>
  <c r="L69" i="16" s="1"/>
  <c r="N68" i="16"/>
  <c r="P68" i="16"/>
  <c r="P69" i="16" s="1"/>
  <c r="V68" i="16"/>
  <c r="V69" i="16" s="1"/>
  <c r="X68" i="16"/>
  <c r="X69" i="16" s="1"/>
  <c r="N69" i="16"/>
  <c r="B71" i="16"/>
  <c r="B72" i="16" s="1"/>
  <c r="D71" i="16"/>
  <c r="D72" i="16" s="1"/>
  <c r="F71" i="16"/>
  <c r="F72" i="16" s="1"/>
  <c r="H71" i="16"/>
  <c r="H72" i="16" s="1"/>
  <c r="J71" i="16"/>
  <c r="J72" i="16" s="1"/>
  <c r="L71" i="16"/>
  <c r="L72" i="16" s="1"/>
  <c r="N71" i="16"/>
  <c r="N72" i="16" s="1"/>
  <c r="P71" i="16"/>
  <c r="P72" i="16" s="1"/>
  <c r="R71" i="16"/>
  <c r="R72" i="16" s="1"/>
  <c r="T71" i="16"/>
  <c r="T72" i="16" s="1"/>
  <c r="V71" i="16"/>
  <c r="V72" i="16" s="1"/>
  <c r="X71" i="16"/>
  <c r="X72" i="16" s="1"/>
  <c r="B104" i="16"/>
  <c r="D104" i="16"/>
  <c r="F104" i="16"/>
  <c r="A1" i="4"/>
  <c r="B1" i="4"/>
  <c r="D1" i="4"/>
  <c r="F1" i="4"/>
  <c r="H1" i="4"/>
  <c r="J1" i="4"/>
  <c r="L1" i="4"/>
  <c r="N1" i="4"/>
  <c r="P1" i="4"/>
  <c r="R1" i="4"/>
  <c r="T1" i="4"/>
  <c r="V1" i="4"/>
  <c r="X1" i="4"/>
  <c r="D4" i="4"/>
  <c r="F4" i="4" s="1"/>
  <c r="H4" i="4" s="1"/>
  <c r="J4" i="4" s="1"/>
  <c r="L4" i="4" s="1"/>
  <c r="N4" i="4" s="1"/>
  <c r="P4" i="4" s="1"/>
  <c r="R4" i="4" s="1"/>
  <c r="T4" i="4" s="1"/>
  <c r="V4" i="4" s="1"/>
  <c r="X4" i="4" s="1"/>
  <c r="Z4" i="4" s="1"/>
  <c r="B8" i="4"/>
  <c r="D8" i="4"/>
  <c r="F8" i="4"/>
  <c r="H8" i="4"/>
  <c r="J8" i="4"/>
  <c r="L8" i="4"/>
  <c r="N8" i="4"/>
  <c r="P8" i="4"/>
  <c r="R8" i="4"/>
  <c r="T8" i="4"/>
  <c r="V8" i="4"/>
  <c r="X8" i="4"/>
  <c r="B9" i="4"/>
  <c r="D9" i="4"/>
  <c r="F9" i="4"/>
  <c r="H9" i="4"/>
  <c r="J9" i="4"/>
  <c r="L9" i="4"/>
  <c r="N9" i="4"/>
  <c r="P9" i="4"/>
  <c r="R9" i="4"/>
  <c r="T9" i="4"/>
  <c r="V9" i="4"/>
  <c r="X9" i="4"/>
  <c r="B10" i="4"/>
  <c r="D10" i="4"/>
  <c r="F10" i="4"/>
  <c r="H10" i="4"/>
  <c r="J10" i="4"/>
  <c r="L10" i="4"/>
  <c r="N10" i="4"/>
  <c r="P10" i="4"/>
  <c r="R10" i="4"/>
  <c r="T10" i="4"/>
  <c r="V10" i="4"/>
  <c r="X10" i="4"/>
  <c r="B11" i="4"/>
  <c r="D11" i="4"/>
  <c r="F11" i="4"/>
  <c r="H11" i="4"/>
  <c r="J11" i="4"/>
  <c r="L11" i="4"/>
  <c r="N11" i="4"/>
  <c r="P11" i="4"/>
  <c r="T11" i="4"/>
  <c r="V11" i="4"/>
  <c r="X11" i="4"/>
  <c r="B16" i="4"/>
  <c r="B143" i="4" s="1"/>
  <c r="D16" i="4"/>
  <c r="D143" i="4" s="1"/>
  <c r="F16" i="4"/>
  <c r="H16" i="4"/>
  <c r="J16" i="4"/>
  <c r="L16" i="4"/>
  <c r="L143" i="4" s="1"/>
  <c r="P16" i="4"/>
  <c r="R16" i="4"/>
  <c r="T16" i="4"/>
  <c r="T143" i="4" s="1"/>
  <c r="V16" i="4"/>
  <c r="V143" i="4" s="1"/>
  <c r="X16" i="4"/>
  <c r="B17" i="4"/>
  <c r="B144" i="4" s="1"/>
  <c r="F17" i="4"/>
  <c r="F144" i="4" s="1"/>
  <c r="H17" i="4"/>
  <c r="H144" i="4" s="1"/>
  <c r="J17" i="4"/>
  <c r="J144" i="4" s="1"/>
  <c r="L17" i="4"/>
  <c r="L144" i="4" s="1"/>
  <c r="N17" i="4"/>
  <c r="R17" i="4"/>
  <c r="R144" i="4" s="1"/>
  <c r="T17" i="4"/>
  <c r="V17" i="4"/>
  <c r="V144" i="4" s="1"/>
  <c r="X17" i="4"/>
  <c r="X144" i="4" s="1"/>
  <c r="B18" i="4"/>
  <c r="B145" i="4" s="1"/>
  <c r="D18" i="4"/>
  <c r="F18" i="4"/>
  <c r="F145" i="4" s="1"/>
  <c r="H18" i="4"/>
  <c r="J18" i="4"/>
  <c r="L18" i="4"/>
  <c r="N18" i="4"/>
  <c r="N145" i="4" s="1"/>
  <c r="P18" i="4"/>
  <c r="P145" i="4" s="1"/>
  <c r="R18" i="4"/>
  <c r="R145" i="4" s="1"/>
  <c r="T18" i="4"/>
  <c r="V18" i="4"/>
  <c r="V145" i="4" s="1"/>
  <c r="X18" i="4"/>
  <c r="X145" i="4" s="1"/>
  <c r="B19" i="4"/>
  <c r="B146" i="4" s="1"/>
  <c r="D19" i="4"/>
  <c r="D146" i="4" s="1"/>
  <c r="F19" i="4"/>
  <c r="F146" i="4" s="1"/>
  <c r="H19" i="4"/>
  <c r="J19" i="4"/>
  <c r="L19" i="4"/>
  <c r="L146" i="4" s="1"/>
  <c r="N19" i="4"/>
  <c r="N146" i="4" s="1"/>
  <c r="P19" i="4"/>
  <c r="P146" i="4" s="1"/>
  <c r="R19" i="4"/>
  <c r="R146" i="4" s="1"/>
  <c r="T19" i="4"/>
  <c r="T146" i="4" s="1"/>
  <c r="V19" i="4"/>
  <c r="V146" i="4" s="1"/>
  <c r="X19" i="4"/>
  <c r="B20" i="4"/>
  <c r="D20" i="4"/>
  <c r="F20" i="4"/>
  <c r="F147" i="4" s="1"/>
  <c r="H20" i="4"/>
  <c r="H147" i="4" s="1"/>
  <c r="J20" i="4"/>
  <c r="L20" i="4"/>
  <c r="L147" i="4" s="1"/>
  <c r="N20" i="4"/>
  <c r="N147" i="4" s="1"/>
  <c r="P20" i="4"/>
  <c r="P147" i="4" s="1"/>
  <c r="R20" i="4"/>
  <c r="R147" i="4" s="1"/>
  <c r="T20" i="4"/>
  <c r="T147" i="4" s="1"/>
  <c r="V20" i="4"/>
  <c r="X20" i="4"/>
  <c r="X147" i="4" s="1"/>
  <c r="B21" i="4"/>
  <c r="B148" i="4" s="1"/>
  <c r="D21" i="4"/>
  <c r="D148" i="4" s="1"/>
  <c r="H21" i="4"/>
  <c r="J21" i="4"/>
  <c r="J148" i="4" s="1"/>
  <c r="L21" i="4"/>
  <c r="N21" i="4"/>
  <c r="N148" i="4" s="1"/>
  <c r="P21" i="4"/>
  <c r="R21" i="4"/>
  <c r="T21" i="4"/>
  <c r="T148" i="4" s="1"/>
  <c r="V21" i="4"/>
  <c r="D22" i="4"/>
  <c r="F22" i="4"/>
  <c r="F149" i="4" s="1"/>
  <c r="H22" i="4"/>
  <c r="H149" i="4" s="1"/>
  <c r="J22" i="4"/>
  <c r="L22" i="4"/>
  <c r="N22" i="4"/>
  <c r="N149" i="4" s="1"/>
  <c r="P22" i="4"/>
  <c r="P149" i="4" s="1"/>
  <c r="R22" i="4"/>
  <c r="T22" i="4"/>
  <c r="T149" i="4" s="1"/>
  <c r="V22" i="4"/>
  <c r="V149" i="4" s="1"/>
  <c r="X22" i="4"/>
  <c r="B23" i="4"/>
  <c r="B150" i="4" s="1"/>
  <c r="D23" i="4"/>
  <c r="F23" i="4"/>
  <c r="F150" i="4" s="1"/>
  <c r="H23" i="4"/>
  <c r="H150" i="4" s="1"/>
  <c r="J23" i="4"/>
  <c r="L23" i="4"/>
  <c r="L150" i="4" s="1"/>
  <c r="N23" i="4"/>
  <c r="P23" i="4"/>
  <c r="P150" i="4" s="1"/>
  <c r="R23" i="4"/>
  <c r="R150" i="4" s="1"/>
  <c r="T23" i="4"/>
  <c r="V23" i="4"/>
  <c r="V150" i="4" s="1"/>
  <c r="X23" i="4"/>
  <c r="X150" i="4" s="1"/>
  <c r="B24" i="4"/>
  <c r="B151" i="4" s="1"/>
  <c r="D24" i="4"/>
  <c r="F24" i="4"/>
  <c r="F151" i="4" s="1"/>
  <c r="H24" i="4"/>
  <c r="H151" i="4" s="1"/>
  <c r="J24" i="4"/>
  <c r="J151" i="4" s="1"/>
  <c r="L24" i="4"/>
  <c r="N24" i="4"/>
  <c r="N151" i="4" s="1"/>
  <c r="P24" i="4"/>
  <c r="P151" i="4" s="1"/>
  <c r="R24" i="4"/>
  <c r="T24" i="4"/>
  <c r="T151" i="4" s="1"/>
  <c r="V24" i="4"/>
  <c r="V151" i="4" s="1"/>
  <c r="X24" i="4"/>
  <c r="B25" i="4"/>
  <c r="B152" i="4" s="1"/>
  <c r="D25" i="4"/>
  <c r="D152" i="4" s="1"/>
  <c r="F25" i="4"/>
  <c r="H25" i="4"/>
  <c r="H152" i="4" s="1"/>
  <c r="J25" i="4"/>
  <c r="J152" i="4" s="1"/>
  <c r="L25" i="4"/>
  <c r="L152" i="4" s="1"/>
  <c r="N25" i="4"/>
  <c r="N152" i="4" s="1"/>
  <c r="P25" i="4"/>
  <c r="R25" i="4"/>
  <c r="R152" i="4" s="1"/>
  <c r="T25" i="4"/>
  <c r="V25" i="4"/>
  <c r="V152" i="4" s="1"/>
  <c r="X25" i="4"/>
  <c r="B27" i="4"/>
  <c r="B154" i="4" s="1"/>
  <c r="D27" i="4"/>
  <c r="D154" i="4" s="1"/>
  <c r="F27" i="4"/>
  <c r="F154" i="4" s="1"/>
  <c r="H27" i="4"/>
  <c r="H154" i="4" s="1"/>
  <c r="J27" i="4"/>
  <c r="J154" i="4" s="1"/>
  <c r="L27" i="4"/>
  <c r="L154" i="4" s="1"/>
  <c r="N27" i="4"/>
  <c r="P27" i="4"/>
  <c r="R27" i="4"/>
  <c r="R154" i="4" s="1"/>
  <c r="T27" i="4"/>
  <c r="T154" i="4" s="1"/>
  <c r="V27" i="4"/>
  <c r="V154" i="4" s="1"/>
  <c r="X27" i="4"/>
  <c r="X154" i="4" s="1"/>
  <c r="B28" i="4"/>
  <c r="F28" i="4"/>
  <c r="F129" i="4" s="1"/>
  <c r="H28" i="4"/>
  <c r="H129" i="4" s="1"/>
  <c r="J28" i="4"/>
  <c r="J129" i="4" s="1"/>
  <c r="L28" i="4"/>
  <c r="N28" i="4"/>
  <c r="N129" i="4" s="1"/>
  <c r="P28" i="4"/>
  <c r="R28" i="4"/>
  <c r="R129" i="4" s="1"/>
  <c r="T28" i="4"/>
  <c r="V28" i="4"/>
  <c r="X28" i="4"/>
  <c r="X129" i="4" s="1"/>
  <c r="B30" i="4"/>
  <c r="D30" i="4"/>
  <c r="D131" i="4" s="1"/>
  <c r="F30" i="4"/>
  <c r="F131" i="4" s="1"/>
  <c r="H30" i="4"/>
  <c r="H131" i="4" s="1"/>
  <c r="J30" i="4"/>
  <c r="L30" i="4"/>
  <c r="L131" i="4" s="1"/>
  <c r="N30" i="4"/>
  <c r="N131" i="4" s="1"/>
  <c r="P30" i="4"/>
  <c r="P131" i="4" s="1"/>
  <c r="R30" i="4"/>
  <c r="T30" i="4"/>
  <c r="T131" i="4" s="1"/>
  <c r="V30" i="4"/>
  <c r="X30" i="4"/>
  <c r="B32" i="4"/>
  <c r="B133" i="4" s="1"/>
  <c r="D32" i="4"/>
  <c r="D133" i="4" s="1"/>
  <c r="F32" i="4"/>
  <c r="F133" i="4" s="1"/>
  <c r="H32" i="4"/>
  <c r="H133" i="4" s="1"/>
  <c r="J32" i="4"/>
  <c r="J133" i="4" s="1"/>
  <c r="L32" i="4"/>
  <c r="L133" i="4" s="1"/>
  <c r="N32" i="4"/>
  <c r="N133" i="4" s="1"/>
  <c r="P32" i="4"/>
  <c r="P133" i="4" s="1"/>
  <c r="R32" i="4"/>
  <c r="R133" i="4" s="1"/>
  <c r="T32" i="4"/>
  <c r="T133" i="4" s="1"/>
  <c r="V32" i="4"/>
  <c r="V133" i="4" s="1"/>
  <c r="X32" i="4"/>
  <c r="X133" i="4" s="1"/>
  <c r="B34" i="4"/>
  <c r="D34" i="4"/>
  <c r="F34" i="4"/>
  <c r="H34" i="4"/>
  <c r="J34" i="4"/>
  <c r="N34" i="4"/>
  <c r="P34" i="4"/>
  <c r="R34" i="4"/>
  <c r="T34" i="4"/>
  <c r="V34" i="4"/>
  <c r="X34" i="4"/>
  <c r="B35" i="4"/>
  <c r="B135" i="4" s="1"/>
  <c r="D35" i="4"/>
  <c r="F35" i="4"/>
  <c r="H35" i="4"/>
  <c r="L35" i="4"/>
  <c r="P35" i="4"/>
  <c r="R35" i="4"/>
  <c r="R135" i="4" s="1"/>
  <c r="T35" i="4"/>
  <c r="T135" i="4" s="1"/>
  <c r="V35" i="4"/>
  <c r="X35" i="4"/>
  <c r="X135" i="4" s="1"/>
  <c r="H36" i="4"/>
  <c r="H136" i="4" s="1"/>
  <c r="J36" i="4"/>
  <c r="J136" i="4" s="1"/>
  <c r="L36" i="4"/>
  <c r="L136" i="4" s="1"/>
  <c r="N36" i="4"/>
  <c r="P36" i="4"/>
  <c r="P136" i="4" s="1"/>
  <c r="R36" i="4"/>
  <c r="R136" i="4" s="1"/>
  <c r="T36" i="4"/>
  <c r="T136" i="4" s="1"/>
  <c r="V36" i="4"/>
  <c r="X36" i="4"/>
  <c r="X136" i="4" s="1"/>
  <c r="B38" i="4"/>
  <c r="D38" i="4"/>
  <c r="F38" i="4"/>
  <c r="H38" i="4"/>
  <c r="J38" i="4"/>
  <c r="L38" i="4"/>
  <c r="N38" i="4"/>
  <c r="P38" i="4"/>
  <c r="R38" i="4"/>
  <c r="T38" i="4"/>
  <c r="V38" i="4"/>
  <c r="X38" i="4"/>
  <c r="B39" i="4"/>
  <c r="D39" i="4"/>
  <c r="F39" i="4"/>
  <c r="H39" i="4"/>
  <c r="J39" i="4"/>
  <c r="L39" i="4"/>
  <c r="N39" i="4"/>
  <c r="P39" i="4"/>
  <c r="R39" i="4"/>
  <c r="T39" i="4"/>
  <c r="V39" i="4"/>
  <c r="X39" i="4"/>
  <c r="B40" i="4"/>
  <c r="D40" i="4"/>
  <c r="F40" i="4"/>
  <c r="H40" i="4"/>
  <c r="J40" i="4"/>
  <c r="L40" i="4"/>
  <c r="N40" i="4"/>
  <c r="P40" i="4"/>
  <c r="R40" i="4"/>
  <c r="T40" i="4"/>
  <c r="V40" i="4"/>
  <c r="X40" i="4"/>
  <c r="B41" i="4"/>
  <c r="D41" i="4"/>
  <c r="F41" i="4"/>
  <c r="H41" i="4"/>
  <c r="J41" i="4"/>
  <c r="L41" i="4"/>
  <c r="N41" i="4"/>
  <c r="P41" i="4"/>
  <c r="R41" i="4"/>
  <c r="T41" i="4"/>
  <c r="V41" i="4"/>
  <c r="X41" i="4"/>
  <c r="B43" i="4"/>
  <c r="D43" i="4"/>
  <c r="F43" i="4"/>
  <c r="H43" i="4"/>
  <c r="J43" i="4"/>
  <c r="L43" i="4"/>
  <c r="N43" i="4"/>
  <c r="P43" i="4"/>
  <c r="R43" i="4"/>
  <c r="T43" i="4"/>
  <c r="V43" i="4"/>
  <c r="X43" i="4"/>
  <c r="B44" i="4"/>
  <c r="D44" i="4"/>
  <c r="F44" i="4"/>
  <c r="H44" i="4"/>
  <c r="J44" i="4"/>
  <c r="L44" i="4"/>
  <c r="N44" i="4"/>
  <c r="P44" i="4"/>
  <c r="R44" i="4"/>
  <c r="T44" i="4"/>
  <c r="V44" i="4"/>
  <c r="B45" i="4"/>
  <c r="D45" i="4"/>
  <c r="F45" i="4"/>
  <c r="H45" i="4"/>
  <c r="J45" i="4"/>
  <c r="L45" i="4"/>
  <c r="N45" i="4"/>
  <c r="P45" i="4"/>
  <c r="R45" i="4"/>
  <c r="T45" i="4"/>
  <c r="V45" i="4"/>
  <c r="X45" i="4"/>
  <c r="B46" i="4"/>
  <c r="B110" i="4" s="1"/>
  <c r="D46" i="4"/>
  <c r="D110" i="4" s="1"/>
  <c r="H46" i="4"/>
  <c r="H110" i="4" s="1"/>
  <c r="J46" i="4"/>
  <c r="J110" i="4" s="1"/>
  <c r="N46" i="4"/>
  <c r="N110" i="4" s="1"/>
  <c r="P46" i="4"/>
  <c r="P110" i="4" s="1"/>
  <c r="R46" i="4"/>
  <c r="R110" i="4" s="1"/>
  <c r="T46" i="4"/>
  <c r="T110" i="4" s="1"/>
  <c r="V46" i="4"/>
  <c r="V110" i="4" s="1"/>
  <c r="X46" i="4"/>
  <c r="Z52" i="4"/>
  <c r="J117" i="4"/>
  <c r="J120" i="4"/>
  <c r="Z58" i="4"/>
  <c r="Z59" i="4"/>
  <c r="R118" i="4"/>
  <c r="T118" i="4"/>
  <c r="Z62" i="4"/>
  <c r="N119" i="4"/>
  <c r="Z64" i="4"/>
  <c r="Z66" i="4"/>
  <c r="R121" i="4"/>
  <c r="Z68" i="4"/>
  <c r="D122" i="4"/>
  <c r="Z70" i="4"/>
  <c r="F72" i="4"/>
  <c r="V72" i="4"/>
  <c r="Z76" i="4"/>
  <c r="Z77" i="4"/>
  <c r="Z80" i="4"/>
  <c r="B117" i="4"/>
  <c r="D117" i="4"/>
  <c r="F117" i="4"/>
  <c r="L117" i="4"/>
  <c r="N117" i="4"/>
  <c r="P117" i="4"/>
  <c r="V117" i="4"/>
  <c r="B118" i="4"/>
  <c r="F118" i="4"/>
  <c r="L118" i="4"/>
  <c r="N118" i="4"/>
  <c r="P118" i="4"/>
  <c r="V118" i="4"/>
  <c r="X118" i="4"/>
  <c r="B119" i="4"/>
  <c r="D119" i="4"/>
  <c r="F119" i="4"/>
  <c r="H119" i="4"/>
  <c r="L119" i="4"/>
  <c r="P119" i="4"/>
  <c r="R119" i="4"/>
  <c r="T119" i="4"/>
  <c r="V119" i="4"/>
  <c r="X119" i="4"/>
  <c r="B120" i="4"/>
  <c r="D120" i="4"/>
  <c r="F120" i="4"/>
  <c r="H120" i="4"/>
  <c r="N120" i="4"/>
  <c r="P120" i="4"/>
  <c r="R120" i="4"/>
  <c r="T120" i="4"/>
  <c r="V120" i="4"/>
  <c r="X120" i="4"/>
  <c r="B121" i="4"/>
  <c r="D121" i="4"/>
  <c r="F121" i="4"/>
  <c r="H121" i="4"/>
  <c r="L121" i="4"/>
  <c r="N121" i="4"/>
  <c r="P121" i="4"/>
  <c r="V121" i="4"/>
  <c r="X121" i="4"/>
  <c r="B122" i="4"/>
  <c r="F122" i="4"/>
  <c r="J122" i="4"/>
  <c r="L122" i="4"/>
  <c r="N122" i="4"/>
  <c r="P122" i="4"/>
  <c r="R122" i="4"/>
  <c r="T122" i="4"/>
  <c r="V122" i="4"/>
  <c r="X122" i="4"/>
  <c r="A129" i="4"/>
  <c r="A130" i="4"/>
  <c r="A131" i="4"/>
  <c r="A132" i="4"/>
  <c r="A133" i="4"/>
  <c r="A134" i="4"/>
  <c r="A135" i="4"/>
  <c r="A136" i="4"/>
  <c r="A143" i="4"/>
  <c r="P143" i="4"/>
  <c r="R143" i="4"/>
  <c r="A144" i="4"/>
  <c r="A145" i="4"/>
  <c r="T145" i="4"/>
  <c r="A146" i="4"/>
  <c r="A147" i="4"/>
  <c r="B147" i="4"/>
  <c r="V147" i="4"/>
  <c r="A148" i="4"/>
  <c r="L148" i="4"/>
  <c r="P148" i="4"/>
  <c r="A149" i="4"/>
  <c r="L149" i="4"/>
  <c r="A150" i="4"/>
  <c r="D150" i="4"/>
  <c r="T150" i="4"/>
  <c r="A151" i="4"/>
  <c r="A152" i="4"/>
  <c r="P152" i="4"/>
  <c r="T152" i="4"/>
  <c r="A153" i="4"/>
  <c r="A154" i="4"/>
  <c r="P154" i="4"/>
  <c r="A155" i="4"/>
  <c r="B165" i="4"/>
  <c r="B58" i="37" s="1"/>
  <c r="D165" i="4"/>
  <c r="D58" i="37" s="1"/>
  <c r="F165" i="4"/>
  <c r="F58" i="37" s="1"/>
  <c r="H165" i="4"/>
  <c r="H58" i="37" s="1"/>
  <c r="J165" i="4"/>
  <c r="I58" i="37" s="1"/>
  <c r="L165" i="4"/>
  <c r="J58" i="37" s="1"/>
  <c r="N165" i="4"/>
  <c r="L58" i="37" s="1"/>
  <c r="P165" i="4"/>
  <c r="V165" i="4"/>
  <c r="A1" i="41"/>
  <c r="B1" i="41"/>
  <c r="D1" i="41"/>
  <c r="F1" i="41"/>
  <c r="J1" i="41"/>
  <c r="L1" i="41"/>
  <c r="N1" i="41"/>
  <c r="R1" i="41"/>
  <c r="T1" i="41"/>
  <c r="V1" i="41"/>
  <c r="Z1" i="41"/>
  <c r="AA1" i="41"/>
  <c r="AB1" i="41"/>
  <c r="D4" i="41"/>
  <c r="F4" i="41" s="1"/>
  <c r="J4" i="41" s="1"/>
  <c r="L4" i="41" s="1"/>
  <c r="N4" i="41" s="1"/>
  <c r="R4" i="41" s="1"/>
  <c r="T4" i="41" s="1"/>
  <c r="V4" i="41" s="1"/>
  <c r="Z4" i="41" s="1"/>
  <c r="AA4" i="41" s="1"/>
  <c r="AB4" i="41" s="1"/>
  <c r="AE4" i="41" s="1"/>
  <c r="B8" i="41"/>
  <c r="D8" i="41"/>
  <c r="F8" i="41"/>
  <c r="J8" i="41"/>
  <c r="L8" i="41"/>
  <c r="N8" i="41"/>
  <c r="R8" i="41"/>
  <c r="T8" i="41"/>
  <c r="V8" i="41"/>
  <c r="Z8" i="41"/>
  <c r="AA8" i="41"/>
  <c r="AB8" i="41"/>
  <c r="B9" i="41"/>
  <c r="D9" i="41"/>
  <c r="F9" i="41"/>
  <c r="J9" i="41"/>
  <c r="L9" i="41"/>
  <c r="N9" i="41"/>
  <c r="R9" i="41"/>
  <c r="T9" i="41"/>
  <c r="V9" i="41"/>
  <c r="Z9" i="41"/>
  <c r="AA9" i="41"/>
  <c r="AB9" i="41"/>
  <c r="B10" i="41"/>
  <c r="D10" i="41"/>
  <c r="F10" i="41"/>
  <c r="J10" i="41"/>
  <c r="L10" i="41"/>
  <c r="N10" i="41"/>
  <c r="R10" i="41"/>
  <c r="T10" i="41"/>
  <c r="V10" i="41"/>
  <c r="Z10" i="41"/>
  <c r="AA10" i="41"/>
  <c r="AB10" i="41"/>
  <c r="B11" i="41"/>
  <c r="D11" i="41"/>
  <c r="F11" i="41"/>
  <c r="J11" i="41"/>
  <c r="L11" i="41"/>
  <c r="N11" i="41"/>
  <c r="R11" i="41"/>
  <c r="T11" i="41"/>
  <c r="Z11" i="41"/>
  <c r="AA11" i="41"/>
  <c r="AB11" i="41"/>
  <c r="B16" i="41"/>
  <c r="D16" i="41"/>
  <c r="F16" i="41"/>
  <c r="F137" i="41" s="1"/>
  <c r="J16" i="41"/>
  <c r="L16" i="41"/>
  <c r="L137" i="41" s="1"/>
  <c r="N16" i="41"/>
  <c r="R16" i="41"/>
  <c r="R137" i="41" s="1"/>
  <c r="T16" i="41"/>
  <c r="V16" i="41"/>
  <c r="V137" i="41" s="1"/>
  <c r="Z16" i="41"/>
  <c r="AA16" i="41"/>
  <c r="AB16" i="41"/>
  <c r="B17" i="41"/>
  <c r="D17" i="41"/>
  <c r="D138" i="41" s="1"/>
  <c r="F17" i="41"/>
  <c r="F157" i="41" s="1"/>
  <c r="J17" i="41"/>
  <c r="J138" i="41" s="1"/>
  <c r="L17" i="41"/>
  <c r="L138" i="41" s="1"/>
  <c r="N17" i="41"/>
  <c r="R17" i="41"/>
  <c r="R138" i="41" s="1"/>
  <c r="T17" i="41"/>
  <c r="V17" i="41"/>
  <c r="V138" i="41" s="1"/>
  <c r="Z17" i="41"/>
  <c r="Z138" i="41" s="1"/>
  <c r="AA17" i="41"/>
  <c r="AA157" i="41" s="1"/>
  <c r="AB17" i="41"/>
  <c r="B18" i="41"/>
  <c r="B139" i="41" s="1"/>
  <c r="D18" i="41"/>
  <c r="D139" i="41" s="1"/>
  <c r="F18" i="41"/>
  <c r="F139" i="41" s="1"/>
  <c r="J18" i="41"/>
  <c r="L18" i="41"/>
  <c r="L139" i="41" s="1"/>
  <c r="N18" i="41"/>
  <c r="N139" i="41" s="1"/>
  <c r="R18" i="41"/>
  <c r="R139" i="41" s="1"/>
  <c r="T18" i="41"/>
  <c r="T139" i="41" s="1"/>
  <c r="V18" i="41"/>
  <c r="V139" i="41" s="1"/>
  <c r="Z18" i="41"/>
  <c r="AA18" i="41"/>
  <c r="AB18" i="41"/>
  <c r="B19" i="41"/>
  <c r="B140" i="41" s="1"/>
  <c r="D19" i="41"/>
  <c r="D140" i="41" s="1"/>
  <c r="F19" i="41"/>
  <c r="F140" i="41" s="1"/>
  <c r="J19" i="41"/>
  <c r="L19" i="41"/>
  <c r="L140" i="41" s="1"/>
  <c r="N19" i="41"/>
  <c r="R19" i="41"/>
  <c r="T19" i="41"/>
  <c r="V19" i="41"/>
  <c r="Z19" i="41"/>
  <c r="AA19" i="41"/>
  <c r="AA140" i="41" s="1"/>
  <c r="AB19" i="41"/>
  <c r="B20" i="41"/>
  <c r="B141" i="41" s="1"/>
  <c r="D20" i="41"/>
  <c r="F20" i="41"/>
  <c r="J20" i="41"/>
  <c r="L20" i="41"/>
  <c r="L141" i="41" s="1"/>
  <c r="N20" i="41"/>
  <c r="N141" i="41" s="1"/>
  <c r="R20" i="41"/>
  <c r="T20" i="41"/>
  <c r="V20" i="41"/>
  <c r="V141" i="41" s="1"/>
  <c r="Z20" i="41"/>
  <c r="Z141" i="41" s="1"/>
  <c r="AA20" i="41"/>
  <c r="AA141" i="41" s="1"/>
  <c r="AB20" i="41"/>
  <c r="B21" i="41"/>
  <c r="B142" i="41" s="1"/>
  <c r="D21" i="41"/>
  <c r="D142" i="41" s="1"/>
  <c r="F21" i="41"/>
  <c r="J21" i="41"/>
  <c r="J142" i="41" s="1"/>
  <c r="L21" i="41"/>
  <c r="L142" i="41" s="1"/>
  <c r="N21" i="41"/>
  <c r="R21" i="41"/>
  <c r="T21" i="41"/>
  <c r="V21" i="41"/>
  <c r="V142" i="41" s="1"/>
  <c r="Z21" i="41"/>
  <c r="Z142" i="41" s="1"/>
  <c r="AA21" i="41"/>
  <c r="AA142" i="41" s="1"/>
  <c r="B22" i="41"/>
  <c r="D22" i="41"/>
  <c r="F22" i="41"/>
  <c r="J22" i="41"/>
  <c r="J143" i="41" s="1"/>
  <c r="L22" i="41"/>
  <c r="L143" i="41" s="1"/>
  <c r="N22" i="41"/>
  <c r="N143" i="41" s="1"/>
  <c r="R22" i="41"/>
  <c r="T22" i="41"/>
  <c r="T143" i="41" s="1"/>
  <c r="V22" i="41"/>
  <c r="Z22" i="41"/>
  <c r="AA22" i="41"/>
  <c r="AB22" i="41"/>
  <c r="B23" i="41"/>
  <c r="B144" i="41" s="1"/>
  <c r="D23" i="41"/>
  <c r="F23" i="41"/>
  <c r="F144" i="41" s="1"/>
  <c r="J23" i="41"/>
  <c r="L23" i="41"/>
  <c r="L144" i="41" s="1"/>
  <c r="N23" i="41"/>
  <c r="N144" i="41" s="1"/>
  <c r="R23" i="41"/>
  <c r="R144" i="41" s="1"/>
  <c r="T23" i="41"/>
  <c r="T144" i="41" s="1"/>
  <c r="V23" i="41"/>
  <c r="V144" i="41" s="1"/>
  <c r="Z23" i="41"/>
  <c r="Z144" i="41" s="1"/>
  <c r="AA23" i="41"/>
  <c r="AA144" i="41" s="1"/>
  <c r="AB23" i="41"/>
  <c r="B24" i="41"/>
  <c r="D24" i="41"/>
  <c r="D145" i="41" s="1"/>
  <c r="F24" i="41"/>
  <c r="J24" i="41"/>
  <c r="J145" i="41" s="1"/>
  <c r="L24" i="41"/>
  <c r="L145" i="41" s="1"/>
  <c r="N24" i="41"/>
  <c r="N145" i="41" s="1"/>
  <c r="R24" i="41"/>
  <c r="T24" i="41"/>
  <c r="T145" i="41" s="1"/>
  <c r="V24" i="41"/>
  <c r="Z24" i="41"/>
  <c r="Z145" i="41" s="1"/>
  <c r="AA24" i="41"/>
  <c r="AA145" i="41" s="1"/>
  <c r="AB24" i="41"/>
  <c r="B25" i="41"/>
  <c r="B146" i="41" s="1"/>
  <c r="D25" i="41"/>
  <c r="D146" i="41" s="1"/>
  <c r="F25" i="41"/>
  <c r="F146" i="41" s="1"/>
  <c r="J25" i="41"/>
  <c r="J146" i="41" s="1"/>
  <c r="L25" i="41"/>
  <c r="N25" i="41"/>
  <c r="N146" i="41" s="1"/>
  <c r="R25" i="41"/>
  <c r="R146" i="41" s="1"/>
  <c r="T25" i="41"/>
  <c r="T146" i="41" s="1"/>
  <c r="V25" i="41"/>
  <c r="V146" i="41" s="1"/>
  <c r="Z25" i="41"/>
  <c r="Z146" i="41" s="1"/>
  <c r="AA25" i="41"/>
  <c r="AA146" i="41" s="1"/>
  <c r="AB25" i="41"/>
  <c r="B27" i="41"/>
  <c r="B148" i="41" s="1"/>
  <c r="D27" i="41"/>
  <c r="D148" i="41" s="1"/>
  <c r="F27" i="41"/>
  <c r="J27" i="41"/>
  <c r="L27" i="41"/>
  <c r="L148" i="41" s="1"/>
  <c r="N27" i="41"/>
  <c r="N148" i="41" s="1"/>
  <c r="R27" i="41"/>
  <c r="R148" i="41" s="1"/>
  <c r="T27" i="41"/>
  <c r="T148" i="41" s="1"/>
  <c r="V27" i="41"/>
  <c r="V148" i="41" s="1"/>
  <c r="Z27" i="41"/>
  <c r="Z148" i="41" s="1"/>
  <c r="AA27" i="41"/>
  <c r="AA148" i="41" s="1"/>
  <c r="AB27" i="41"/>
  <c r="B28" i="41"/>
  <c r="B123" i="41" s="1"/>
  <c r="D28" i="41"/>
  <c r="D123" i="41" s="1"/>
  <c r="F28" i="41"/>
  <c r="F123" i="41" s="1"/>
  <c r="J28" i="41"/>
  <c r="L28" i="41"/>
  <c r="N28" i="41"/>
  <c r="N123" i="41" s="1"/>
  <c r="R28" i="41"/>
  <c r="T28" i="41"/>
  <c r="V28" i="41"/>
  <c r="V123" i="41" s="1"/>
  <c r="Z28" i="41"/>
  <c r="AA28" i="41"/>
  <c r="AA123" i="41" s="1"/>
  <c r="AB28" i="41"/>
  <c r="B30" i="41"/>
  <c r="D30" i="41"/>
  <c r="D125" i="41" s="1"/>
  <c r="F30" i="41"/>
  <c r="J30" i="41"/>
  <c r="L30" i="41"/>
  <c r="L125" i="41" s="1"/>
  <c r="N30" i="41"/>
  <c r="N125" i="41" s="1"/>
  <c r="R30" i="41"/>
  <c r="R125" i="41" s="1"/>
  <c r="T30" i="41"/>
  <c r="V30" i="41"/>
  <c r="Z30" i="41"/>
  <c r="Z125" i="41" s="1"/>
  <c r="AA30" i="41"/>
  <c r="AA125" i="41" s="1"/>
  <c r="AB30" i="41"/>
  <c r="B32" i="41"/>
  <c r="B127" i="41" s="1"/>
  <c r="D32" i="41"/>
  <c r="D127" i="41" s="1"/>
  <c r="F32" i="41"/>
  <c r="F127" i="41" s="1"/>
  <c r="J32" i="41"/>
  <c r="J127" i="41" s="1"/>
  <c r="L32" i="41"/>
  <c r="L127" i="41" s="1"/>
  <c r="N32" i="41"/>
  <c r="N127" i="41" s="1"/>
  <c r="R32" i="41"/>
  <c r="R127" i="41" s="1"/>
  <c r="T32" i="41"/>
  <c r="T127" i="41" s="1"/>
  <c r="V32" i="41"/>
  <c r="V127" i="41" s="1"/>
  <c r="Z32" i="41"/>
  <c r="Z127" i="41" s="1"/>
  <c r="AA32" i="41"/>
  <c r="AB32" i="41"/>
  <c r="B34" i="41"/>
  <c r="D34" i="41"/>
  <c r="F34" i="41"/>
  <c r="J34" i="41"/>
  <c r="L34" i="41"/>
  <c r="N34" i="41"/>
  <c r="R34" i="41"/>
  <c r="T34" i="41"/>
  <c r="V34" i="41"/>
  <c r="Z34" i="41"/>
  <c r="AA34" i="41"/>
  <c r="AB34" i="41"/>
  <c r="B35" i="41"/>
  <c r="B129" i="41" s="1"/>
  <c r="D35" i="41"/>
  <c r="D129" i="41" s="1"/>
  <c r="F35" i="41"/>
  <c r="F129" i="41" s="1"/>
  <c r="J35" i="41"/>
  <c r="N35" i="41"/>
  <c r="N129" i="41" s="1"/>
  <c r="R35" i="41"/>
  <c r="T35" i="41"/>
  <c r="T129" i="41" s="1"/>
  <c r="V35" i="41"/>
  <c r="V129" i="41" s="1"/>
  <c r="Z35" i="41"/>
  <c r="Z129" i="41" s="1"/>
  <c r="AA35" i="41"/>
  <c r="AA129" i="41" s="1"/>
  <c r="AB35" i="41"/>
  <c r="D36" i="41"/>
  <c r="D130" i="41" s="1"/>
  <c r="J36" i="41"/>
  <c r="J130" i="41" s="1"/>
  <c r="L36" i="41"/>
  <c r="L130" i="41" s="1"/>
  <c r="N36" i="41"/>
  <c r="R36" i="41"/>
  <c r="T36" i="41"/>
  <c r="V36" i="41"/>
  <c r="V130" i="41" s="1"/>
  <c r="Z36" i="41"/>
  <c r="Z130" i="41" s="1"/>
  <c r="AA36" i="41"/>
  <c r="AA130" i="41" s="1"/>
  <c r="AB36" i="41"/>
  <c r="B38" i="41"/>
  <c r="D38" i="41"/>
  <c r="F38" i="41"/>
  <c r="J38" i="41"/>
  <c r="L38" i="41"/>
  <c r="N38" i="41"/>
  <c r="R38" i="41"/>
  <c r="T38" i="41"/>
  <c r="V38" i="41"/>
  <c r="Z38" i="41"/>
  <c r="AA38" i="41"/>
  <c r="AB38" i="41"/>
  <c r="B39" i="41"/>
  <c r="D39" i="41"/>
  <c r="F39" i="41"/>
  <c r="J39" i="41"/>
  <c r="L39" i="41"/>
  <c r="N39" i="41"/>
  <c r="R39" i="41"/>
  <c r="T39" i="41"/>
  <c r="V39" i="41"/>
  <c r="Z39" i="41"/>
  <c r="AA39" i="41"/>
  <c r="AB39" i="41"/>
  <c r="B40" i="41"/>
  <c r="D40" i="41"/>
  <c r="F40" i="41"/>
  <c r="J40" i="41"/>
  <c r="L40" i="41"/>
  <c r="N40" i="41"/>
  <c r="R40" i="41"/>
  <c r="T40" i="41"/>
  <c r="V40" i="41"/>
  <c r="Z40" i="41"/>
  <c r="AA40" i="41"/>
  <c r="AB40" i="41"/>
  <c r="B41" i="41"/>
  <c r="D41" i="41"/>
  <c r="F41" i="41"/>
  <c r="J41" i="41"/>
  <c r="L41" i="41"/>
  <c r="N41" i="41"/>
  <c r="R41" i="41"/>
  <c r="T41" i="41"/>
  <c r="V41" i="41"/>
  <c r="Z41" i="41"/>
  <c r="AA41" i="41"/>
  <c r="AB41" i="41"/>
  <c r="B43" i="41"/>
  <c r="D43" i="41"/>
  <c r="F43" i="41"/>
  <c r="J43" i="41"/>
  <c r="L43" i="41"/>
  <c r="N43" i="41"/>
  <c r="R43" i="41"/>
  <c r="T43" i="41"/>
  <c r="V43" i="41"/>
  <c r="Z43" i="41"/>
  <c r="AA43" i="41"/>
  <c r="AB43" i="41"/>
  <c r="B44" i="41"/>
  <c r="D44" i="41"/>
  <c r="F44" i="41"/>
  <c r="J44" i="41"/>
  <c r="L44" i="41"/>
  <c r="N44" i="41"/>
  <c r="R44" i="41"/>
  <c r="T44" i="41"/>
  <c r="V44" i="41"/>
  <c r="Z44" i="41"/>
  <c r="AA44" i="41"/>
  <c r="B45" i="41"/>
  <c r="D45" i="41"/>
  <c r="F45" i="41"/>
  <c r="J45" i="41"/>
  <c r="L45" i="41"/>
  <c r="N45" i="41"/>
  <c r="R45" i="41"/>
  <c r="T45" i="41"/>
  <c r="V45" i="41"/>
  <c r="Z45" i="41"/>
  <c r="AA45" i="41"/>
  <c r="AB45" i="41"/>
  <c r="B46" i="41"/>
  <c r="B104" i="41" s="1"/>
  <c r="D46" i="41"/>
  <c r="D104" i="41" s="1"/>
  <c r="F46" i="41"/>
  <c r="F104" i="41" s="1"/>
  <c r="J46" i="41"/>
  <c r="J104" i="41" s="1"/>
  <c r="L46" i="41"/>
  <c r="L104" i="41" s="1"/>
  <c r="N46" i="41"/>
  <c r="N104" i="41" s="1"/>
  <c r="R46" i="41"/>
  <c r="R104" i="41" s="1"/>
  <c r="T46" i="41"/>
  <c r="T104" i="41" s="1"/>
  <c r="V46" i="41"/>
  <c r="Z46" i="41"/>
  <c r="Z104" i="41" s="1"/>
  <c r="AA46" i="41"/>
  <c r="AA104" i="41" s="1"/>
  <c r="AB46" i="41"/>
  <c r="AE52" i="41"/>
  <c r="B53" i="41"/>
  <c r="D53" i="41"/>
  <c r="F53" i="41"/>
  <c r="J53" i="41"/>
  <c r="L53" i="41"/>
  <c r="N53" i="41"/>
  <c r="R53" i="41"/>
  <c r="T53" i="41"/>
  <c r="V53" i="41"/>
  <c r="AC53" i="41"/>
  <c r="B54" i="41"/>
  <c r="D54" i="41"/>
  <c r="F54" i="41"/>
  <c r="J54" i="41"/>
  <c r="L54" i="41"/>
  <c r="N54" i="41"/>
  <c r="R54" i="41"/>
  <c r="T54" i="41"/>
  <c r="V54" i="41"/>
  <c r="AC54" i="41"/>
  <c r="B55" i="41"/>
  <c r="D55" i="41"/>
  <c r="F55" i="41"/>
  <c r="J55" i="41"/>
  <c r="L55" i="41"/>
  <c r="N55" i="41"/>
  <c r="R55" i="41"/>
  <c r="T55" i="41"/>
  <c r="V55" i="41"/>
  <c r="AC55" i="41"/>
  <c r="B56" i="41"/>
  <c r="D56" i="41"/>
  <c r="F56" i="41"/>
  <c r="J56" i="41"/>
  <c r="L56" i="41"/>
  <c r="N56" i="41"/>
  <c r="R56" i="41"/>
  <c r="T56" i="41"/>
  <c r="V56" i="41"/>
  <c r="AC56" i="41"/>
  <c r="B57" i="41"/>
  <c r="D57" i="41"/>
  <c r="F57" i="41"/>
  <c r="J57" i="41"/>
  <c r="L57" i="41"/>
  <c r="N57" i="41"/>
  <c r="R57" i="41"/>
  <c r="T57" i="41"/>
  <c r="V57" i="41"/>
  <c r="AC57" i="41"/>
  <c r="B58" i="41"/>
  <c r="D58" i="41"/>
  <c r="F58" i="41"/>
  <c r="J58" i="41"/>
  <c r="L58" i="41"/>
  <c r="N58" i="41"/>
  <c r="R58" i="41"/>
  <c r="T58" i="41"/>
  <c r="V58" i="41"/>
  <c r="AC58" i="41"/>
  <c r="B59" i="41"/>
  <c r="D59" i="41"/>
  <c r="F59" i="41"/>
  <c r="J59" i="41"/>
  <c r="L59" i="41"/>
  <c r="N59" i="41"/>
  <c r="R59" i="41"/>
  <c r="T59" i="41"/>
  <c r="V59" i="41"/>
  <c r="AC59" i="41"/>
  <c r="B60" i="41"/>
  <c r="D60" i="41"/>
  <c r="F60" i="41"/>
  <c r="J60" i="41"/>
  <c r="L60" i="41"/>
  <c r="N60" i="41"/>
  <c r="R60" i="41"/>
  <c r="T60" i="41"/>
  <c r="V60" i="41"/>
  <c r="AC60" i="41"/>
  <c r="B61" i="41"/>
  <c r="D61" i="41"/>
  <c r="F61" i="41"/>
  <c r="J61" i="41"/>
  <c r="N61" i="41"/>
  <c r="R61" i="41"/>
  <c r="T61" i="41"/>
  <c r="V61" i="41"/>
  <c r="AC61" i="41"/>
  <c r="B62" i="41"/>
  <c r="D62" i="41"/>
  <c r="F62" i="41"/>
  <c r="J62" i="41"/>
  <c r="L62" i="41"/>
  <c r="N62" i="41"/>
  <c r="R62" i="41"/>
  <c r="T62" i="41"/>
  <c r="V62" i="41"/>
  <c r="AC62" i="41"/>
  <c r="B63" i="41"/>
  <c r="B113" i="41" s="1"/>
  <c r="D63" i="41"/>
  <c r="F63" i="41"/>
  <c r="F113" i="41" s="1"/>
  <c r="J63" i="41"/>
  <c r="J113" i="41" s="1"/>
  <c r="L63" i="41"/>
  <c r="L113" i="41" s="1"/>
  <c r="N63" i="41"/>
  <c r="R63" i="41"/>
  <c r="R113" i="41" s="1"/>
  <c r="T63" i="41"/>
  <c r="T113" i="41" s="1"/>
  <c r="V63" i="41"/>
  <c r="V113" i="41" s="1"/>
  <c r="AC63" i="41"/>
  <c r="B64" i="41"/>
  <c r="D64" i="41"/>
  <c r="F64" i="41"/>
  <c r="J64" i="41"/>
  <c r="L64" i="41"/>
  <c r="N64" i="41"/>
  <c r="R64" i="41"/>
  <c r="T64" i="41"/>
  <c r="V64" i="41"/>
  <c r="AC64" i="41"/>
  <c r="B65" i="41"/>
  <c r="D65" i="41"/>
  <c r="F65" i="41"/>
  <c r="J65" i="41"/>
  <c r="L65" i="41"/>
  <c r="N65" i="41"/>
  <c r="R65" i="41"/>
  <c r="T65" i="41"/>
  <c r="V65" i="41"/>
  <c r="AC65" i="41"/>
  <c r="B66" i="41"/>
  <c r="D66" i="41"/>
  <c r="F66" i="41"/>
  <c r="J66" i="41"/>
  <c r="L66" i="41"/>
  <c r="N66" i="41"/>
  <c r="R66" i="41"/>
  <c r="T66" i="41"/>
  <c r="V66" i="41"/>
  <c r="AC66" i="41"/>
  <c r="B67" i="41"/>
  <c r="D67" i="41"/>
  <c r="F67" i="41"/>
  <c r="J67" i="41"/>
  <c r="N67" i="41"/>
  <c r="R67" i="41"/>
  <c r="T67" i="41"/>
  <c r="V67" i="41"/>
  <c r="AC67" i="41"/>
  <c r="B68" i="41"/>
  <c r="D68" i="41"/>
  <c r="F68" i="41"/>
  <c r="J68" i="41"/>
  <c r="L68" i="41"/>
  <c r="N68" i="41"/>
  <c r="R68" i="41"/>
  <c r="T68" i="41"/>
  <c r="V68" i="41"/>
  <c r="AC68" i="41"/>
  <c r="B69" i="41"/>
  <c r="B116" i="41" s="1"/>
  <c r="D69" i="41"/>
  <c r="D116" i="41" s="1"/>
  <c r="F69" i="41"/>
  <c r="J69" i="41"/>
  <c r="J116" i="41" s="1"/>
  <c r="L69" i="41"/>
  <c r="L116" i="41" s="1"/>
  <c r="N69" i="41"/>
  <c r="R69" i="41"/>
  <c r="R116" i="41" s="1"/>
  <c r="T69" i="41"/>
  <c r="T116" i="41" s="1"/>
  <c r="V69" i="41"/>
  <c r="AC69" i="41"/>
  <c r="B70" i="41"/>
  <c r="D70" i="41"/>
  <c r="F70" i="41"/>
  <c r="J70" i="41"/>
  <c r="L70" i="41"/>
  <c r="N70" i="41"/>
  <c r="R70" i="41"/>
  <c r="T70" i="41"/>
  <c r="V70" i="41"/>
  <c r="AC70" i="41"/>
  <c r="J71" i="41"/>
  <c r="L71" i="41"/>
  <c r="N71" i="41"/>
  <c r="R71" i="41"/>
  <c r="T71" i="41"/>
  <c r="V71" i="41"/>
  <c r="Z72" i="41"/>
  <c r="AA72" i="41"/>
  <c r="AB72" i="41"/>
  <c r="B76" i="41"/>
  <c r="D76" i="41"/>
  <c r="F76" i="41"/>
  <c r="J76" i="41"/>
  <c r="L76" i="41"/>
  <c r="N76" i="41"/>
  <c r="R76" i="41"/>
  <c r="T76" i="41"/>
  <c r="V76" i="41"/>
  <c r="AC76" i="41"/>
  <c r="B77" i="41"/>
  <c r="D77" i="41"/>
  <c r="F77" i="41"/>
  <c r="J77" i="41"/>
  <c r="L77" i="41"/>
  <c r="N77" i="41"/>
  <c r="R77" i="41"/>
  <c r="T77" i="41"/>
  <c r="V77" i="41"/>
  <c r="AC77" i="41"/>
  <c r="B78" i="41"/>
  <c r="D78" i="41"/>
  <c r="F78" i="41"/>
  <c r="J78" i="41"/>
  <c r="L78" i="41"/>
  <c r="N78" i="41"/>
  <c r="R78" i="41"/>
  <c r="T78" i="41"/>
  <c r="V78" i="41"/>
  <c r="AC78" i="41"/>
  <c r="B79" i="41"/>
  <c r="D79" i="41"/>
  <c r="F79" i="41"/>
  <c r="J79" i="41"/>
  <c r="L79" i="41"/>
  <c r="N79" i="41"/>
  <c r="R79" i="41"/>
  <c r="T79" i="41"/>
  <c r="V79" i="41"/>
  <c r="AC79" i="41"/>
  <c r="B80" i="41"/>
  <c r="D80" i="41"/>
  <c r="F80" i="41"/>
  <c r="J80" i="41"/>
  <c r="L80" i="41"/>
  <c r="N80" i="41"/>
  <c r="R80" i="41"/>
  <c r="T80" i="41"/>
  <c r="V80" i="41"/>
  <c r="AC80" i="41"/>
  <c r="AG80" i="41"/>
  <c r="AC81" i="41"/>
  <c r="B82" i="41"/>
  <c r="D82" i="41"/>
  <c r="F82" i="41"/>
  <c r="J82" i="41"/>
  <c r="L82" i="41"/>
  <c r="N82" i="41"/>
  <c r="R82" i="41"/>
  <c r="T82" i="41"/>
  <c r="V82" i="41"/>
  <c r="AC82" i="41"/>
  <c r="Z83" i="41"/>
  <c r="AA83" i="41"/>
  <c r="AB83" i="41"/>
  <c r="AC87" i="41"/>
  <c r="AH87" i="41"/>
  <c r="H100" i="41"/>
  <c r="P100" i="41"/>
  <c r="X100" i="41"/>
  <c r="AC100" i="41"/>
  <c r="Z111" i="41"/>
  <c r="AA111" i="41"/>
  <c r="AB111" i="41"/>
  <c r="Z112" i="41"/>
  <c r="AA112" i="41"/>
  <c r="AB112" i="41"/>
  <c r="Z113" i="41"/>
  <c r="AA113" i="41"/>
  <c r="AB113" i="41"/>
  <c r="Z114" i="41"/>
  <c r="AA114" i="41"/>
  <c r="AB114" i="41"/>
  <c r="Z115" i="41"/>
  <c r="AA115" i="41"/>
  <c r="AB115" i="41"/>
  <c r="Z116" i="41"/>
  <c r="AA116" i="41"/>
  <c r="AB116" i="41"/>
  <c r="A123" i="41"/>
  <c r="R123" i="41"/>
  <c r="A124" i="41"/>
  <c r="A125" i="41"/>
  <c r="B125" i="41"/>
  <c r="F125" i="41"/>
  <c r="T125" i="41"/>
  <c r="V125" i="41"/>
  <c r="A126" i="41"/>
  <c r="A127" i="41"/>
  <c r="A128" i="41"/>
  <c r="A129" i="41"/>
  <c r="A130" i="41"/>
  <c r="A137" i="41"/>
  <c r="D137" i="41"/>
  <c r="J137" i="41"/>
  <c r="AA137" i="41"/>
  <c r="A138" i="41"/>
  <c r="B138" i="41"/>
  <c r="T138" i="41"/>
  <c r="A139" i="41"/>
  <c r="Z139" i="41"/>
  <c r="A140" i="41"/>
  <c r="J140" i="41"/>
  <c r="N140" i="41"/>
  <c r="R140" i="41"/>
  <c r="T140" i="41"/>
  <c r="A141" i="41"/>
  <c r="D141" i="41"/>
  <c r="J141" i="41"/>
  <c r="T141" i="41"/>
  <c r="A142" i="41"/>
  <c r="F142" i="41"/>
  <c r="T142" i="41"/>
  <c r="A143" i="41"/>
  <c r="B143" i="41"/>
  <c r="F143" i="41"/>
  <c r="V143" i="41"/>
  <c r="Z143" i="41"/>
  <c r="A144" i="41"/>
  <c r="A145" i="41"/>
  <c r="F145" i="41"/>
  <c r="V145" i="41"/>
  <c r="A146" i="41"/>
  <c r="L146" i="41"/>
  <c r="A147" i="41"/>
  <c r="A148" i="41"/>
  <c r="J148" i="41"/>
  <c r="A149" i="41"/>
  <c r="Z159" i="41"/>
  <c r="AA159" i="41"/>
  <c r="AC159" i="41"/>
  <c r="H165" i="41"/>
  <c r="P165" i="41"/>
  <c r="X165" i="41"/>
  <c r="AC165" i="41"/>
  <c r="H166" i="41"/>
  <c r="P166" i="41"/>
  <c r="X166" i="41"/>
  <c r="AC166" i="41"/>
  <c r="H167" i="41"/>
  <c r="P167" i="41"/>
  <c r="X167" i="41"/>
  <c r="AC167" i="41"/>
  <c r="H168" i="41"/>
  <c r="P168" i="41"/>
  <c r="X168" i="41"/>
  <c r="AC168" i="41"/>
  <c r="B169" i="41"/>
  <c r="D169" i="41"/>
  <c r="F169" i="41"/>
  <c r="H169" i="41"/>
  <c r="J169" i="41"/>
  <c r="L169" i="41"/>
  <c r="N169" i="41"/>
  <c r="R169" i="41"/>
  <c r="T169" i="41"/>
  <c r="X169" i="41"/>
  <c r="A1" i="18"/>
  <c r="C4" i="18"/>
  <c r="D4" i="18" s="1"/>
  <c r="E4" i="18" s="1"/>
  <c r="F4" i="18" s="1"/>
  <c r="G4" i="18" s="1"/>
  <c r="H4" i="18" s="1"/>
  <c r="I4" i="18" s="1"/>
  <c r="J4" i="18" s="1"/>
  <c r="K4" i="18" s="1"/>
  <c r="L4" i="18" s="1"/>
  <c r="M4" i="18" s="1"/>
  <c r="N4" i="18" s="1"/>
  <c r="N7" i="18"/>
  <c r="N8" i="18"/>
  <c r="N9" i="18"/>
  <c r="N10" i="18"/>
  <c r="N11" i="18"/>
  <c r="B12" i="18"/>
  <c r="C12" i="18"/>
  <c r="D12" i="18"/>
  <c r="E12" i="18"/>
  <c r="F12" i="18"/>
  <c r="F62" i="18" s="1"/>
  <c r="F63" i="18" s="1"/>
  <c r="G12" i="18"/>
  <c r="G52" i="18" s="1"/>
  <c r="H12" i="18"/>
  <c r="I12" i="18"/>
  <c r="J12" i="18"/>
  <c r="K12" i="18"/>
  <c r="L12" i="18"/>
  <c r="M12" i="18"/>
  <c r="N15" i="18"/>
  <c r="N16" i="18"/>
  <c r="N20" i="18"/>
  <c r="N21" i="18"/>
  <c r="N25" i="18"/>
  <c r="N26" i="18"/>
  <c r="N27" i="18"/>
  <c r="N28" i="18"/>
  <c r="N29" i="18"/>
  <c r="N30" i="18"/>
  <c r="N31" i="18"/>
  <c r="N32" i="18"/>
  <c r="N33" i="18"/>
  <c r="N34" i="18"/>
  <c r="N35" i="18"/>
  <c r="N36" i="18"/>
  <c r="N37" i="18"/>
  <c r="N38" i="18"/>
  <c r="N39" i="18"/>
  <c r="N40" i="18"/>
  <c r="N41" i="18"/>
  <c r="N42" i="18"/>
  <c r="N43" i="18"/>
  <c r="N44" i="18"/>
  <c r="N68" i="18" s="1"/>
  <c r="N69" i="18" s="1"/>
  <c r="N45" i="18"/>
  <c r="N71" i="18" s="1"/>
  <c r="N72" i="18" s="1"/>
  <c r="N46" i="18"/>
  <c r="N47" i="18"/>
  <c r="B49" i="18"/>
  <c r="C49" i="18"/>
  <c r="D49" i="18"/>
  <c r="E49" i="18"/>
  <c r="F49" i="18"/>
  <c r="G49" i="18"/>
  <c r="H49" i="18"/>
  <c r="I49" i="18"/>
  <c r="J49" i="18"/>
  <c r="K49" i="18"/>
  <c r="L49" i="18"/>
  <c r="M49" i="18"/>
  <c r="C52" i="18"/>
  <c r="C55" i="18" s="1"/>
  <c r="C56" i="18" s="1"/>
  <c r="D52" i="18"/>
  <c r="D55" i="18" s="1"/>
  <c r="D56" i="18" s="1"/>
  <c r="F52" i="18"/>
  <c r="H52" i="18"/>
  <c r="K52" i="18"/>
  <c r="K55" i="18" s="1"/>
  <c r="K56" i="18" s="1"/>
  <c r="L52" i="18"/>
  <c r="L55" i="18" s="1"/>
  <c r="L56" i="18" s="1"/>
  <c r="C62" i="18"/>
  <c r="C63" i="18" s="1"/>
  <c r="D62" i="18"/>
  <c r="D63" i="18" s="1"/>
  <c r="K62" i="18"/>
  <c r="K63" i="18" s="1"/>
  <c r="L62" i="18"/>
  <c r="L63" i="18" s="1"/>
  <c r="B65" i="18"/>
  <c r="B66" i="18" s="1"/>
  <c r="C65" i="18"/>
  <c r="C66" i="18" s="1"/>
  <c r="D65" i="18"/>
  <c r="E65" i="18"/>
  <c r="F65" i="18"/>
  <c r="F66" i="18" s="1"/>
  <c r="G65" i="18"/>
  <c r="G66" i="18" s="1"/>
  <c r="H65" i="18"/>
  <c r="H66" i="18" s="1"/>
  <c r="I65" i="18"/>
  <c r="I66" i="18" s="1"/>
  <c r="J65" i="18"/>
  <c r="J66" i="18" s="1"/>
  <c r="K65" i="18"/>
  <c r="K66" i="18" s="1"/>
  <c r="L65" i="18"/>
  <c r="M65" i="18"/>
  <c r="D66" i="18"/>
  <c r="E66" i="18"/>
  <c r="L66" i="18"/>
  <c r="M66" i="18"/>
  <c r="B68" i="18"/>
  <c r="B69" i="18" s="1"/>
  <c r="C68" i="18"/>
  <c r="D68" i="18"/>
  <c r="D69" i="18" s="1"/>
  <c r="E68" i="18"/>
  <c r="E69" i="18" s="1"/>
  <c r="F68" i="18"/>
  <c r="F69" i="18" s="1"/>
  <c r="G68" i="18"/>
  <c r="G69" i="18" s="1"/>
  <c r="H68" i="18"/>
  <c r="H69" i="18" s="1"/>
  <c r="I68" i="18"/>
  <c r="I69" i="18" s="1"/>
  <c r="J68" i="18"/>
  <c r="J69" i="18" s="1"/>
  <c r="K68" i="18"/>
  <c r="L68" i="18"/>
  <c r="M68" i="18"/>
  <c r="C69" i="18"/>
  <c r="K69" i="18"/>
  <c r="L69" i="18"/>
  <c r="M69" i="18"/>
  <c r="B71" i="18"/>
  <c r="C71" i="18"/>
  <c r="D71" i="18"/>
  <c r="D72" i="18" s="1"/>
  <c r="E71" i="18"/>
  <c r="E72" i="18" s="1"/>
  <c r="F71" i="18"/>
  <c r="F72" i="18" s="1"/>
  <c r="G71" i="18"/>
  <c r="G72" i="18" s="1"/>
  <c r="H71" i="18"/>
  <c r="I71" i="18"/>
  <c r="J71" i="18"/>
  <c r="K71" i="18"/>
  <c r="L71" i="18"/>
  <c r="L72" i="18" s="1"/>
  <c r="M71" i="18"/>
  <c r="M72" i="18" s="1"/>
  <c r="B72" i="18"/>
  <c r="C72" i="18"/>
  <c r="H72" i="18"/>
  <c r="I72" i="18"/>
  <c r="J72" i="18"/>
  <c r="K72" i="18"/>
  <c r="A1" i="25"/>
  <c r="C3" i="25"/>
  <c r="C10" i="25" s="1"/>
  <c r="D3" i="25"/>
  <c r="D20" i="25" s="1"/>
  <c r="G3" i="25"/>
  <c r="G8" i="25" s="1"/>
  <c r="H3" i="25"/>
  <c r="K3" i="25"/>
  <c r="K8" i="25" s="1"/>
  <c r="L3" i="25"/>
  <c r="L15" i="25" s="1"/>
  <c r="B4" i="25"/>
  <c r="C4" i="25" s="1"/>
  <c r="D4" i="25" s="1"/>
  <c r="E4" i="25" s="1"/>
  <c r="F4" i="25" s="1"/>
  <c r="G4" i="25" s="1"/>
  <c r="H4" i="25" s="1"/>
  <c r="I4" i="25" s="1"/>
  <c r="J4" i="25" s="1"/>
  <c r="K4" i="25" s="1"/>
  <c r="L4" i="25" s="1"/>
  <c r="M4" i="25" s="1"/>
  <c r="N4" i="25" s="1"/>
  <c r="P4" i="25"/>
  <c r="D7" i="25"/>
  <c r="P7" i="25"/>
  <c r="P8" i="25"/>
  <c r="P9" i="25"/>
  <c r="P10" i="25"/>
  <c r="N11" i="25"/>
  <c r="P12" i="25"/>
  <c r="D15" i="25"/>
  <c r="K15" i="25"/>
  <c r="P15" i="25"/>
  <c r="P16" i="25"/>
  <c r="C20" i="25"/>
  <c r="K20" i="25"/>
  <c r="P20" i="25"/>
  <c r="D21" i="25"/>
  <c r="P21" i="25"/>
  <c r="C25" i="25"/>
  <c r="G25" i="25"/>
  <c r="K25" i="25"/>
  <c r="P25" i="25"/>
  <c r="G26" i="25"/>
  <c r="P26" i="25"/>
  <c r="K27" i="25"/>
  <c r="P27" i="25"/>
  <c r="G28" i="25"/>
  <c r="P28" i="25"/>
  <c r="K29" i="25"/>
  <c r="P29" i="25"/>
  <c r="P30" i="25"/>
  <c r="C31" i="25"/>
  <c r="G31" i="25"/>
  <c r="K31" i="25"/>
  <c r="P31" i="25"/>
  <c r="G32" i="25"/>
  <c r="P32" i="25"/>
  <c r="C33" i="25"/>
  <c r="G33" i="25"/>
  <c r="K33" i="25"/>
  <c r="P33" i="25"/>
  <c r="G34" i="25"/>
  <c r="P34" i="25"/>
  <c r="G35" i="25"/>
  <c r="P35" i="25"/>
  <c r="G36" i="25"/>
  <c r="P36" i="25"/>
  <c r="C37" i="25"/>
  <c r="D37" i="25"/>
  <c r="G37" i="25"/>
  <c r="K37" i="25"/>
  <c r="P37" i="25"/>
  <c r="D38" i="25"/>
  <c r="G38" i="25"/>
  <c r="P38" i="25"/>
  <c r="C39" i="25"/>
  <c r="D39" i="25"/>
  <c r="G39" i="25"/>
  <c r="H39" i="25"/>
  <c r="K39" i="25"/>
  <c r="P39" i="25"/>
  <c r="G40" i="25"/>
  <c r="H40" i="25"/>
  <c r="P40" i="25"/>
  <c r="C41" i="25"/>
  <c r="G41" i="25"/>
  <c r="H41" i="25"/>
  <c r="K41" i="25"/>
  <c r="P41" i="25"/>
  <c r="G42" i="25"/>
  <c r="P42" i="25"/>
  <c r="C43" i="25"/>
  <c r="G43" i="25"/>
  <c r="K43" i="25"/>
  <c r="P43" i="25"/>
  <c r="D44" i="25"/>
  <c r="G44" i="25"/>
  <c r="P44" i="25"/>
  <c r="C45" i="25"/>
  <c r="G45" i="25"/>
  <c r="K45" i="25"/>
  <c r="P45" i="25"/>
  <c r="C46" i="25"/>
  <c r="G46" i="25"/>
  <c r="K46" i="25"/>
  <c r="P46" i="25"/>
  <c r="C47" i="25"/>
  <c r="G47" i="25"/>
  <c r="K47" i="25"/>
  <c r="P47" i="25"/>
  <c r="P49" i="25"/>
  <c r="P52" i="25"/>
  <c r="P55" i="25"/>
  <c r="A1" i="24"/>
  <c r="D3" i="24"/>
  <c r="F3" i="24"/>
  <c r="F9" i="24" s="1"/>
  <c r="L3" i="24"/>
  <c r="L43" i="24" s="1"/>
  <c r="N3" i="24"/>
  <c r="N21" i="24" s="1"/>
  <c r="T3" i="24"/>
  <c r="T23" i="24" s="1"/>
  <c r="V3" i="24"/>
  <c r="B4" i="24"/>
  <c r="D4" i="24" s="1"/>
  <c r="F4" i="24" s="1"/>
  <c r="H4" i="24" s="1"/>
  <c r="J4" i="24" s="1"/>
  <c r="L4" i="24" s="1"/>
  <c r="N4" i="24" s="1"/>
  <c r="P4" i="24" s="1"/>
  <c r="R4" i="24" s="1"/>
  <c r="T4" i="24" s="1"/>
  <c r="V4" i="24" s="1"/>
  <c r="X4" i="24" s="1"/>
  <c r="Z4" i="24" s="1"/>
  <c r="AB4" i="24"/>
  <c r="AB7" i="24"/>
  <c r="AB8" i="24"/>
  <c r="AB9" i="24"/>
  <c r="AB10" i="24"/>
  <c r="L11" i="24"/>
  <c r="AB11" i="24"/>
  <c r="Z12" i="24"/>
  <c r="AB12" i="24"/>
  <c r="AB13" i="24"/>
  <c r="AC13" i="24" s="1"/>
  <c r="AB16" i="24"/>
  <c r="AC16" i="24" s="1"/>
  <c r="AB17" i="24"/>
  <c r="AC17" i="24" s="1"/>
  <c r="AB18" i="24"/>
  <c r="AC18" i="24"/>
  <c r="L19" i="24"/>
  <c r="AB19" i="24"/>
  <c r="AC19" i="24" s="1"/>
  <c r="AB20" i="24"/>
  <c r="AC20" i="24" s="1"/>
  <c r="AB21" i="24"/>
  <c r="AB22" i="24"/>
  <c r="AC22" i="24" s="1"/>
  <c r="AB23" i="24"/>
  <c r="AB24" i="24"/>
  <c r="AC24" i="24" s="1"/>
  <c r="L25" i="24"/>
  <c r="V25" i="24"/>
  <c r="AB25" i="24"/>
  <c r="AC25" i="24" s="1"/>
  <c r="AB26" i="24"/>
  <c r="AB27" i="24"/>
  <c r="AC27" i="24"/>
  <c r="L28" i="24"/>
  <c r="AB28" i="24"/>
  <c r="AC28" i="24" s="1"/>
  <c r="AB29" i="24"/>
  <c r="T30" i="24"/>
  <c r="AB30" i="24"/>
  <c r="AB31" i="24"/>
  <c r="AB32" i="24"/>
  <c r="AB33" i="24"/>
  <c r="AC33" i="24" s="1"/>
  <c r="AB34" i="24"/>
  <c r="AC34" i="24" s="1"/>
  <c r="D35" i="24"/>
  <c r="AB35" i="24"/>
  <c r="AC35" i="24" s="1"/>
  <c r="AB36" i="24"/>
  <c r="AB37" i="24"/>
  <c r="AB38" i="24"/>
  <c r="AB39" i="24"/>
  <c r="AB40" i="24"/>
  <c r="AB41" i="24"/>
  <c r="AC41" i="24" s="1"/>
  <c r="AB42" i="24"/>
  <c r="AC42" i="24" s="1"/>
  <c r="AB43" i="24"/>
  <c r="AC43" i="24" s="1"/>
  <c r="AB44" i="24"/>
  <c r="AC44" i="24" s="1"/>
  <c r="AB45" i="24"/>
  <c r="AC45" i="24"/>
  <c r="AB46" i="24"/>
  <c r="AB47" i="24"/>
  <c r="AC49" i="24"/>
  <c r="AB52" i="24"/>
  <c r="AB55" i="24"/>
  <c r="B106" i="24"/>
  <c r="D106" i="24"/>
  <c r="F106" i="24"/>
  <c r="H106" i="24"/>
  <c r="J106" i="24"/>
  <c r="L106" i="24"/>
  <c r="N106" i="24"/>
  <c r="P106" i="24"/>
  <c r="R106" i="24"/>
  <c r="T106" i="24"/>
  <c r="X106" i="24"/>
  <c r="A1" i="22"/>
  <c r="A2" i="22"/>
  <c r="D3" i="22"/>
  <c r="D66" i="22" s="1"/>
  <c r="D22" i="21" s="1"/>
  <c r="L3" i="22"/>
  <c r="L79" i="22" s="1"/>
  <c r="N3" i="22"/>
  <c r="N79" i="22" s="1"/>
  <c r="T3" i="22"/>
  <c r="T59" i="22" s="1"/>
  <c r="B4" i="22"/>
  <c r="D4" i="22" s="1"/>
  <c r="F4" i="22" s="1"/>
  <c r="H4" i="22" s="1"/>
  <c r="J4" i="22" s="1"/>
  <c r="L4" i="22" s="1"/>
  <c r="N4" i="22" s="1"/>
  <c r="P4" i="22" s="1"/>
  <c r="R4" i="22" s="1"/>
  <c r="T4" i="22" s="1"/>
  <c r="V4" i="22" s="1"/>
  <c r="X4" i="22" s="1"/>
  <c r="Z4" i="22" s="1"/>
  <c r="AB4" i="22"/>
  <c r="AF7" i="22"/>
  <c r="AD12" i="22"/>
  <c r="AD14" i="22"/>
  <c r="AD15" i="22"/>
  <c r="AD48" i="22"/>
  <c r="D54" i="22"/>
  <c r="N66" i="22"/>
  <c r="N22" i="21" s="1"/>
  <c r="AD71" i="22"/>
  <c r="AD73" i="22"/>
  <c r="AD74" i="22"/>
  <c r="AD75" i="22"/>
  <c r="D77" i="22"/>
  <c r="AB83" i="22"/>
  <c r="AD84" i="22"/>
  <c r="AD88" i="22"/>
  <c r="B99" i="22"/>
  <c r="D99" i="22"/>
  <c r="F99" i="22" s="1"/>
  <c r="A1" i="40"/>
  <c r="A2" i="40"/>
  <c r="D3" i="40"/>
  <c r="D79" i="40" s="1"/>
  <c r="L3" i="40"/>
  <c r="N3" i="40"/>
  <c r="N54" i="40" s="1"/>
  <c r="R3" i="40"/>
  <c r="R8" i="40" s="1"/>
  <c r="Z3" i="40"/>
  <c r="B4" i="40"/>
  <c r="D4" i="40" s="1"/>
  <c r="F4" i="40" s="1"/>
  <c r="J4" i="40" s="1"/>
  <c r="L4" i="40" s="1"/>
  <c r="N4" i="40" s="1"/>
  <c r="R4" i="40" s="1"/>
  <c r="T4" i="40" s="1"/>
  <c r="V4" i="40" s="1"/>
  <c r="Z4" i="40" s="1"/>
  <c r="AA4" i="40" s="1"/>
  <c r="AB4" i="40" s="1"/>
  <c r="AC4" i="40" s="1"/>
  <c r="AE4" i="40"/>
  <c r="AI7" i="40"/>
  <c r="AE8" i="40"/>
  <c r="AE12" i="40"/>
  <c r="AG12" i="40"/>
  <c r="AG14" i="40"/>
  <c r="AG15" i="40"/>
  <c r="AE16" i="40"/>
  <c r="AE17" i="40"/>
  <c r="AE18" i="40"/>
  <c r="AE19" i="40"/>
  <c r="AE20" i="40"/>
  <c r="AE21" i="40"/>
  <c r="AE22" i="40"/>
  <c r="AE23" i="40"/>
  <c r="AE25" i="40"/>
  <c r="AE26" i="40"/>
  <c r="AE27" i="40"/>
  <c r="AE28" i="40"/>
  <c r="AE29" i="40"/>
  <c r="AE30" i="40"/>
  <c r="AE31" i="40"/>
  <c r="AE32" i="40"/>
  <c r="AE33" i="40"/>
  <c r="AE34" i="40"/>
  <c r="AE35" i="40"/>
  <c r="AE37" i="40"/>
  <c r="AE38" i="40"/>
  <c r="AE39" i="40"/>
  <c r="AE41" i="40"/>
  <c r="AE42" i="40"/>
  <c r="AE43" i="40"/>
  <c r="AE45" i="40"/>
  <c r="AE46" i="40"/>
  <c r="AE47" i="40"/>
  <c r="AG48" i="40"/>
  <c r="AC52" i="40"/>
  <c r="AE53" i="40"/>
  <c r="AE54" i="40"/>
  <c r="AE55" i="40"/>
  <c r="AE56" i="40"/>
  <c r="R57" i="40"/>
  <c r="AE57" i="40"/>
  <c r="AE58" i="40"/>
  <c r="R59" i="40"/>
  <c r="AE59" i="40"/>
  <c r="AE60" i="40"/>
  <c r="AE61" i="40"/>
  <c r="L62" i="40"/>
  <c r="N62" i="40"/>
  <c r="AE62" i="40"/>
  <c r="AE63" i="40"/>
  <c r="AE64" i="40"/>
  <c r="AE65" i="40"/>
  <c r="N66" i="40"/>
  <c r="AE66" i="40"/>
  <c r="L67" i="40"/>
  <c r="AE67" i="40"/>
  <c r="AE68" i="40"/>
  <c r="AE69" i="40"/>
  <c r="R70" i="40"/>
  <c r="Z70" i="40"/>
  <c r="AE70" i="40"/>
  <c r="AG71" i="40"/>
  <c r="AG73" i="40"/>
  <c r="AG74" i="40"/>
  <c r="AG75" i="40"/>
  <c r="AE76" i="40"/>
  <c r="AE77" i="40"/>
  <c r="AE78" i="40"/>
  <c r="N79" i="40"/>
  <c r="AE79" i="40"/>
  <c r="AE80" i="40"/>
  <c r="AE81" i="40"/>
  <c r="AE82" i="40"/>
  <c r="AG84" i="40"/>
  <c r="AE87" i="40"/>
  <c r="AG88" i="40"/>
  <c r="B99" i="40"/>
  <c r="D99" i="40" s="1"/>
  <c r="F99" i="40" s="1"/>
  <c r="J99" i="40" s="1"/>
  <c r="L99" i="40" s="1"/>
  <c r="N99" i="40" s="1"/>
  <c r="R99" i="40" s="1"/>
  <c r="H100" i="40"/>
  <c r="P100" i="40"/>
  <c r="X100" i="40"/>
  <c r="D4" i="21"/>
  <c r="F4" i="21" s="1"/>
  <c r="H4" i="21" s="1"/>
  <c r="J4" i="21" s="1"/>
  <c r="L4" i="21" s="1"/>
  <c r="N4" i="21" s="1"/>
  <c r="P4" i="21" s="1"/>
  <c r="R4" i="21" s="1"/>
  <c r="T4" i="21" s="1"/>
  <c r="V4" i="21" s="1"/>
  <c r="X4" i="21" s="1"/>
  <c r="Z4" i="21" s="1"/>
  <c r="AC19" i="21"/>
  <c r="AC22" i="21"/>
  <c r="AC23" i="21"/>
  <c r="AC24" i="21"/>
  <c r="AC29" i="21"/>
  <c r="AC30" i="21"/>
  <c r="AC31" i="21"/>
  <c r="AC34" i="21" s="1"/>
  <c r="AC32" i="21"/>
  <c r="AC33" i="21"/>
  <c r="AC38" i="21"/>
  <c r="G7" i="37"/>
  <c r="K7" i="37"/>
  <c r="O7" i="37"/>
  <c r="S7" i="37"/>
  <c r="G8" i="37"/>
  <c r="K8" i="37"/>
  <c r="O8" i="37"/>
  <c r="S8" i="37"/>
  <c r="G9" i="37"/>
  <c r="K9" i="37"/>
  <c r="O9" i="37"/>
  <c r="S9" i="37"/>
  <c r="G10" i="37"/>
  <c r="K10" i="37"/>
  <c r="O10" i="37"/>
  <c r="S10" i="37"/>
  <c r="U11" i="37"/>
  <c r="U12" i="37"/>
  <c r="U13" i="37"/>
  <c r="G14" i="37"/>
  <c r="K14" i="37"/>
  <c r="O14" i="37"/>
  <c r="S14" i="37"/>
  <c r="G15" i="37"/>
  <c r="K15" i="37"/>
  <c r="O15" i="37"/>
  <c r="S15" i="37"/>
  <c r="G16" i="37"/>
  <c r="K16" i="37"/>
  <c r="O16" i="37"/>
  <c r="S16" i="37"/>
  <c r="G17" i="37"/>
  <c r="K17" i="37"/>
  <c r="O17" i="37"/>
  <c r="S17" i="37"/>
  <c r="G18" i="37"/>
  <c r="K18" i="37"/>
  <c r="O18" i="37"/>
  <c r="S18" i="37"/>
  <c r="G19" i="37"/>
  <c r="K19" i="37"/>
  <c r="O19" i="37"/>
  <c r="S19" i="37"/>
  <c r="G23" i="37"/>
  <c r="K23" i="37"/>
  <c r="O23" i="37"/>
  <c r="S23" i="37"/>
  <c r="G24" i="37"/>
  <c r="K24" i="37"/>
  <c r="O24" i="37"/>
  <c r="S24" i="37"/>
  <c r="G25" i="37"/>
  <c r="K25" i="37"/>
  <c r="O25" i="37"/>
  <c r="S25" i="37"/>
  <c r="G26" i="37"/>
  <c r="K26" i="37"/>
  <c r="O26" i="37"/>
  <c r="S26" i="37"/>
  <c r="G27" i="37"/>
  <c r="K27" i="37"/>
  <c r="O27" i="37"/>
  <c r="S27" i="37"/>
  <c r="G28" i="37"/>
  <c r="K28" i="37"/>
  <c r="O28" i="37"/>
  <c r="S28" i="37"/>
  <c r="G29" i="37"/>
  <c r="K29" i="37"/>
  <c r="O29" i="37"/>
  <c r="S29" i="37"/>
  <c r="B31" i="37"/>
  <c r="D31" i="37"/>
  <c r="F31" i="37"/>
  <c r="H31" i="37"/>
  <c r="I31" i="37"/>
  <c r="J31" i="37"/>
  <c r="L31" i="37"/>
  <c r="M31" i="37"/>
  <c r="N31" i="37"/>
  <c r="P31" i="37"/>
  <c r="Q31" i="37"/>
  <c r="R31" i="37"/>
  <c r="B35" i="37"/>
  <c r="D35" i="37"/>
  <c r="F35" i="37"/>
  <c r="H35" i="37"/>
  <c r="K57" i="51" s="1"/>
  <c r="I35" i="37"/>
  <c r="J35" i="37"/>
  <c r="O57" i="34" s="1"/>
  <c r="L35" i="37"/>
  <c r="S57" i="51" s="1"/>
  <c r="M35" i="37"/>
  <c r="N35" i="37"/>
  <c r="W57" i="51" s="1"/>
  <c r="W61" i="51" s="1"/>
  <c r="P35" i="37"/>
  <c r="P62" i="37" s="1"/>
  <c r="Q35" i="37"/>
  <c r="Q50" i="37" s="1"/>
  <c r="R35" i="37"/>
  <c r="B36" i="37"/>
  <c r="C58" i="51" s="1"/>
  <c r="D36" i="37"/>
  <c r="F36" i="37"/>
  <c r="G58" i="51" s="1"/>
  <c r="H36" i="37"/>
  <c r="K58" i="51" s="1"/>
  <c r="I36" i="37"/>
  <c r="M58" i="51" s="1"/>
  <c r="J36" i="37"/>
  <c r="L36" i="37"/>
  <c r="S58" i="51" s="1"/>
  <c r="M36" i="37"/>
  <c r="N36" i="37"/>
  <c r="W58" i="51" s="1"/>
  <c r="P36" i="37"/>
  <c r="Q36" i="37"/>
  <c r="AC58" i="51" s="1"/>
  <c r="R36" i="37"/>
  <c r="B37" i="37"/>
  <c r="D37" i="37"/>
  <c r="D52" i="37" s="1"/>
  <c r="F37" i="37"/>
  <c r="F52" i="37" s="1"/>
  <c r="H37" i="37"/>
  <c r="I37" i="37"/>
  <c r="I52" i="37" s="1"/>
  <c r="J37" i="37"/>
  <c r="J52" i="37" s="1"/>
  <c r="L37" i="37"/>
  <c r="M37" i="37"/>
  <c r="N37" i="37"/>
  <c r="P37" i="37"/>
  <c r="P64" i="37" s="1"/>
  <c r="Q37" i="37"/>
  <c r="Q64" i="37" s="1"/>
  <c r="R37" i="37"/>
  <c r="R52" i="37" s="1"/>
  <c r="M39" i="37"/>
  <c r="G42" i="37"/>
  <c r="K42" i="37"/>
  <c r="O42" i="37"/>
  <c r="S42" i="37"/>
  <c r="G43" i="37"/>
  <c r="K43" i="37"/>
  <c r="O43" i="37"/>
  <c r="S43" i="37"/>
  <c r="G44" i="37"/>
  <c r="K44" i="37"/>
  <c r="O44" i="37"/>
  <c r="S44" i="37"/>
  <c r="U44" i="37" s="1"/>
  <c r="B46" i="37"/>
  <c r="D46" i="37"/>
  <c r="F46" i="37"/>
  <c r="H46" i="37"/>
  <c r="I46" i="37"/>
  <c r="J46" i="37"/>
  <c r="L46" i="37"/>
  <c r="M46" i="37"/>
  <c r="M80" i="37" s="1"/>
  <c r="N46" i="37"/>
  <c r="P46" i="37"/>
  <c r="P80" i="37"/>
  <c r="Q46" i="37"/>
  <c r="Q80" i="37" s="1"/>
  <c r="R46" i="37"/>
  <c r="R80" i="37" s="1"/>
  <c r="B50" i="37"/>
  <c r="H50" i="37"/>
  <c r="I50" i="37"/>
  <c r="L50" i="37"/>
  <c r="H51" i="37"/>
  <c r="I51" i="37"/>
  <c r="B52" i="37"/>
  <c r="L52" i="37"/>
  <c r="N52" i="37"/>
  <c r="S56" i="37"/>
  <c r="S57" i="37"/>
  <c r="S58" i="37"/>
  <c r="M59" i="37"/>
  <c r="N59" i="37"/>
  <c r="P59" i="37"/>
  <c r="Q59" i="37"/>
  <c r="R59" i="37"/>
  <c r="M62" i="37"/>
  <c r="N64" i="37"/>
  <c r="B67" i="37"/>
  <c r="G67" i="37" s="1"/>
  <c r="D67" i="37"/>
  <c r="F67" i="37"/>
  <c r="H67" i="37"/>
  <c r="I67" i="37"/>
  <c r="J67" i="37"/>
  <c r="L67" i="37"/>
  <c r="O67" i="37" s="1"/>
  <c r="S67" i="37"/>
  <c r="S68" i="37"/>
  <c r="B69" i="37"/>
  <c r="D69" i="37"/>
  <c r="F69" i="37"/>
  <c r="H69" i="37"/>
  <c r="I69" i="37"/>
  <c r="J69" i="37"/>
  <c r="L69" i="37"/>
  <c r="O69" i="37"/>
  <c r="S69" i="37"/>
  <c r="B72" i="37"/>
  <c r="B77" i="37" s="1"/>
  <c r="D72" i="37"/>
  <c r="F72" i="37"/>
  <c r="F77" i="37" s="1"/>
  <c r="H72" i="37"/>
  <c r="H77" i="37" s="1"/>
  <c r="I72" i="37"/>
  <c r="I77" i="37" s="1"/>
  <c r="J72" i="37"/>
  <c r="L72" i="37"/>
  <c r="S72" i="37"/>
  <c r="S77" i="37" s="1"/>
  <c r="B73" i="37"/>
  <c r="B68" i="37" s="1"/>
  <c r="G68" i="37" s="1"/>
  <c r="D73" i="37"/>
  <c r="D78" i="37" s="1"/>
  <c r="F73" i="37"/>
  <c r="F68" i="37" s="1"/>
  <c r="H73" i="37"/>
  <c r="I73" i="37"/>
  <c r="I68" i="37" s="1"/>
  <c r="J73" i="37"/>
  <c r="J68" i="37" s="1"/>
  <c r="L73" i="37"/>
  <c r="S73" i="37"/>
  <c r="G74" i="37"/>
  <c r="K74" i="37"/>
  <c r="O74" i="37"/>
  <c r="S74" i="37"/>
  <c r="U74" i="37" s="1"/>
  <c r="M77" i="37"/>
  <c r="N77" i="37"/>
  <c r="P77" i="37"/>
  <c r="Q77" i="37"/>
  <c r="R77" i="37"/>
  <c r="M78" i="37"/>
  <c r="N78" i="37"/>
  <c r="P78" i="37"/>
  <c r="Q78" i="37"/>
  <c r="R78" i="37"/>
  <c r="N80" i="37"/>
  <c r="E50" i="51"/>
  <c r="G50" i="51"/>
  <c r="M50" i="51"/>
  <c r="A1" i="26"/>
  <c r="C4" i="26"/>
  <c r="D4" i="26" s="1"/>
  <c r="F4" i="26" s="1"/>
  <c r="G4" i="26" s="1"/>
  <c r="H4" i="26" s="1"/>
  <c r="J4" i="26" s="1"/>
  <c r="K4" i="26" s="1"/>
  <c r="L4" i="26" s="1"/>
  <c r="M4" i="26" s="1"/>
  <c r="N4" i="26" s="1"/>
  <c r="O4" i="26" s="1"/>
  <c r="B15" i="26"/>
  <c r="C15" i="26"/>
  <c r="D15" i="26"/>
  <c r="F15" i="26"/>
  <c r="F21" i="26" s="1"/>
  <c r="G15" i="26"/>
  <c r="G21" i="26" s="1"/>
  <c r="H15" i="26"/>
  <c r="H21" i="26" s="1"/>
  <c r="J15" i="26"/>
  <c r="J21" i="26" s="1"/>
  <c r="K15" i="26"/>
  <c r="K21" i="26" s="1"/>
  <c r="L15" i="26"/>
  <c r="L21" i="26" s="1"/>
  <c r="M15" i="26"/>
  <c r="M21" i="26" s="1"/>
  <c r="N15" i="26"/>
  <c r="N21" i="26" s="1"/>
  <c r="O15" i="26"/>
  <c r="O21" i="26" s="1"/>
  <c r="B21" i="26"/>
  <c r="C21" i="26"/>
  <c r="D21" i="26"/>
  <c r="B29" i="26"/>
  <c r="C29" i="26"/>
  <c r="D29" i="26"/>
  <c r="F29" i="26"/>
  <c r="F39" i="26" s="1"/>
  <c r="G29" i="26"/>
  <c r="G39" i="26" s="1"/>
  <c r="H29" i="26"/>
  <c r="H39" i="26" s="1"/>
  <c r="J29" i="26"/>
  <c r="J39" i="26" s="1"/>
  <c r="K29" i="26"/>
  <c r="K39" i="26" s="1"/>
  <c r="L29" i="26"/>
  <c r="L39" i="26" s="1"/>
  <c r="M29" i="26"/>
  <c r="M39" i="26" s="1"/>
  <c r="N29" i="26"/>
  <c r="N39" i="26" s="1"/>
  <c r="O29" i="26"/>
  <c r="O39" i="26" s="1"/>
  <c r="B39" i="26"/>
  <c r="C39" i="26"/>
  <c r="D39" i="26"/>
  <c r="B46" i="26"/>
  <c r="C46" i="26"/>
  <c r="D46" i="26"/>
  <c r="F46" i="26"/>
  <c r="G46" i="26"/>
  <c r="H46" i="26"/>
  <c r="J46" i="26"/>
  <c r="K46" i="26"/>
  <c r="L46" i="26"/>
  <c r="M46" i="26"/>
  <c r="N46" i="26"/>
  <c r="O46" i="26"/>
  <c r="E11" i="34"/>
  <c r="C57" i="34"/>
  <c r="E57" i="34"/>
  <c r="M57" i="34"/>
  <c r="AC57" i="34"/>
  <c r="C58" i="34"/>
  <c r="K58" i="34"/>
  <c r="M58" i="34"/>
  <c r="O58" i="34"/>
  <c r="S58" i="34"/>
  <c r="AC58" i="34"/>
  <c r="E59" i="34"/>
  <c r="I71" i="34"/>
  <c r="Q71" i="34"/>
  <c r="Y71" i="34"/>
  <c r="AG71" i="34"/>
  <c r="I72" i="34"/>
  <c r="Q72" i="34"/>
  <c r="Y72" i="34"/>
  <c r="AG72" i="34"/>
  <c r="I73" i="34"/>
  <c r="Q73" i="34"/>
  <c r="Y73" i="34"/>
  <c r="AG73" i="34"/>
  <c r="I74" i="34"/>
  <c r="Q74" i="34"/>
  <c r="Y74" i="34"/>
  <c r="AG74" i="34"/>
  <c r="I75" i="34"/>
  <c r="Q75" i="34"/>
  <c r="Y75" i="34"/>
  <c r="AG75" i="34"/>
  <c r="I76" i="34"/>
  <c r="Q76" i="34"/>
  <c r="Y76" i="34"/>
  <c r="AG76" i="34"/>
  <c r="C77" i="34"/>
  <c r="C60" i="34" s="1"/>
  <c r="C59" i="34" s="1"/>
  <c r="E77" i="34"/>
  <c r="G77" i="34"/>
  <c r="G60" i="34" s="1"/>
  <c r="K77" i="34"/>
  <c r="K60" i="34" s="1"/>
  <c r="M77" i="34"/>
  <c r="M60" i="34" s="1"/>
  <c r="M59" i="34" s="1"/>
  <c r="O77" i="34"/>
  <c r="O60" i="34" s="1"/>
  <c r="O59" i="34" s="1"/>
  <c r="S77" i="34"/>
  <c r="S60" i="34" s="1"/>
  <c r="U77" i="34"/>
  <c r="U60" i="34" s="1"/>
  <c r="U59" i="34" s="1"/>
  <c r="W77" i="34"/>
  <c r="W60" i="34" s="1"/>
  <c r="W59" i="34" s="1"/>
  <c r="AA77" i="34"/>
  <c r="AA60" i="34" s="1"/>
  <c r="AA59" i="34" s="1"/>
  <c r="AC77" i="34"/>
  <c r="AC60" i="34" s="1"/>
  <c r="AC59" i="34" s="1"/>
  <c r="AE77" i="34"/>
  <c r="AE60" i="34" s="1"/>
  <c r="AE59" i="34" s="1"/>
  <c r="A1" i="27"/>
  <c r="B3" i="27"/>
  <c r="C3" i="27"/>
  <c r="D3" i="27"/>
  <c r="F3" i="27"/>
  <c r="G3" i="27"/>
  <c r="H3" i="27"/>
  <c r="J3" i="27"/>
  <c r="K3" i="27"/>
  <c r="L3" i="27"/>
  <c r="N3" i="27"/>
  <c r="O3" i="27"/>
  <c r="P3" i="27"/>
  <c r="C5" i="27"/>
  <c r="D5" i="27" s="1"/>
  <c r="F5" i="27" s="1"/>
  <c r="G5" i="27" s="1"/>
  <c r="H5" i="27" s="1"/>
  <c r="J5" i="27" s="1"/>
  <c r="K5" i="27" s="1"/>
  <c r="L5" i="27" s="1"/>
  <c r="N5" i="27" s="1"/>
  <c r="O5" i="27" s="1"/>
  <c r="P5" i="27" s="1"/>
  <c r="B16" i="27"/>
  <c r="B22" i="27" s="1"/>
  <c r="C16" i="27"/>
  <c r="C22" i="27" s="1"/>
  <c r="D16" i="27"/>
  <c r="D22" i="27" s="1"/>
  <c r="F16" i="27"/>
  <c r="F22" i="27" s="1"/>
  <c r="G16" i="27"/>
  <c r="H16" i="27"/>
  <c r="H22" i="27" s="1"/>
  <c r="J16" i="27"/>
  <c r="J22" i="27" s="1"/>
  <c r="K16" i="27"/>
  <c r="K22" i="27" s="1"/>
  <c r="L16" i="27"/>
  <c r="L22" i="27" s="1"/>
  <c r="N16" i="27"/>
  <c r="N22" i="27" s="1"/>
  <c r="O16" i="27"/>
  <c r="O22" i="27" s="1"/>
  <c r="P16" i="27"/>
  <c r="P22" i="27" s="1"/>
  <c r="G22" i="27"/>
  <c r="B30" i="27"/>
  <c r="B40" i="27" s="1"/>
  <c r="C30" i="27"/>
  <c r="C40" i="27" s="1"/>
  <c r="D30" i="27"/>
  <c r="F30" i="27"/>
  <c r="F40" i="27" s="1"/>
  <c r="G30" i="27"/>
  <c r="G40" i="27" s="1"/>
  <c r="H30" i="27"/>
  <c r="H40" i="27" s="1"/>
  <c r="J30" i="27"/>
  <c r="J40" i="27" s="1"/>
  <c r="K30" i="27"/>
  <c r="K40" i="27" s="1"/>
  <c r="L30" i="27"/>
  <c r="N30" i="27"/>
  <c r="N40" i="27" s="1"/>
  <c r="O30" i="27"/>
  <c r="O40" i="27" s="1"/>
  <c r="P30" i="27"/>
  <c r="B47" i="27"/>
  <c r="C47" i="27"/>
  <c r="C49" i="27" s="1"/>
  <c r="D47" i="27"/>
  <c r="F47" i="27"/>
  <c r="G47" i="27"/>
  <c r="H47" i="27"/>
  <c r="J47" i="27"/>
  <c r="K47" i="27"/>
  <c r="L47" i="27"/>
  <c r="N47" i="27"/>
  <c r="O47" i="27"/>
  <c r="P47" i="27"/>
  <c r="B52" i="27"/>
  <c r="C52" i="27"/>
  <c r="D52" i="27"/>
  <c r="F52" i="27"/>
  <c r="G52" i="27"/>
  <c r="H52" i="27"/>
  <c r="J52" i="27"/>
  <c r="K52" i="27"/>
  <c r="L52" i="27"/>
  <c r="N52" i="27"/>
  <c r="O52" i="27"/>
  <c r="P52" i="27"/>
  <c r="B45" i="33"/>
  <c r="P52" i="37"/>
  <c r="Q63" i="37"/>
  <c r="Q51" i="37"/>
  <c r="Q52" i="37"/>
  <c r="Z79" i="4"/>
  <c r="R72" i="4"/>
  <c r="Z69" i="4"/>
  <c r="Z122" i="4" s="1"/>
  <c r="L72" i="4"/>
  <c r="Z82" i="4"/>
  <c r="Z61" i="4"/>
  <c r="B72" i="4"/>
  <c r="J72" i="4"/>
  <c r="Z67" i="4"/>
  <c r="Z60" i="4"/>
  <c r="N72" i="4"/>
  <c r="Z57" i="4"/>
  <c r="Z56" i="4"/>
  <c r="Z54" i="4"/>
  <c r="AA143" i="41"/>
  <c r="V17" i="24"/>
  <c r="V7" i="24"/>
  <c r="V19" i="24"/>
  <c r="L29" i="25"/>
  <c r="L41" i="25"/>
  <c r="L45" i="25"/>
  <c r="L7" i="25"/>
  <c r="L28" i="25"/>
  <c r="L40" i="25"/>
  <c r="L44" i="25"/>
  <c r="L10" i="25"/>
  <c r="L31" i="25"/>
  <c r="L43" i="25"/>
  <c r="L47" i="25"/>
  <c r="L9" i="25"/>
  <c r="L30" i="25"/>
  <c r="L42" i="25"/>
  <c r="L46" i="25"/>
  <c r="L8" i="25"/>
  <c r="V36" i="24"/>
  <c r="V32" i="24"/>
  <c r="V28" i="24"/>
  <c r="V16" i="24"/>
  <c r="V38" i="24"/>
  <c r="V34" i="24"/>
  <c r="V22" i="24"/>
  <c r="AA139" i="41"/>
  <c r="O58" i="51" l="1"/>
  <c r="J51" i="37"/>
  <c r="D16" i="24"/>
  <c r="D17" i="24"/>
  <c r="D20" i="24"/>
  <c r="D24" i="24"/>
  <c r="D9" i="24"/>
  <c r="D11" i="24"/>
  <c r="D23" i="24"/>
  <c r="D27" i="24"/>
  <c r="D28" i="24"/>
  <c r="D40" i="24"/>
  <c r="D8" i="24"/>
  <c r="D10" i="24"/>
  <c r="D18" i="24"/>
  <c r="D19" i="24"/>
  <c r="D21" i="24"/>
  <c r="D25" i="24"/>
  <c r="D30" i="24"/>
  <c r="D32" i="24"/>
  <c r="D38" i="24"/>
  <c r="D45" i="24"/>
  <c r="D46" i="24"/>
  <c r="AE29" i="29"/>
  <c r="S13" i="29"/>
  <c r="P50" i="37"/>
  <c r="S57" i="34"/>
  <c r="M48" i="26"/>
  <c r="T79" i="22"/>
  <c r="T34" i="22"/>
  <c r="T45" i="24"/>
  <c r="T43" i="24"/>
  <c r="D41" i="24"/>
  <c r="D39" i="24"/>
  <c r="T32" i="24"/>
  <c r="H21" i="25"/>
  <c r="H36" i="25"/>
  <c r="H45" i="25"/>
  <c r="H46" i="25"/>
  <c r="M62" i="18"/>
  <c r="M63" i="18" s="1"/>
  <c r="M52" i="18"/>
  <c r="E52" i="18"/>
  <c r="E62" i="18"/>
  <c r="E63" i="18" s="1"/>
  <c r="U117" i="29"/>
  <c r="U119" i="29" s="1"/>
  <c r="N117" i="29"/>
  <c r="N119" i="29" s="1"/>
  <c r="AE33" i="29"/>
  <c r="T102" i="29"/>
  <c r="AE18" i="29"/>
  <c r="L27" i="40"/>
  <c r="L55" i="40"/>
  <c r="L66" i="40"/>
  <c r="L70" i="40"/>
  <c r="L79" i="40"/>
  <c r="T8" i="24"/>
  <c r="T18" i="24"/>
  <c r="T21" i="24"/>
  <c r="T16" i="24"/>
  <c r="T17" i="24"/>
  <c r="T19" i="24"/>
  <c r="T20" i="24"/>
  <c r="T24" i="24"/>
  <c r="T25" i="24"/>
  <c r="T34" i="24"/>
  <c r="T35" i="24"/>
  <c r="T41" i="24"/>
  <c r="T44" i="24"/>
  <c r="T11" i="24"/>
  <c r="T22" i="24"/>
  <c r="T28" i="24"/>
  <c r="T39" i="24"/>
  <c r="AC61" i="34"/>
  <c r="O46" i="37"/>
  <c r="M64" i="37"/>
  <c r="M52" i="37"/>
  <c r="U57" i="51"/>
  <c r="U61" i="51" s="1"/>
  <c r="M50" i="37"/>
  <c r="U57" i="34"/>
  <c r="U25" i="37"/>
  <c r="U18" i="37"/>
  <c r="U14" i="37"/>
  <c r="L78" i="40"/>
  <c r="L68" i="40"/>
  <c r="T78" i="22"/>
  <c r="T30" i="21" s="1"/>
  <c r="T65" i="22"/>
  <c r="T46" i="24"/>
  <c r="D43" i="24"/>
  <c r="T36" i="24"/>
  <c r="D34" i="24"/>
  <c r="T27" i="24"/>
  <c r="G119" i="29"/>
  <c r="W105" i="29"/>
  <c r="B105" i="29"/>
  <c r="J102" i="29"/>
  <c r="AA103" i="29"/>
  <c r="F103" i="29"/>
  <c r="B102" i="29"/>
  <c r="AE22" i="29"/>
  <c r="F36" i="32"/>
  <c r="F40" i="32" s="1"/>
  <c r="M14" i="32"/>
  <c r="M27" i="32"/>
  <c r="M36" i="32" s="1"/>
  <c r="M40" i="32" s="1"/>
  <c r="G57" i="51"/>
  <c r="G61" i="51" s="1"/>
  <c r="G57" i="34"/>
  <c r="D25" i="22"/>
  <c r="D56" i="22"/>
  <c r="D18" i="21" s="1"/>
  <c r="D68" i="22"/>
  <c r="D82" i="22"/>
  <c r="D33" i="21" s="1"/>
  <c r="D44" i="24"/>
  <c r="T40" i="24"/>
  <c r="T38" i="24"/>
  <c r="D22" i="24"/>
  <c r="AA117" i="29"/>
  <c r="AA119" i="29" s="1"/>
  <c r="S117" i="29"/>
  <c r="S119" i="29" s="1"/>
  <c r="N83" i="29"/>
  <c r="AD101" i="29"/>
  <c r="V101" i="29"/>
  <c r="P16" i="41"/>
  <c r="J117" i="29"/>
  <c r="J119" i="29" s="1"/>
  <c r="G62" i="51"/>
  <c r="J80" i="37"/>
  <c r="D80" i="37"/>
  <c r="AC52" i="24"/>
  <c r="AC46" i="24"/>
  <c r="AC36" i="24"/>
  <c r="D46" i="25"/>
  <c r="D42" i="25"/>
  <c r="D25" i="25"/>
  <c r="F55" i="18"/>
  <c r="F75" i="18" s="1"/>
  <c r="I27" i="32"/>
  <c r="D48" i="26"/>
  <c r="E25" i="26" s="1"/>
  <c r="C48" i="26"/>
  <c r="G69" i="37"/>
  <c r="S46" i="37"/>
  <c r="S80" i="37" s="1"/>
  <c r="G46" i="37"/>
  <c r="O37" i="37"/>
  <c r="K37" i="37"/>
  <c r="R51" i="37"/>
  <c r="AE58" i="51"/>
  <c r="P51" i="37"/>
  <c r="AA58" i="51"/>
  <c r="AG58" i="51" s="1"/>
  <c r="U58" i="34"/>
  <c r="U58" i="51"/>
  <c r="Y58" i="51"/>
  <c r="Q58" i="51"/>
  <c r="E58" i="34"/>
  <c r="E58" i="51"/>
  <c r="I58" i="51"/>
  <c r="R50" i="37"/>
  <c r="AE57" i="51"/>
  <c r="AE61" i="51" s="1"/>
  <c r="Q62" i="37"/>
  <c r="AC57" i="51"/>
  <c r="AC61" i="51" s="1"/>
  <c r="AA57" i="34"/>
  <c r="AA61" i="34" s="1"/>
  <c r="AA57" i="51"/>
  <c r="S61" i="51"/>
  <c r="Y57" i="51"/>
  <c r="Y61" i="51" s="1"/>
  <c r="J50" i="37"/>
  <c r="O57" i="51"/>
  <c r="O61" i="51" s="1"/>
  <c r="I39" i="37"/>
  <c r="M57" i="51"/>
  <c r="Q57" i="51"/>
  <c r="Q61" i="51" s="1"/>
  <c r="K61" i="51"/>
  <c r="D50" i="37"/>
  <c r="E57" i="51"/>
  <c r="B39" i="37"/>
  <c r="C57" i="51"/>
  <c r="AC7" i="24"/>
  <c r="G68" i="25"/>
  <c r="G69" i="25" s="1"/>
  <c r="H62" i="18"/>
  <c r="H63" i="18" s="1"/>
  <c r="E55" i="18"/>
  <c r="E75" i="18" s="1"/>
  <c r="AC169" i="41"/>
  <c r="P169" i="41"/>
  <c r="Z117" i="41"/>
  <c r="Z119" i="41" s="1"/>
  <c r="I64" i="37"/>
  <c r="D64" i="37"/>
  <c r="B64" i="37"/>
  <c r="X117" i="29"/>
  <c r="X119" i="29" s="1"/>
  <c r="W117" i="29"/>
  <c r="W119" i="29" s="1"/>
  <c r="L117" i="29"/>
  <c r="L119" i="29" s="1"/>
  <c r="K117" i="29"/>
  <c r="K119" i="29" s="1"/>
  <c r="C117" i="29"/>
  <c r="C119" i="29" s="1"/>
  <c r="AB117" i="29"/>
  <c r="AB119" i="29" s="1"/>
  <c r="T117" i="29"/>
  <c r="T119" i="29" s="1"/>
  <c r="B117" i="29"/>
  <c r="B119" i="29" s="1"/>
  <c r="Z117" i="29"/>
  <c r="Z119" i="29" s="1"/>
  <c r="F117" i="29"/>
  <c r="F119" i="29" s="1"/>
  <c r="AE114" i="29"/>
  <c r="N47" i="29"/>
  <c r="AB47" i="48"/>
  <c r="AB47" i="22"/>
  <c r="AB46" i="48"/>
  <c r="AB46" i="22"/>
  <c r="N45" i="29"/>
  <c r="AB45" i="48"/>
  <c r="AB45" i="22"/>
  <c r="Z105" i="29"/>
  <c r="N44" i="29"/>
  <c r="F105" i="29"/>
  <c r="AB44" i="48"/>
  <c r="AB44" i="22"/>
  <c r="AB105" i="29"/>
  <c r="T105" i="29"/>
  <c r="AB43" i="48"/>
  <c r="AB43" i="22"/>
  <c r="AB42" i="48"/>
  <c r="AB42" i="22"/>
  <c r="AE41" i="29"/>
  <c r="L105" i="29"/>
  <c r="AB41" i="48"/>
  <c r="AB41" i="22"/>
  <c r="N40" i="29"/>
  <c r="AB40" i="48"/>
  <c r="AB40" i="22"/>
  <c r="N39" i="29"/>
  <c r="AB39" i="48"/>
  <c r="AB39" i="22"/>
  <c r="AE38" i="29"/>
  <c r="AB38" i="48"/>
  <c r="AB38" i="22"/>
  <c r="AB37" i="48"/>
  <c r="AB37" i="22"/>
  <c r="AB36" i="48"/>
  <c r="AB36" i="22"/>
  <c r="U102" i="29"/>
  <c r="AB35" i="48"/>
  <c r="AB35" i="22"/>
  <c r="AD103" i="29"/>
  <c r="W103" i="29"/>
  <c r="V103" i="29"/>
  <c r="J103" i="29"/>
  <c r="I103" i="29"/>
  <c r="AB34" i="48"/>
  <c r="AB34" i="22"/>
  <c r="N33" i="29"/>
  <c r="AB33" i="48"/>
  <c r="AB33" i="22"/>
  <c r="N32" i="29"/>
  <c r="AB32" i="48"/>
  <c r="AB32" i="22"/>
  <c r="AB31" i="48"/>
  <c r="AB31" i="22"/>
  <c r="AD102" i="29"/>
  <c r="AB30" i="48"/>
  <c r="AB30" i="22"/>
  <c r="N29" i="29"/>
  <c r="AB29" i="48"/>
  <c r="AB29" i="22"/>
  <c r="N28" i="29"/>
  <c r="AB28" i="48"/>
  <c r="AB28" i="22"/>
  <c r="AB27" i="48"/>
  <c r="AB27" i="22"/>
  <c r="AB26" i="48"/>
  <c r="AB26" i="22"/>
  <c r="AB25" i="48"/>
  <c r="AB25" i="22"/>
  <c r="Z49" i="29"/>
  <c r="F49" i="29"/>
  <c r="AB24" i="48"/>
  <c r="AB24" i="22"/>
  <c r="AB23" i="48"/>
  <c r="AB23" i="22"/>
  <c r="AB22" i="48"/>
  <c r="AB22" i="22"/>
  <c r="AE21" i="29"/>
  <c r="AB21" i="48"/>
  <c r="AB21" i="22"/>
  <c r="AB20" i="48"/>
  <c r="AB20" i="22"/>
  <c r="N19" i="29"/>
  <c r="AB19" i="48"/>
  <c r="AB19" i="22"/>
  <c r="AB18" i="48"/>
  <c r="AB18" i="22"/>
  <c r="AB17" i="48"/>
  <c r="AB17" i="22"/>
  <c r="AB16" i="48"/>
  <c r="AB16" i="22"/>
  <c r="AB11" i="48"/>
  <c r="AB11" i="22"/>
  <c r="L13" i="29"/>
  <c r="L97" i="29" s="1"/>
  <c r="D13" i="29"/>
  <c r="D97" i="29" s="1"/>
  <c r="AB10" i="48"/>
  <c r="AB10" i="22"/>
  <c r="Z13" i="29"/>
  <c r="Z97" i="29" s="1"/>
  <c r="M13" i="29"/>
  <c r="M97" i="29" s="1"/>
  <c r="F13" i="29"/>
  <c r="F97" i="29" s="1"/>
  <c r="E13" i="29"/>
  <c r="E97" i="29" s="1"/>
  <c r="AB9" i="48"/>
  <c r="AB9" i="22"/>
  <c r="AC13" i="29"/>
  <c r="U13" i="29"/>
  <c r="U97" i="29" s="1"/>
  <c r="H13" i="29"/>
  <c r="N8" i="29"/>
  <c r="AB8" i="48"/>
  <c r="AB8" i="22"/>
  <c r="AB7" i="48"/>
  <c r="AB7" i="22"/>
  <c r="P13" i="30"/>
  <c r="I36" i="32"/>
  <c r="I40" i="32" s="1"/>
  <c r="N12" i="32"/>
  <c r="N14" i="32" s="1"/>
  <c r="AC17" i="21"/>
  <c r="D36" i="24"/>
  <c r="J48" i="65"/>
  <c r="K48" i="65" s="1"/>
  <c r="D48" i="65"/>
  <c r="E48" i="65" s="1"/>
  <c r="F48" i="65"/>
  <c r="G48" i="65" s="1"/>
  <c r="H48" i="65"/>
  <c r="I48" i="65" s="1"/>
  <c r="H47" i="65"/>
  <c r="I47" i="65" s="1"/>
  <c r="J47" i="65"/>
  <c r="K47" i="65" s="1"/>
  <c r="F47" i="65"/>
  <c r="G47" i="65" s="1"/>
  <c r="D47" i="65"/>
  <c r="E47" i="65" s="1"/>
  <c r="P33" i="46"/>
  <c r="L33" i="46"/>
  <c r="N33" i="46"/>
  <c r="F33" i="46"/>
  <c r="H9" i="25"/>
  <c r="T63" i="22"/>
  <c r="T113" i="22" s="1"/>
  <c r="AA23" i="51" s="1"/>
  <c r="D69" i="40"/>
  <c r="D116" i="40" s="1"/>
  <c r="G20" i="25"/>
  <c r="R66" i="40"/>
  <c r="D79" i="22"/>
  <c r="N68" i="22"/>
  <c r="D59" i="22"/>
  <c r="D22" i="22"/>
  <c r="H7" i="20"/>
  <c r="N3" i="48"/>
  <c r="J37" i="48"/>
  <c r="R36" i="48"/>
  <c r="P36" i="48"/>
  <c r="H40" i="48"/>
  <c r="R39" i="40"/>
  <c r="D8" i="22"/>
  <c r="E8" i="22" s="1"/>
  <c r="G7" i="20"/>
  <c r="L3" i="48"/>
  <c r="L31" i="24"/>
  <c r="J79" i="48"/>
  <c r="J66" i="48"/>
  <c r="J78" i="48"/>
  <c r="J65" i="48"/>
  <c r="J57" i="48"/>
  <c r="J77" i="48"/>
  <c r="J64" i="48"/>
  <c r="J76" i="48"/>
  <c r="J63" i="48"/>
  <c r="J55" i="48"/>
  <c r="J70" i="48"/>
  <c r="J62" i="48"/>
  <c r="J54" i="48"/>
  <c r="J69" i="48"/>
  <c r="J61" i="48"/>
  <c r="J53" i="48"/>
  <c r="J82" i="48"/>
  <c r="J68" i="48"/>
  <c r="J60" i="48"/>
  <c r="J80" i="48"/>
  <c r="J67" i="48"/>
  <c r="J59" i="48"/>
  <c r="J10" i="48"/>
  <c r="J18" i="48"/>
  <c r="J43" i="48"/>
  <c r="J20" i="48"/>
  <c r="J9" i="48"/>
  <c r="K9" i="48" s="1"/>
  <c r="J17" i="48"/>
  <c r="J41" i="48"/>
  <c r="J29" i="48"/>
  <c r="J21" i="48"/>
  <c r="J24" i="48"/>
  <c r="J25" i="48"/>
  <c r="J44" i="48"/>
  <c r="J30" i="48"/>
  <c r="J11" i="48"/>
  <c r="J38" i="48"/>
  <c r="J45" i="48"/>
  <c r="J22" i="48"/>
  <c r="J23" i="48"/>
  <c r="J27" i="48"/>
  <c r="J32" i="48"/>
  <c r="J34" i="48"/>
  <c r="J35" i="48"/>
  <c r="J46" i="48"/>
  <c r="J8" i="48"/>
  <c r="K8" i="48" s="1"/>
  <c r="J16" i="48"/>
  <c r="J28" i="48"/>
  <c r="J19" i="48"/>
  <c r="R56" i="40"/>
  <c r="R17" i="40"/>
  <c r="X77" i="48"/>
  <c r="X68" i="48"/>
  <c r="X60" i="48"/>
  <c r="X76" i="48"/>
  <c r="X67" i="48"/>
  <c r="X59" i="48"/>
  <c r="X66" i="48"/>
  <c r="X58" i="48"/>
  <c r="X87" i="48"/>
  <c r="X65" i="48"/>
  <c r="X57" i="48"/>
  <c r="X82" i="48"/>
  <c r="X64" i="48"/>
  <c r="X56" i="48"/>
  <c r="X80" i="48"/>
  <c r="X63" i="48"/>
  <c r="X55" i="48"/>
  <c r="X79" i="48"/>
  <c r="X70" i="48"/>
  <c r="X62" i="48"/>
  <c r="X54" i="48"/>
  <c r="X78" i="48"/>
  <c r="X69" i="48"/>
  <c r="X61" i="48"/>
  <c r="X53" i="48"/>
  <c r="X10" i="48"/>
  <c r="X38" i="48"/>
  <c r="X24" i="48"/>
  <c r="X17" i="48"/>
  <c r="X39" i="48"/>
  <c r="X25" i="48"/>
  <c r="X18" i="48"/>
  <c r="X21" i="48"/>
  <c r="X40" i="48"/>
  <c r="X27" i="48"/>
  <c r="X32" i="48"/>
  <c r="X20" i="48"/>
  <c r="X45" i="48"/>
  <c r="X22" i="48"/>
  <c r="X41" i="48"/>
  <c r="X19" i="48"/>
  <c r="X30" i="48"/>
  <c r="X34" i="48"/>
  <c r="X16" i="48"/>
  <c r="X28" i="48"/>
  <c r="X44" i="48"/>
  <c r="X8" i="48"/>
  <c r="Y8" i="48" s="1"/>
  <c r="X46" i="48"/>
  <c r="X9" i="48"/>
  <c r="Y9" i="48" s="1"/>
  <c r="X43" i="48"/>
  <c r="X23" i="48"/>
  <c r="X11" i="48"/>
  <c r="H77" i="48"/>
  <c r="H68" i="48"/>
  <c r="H60" i="48"/>
  <c r="H76" i="48"/>
  <c r="H67" i="48"/>
  <c r="H59" i="48"/>
  <c r="H66" i="48"/>
  <c r="H65" i="48"/>
  <c r="H57" i="48"/>
  <c r="H82" i="48"/>
  <c r="H64" i="48"/>
  <c r="H80" i="48"/>
  <c r="H63" i="48"/>
  <c r="H55" i="48"/>
  <c r="H79" i="48"/>
  <c r="H70" i="48"/>
  <c r="H62" i="48"/>
  <c r="H54" i="48"/>
  <c r="H78" i="48"/>
  <c r="H69" i="48"/>
  <c r="H61" i="48"/>
  <c r="H53" i="48"/>
  <c r="H24" i="48"/>
  <c r="H25" i="48"/>
  <c r="H44" i="48"/>
  <c r="H16" i="48"/>
  <c r="H27" i="48"/>
  <c r="H22" i="48"/>
  <c r="H34" i="48"/>
  <c r="H35" i="48"/>
  <c r="H30" i="48"/>
  <c r="H23" i="48"/>
  <c r="H45" i="48"/>
  <c r="H46" i="48"/>
  <c r="H8" i="48"/>
  <c r="I8" i="48" s="1"/>
  <c r="H9" i="48"/>
  <c r="I9" i="48" s="1"/>
  <c r="H19" i="48"/>
  <c r="H20" i="48"/>
  <c r="H26" i="48"/>
  <c r="H18" i="48"/>
  <c r="H41" i="48"/>
  <c r="H28" i="48"/>
  <c r="H21" i="48"/>
  <c r="H10" i="48"/>
  <c r="H17" i="48"/>
  <c r="H38" i="48"/>
  <c r="H43" i="48"/>
  <c r="H11" i="48"/>
  <c r="H29" i="48"/>
  <c r="H32" i="48"/>
  <c r="N36" i="48"/>
  <c r="T36" i="48"/>
  <c r="R65" i="40"/>
  <c r="G30" i="25"/>
  <c r="G27" i="25"/>
  <c r="G16" i="25"/>
  <c r="L7" i="20"/>
  <c r="V3" i="48"/>
  <c r="V35" i="48" s="1"/>
  <c r="F3" i="40"/>
  <c r="F3" i="48"/>
  <c r="J39" i="48"/>
  <c r="N67" i="40"/>
  <c r="R45" i="40"/>
  <c r="D80" i="22"/>
  <c r="D64" i="22"/>
  <c r="H35" i="25"/>
  <c r="G21" i="25"/>
  <c r="R40" i="40"/>
  <c r="T28" i="22"/>
  <c r="D11" i="22"/>
  <c r="D9" i="22"/>
  <c r="E9" i="22" s="1"/>
  <c r="T82" i="48"/>
  <c r="T64" i="48"/>
  <c r="T80" i="48"/>
  <c r="T63" i="48"/>
  <c r="T55" i="48"/>
  <c r="T79" i="48"/>
  <c r="T70" i="48"/>
  <c r="T62" i="48"/>
  <c r="T54" i="48"/>
  <c r="T78" i="48"/>
  <c r="T69" i="48"/>
  <c r="T61" i="48"/>
  <c r="T53" i="48"/>
  <c r="T77" i="48"/>
  <c r="T68" i="48"/>
  <c r="T60" i="48"/>
  <c r="T76" i="48"/>
  <c r="T67" i="48"/>
  <c r="T59" i="48"/>
  <c r="T66" i="48"/>
  <c r="T65" i="48"/>
  <c r="T57" i="48"/>
  <c r="T38" i="48"/>
  <c r="T8" i="48"/>
  <c r="U8" i="48" s="1"/>
  <c r="T11" i="48"/>
  <c r="T20" i="48"/>
  <c r="T10" i="48"/>
  <c r="T30" i="48"/>
  <c r="T9" i="48"/>
  <c r="U9" i="48" s="1"/>
  <c r="T21" i="48"/>
  <c r="T22" i="48"/>
  <c r="T18" i="48"/>
  <c r="T44" i="48"/>
  <c r="T32" i="48"/>
  <c r="T34" i="48"/>
  <c r="T16" i="48"/>
  <c r="T17" i="48"/>
  <c r="T27" i="48"/>
  <c r="T19" i="48"/>
  <c r="T45" i="48"/>
  <c r="T46" i="48"/>
  <c r="T23" i="48"/>
  <c r="T25" i="48"/>
  <c r="T41" i="48"/>
  <c r="T28" i="48"/>
  <c r="T35" i="48"/>
  <c r="T24" i="48"/>
  <c r="T39" i="48"/>
  <c r="T43" i="48"/>
  <c r="D82" i="48"/>
  <c r="D64" i="48"/>
  <c r="D80" i="48"/>
  <c r="D63" i="48"/>
  <c r="D55" i="48"/>
  <c r="D79" i="48"/>
  <c r="D70" i="48"/>
  <c r="D62" i="48"/>
  <c r="D54" i="48"/>
  <c r="D78" i="48"/>
  <c r="D69" i="48"/>
  <c r="D61" i="48"/>
  <c r="D53" i="48"/>
  <c r="D77" i="48"/>
  <c r="D68" i="48"/>
  <c r="D60" i="48"/>
  <c r="D76" i="48"/>
  <c r="D67" i="48"/>
  <c r="D59" i="48"/>
  <c r="D66" i="48"/>
  <c r="D65" i="48"/>
  <c r="D57" i="48"/>
  <c r="D28" i="48"/>
  <c r="D21" i="48"/>
  <c r="D22" i="48"/>
  <c r="D41" i="48"/>
  <c r="D29" i="48"/>
  <c r="D30" i="48"/>
  <c r="D26" i="48"/>
  <c r="D10" i="48"/>
  <c r="D18" i="48"/>
  <c r="D19" i="48"/>
  <c r="D9" i="48"/>
  <c r="E9" i="48" s="1"/>
  <c r="D43" i="48"/>
  <c r="D44" i="48"/>
  <c r="D38" i="48"/>
  <c r="D39" i="48"/>
  <c r="D23" i="48"/>
  <c r="D17" i="48"/>
  <c r="D27" i="48"/>
  <c r="D45" i="48"/>
  <c r="D24" i="48"/>
  <c r="D25" i="48"/>
  <c r="D11" i="48"/>
  <c r="D35" i="48"/>
  <c r="D34" i="48"/>
  <c r="D32" i="48"/>
  <c r="D8" i="48"/>
  <c r="E8" i="48" s="1"/>
  <c r="D46" i="48"/>
  <c r="D20" i="48"/>
  <c r="D16" i="48"/>
  <c r="J36" i="48"/>
  <c r="D40" i="48"/>
  <c r="T41" i="22"/>
  <c r="D41" i="22"/>
  <c r="D39" i="22"/>
  <c r="H6" i="20"/>
  <c r="R79" i="48"/>
  <c r="R66" i="48"/>
  <c r="R78" i="48"/>
  <c r="R65" i="48"/>
  <c r="R57" i="48"/>
  <c r="R77" i="48"/>
  <c r="R64" i="48"/>
  <c r="R76" i="48"/>
  <c r="R63" i="48"/>
  <c r="R55" i="48"/>
  <c r="R70" i="48"/>
  <c r="R62" i="48"/>
  <c r="R54" i="48"/>
  <c r="R69" i="48"/>
  <c r="R61" i="48"/>
  <c r="R53" i="48"/>
  <c r="R82" i="48"/>
  <c r="R68" i="48"/>
  <c r="R60" i="48"/>
  <c r="R80" i="48"/>
  <c r="R67" i="48"/>
  <c r="R59" i="48"/>
  <c r="R8" i="48"/>
  <c r="S8" i="48" s="1"/>
  <c r="R18" i="48"/>
  <c r="R30" i="48"/>
  <c r="R43" i="48"/>
  <c r="R19" i="48"/>
  <c r="R20" i="48"/>
  <c r="R32" i="48"/>
  <c r="R10" i="48"/>
  <c r="R24" i="48"/>
  <c r="R17" i="48"/>
  <c r="R44" i="48"/>
  <c r="R45" i="48"/>
  <c r="R38" i="48"/>
  <c r="R25" i="48"/>
  <c r="R21" i="48"/>
  <c r="R16" i="48"/>
  <c r="S10" i="48" s="1"/>
  <c r="R23" i="48"/>
  <c r="R41" i="48"/>
  <c r="R46" i="48"/>
  <c r="R22" i="48"/>
  <c r="R27" i="48"/>
  <c r="R34" i="48"/>
  <c r="R35" i="48"/>
  <c r="R9" i="48"/>
  <c r="S9" i="48" s="1"/>
  <c r="R28" i="48"/>
  <c r="R39" i="48"/>
  <c r="T31" i="24"/>
  <c r="F37" i="48"/>
  <c r="T40" i="48"/>
  <c r="R76" i="40"/>
  <c r="R63" i="40"/>
  <c r="R21" i="40"/>
  <c r="T70" i="22"/>
  <c r="G29" i="25"/>
  <c r="G15" i="25"/>
  <c r="G9" i="25"/>
  <c r="L38" i="40"/>
  <c r="P77" i="48"/>
  <c r="P68" i="48"/>
  <c r="P60" i="48"/>
  <c r="P76" i="48"/>
  <c r="P67" i="48"/>
  <c r="P59" i="48"/>
  <c r="P66" i="48"/>
  <c r="P65" i="48"/>
  <c r="P57" i="48"/>
  <c r="P82" i="48"/>
  <c r="P64" i="48"/>
  <c r="P80" i="48"/>
  <c r="P63" i="48"/>
  <c r="P55" i="48"/>
  <c r="P79" i="48"/>
  <c r="P70" i="48"/>
  <c r="P62" i="48"/>
  <c r="P54" i="48"/>
  <c r="P78" i="48"/>
  <c r="P69" i="48"/>
  <c r="P61" i="48"/>
  <c r="P53" i="48"/>
  <c r="P22" i="48"/>
  <c r="P41" i="48"/>
  <c r="P43" i="48"/>
  <c r="P34" i="48"/>
  <c r="P11" i="48"/>
  <c r="P23" i="48"/>
  <c r="P19" i="48"/>
  <c r="P21" i="48"/>
  <c r="P44" i="48"/>
  <c r="P16" i="48"/>
  <c r="P27" i="48"/>
  <c r="P20" i="48"/>
  <c r="P46" i="48"/>
  <c r="P8" i="48"/>
  <c r="Q8" i="48" s="1"/>
  <c r="P35" i="48"/>
  <c r="P45" i="48"/>
  <c r="P32" i="48"/>
  <c r="P28" i="48"/>
  <c r="P30" i="48"/>
  <c r="P9" i="48"/>
  <c r="Q9" i="48" s="1"/>
  <c r="P24" i="48"/>
  <c r="P17" i="48"/>
  <c r="P10" i="48"/>
  <c r="P38" i="48"/>
  <c r="P25" i="48"/>
  <c r="P18" i="48"/>
  <c r="P39" i="48"/>
  <c r="D33" i="48"/>
  <c r="T33" i="24"/>
  <c r="D37" i="48"/>
  <c r="H36" i="48"/>
  <c r="R40" i="48"/>
  <c r="B36" i="4"/>
  <c r="B136" i="4" s="1"/>
  <c r="Z36" i="46"/>
  <c r="B44" i="65" s="1"/>
  <c r="Z36" i="16"/>
  <c r="F36" i="41"/>
  <c r="F130" i="41" s="1"/>
  <c r="L31" i="46"/>
  <c r="P37" i="48"/>
  <c r="H37" i="46"/>
  <c r="H37" i="48" s="1"/>
  <c r="N31" i="46"/>
  <c r="F39" i="48"/>
  <c r="P33" i="48"/>
  <c r="H33" i="46"/>
  <c r="H33" i="48" s="1"/>
  <c r="P31" i="46"/>
  <c r="P31" i="48" s="1"/>
  <c r="B33" i="16"/>
  <c r="B33" i="41" s="1"/>
  <c r="B128" i="41" s="1"/>
  <c r="R33" i="46"/>
  <c r="R33" i="48" s="1"/>
  <c r="D33" i="16"/>
  <c r="D33" i="41" s="1"/>
  <c r="D128" i="41" s="1"/>
  <c r="T33" i="46"/>
  <c r="H31" i="46"/>
  <c r="J33" i="46"/>
  <c r="J33" i="48" s="1"/>
  <c r="F33" i="16"/>
  <c r="F33" i="41" s="1"/>
  <c r="F128" i="41" s="1"/>
  <c r="V33" i="46"/>
  <c r="D31" i="46"/>
  <c r="G50" i="34"/>
  <c r="G62" i="34" s="1"/>
  <c r="F31" i="46"/>
  <c r="J31" i="46"/>
  <c r="D31" i="16"/>
  <c r="D31" i="41" s="1"/>
  <c r="D126" i="41" s="1"/>
  <c r="T31" i="46"/>
  <c r="T31" i="48" s="1"/>
  <c r="F31" i="16"/>
  <c r="F31" i="4" s="1"/>
  <c r="F132" i="4" s="1"/>
  <c r="B31" i="16"/>
  <c r="B31" i="4" s="1"/>
  <c r="B132" i="4" s="1"/>
  <c r="R31" i="46"/>
  <c r="R31" i="48" s="1"/>
  <c r="B31" i="46"/>
  <c r="N33" i="41"/>
  <c r="N128" i="41" s="1"/>
  <c r="AA31" i="41"/>
  <c r="AA126" i="41" s="1"/>
  <c r="Z31" i="41"/>
  <c r="Z126" i="41" s="1"/>
  <c r="V31" i="24"/>
  <c r="L35" i="41"/>
  <c r="L129" i="41" s="1"/>
  <c r="Z35" i="46"/>
  <c r="B43" i="65" s="1"/>
  <c r="D43" i="65" s="1"/>
  <c r="F43" i="65" s="1"/>
  <c r="H43" i="65" s="1"/>
  <c r="J43" i="65" s="1"/>
  <c r="D37" i="16"/>
  <c r="D37" i="24" s="1"/>
  <c r="H37" i="16"/>
  <c r="J37" i="41" s="1"/>
  <c r="J149" i="41" s="1"/>
  <c r="AN127" i="43"/>
  <c r="F37" i="16"/>
  <c r="F37" i="4" s="1"/>
  <c r="F155" i="4" s="1"/>
  <c r="B37" i="16"/>
  <c r="B37" i="41" s="1"/>
  <c r="B149" i="41" s="1"/>
  <c r="R37" i="48"/>
  <c r="L37" i="16"/>
  <c r="N37" i="41" s="1"/>
  <c r="N149" i="41" s="1"/>
  <c r="AP127" i="43"/>
  <c r="AA33" i="41"/>
  <c r="AA128" i="41" s="1"/>
  <c r="Z33" i="41"/>
  <c r="Z128" i="41" s="1"/>
  <c r="E29" i="45"/>
  <c r="K29" i="45"/>
  <c r="G29" i="45"/>
  <c r="M29" i="45"/>
  <c r="X33" i="4"/>
  <c r="L33" i="41"/>
  <c r="L128" i="41" s="1"/>
  <c r="O29" i="45"/>
  <c r="L29" i="45"/>
  <c r="H29" i="45"/>
  <c r="I29" i="45"/>
  <c r="R29" i="45"/>
  <c r="T33" i="4"/>
  <c r="T134" i="4" s="1"/>
  <c r="D29" i="45"/>
  <c r="N29" i="45"/>
  <c r="J29" i="45"/>
  <c r="F29" i="45"/>
  <c r="V29" i="16"/>
  <c r="V29" i="24" s="1"/>
  <c r="U29" i="45"/>
  <c r="X29" i="16"/>
  <c r="AB29" i="41" s="1"/>
  <c r="V29" i="45"/>
  <c r="T29" i="16"/>
  <c r="T29" i="24" s="1"/>
  <c r="T29" i="45"/>
  <c r="R26" i="16"/>
  <c r="V27" i="45"/>
  <c r="X26" i="16"/>
  <c r="AB26" i="41" s="1"/>
  <c r="T27" i="45"/>
  <c r="T26" i="16"/>
  <c r="T26" i="4" s="1"/>
  <c r="J26" i="16"/>
  <c r="H26" i="16"/>
  <c r="U27" i="45"/>
  <c r="V26" i="16"/>
  <c r="V26" i="4" s="1"/>
  <c r="L26" i="16"/>
  <c r="N26" i="41" s="1"/>
  <c r="P26" i="16"/>
  <c r="P26" i="4" s="1"/>
  <c r="N26" i="16"/>
  <c r="N26" i="24" s="1"/>
  <c r="B26" i="16"/>
  <c r="D26" i="16"/>
  <c r="F26" i="16"/>
  <c r="F26" i="24" s="1"/>
  <c r="N37" i="4"/>
  <c r="N155" i="4" s="1"/>
  <c r="R37" i="41"/>
  <c r="R149" i="41" s="1"/>
  <c r="R37" i="16"/>
  <c r="R37" i="4" s="1"/>
  <c r="R155" i="4" s="1"/>
  <c r="T37" i="16"/>
  <c r="X37" i="16"/>
  <c r="P37" i="16"/>
  <c r="P37" i="4" s="1"/>
  <c r="P155" i="4" s="1"/>
  <c r="V37" i="16"/>
  <c r="V37" i="24" s="1"/>
  <c r="X31" i="4"/>
  <c r="X132" i="4" s="1"/>
  <c r="AB31" i="41"/>
  <c r="V37" i="48"/>
  <c r="N33" i="48"/>
  <c r="B82" i="48"/>
  <c r="B66" i="48"/>
  <c r="B80" i="48"/>
  <c r="B68" i="48"/>
  <c r="B79" i="48"/>
  <c r="B78" i="48"/>
  <c r="B77" i="48"/>
  <c r="B70" i="48"/>
  <c r="B76" i="48"/>
  <c r="B69" i="48"/>
  <c r="B67" i="48"/>
  <c r="B17" i="48"/>
  <c r="B43" i="48"/>
  <c r="B24" i="48"/>
  <c r="B46" i="48"/>
  <c r="B35" i="48"/>
  <c r="B25" i="48"/>
  <c r="B9" i="48"/>
  <c r="B20" i="48"/>
  <c r="B8" i="48"/>
  <c r="B26" i="48"/>
  <c r="B41" i="48"/>
  <c r="B33" i="48"/>
  <c r="B11" i="48"/>
  <c r="B28" i="48"/>
  <c r="B30" i="48"/>
  <c r="B21" i="48"/>
  <c r="B10" i="48"/>
  <c r="B19" i="48"/>
  <c r="B36" i="48"/>
  <c r="B22" i="48"/>
  <c r="B32" i="48"/>
  <c r="B23" i="48"/>
  <c r="B27" i="48"/>
  <c r="B45" i="48"/>
  <c r="B38" i="48"/>
  <c r="B40" i="48"/>
  <c r="B16" i="48"/>
  <c r="B18" i="48"/>
  <c r="B44" i="48"/>
  <c r="B29" i="48"/>
  <c r="B34" i="48"/>
  <c r="B39" i="48"/>
  <c r="B37" i="48"/>
  <c r="V33" i="41"/>
  <c r="V128" i="41" s="1"/>
  <c r="N33" i="4"/>
  <c r="N134" i="4" s="1"/>
  <c r="R140" i="4" s="1"/>
  <c r="S50" i="34"/>
  <c r="S62" i="34" s="1"/>
  <c r="S50" i="51"/>
  <c r="U50" i="51"/>
  <c r="U62" i="51" s="1"/>
  <c r="L11" i="50"/>
  <c r="L6" i="50" s="1"/>
  <c r="J31" i="4"/>
  <c r="J132" i="4" s="1"/>
  <c r="J29" i="16"/>
  <c r="D29" i="16"/>
  <c r="D29" i="41" s="1"/>
  <c r="D124" i="41" s="1"/>
  <c r="L29" i="16"/>
  <c r="L29" i="4" s="1"/>
  <c r="N29" i="40" s="1"/>
  <c r="N29" i="16"/>
  <c r="R29" i="41" s="1"/>
  <c r="R124" i="41" s="1"/>
  <c r="H29" i="16"/>
  <c r="H29" i="4" s="1"/>
  <c r="P29" i="16"/>
  <c r="P29" i="4" s="1"/>
  <c r="P130" i="4" s="1"/>
  <c r="F29" i="16"/>
  <c r="F29" i="41" s="1"/>
  <c r="F124" i="41" s="1"/>
  <c r="R29" i="16"/>
  <c r="B29" i="16"/>
  <c r="V7" i="4"/>
  <c r="V13" i="4" s="1"/>
  <c r="M11" i="50"/>
  <c r="M4" i="50"/>
  <c r="T7" i="4"/>
  <c r="Z7" i="40" s="1"/>
  <c r="X13" i="16"/>
  <c r="Y13" i="16" s="1"/>
  <c r="AC20" i="41"/>
  <c r="AC141" i="41" s="1"/>
  <c r="V11" i="41"/>
  <c r="X11" i="41" s="1"/>
  <c r="AA105" i="41"/>
  <c r="H22" i="41"/>
  <c r="H143" i="41" s="1"/>
  <c r="AC9" i="41"/>
  <c r="AC11" i="41"/>
  <c r="R24" i="40"/>
  <c r="X19" i="41"/>
  <c r="N144" i="4"/>
  <c r="T129" i="4"/>
  <c r="D105" i="41"/>
  <c r="F138" i="41"/>
  <c r="L105" i="41"/>
  <c r="L31" i="4"/>
  <c r="L132" i="4" s="1"/>
  <c r="J31" i="41"/>
  <c r="J126" i="41" s="1"/>
  <c r="T31" i="41"/>
  <c r="T126" i="41" s="1"/>
  <c r="L37" i="41"/>
  <c r="N31" i="41"/>
  <c r="N126" i="41" s="1"/>
  <c r="T33" i="41"/>
  <c r="T128" i="41" s="1"/>
  <c r="J33" i="41"/>
  <c r="J128" i="41" s="1"/>
  <c r="I27" i="45"/>
  <c r="R27" i="45"/>
  <c r="Q27" i="45"/>
  <c r="S27" i="45"/>
  <c r="K27" i="45"/>
  <c r="E27" i="45"/>
  <c r="M27" i="45"/>
  <c r="L35" i="48"/>
  <c r="F27" i="45"/>
  <c r="N27" i="45"/>
  <c r="L36" i="48"/>
  <c r="L27" i="45"/>
  <c r="G27" i="45"/>
  <c r="N31" i="4"/>
  <c r="R31" i="40" s="1"/>
  <c r="O27" i="45"/>
  <c r="H27" i="45"/>
  <c r="P27" i="45"/>
  <c r="D27" i="45"/>
  <c r="R31" i="4"/>
  <c r="R132" i="4" s="1"/>
  <c r="J27" i="45"/>
  <c r="X36" i="48"/>
  <c r="R163" i="4"/>
  <c r="L9" i="40"/>
  <c r="T105" i="41"/>
  <c r="H34" i="41"/>
  <c r="AE50" i="51"/>
  <c r="AC50" i="34"/>
  <c r="AC62" i="34" s="1"/>
  <c r="AC50" i="51"/>
  <c r="AA50" i="34"/>
  <c r="AA62" i="34" s="1"/>
  <c r="AA50" i="51"/>
  <c r="K50" i="34"/>
  <c r="K50" i="51"/>
  <c r="O50" i="51"/>
  <c r="O62" i="51" s="1"/>
  <c r="C50" i="51"/>
  <c r="Y60" i="34"/>
  <c r="G11" i="34"/>
  <c r="E45" i="34"/>
  <c r="U50" i="34"/>
  <c r="U62" i="34" s="1"/>
  <c r="C50" i="34"/>
  <c r="C62" i="34" s="1"/>
  <c r="U10" i="45"/>
  <c r="U16" i="45" s="1"/>
  <c r="V10" i="45"/>
  <c r="V16" i="45" s="1"/>
  <c r="B115" i="41"/>
  <c r="V115" i="41"/>
  <c r="I80" i="37"/>
  <c r="X80" i="41"/>
  <c r="H79" i="41"/>
  <c r="X76" i="41"/>
  <c r="P69" i="41"/>
  <c r="H66" i="41"/>
  <c r="H62" i="41"/>
  <c r="T163" i="4"/>
  <c r="J78" i="37"/>
  <c r="K73" i="37"/>
  <c r="K78" i="37" s="1"/>
  <c r="I78" i="37"/>
  <c r="X62" i="41"/>
  <c r="T114" i="41"/>
  <c r="X53" i="41"/>
  <c r="J114" i="41"/>
  <c r="J159" i="41"/>
  <c r="D115" i="41"/>
  <c r="P65" i="41"/>
  <c r="L114" i="41"/>
  <c r="X82" i="41"/>
  <c r="X70" i="41"/>
  <c r="X65" i="41"/>
  <c r="H64" i="41"/>
  <c r="X61" i="41"/>
  <c r="H60" i="41"/>
  <c r="T159" i="41"/>
  <c r="H80" i="41"/>
  <c r="X77" i="41"/>
  <c r="H63" i="41"/>
  <c r="X56" i="41"/>
  <c r="D68" i="37"/>
  <c r="P60" i="41"/>
  <c r="D21" i="22"/>
  <c r="K67" i="37"/>
  <c r="U67" i="37" s="1"/>
  <c r="N115" i="40"/>
  <c r="AE77" i="41"/>
  <c r="X64" i="41"/>
  <c r="H58" i="41"/>
  <c r="P57" i="41"/>
  <c r="D159" i="41"/>
  <c r="F123" i="4"/>
  <c r="F125" i="4" s="1"/>
  <c r="K72" i="37"/>
  <c r="K77" i="37" s="1"/>
  <c r="H82" i="41"/>
  <c r="P77" i="41"/>
  <c r="N116" i="41"/>
  <c r="P116" i="41" s="1"/>
  <c r="L64" i="37"/>
  <c r="O58" i="37"/>
  <c r="O64" i="37" s="1"/>
  <c r="X69" i="41"/>
  <c r="J115" i="41"/>
  <c r="X60" i="41"/>
  <c r="G72" i="37"/>
  <c r="G77" i="37" s="1"/>
  <c r="D114" i="41"/>
  <c r="F80" i="37"/>
  <c r="G73" i="37"/>
  <c r="G78" i="37" s="1"/>
  <c r="F78" i="37"/>
  <c r="P80" i="41"/>
  <c r="X79" i="41"/>
  <c r="H70" i="41"/>
  <c r="H69" i="41"/>
  <c r="P68" i="41"/>
  <c r="X67" i="41"/>
  <c r="X66" i="41"/>
  <c r="AE65" i="41"/>
  <c r="P63" i="41"/>
  <c r="H61" i="41"/>
  <c r="X57" i="41"/>
  <c r="P55" i="41"/>
  <c r="R111" i="41"/>
  <c r="AE53" i="41"/>
  <c r="B78" i="37"/>
  <c r="D149" i="4"/>
  <c r="V164" i="4"/>
  <c r="V140" i="41"/>
  <c r="P10" i="41"/>
  <c r="P8" i="41"/>
  <c r="AC10" i="41"/>
  <c r="P34" i="41"/>
  <c r="T158" i="41"/>
  <c r="N157" i="41"/>
  <c r="Z157" i="41"/>
  <c r="X22" i="41"/>
  <c r="R158" i="41"/>
  <c r="AA138" i="41"/>
  <c r="T157" i="41"/>
  <c r="V157" i="41"/>
  <c r="H21" i="41"/>
  <c r="H142" i="41" s="1"/>
  <c r="J157" i="41"/>
  <c r="P43" i="41"/>
  <c r="X16" i="41"/>
  <c r="X137" i="41" s="1"/>
  <c r="L163" i="4"/>
  <c r="J56" i="37" s="1"/>
  <c r="J59" i="37" s="1"/>
  <c r="Z11" i="16"/>
  <c r="Z27" i="4"/>
  <c r="Z154" i="4" s="1"/>
  <c r="Z9" i="4"/>
  <c r="D43" i="22"/>
  <c r="D68" i="24"/>
  <c r="D69" i="24" s="1"/>
  <c r="Z137" i="41"/>
  <c r="X9" i="41"/>
  <c r="R11" i="4"/>
  <c r="R19" i="40"/>
  <c r="Z36" i="40"/>
  <c r="F143" i="4"/>
  <c r="Z10" i="4"/>
  <c r="P30" i="41"/>
  <c r="T137" i="41"/>
  <c r="X34" i="41"/>
  <c r="H11" i="41"/>
  <c r="Z71" i="16"/>
  <c r="Z72" i="16" s="1"/>
  <c r="T43" i="22"/>
  <c r="X110" i="4"/>
  <c r="L134" i="4"/>
  <c r="Z120" i="4"/>
  <c r="K52" i="25"/>
  <c r="K75" i="18"/>
  <c r="L111" i="41"/>
  <c r="H39" i="41"/>
  <c r="AC30" i="41"/>
  <c r="AB7" i="41"/>
  <c r="AB13" i="41" s="1"/>
  <c r="AB3" i="41" s="1"/>
  <c r="X7" i="4"/>
  <c r="X13" i="4" s="1"/>
  <c r="AA7" i="41"/>
  <c r="AA13" i="41" s="1"/>
  <c r="V13" i="16"/>
  <c r="W48" i="16" s="1"/>
  <c r="T7" i="24"/>
  <c r="Z7" i="41"/>
  <c r="Z13" i="41" s="1"/>
  <c r="Z3" i="41" s="1"/>
  <c r="H164" i="4"/>
  <c r="H57" i="37" s="1"/>
  <c r="H63" i="37" s="1"/>
  <c r="J77" i="37"/>
  <c r="L23" i="22"/>
  <c r="R164" i="4"/>
  <c r="H163" i="4"/>
  <c r="H56" i="37" s="1"/>
  <c r="H59" i="37" s="1"/>
  <c r="E56" i="18"/>
  <c r="C52" i="25"/>
  <c r="L159" i="41"/>
  <c r="H67" i="41"/>
  <c r="T164" i="4"/>
  <c r="Z8" i="4"/>
  <c r="C75" i="18"/>
  <c r="D19" i="22"/>
  <c r="AE64" i="41"/>
  <c r="J112" i="41"/>
  <c r="P164" i="4"/>
  <c r="F116" i="41"/>
  <c r="H116" i="41" s="1"/>
  <c r="P56" i="41"/>
  <c r="L164" i="4"/>
  <c r="J57" i="37" s="1"/>
  <c r="J63" i="37" s="1"/>
  <c r="T144" i="4"/>
  <c r="D164" i="4"/>
  <c r="D57" i="37" s="1"/>
  <c r="D63" i="37" s="1"/>
  <c r="H65" i="41"/>
  <c r="R159" i="41"/>
  <c r="F72" i="41"/>
  <c r="R112" i="41"/>
  <c r="B114" i="41"/>
  <c r="F159" i="41"/>
  <c r="D151" i="4"/>
  <c r="N113" i="41"/>
  <c r="P113" i="41" s="1"/>
  <c r="T30" i="22"/>
  <c r="T115" i="41"/>
  <c r="AI73" i="34"/>
  <c r="U61" i="34"/>
  <c r="AG77" i="34"/>
  <c r="S59" i="34"/>
  <c r="V123" i="4"/>
  <c r="V125" i="4" s="1"/>
  <c r="V136" i="4"/>
  <c r="R31" i="41"/>
  <c r="Z32" i="4"/>
  <c r="Z133" i="4" s="1"/>
  <c r="T32" i="22"/>
  <c r="X127" i="41"/>
  <c r="F16" i="40"/>
  <c r="F40" i="40"/>
  <c r="F65" i="40"/>
  <c r="F59" i="40"/>
  <c r="M7" i="20"/>
  <c r="AB3" i="40"/>
  <c r="X3" i="22"/>
  <c r="M3" i="25"/>
  <c r="M43" i="25" s="1"/>
  <c r="X3" i="24"/>
  <c r="M6" i="20"/>
  <c r="L32" i="22"/>
  <c r="L40" i="22"/>
  <c r="L55" i="22"/>
  <c r="L62" i="22"/>
  <c r="L65" i="22"/>
  <c r="L68" i="22"/>
  <c r="L70" i="22"/>
  <c r="L11" i="22"/>
  <c r="L17" i="22"/>
  <c r="L35" i="22"/>
  <c r="L45" i="22"/>
  <c r="L53" i="22"/>
  <c r="L58" i="22"/>
  <c r="L76" i="22"/>
  <c r="L67" i="22"/>
  <c r="L23" i="21" s="1"/>
  <c r="L21" i="22"/>
  <c r="L27" i="22"/>
  <c r="L30" i="22"/>
  <c r="L38" i="22"/>
  <c r="L41" i="22"/>
  <c r="L43" i="22"/>
  <c r="L60" i="22"/>
  <c r="L78" i="22"/>
  <c r="L30" i="21" s="1"/>
  <c r="L82" i="22"/>
  <c r="L33" i="21" s="1"/>
  <c r="L9" i="22"/>
  <c r="M9" i="22" s="1"/>
  <c r="L33" i="22"/>
  <c r="L36" i="22"/>
  <c r="L56" i="22"/>
  <c r="L18" i="21" s="1"/>
  <c r="L61" i="22"/>
  <c r="L64" i="22"/>
  <c r="L69" i="22"/>
  <c r="L16" i="22"/>
  <c r="L54" i="22"/>
  <c r="L66" i="22"/>
  <c r="L19" i="22"/>
  <c r="L25" i="22"/>
  <c r="L28" i="22"/>
  <c r="L39" i="22"/>
  <c r="L59" i="22"/>
  <c r="L63" i="22"/>
  <c r="L10" i="22"/>
  <c r="L44" i="22"/>
  <c r="L57" i="22"/>
  <c r="Z23" i="40"/>
  <c r="Z9" i="40"/>
  <c r="Z69" i="40"/>
  <c r="Z116" i="40" s="1"/>
  <c r="Z82" i="40"/>
  <c r="Z24" i="40"/>
  <c r="Z22" i="40"/>
  <c r="Z79" i="40"/>
  <c r="Z78" i="40"/>
  <c r="L77" i="22"/>
  <c r="J3" i="40"/>
  <c r="E6" i="20"/>
  <c r="H3" i="22"/>
  <c r="E3" i="25"/>
  <c r="E7" i="20"/>
  <c r="L80" i="22"/>
  <c r="L31" i="21" s="1"/>
  <c r="L20" i="22"/>
  <c r="H3" i="24"/>
  <c r="H24" i="24" s="1"/>
  <c r="V45" i="24"/>
  <c r="V40" i="24"/>
  <c r="L38" i="25"/>
  <c r="L39" i="25"/>
  <c r="L36" i="25"/>
  <c r="L37" i="25"/>
  <c r="T21" i="21"/>
  <c r="R78" i="40"/>
  <c r="D63" i="40"/>
  <c r="D113" i="40" s="1"/>
  <c r="R61" i="40"/>
  <c r="D59" i="40"/>
  <c r="R18" i="40"/>
  <c r="T69" i="22"/>
  <c r="F3" i="22"/>
  <c r="F40" i="22" s="1"/>
  <c r="D45" i="25"/>
  <c r="V10" i="24"/>
  <c r="V44" i="24"/>
  <c r="L34" i="25"/>
  <c r="L35" i="25"/>
  <c r="L32" i="25"/>
  <c r="L33" i="25"/>
  <c r="R79" i="40"/>
  <c r="R68" i="40"/>
  <c r="R54" i="40"/>
  <c r="R44" i="40"/>
  <c r="R32" i="40"/>
  <c r="R11" i="40"/>
  <c r="T82" i="22"/>
  <c r="T33" i="21" s="1"/>
  <c r="T67" i="22"/>
  <c r="T23" i="21" s="1"/>
  <c r="H47" i="25"/>
  <c r="H43" i="25"/>
  <c r="D40" i="25"/>
  <c r="D35" i="25"/>
  <c r="D33" i="25"/>
  <c r="D31" i="25"/>
  <c r="D29" i="25"/>
  <c r="D27" i="25"/>
  <c r="D16" i="25"/>
  <c r="D9" i="25"/>
  <c r="D71" i="25" s="1"/>
  <c r="D72" i="25" s="1"/>
  <c r="R64" i="40"/>
  <c r="R62" i="40"/>
  <c r="R60" i="40"/>
  <c r="R58" i="40"/>
  <c r="R114" i="40" s="1"/>
  <c r="R46" i="40"/>
  <c r="R104" i="40" s="1"/>
  <c r="R41" i="40"/>
  <c r="R34" i="40"/>
  <c r="R28" i="40"/>
  <c r="D21" i="40"/>
  <c r="T58" i="22"/>
  <c r="T53" i="22"/>
  <c r="T18" i="22"/>
  <c r="V3" i="22"/>
  <c r="N8" i="24"/>
  <c r="D47" i="25"/>
  <c r="H44" i="25"/>
  <c r="D43" i="25"/>
  <c r="H34" i="25"/>
  <c r="H28" i="25"/>
  <c r="D10" i="25"/>
  <c r="L22" i="22"/>
  <c r="V20" i="24"/>
  <c r="L26" i="25"/>
  <c r="L27" i="25"/>
  <c r="L21" i="25"/>
  <c r="L25" i="25"/>
  <c r="V30" i="24"/>
  <c r="V24" i="24"/>
  <c r="L16" i="25"/>
  <c r="L20" i="25"/>
  <c r="L52" i="25"/>
  <c r="V8" i="24"/>
  <c r="R82" i="40"/>
  <c r="R80" i="40"/>
  <c r="R77" i="40"/>
  <c r="L115" i="40"/>
  <c r="R53" i="40"/>
  <c r="R43" i="40"/>
  <c r="D41" i="25"/>
  <c r="D8" i="25"/>
  <c r="D80" i="40"/>
  <c r="R69" i="40"/>
  <c r="R116" i="40" s="1"/>
  <c r="R67" i="40"/>
  <c r="R115" i="40" s="1"/>
  <c r="R55" i="40"/>
  <c r="R38" i="40"/>
  <c r="R30" i="40"/>
  <c r="R9" i="40"/>
  <c r="AA3" i="40"/>
  <c r="T80" i="22"/>
  <c r="T31" i="21" s="1"/>
  <c r="T23" i="22"/>
  <c r="D36" i="25"/>
  <c r="D34" i="25"/>
  <c r="D32" i="25"/>
  <c r="D30" i="25"/>
  <c r="D28" i="25"/>
  <c r="D26" i="25"/>
  <c r="L75" i="18"/>
  <c r="L48" i="26"/>
  <c r="N48" i="26"/>
  <c r="N49" i="26" s="1"/>
  <c r="J49" i="27"/>
  <c r="I57" i="34"/>
  <c r="Y77" i="34"/>
  <c r="AG59" i="34"/>
  <c r="AE57" i="34"/>
  <c r="AG57" i="34" s="1"/>
  <c r="P63" i="37"/>
  <c r="P39" i="37"/>
  <c r="AA58" i="34"/>
  <c r="R62" i="37"/>
  <c r="Q39" i="37"/>
  <c r="U43" i="37"/>
  <c r="O61" i="34"/>
  <c r="J64" i="37"/>
  <c r="K30" i="37"/>
  <c r="Q58" i="34"/>
  <c r="H52" i="37"/>
  <c r="M61" i="34"/>
  <c r="J39" i="37"/>
  <c r="K36" i="37"/>
  <c r="K51" i="37" s="1"/>
  <c r="B80" i="37"/>
  <c r="U42" i="37"/>
  <c r="U8" i="37"/>
  <c r="E61" i="34"/>
  <c r="G35" i="37"/>
  <c r="G50" i="37" s="1"/>
  <c r="U9" i="37"/>
  <c r="U7" i="37"/>
  <c r="U24" i="37"/>
  <c r="U15" i="37"/>
  <c r="K48" i="26"/>
  <c r="K49" i="26" s="1"/>
  <c r="B48" i="26"/>
  <c r="M49" i="26"/>
  <c r="F48" i="26"/>
  <c r="F49" i="26" s="1"/>
  <c r="H48" i="26"/>
  <c r="I21" i="26" s="1"/>
  <c r="E27" i="26"/>
  <c r="E42" i="26"/>
  <c r="E15" i="26"/>
  <c r="E46" i="26"/>
  <c r="L49" i="26"/>
  <c r="C49" i="26"/>
  <c r="N49" i="27"/>
  <c r="O49" i="27"/>
  <c r="O50" i="27" s="1"/>
  <c r="B49" i="27"/>
  <c r="K49" i="27"/>
  <c r="K50" i="27" s="1"/>
  <c r="F49" i="27"/>
  <c r="R3" i="22"/>
  <c r="R24" i="22" s="1"/>
  <c r="R3" i="24"/>
  <c r="R10" i="24" s="1"/>
  <c r="J6" i="20"/>
  <c r="J3" i="25"/>
  <c r="V3" i="40"/>
  <c r="V43" i="40" s="1"/>
  <c r="J7" i="20"/>
  <c r="N23" i="40"/>
  <c r="N16" i="40"/>
  <c r="N9" i="40"/>
  <c r="N82" i="40"/>
  <c r="D67" i="40"/>
  <c r="D56" i="40"/>
  <c r="N44" i="40"/>
  <c r="N20" i="40"/>
  <c r="L16" i="40"/>
  <c r="M30" i="25"/>
  <c r="M32" i="25"/>
  <c r="M16" i="25"/>
  <c r="M21" i="25"/>
  <c r="M38" i="25"/>
  <c r="M28" i="25"/>
  <c r="M33" i="25"/>
  <c r="M36" i="25"/>
  <c r="M46" i="25"/>
  <c r="M39" i="25"/>
  <c r="M45" i="25"/>
  <c r="M25" i="25"/>
  <c r="D68" i="40"/>
  <c r="N33" i="40"/>
  <c r="L8" i="40"/>
  <c r="L19" i="40"/>
  <c r="L46" i="40"/>
  <c r="L53" i="40"/>
  <c r="L59" i="40"/>
  <c r="L23" i="40"/>
  <c r="L36" i="40"/>
  <c r="L44" i="40"/>
  <c r="L54" i="40"/>
  <c r="L60" i="40"/>
  <c r="L64" i="40"/>
  <c r="L11" i="40"/>
  <c r="L17" i="40"/>
  <c r="L21" i="40"/>
  <c r="L22" i="40"/>
  <c r="L24" i="40"/>
  <c r="L25" i="40"/>
  <c r="L30" i="40"/>
  <c r="L32" i="40"/>
  <c r="L56" i="40"/>
  <c r="L61" i="40"/>
  <c r="L65" i="40"/>
  <c r="L28" i="40"/>
  <c r="L33" i="40"/>
  <c r="L34" i="40"/>
  <c r="L57" i="40"/>
  <c r="N10" i="24"/>
  <c r="N19" i="24"/>
  <c r="N41" i="24"/>
  <c r="N43" i="24"/>
  <c r="N27" i="24"/>
  <c r="N33" i="24"/>
  <c r="N34" i="24"/>
  <c r="N40" i="24"/>
  <c r="N44" i="24"/>
  <c r="N35" i="24"/>
  <c r="N37" i="24"/>
  <c r="N38" i="24"/>
  <c r="N39" i="24"/>
  <c r="N11" i="24"/>
  <c r="N28" i="24"/>
  <c r="N31" i="24"/>
  <c r="N9" i="24"/>
  <c r="N23" i="24"/>
  <c r="N30" i="24"/>
  <c r="N46" i="24"/>
  <c r="N20" i="24"/>
  <c r="N36" i="24"/>
  <c r="N32" i="24"/>
  <c r="N22" i="24"/>
  <c r="N45" i="24"/>
  <c r="P3" i="24"/>
  <c r="I6" i="20"/>
  <c r="I3" i="25"/>
  <c r="I21" i="25" s="1"/>
  <c r="T3" i="40"/>
  <c r="I7" i="20"/>
  <c r="P3" i="22"/>
  <c r="L82" i="40"/>
  <c r="N78" i="40"/>
  <c r="N70" i="40"/>
  <c r="L63" i="40"/>
  <c r="N60" i="40"/>
  <c r="N27" i="40"/>
  <c r="AB11" i="40"/>
  <c r="AB23" i="40"/>
  <c r="AB60" i="40"/>
  <c r="AB10" i="40"/>
  <c r="AB38" i="40"/>
  <c r="AB65" i="40"/>
  <c r="AB45" i="40"/>
  <c r="AB63" i="40"/>
  <c r="AB113" i="40" s="1"/>
  <c r="N24" i="24"/>
  <c r="D71" i="24"/>
  <c r="D72" i="24" s="1"/>
  <c r="N77" i="40"/>
  <c r="D45" i="40"/>
  <c r="D46" i="40"/>
  <c r="D104" i="40" s="1"/>
  <c r="D53" i="40"/>
  <c r="D64" i="40"/>
  <c r="D23" i="40"/>
  <c r="D36" i="40"/>
  <c r="D44" i="40"/>
  <c r="D54" i="40"/>
  <c r="D60" i="40"/>
  <c r="D22" i="40"/>
  <c r="D38" i="40"/>
  <c r="D41" i="40"/>
  <c r="D43" i="40"/>
  <c r="D55" i="40"/>
  <c r="D65" i="40"/>
  <c r="D16" i="40"/>
  <c r="D39" i="40"/>
  <c r="D57" i="40"/>
  <c r="D10" i="40"/>
  <c r="D27" i="40"/>
  <c r="D62" i="40"/>
  <c r="D66" i="40"/>
  <c r="L71" i="25"/>
  <c r="L72" i="25" s="1"/>
  <c r="D82" i="40"/>
  <c r="D78" i="40"/>
  <c r="L77" i="40"/>
  <c r="N76" i="40"/>
  <c r="L40" i="40"/>
  <c r="D34" i="40"/>
  <c r="D24" i="40"/>
  <c r="L10" i="40"/>
  <c r="N25" i="24"/>
  <c r="F22" i="24"/>
  <c r="N8" i="40"/>
  <c r="N58" i="40"/>
  <c r="N63" i="40"/>
  <c r="N113" i="40" s="1"/>
  <c r="N19" i="40"/>
  <c r="N45" i="40"/>
  <c r="N53" i="40"/>
  <c r="N59" i="40"/>
  <c r="N35" i="40"/>
  <c r="N38" i="40"/>
  <c r="N40" i="40"/>
  <c r="N55" i="40"/>
  <c r="N11" i="40"/>
  <c r="N17" i="40"/>
  <c r="N21" i="40"/>
  <c r="N25" i="40"/>
  <c r="N30" i="40"/>
  <c r="N32" i="40"/>
  <c r="N39" i="40"/>
  <c r="N56" i="40"/>
  <c r="N61" i="40"/>
  <c r="N65" i="40"/>
  <c r="B3" i="22"/>
  <c r="B3" i="24"/>
  <c r="B41" i="24" s="1"/>
  <c r="B7" i="20"/>
  <c r="B3" i="25"/>
  <c r="B3" i="40"/>
  <c r="B38" i="40" s="1"/>
  <c r="N57" i="40"/>
  <c r="N10" i="40"/>
  <c r="F38" i="24"/>
  <c r="F39" i="24"/>
  <c r="F10" i="24"/>
  <c r="F24" i="24"/>
  <c r="F25" i="24"/>
  <c r="F23" i="24"/>
  <c r="F30" i="24"/>
  <c r="N80" i="40"/>
  <c r="D77" i="40"/>
  <c r="L76" i="40"/>
  <c r="D70" i="40"/>
  <c r="N69" i="40"/>
  <c r="N116" i="40" s="1"/>
  <c r="D61" i="40"/>
  <c r="L58" i="40"/>
  <c r="N43" i="40"/>
  <c r="Z61" i="40"/>
  <c r="Z46" i="40"/>
  <c r="Z104" i="40" s="1"/>
  <c r="N64" i="40"/>
  <c r="N36" i="40"/>
  <c r="J3" i="22"/>
  <c r="J18" i="22" s="1"/>
  <c r="J3" i="24"/>
  <c r="F3" i="25"/>
  <c r="L80" i="40"/>
  <c r="D76" i="40"/>
  <c r="L69" i="40"/>
  <c r="N68" i="40"/>
  <c r="D58" i="40"/>
  <c r="N41" i="40"/>
  <c r="D32" i="40"/>
  <c r="N28" i="40"/>
  <c r="D25" i="40"/>
  <c r="D19" i="40"/>
  <c r="L27" i="24"/>
  <c r="L33" i="24"/>
  <c r="L34" i="24"/>
  <c r="L40" i="24"/>
  <c r="L44" i="24"/>
  <c r="L18" i="24"/>
  <c r="L35" i="24"/>
  <c r="L38" i="24"/>
  <c r="L39" i="24"/>
  <c r="L32" i="24"/>
  <c r="L36" i="24"/>
  <c r="L45" i="24"/>
  <c r="L9" i="24"/>
  <c r="L23" i="24"/>
  <c r="L30" i="24"/>
  <c r="L46" i="24"/>
  <c r="L8" i="24"/>
  <c r="L16" i="24"/>
  <c r="L21" i="24"/>
  <c r="L22" i="24"/>
  <c r="L24" i="24"/>
  <c r="N43" i="22"/>
  <c r="H31" i="22"/>
  <c r="N19" i="22"/>
  <c r="N9" i="22"/>
  <c r="O9" i="22" s="1"/>
  <c r="N44" i="22"/>
  <c r="E40" i="25"/>
  <c r="E41" i="25"/>
  <c r="E8" i="25"/>
  <c r="E42" i="25"/>
  <c r="E43" i="25"/>
  <c r="E47" i="25"/>
  <c r="E7" i="25"/>
  <c r="E45" i="25"/>
  <c r="E52" i="25"/>
  <c r="E27" i="25"/>
  <c r="E29" i="25"/>
  <c r="E30" i="25"/>
  <c r="E31" i="25"/>
  <c r="E32" i="25"/>
  <c r="E33" i="25"/>
  <c r="E34" i="25"/>
  <c r="E35" i="25"/>
  <c r="D40" i="40"/>
  <c r="J35" i="22"/>
  <c r="P28" i="22"/>
  <c r="N24" i="40"/>
  <c r="H18" i="22"/>
  <c r="H36" i="22"/>
  <c r="H55" i="22"/>
  <c r="H56" i="22"/>
  <c r="H18" i="21" s="1"/>
  <c r="H58" i="22"/>
  <c r="H61" i="22"/>
  <c r="H22" i="22"/>
  <c r="H30" i="22"/>
  <c r="H44" i="22"/>
  <c r="H45" i="22"/>
  <c r="H53" i="22"/>
  <c r="H54" i="22"/>
  <c r="H59" i="22"/>
  <c r="H60" i="22"/>
  <c r="H35" i="22"/>
  <c r="H16" i="22"/>
  <c r="H34" i="22"/>
  <c r="H8" i="22"/>
  <c r="I8" i="22" s="1"/>
  <c r="H10" i="22"/>
  <c r="H20" i="22"/>
  <c r="H32" i="22"/>
  <c r="H33" i="22"/>
  <c r="L17" i="24"/>
  <c r="E37" i="25"/>
  <c r="N62" i="22"/>
  <c r="L10" i="24"/>
  <c r="E38" i="25"/>
  <c r="R36" i="40"/>
  <c r="D35" i="40"/>
  <c r="X30" i="22"/>
  <c r="D31" i="21"/>
  <c r="X82" i="22"/>
  <c r="X33" i="21" s="1"/>
  <c r="X11" i="22"/>
  <c r="X25" i="22"/>
  <c r="X38" i="22"/>
  <c r="X20" i="22"/>
  <c r="X18" i="22"/>
  <c r="X46" i="22"/>
  <c r="X104" i="22" s="1"/>
  <c r="AE16" i="51" s="1"/>
  <c r="X36" i="22"/>
  <c r="X40" i="22"/>
  <c r="X45" i="22"/>
  <c r="X23" i="22"/>
  <c r="X27" i="22"/>
  <c r="X55" i="22"/>
  <c r="X56" i="22"/>
  <c r="X18" i="21" s="1"/>
  <c r="X57" i="22"/>
  <c r="X61" i="22"/>
  <c r="L41" i="24"/>
  <c r="L20" i="24"/>
  <c r="V23" i="24"/>
  <c r="V9" i="24"/>
  <c r="V18" i="24"/>
  <c r="V39" i="24"/>
  <c r="E39" i="25"/>
  <c r="E28" i="25"/>
  <c r="E16" i="25"/>
  <c r="H7" i="25"/>
  <c r="H52" i="25"/>
  <c r="L41" i="40"/>
  <c r="J39" i="22"/>
  <c r="L37" i="40"/>
  <c r="G7" i="25"/>
  <c r="H41" i="22"/>
  <c r="X39" i="22"/>
  <c r="F35" i="22"/>
  <c r="X24" i="22"/>
  <c r="X22" i="22"/>
  <c r="D18" i="22"/>
  <c r="H71" i="25"/>
  <c r="H72" i="25" s="1"/>
  <c r="R27" i="40"/>
  <c r="H21" i="22"/>
  <c r="G65" i="25"/>
  <c r="G66" i="25" s="1"/>
  <c r="G71" i="25"/>
  <c r="G72" i="25" s="1"/>
  <c r="V41" i="40"/>
  <c r="D30" i="40"/>
  <c r="T10" i="24"/>
  <c r="T71" i="24" s="1"/>
  <c r="T72" i="24" s="1"/>
  <c r="T9" i="24"/>
  <c r="D12" i="25"/>
  <c r="F21" i="22"/>
  <c r="V159" i="41"/>
  <c r="V111" i="41"/>
  <c r="AE70" i="41"/>
  <c r="AE69" i="41"/>
  <c r="AE116" i="41" s="1"/>
  <c r="X59" i="41"/>
  <c r="V72" i="41"/>
  <c r="X58" i="41"/>
  <c r="P123" i="4"/>
  <c r="X54" i="41"/>
  <c r="AE58" i="41"/>
  <c r="AE54" i="41"/>
  <c r="R72" i="41"/>
  <c r="X113" i="41"/>
  <c r="AE66" i="41"/>
  <c r="X63" i="41"/>
  <c r="AE80" i="41"/>
  <c r="P78" i="41"/>
  <c r="P76" i="41"/>
  <c r="P54" i="41"/>
  <c r="P58" i="41"/>
  <c r="N115" i="41"/>
  <c r="N159" i="41"/>
  <c r="N114" i="41"/>
  <c r="N72" i="41"/>
  <c r="P66" i="41"/>
  <c r="P79" i="41"/>
  <c r="P82" i="41"/>
  <c r="F52" i="25"/>
  <c r="AE82" i="41"/>
  <c r="AE57" i="41"/>
  <c r="P62" i="41"/>
  <c r="AE62" i="41"/>
  <c r="J72" i="41"/>
  <c r="H57" i="41"/>
  <c r="F115" i="41"/>
  <c r="H59" i="41"/>
  <c r="AE55" i="41"/>
  <c r="AE76" i="41"/>
  <c r="H76" i="41"/>
  <c r="H78" i="41"/>
  <c r="H77" i="41"/>
  <c r="D113" i="41"/>
  <c r="H113" i="41" s="1"/>
  <c r="H54" i="41"/>
  <c r="D72" i="41"/>
  <c r="H68" i="41"/>
  <c r="AE56" i="41"/>
  <c r="H56" i="41"/>
  <c r="B72" i="41"/>
  <c r="AE59" i="41"/>
  <c r="X35" i="22"/>
  <c r="X151" i="4"/>
  <c r="AB35" i="40"/>
  <c r="AC45" i="41"/>
  <c r="X28" i="22"/>
  <c r="AA30" i="40"/>
  <c r="AC40" i="41"/>
  <c r="AC38" i="41"/>
  <c r="AC36" i="41"/>
  <c r="AC24" i="41"/>
  <c r="AC19" i="41"/>
  <c r="AC140" i="41" s="1"/>
  <c r="V129" i="4"/>
  <c r="V163" i="4"/>
  <c r="V131" i="4"/>
  <c r="AC18" i="41"/>
  <c r="AC139" i="41" s="1"/>
  <c r="V148" i="4"/>
  <c r="AA17" i="40"/>
  <c r="AA158" i="41"/>
  <c r="AA160" i="41" s="1"/>
  <c r="AA19" i="40"/>
  <c r="AC23" i="41"/>
  <c r="AC144" i="41" s="1"/>
  <c r="Z140" i="41"/>
  <c r="AC46" i="41"/>
  <c r="AC32" i="41"/>
  <c r="Z158" i="41"/>
  <c r="Z160" i="41" s="1"/>
  <c r="AC43" i="41"/>
  <c r="AC25" i="41"/>
  <c r="AC146" i="41" s="1"/>
  <c r="T68" i="24"/>
  <c r="T69" i="24" s="1"/>
  <c r="R149" i="4"/>
  <c r="X41" i="41"/>
  <c r="X25" i="41"/>
  <c r="X146" i="41" s="1"/>
  <c r="V158" i="41"/>
  <c r="R22" i="22"/>
  <c r="R151" i="4"/>
  <c r="P135" i="4"/>
  <c r="X44" i="41"/>
  <c r="X40" i="41"/>
  <c r="P129" i="4"/>
  <c r="X30" i="41"/>
  <c r="Z23" i="4"/>
  <c r="Z150" i="4" s="1"/>
  <c r="R143" i="41"/>
  <c r="R20" i="40"/>
  <c r="R157" i="41"/>
  <c r="N154" i="4"/>
  <c r="R25" i="40"/>
  <c r="N164" i="4"/>
  <c r="L57" i="37" s="1"/>
  <c r="O57" i="37" s="1"/>
  <c r="N25" i="22"/>
  <c r="R141" i="41"/>
  <c r="N150" i="4"/>
  <c r="Z25" i="4"/>
  <c r="Z152" i="4" s="1"/>
  <c r="H55" i="18"/>
  <c r="N22" i="40"/>
  <c r="L24" i="22"/>
  <c r="P40" i="41"/>
  <c r="L151" i="4"/>
  <c r="AE22" i="41"/>
  <c r="AE143" i="41" s="1"/>
  <c r="P20" i="41"/>
  <c r="L45" i="40"/>
  <c r="L43" i="40"/>
  <c r="L35" i="40"/>
  <c r="P45" i="41"/>
  <c r="P25" i="41"/>
  <c r="P146" i="41" s="1"/>
  <c r="P23" i="41"/>
  <c r="P144" i="41" s="1"/>
  <c r="J135" i="4"/>
  <c r="Z39" i="4"/>
  <c r="L20" i="40"/>
  <c r="P127" i="41"/>
  <c r="P41" i="41"/>
  <c r="P21" i="41"/>
  <c r="J155" i="4"/>
  <c r="L39" i="40"/>
  <c r="J37" i="22"/>
  <c r="L158" i="41"/>
  <c r="L126" i="41"/>
  <c r="P28" i="41"/>
  <c r="P46" i="41"/>
  <c r="F56" i="18"/>
  <c r="H19" i="22"/>
  <c r="H148" i="4"/>
  <c r="J125" i="41"/>
  <c r="P125" i="41" s="1"/>
  <c r="H146" i="4"/>
  <c r="H143" i="4"/>
  <c r="AE40" i="41"/>
  <c r="AE28" i="41"/>
  <c r="AE123" i="41" s="1"/>
  <c r="J144" i="41"/>
  <c r="H127" i="41"/>
  <c r="H40" i="41"/>
  <c r="F164" i="4"/>
  <c r="F57" i="37" s="1"/>
  <c r="F63" i="37" s="1"/>
  <c r="F30" i="22"/>
  <c r="H129" i="41"/>
  <c r="H43" i="41"/>
  <c r="F158" i="41"/>
  <c r="F135" i="4"/>
  <c r="AE30" i="41"/>
  <c r="AE125" i="41" s="1"/>
  <c r="D75" i="18"/>
  <c r="D52" i="25"/>
  <c r="AE19" i="41"/>
  <c r="AE140" i="41" s="1"/>
  <c r="D20" i="40"/>
  <c r="D135" i="4"/>
  <c r="D147" i="4"/>
  <c r="D143" i="41"/>
  <c r="H35" i="41"/>
  <c r="H30" i="41"/>
  <c r="H41" i="41"/>
  <c r="D11" i="40"/>
  <c r="D9" i="40"/>
  <c r="B41" i="40"/>
  <c r="B163" i="4"/>
  <c r="B56" i="37" s="1"/>
  <c r="B62" i="37" s="1"/>
  <c r="B129" i="4"/>
  <c r="H28" i="41"/>
  <c r="Z38" i="4"/>
  <c r="B131" i="4"/>
  <c r="Z30" i="4"/>
  <c r="Z131" i="4" s="1"/>
  <c r="B137" i="41"/>
  <c r="B157" i="41"/>
  <c r="O48" i="26"/>
  <c r="O49" i="26" s="1"/>
  <c r="L145" i="4"/>
  <c r="J145" i="4"/>
  <c r="H145" i="4"/>
  <c r="D145" i="4"/>
  <c r="F18" i="22"/>
  <c r="F163" i="4"/>
  <c r="F56" i="37" s="1"/>
  <c r="F59" i="37" s="1"/>
  <c r="L18" i="40"/>
  <c r="N138" i="41"/>
  <c r="L18" i="22"/>
  <c r="N18" i="40"/>
  <c r="P17" i="41"/>
  <c r="P138" i="41" s="1"/>
  <c r="L157" i="41"/>
  <c r="AE17" i="41"/>
  <c r="AE138" i="41" s="1"/>
  <c r="AE18" i="41"/>
  <c r="AE139" i="41" s="1"/>
  <c r="D18" i="40"/>
  <c r="X149" i="4"/>
  <c r="AC17" i="41"/>
  <c r="AC138" i="41" s="1"/>
  <c r="X10" i="22"/>
  <c r="X16" i="22"/>
  <c r="X41" i="24"/>
  <c r="X34" i="24"/>
  <c r="X31" i="24"/>
  <c r="X25" i="24"/>
  <c r="X22" i="24"/>
  <c r="X45" i="24"/>
  <c r="X32" i="24"/>
  <c r="X30" i="24"/>
  <c r="X36" i="24"/>
  <c r="X19" i="24"/>
  <c r="X33" i="24"/>
  <c r="X28" i="24"/>
  <c r="X24" i="24"/>
  <c r="X20" i="24"/>
  <c r="X9" i="22"/>
  <c r="Y9" i="22" s="1"/>
  <c r="X8" i="22"/>
  <c r="Y8" i="22" s="1"/>
  <c r="X43" i="24"/>
  <c r="X39" i="24"/>
  <c r="X23" i="24"/>
  <c r="M9" i="25"/>
  <c r="M71" i="25" s="1"/>
  <c r="M72" i="25" s="1"/>
  <c r="X53" i="22"/>
  <c r="X44" i="24"/>
  <c r="M52" i="25"/>
  <c r="X34" i="22"/>
  <c r="X19" i="22"/>
  <c r="X41" i="22"/>
  <c r="X44" i="4"/>
  <c r="X44" i="22" s="1"/>
  <c r="AB44" i="41"/>
  <c r="AE44" i="41" s="1"/>
  <c r="X165" i="4"/>
  <c r="Z121" i="4"/>
  <c r="AE38" i="41"/>
  <c r="X17" i="22"/>
  <c r="AC22" i="41"/>
  <c r="AC143" i="41" s="1"/>
  <c r="AB17" i="40"/>
  <c r="Z53" i="4"/>
  <c r="AB53" i="40"/>
  <c r="X117" i="4"/>
  <c r="X72" i="4"/>
  <c r="X21" i="24"/>
  <c r="X21" i="4"/>
  <c r="AB104" i="41"/>
  <c r="AC16" i="41"/>
  <c r="X43" i="22"/>
  <c r="Z19" i="4"/>
  <c r="Z146" i="4" s="1"/>
  <c r="AB21" i="41"/>
  <c r="Z21" i="16"/>
  <c r="AE46" i="41"/>
  <c r="AE104" i="41" s="1"/>
  <c r="AC39" i="41"/>
  <c r="AC27" i="41"/>
  <c r="AC148" i="41" s="1"/>
  <c r="M55" i="18"/>
  <c r="M56" i="18" s="1"/>
  <c r="AB77" i="40"/>
  <c r="AB68" i="40"/>
  <c r="AB62" i="40"/>
  <c r="AB59" i="40"/>
  <c r="AB56" i="40"/>
  <c r="AB34" i="40"/>
  <c r="AB30" i="40"/>
  <c r="M15" i="25"/>
  <c r="AB79" i="40"/>
  <c r="AB70" i="40"/>
  <c r="AB40" i="40"/>
  <c r="AB22" i="40"/>
  <c r="M7" i="25"/>
  <c r="AB76" i="40"/>
  <c r="AB67" i="40"/>
  <c r="AB61" i="40"/>
  <c r="AB55" i="40"/>
  <c r="M8" i="25"/>
  <c r="AB64" i="40"/>
  <c r="AB58" i="40"/>
  <c r="AB43" i="40"/>
  <c r="AB25" i="40"/>
  <c r="AB20" i="40"/>
  <c r="AB16" i="40"/>
  <c r="X10" i="24"/>
  <c r="X9" i="24"/>
  <c r="AB54" i="40"/>
  <c r="AB39" i="40"/>
  <c r="AB36" i="40"/>
  <c r="AB32" i="40"/>
  <c r="AB18" i="40"/>
  <c r="AB9" i="40"/>
  <c r="AB78" i="40"/>
  <c r="AB69" i="40"/>
  <c r="AB116" i="40" s="1"/>
  <c r="AB66" i="40"/>
  <c r="AB46" i="40"/>
  <c r="AB104" i="40" s="1"/>
  <c r="AB28" i="40"/>
  <c r="S78" i="37"/>
  <c r="AG60" i="34"/>
  <c r="AI72" i="34"/>
  <c r="R63" i="37"/>
  <c r="S35" i="37"/>
  <c r="S50" i="37" s="1"/>
  <c r="U28" i="37"/>
  <c r="AE58" i="34"/>
  <c r="S37" i="37"/>
  <c r="R64" i="37"/>
  <c r="AE50" i="34"/>
  <c r="AB72" i="22"/>
  <c r="AC11" i="21"/>
  <c r="X13" i="29"/>
  <c r="AE10" i="29"/>
  <c r="V31" i="22"/>
  <c r="V132" i="4"/>
  <c r="AA31" i="40"/>
  <c r="H99" i="22"/>
  <c r="L68" i="25"/>
  <c r="L69" i="25" s="1"/>
  <c r="L12" i="25"/>
  <c r="AI74" i="34"/>
  <c r="I77" i="34"/>
  <c r="S30" i="37"/>
  <c r="U27" i="37"/>
  <c r="F50" i="27"/>
  <c r="K59" i="34"/>
  <c r="Q60" i="34"/>
  <c r="D40" i="27"/>
  <c r="G59" i="34"/>
  <c r="G61" i="34" s="1"/>
  <c r="I60" i="34"/>
  <c r="R113" i="40"/>
  <c r="P40" i="27"/>
  <c r="S61" i="34"/>
  <c r="Y59" i="34"/>
  <c r="O72" i="37"/>
  <c r="L77" i="37"/>
  <c r="L80" i="37"/>
  <c r="U29" i="37"/>
  <c r="AE26" i="29"/>
  <c r="N11" i="29"/>
  <c r="AE11" i="40"/>
  <c r="AE13" i="40" s="1"/>
  <c r="N50" i="27"/>
  <c r="C61" i="34"/>
  <c r="N39" i="37"/>
  <c r="N62" i="37"/>
  <c r="O35" i="37"/>
  <c r="U35" i="37" s="1"/>
  <c r="W57" i="34"/>
  <c r="N50" i="37"/>
  <c r="M50" i="34"/>
  <c r="M62" i="34" s="1"/>
  <c r="B50" i="27"/>
  <c r="H49" i="27"/>
  <c r="I30" i="27" s="1"/>
  <c r="C50" i="27"/>
  <c r="E41" i="26"/>
  <c r="E19" i="26"/>
  <c r="H68" i="37"/>
  <c r="K68" i="37" s="1"/>
  <c r="H78" i="37"/>
  <c r="F51" i="37"/>
  <c r="G58" i="34"/>
  <c r="I58" i="34" s="1"/>
  <c r="T99" i="40"/>
  <c r="V99" i="40" s="1"/>
  <c r="Z99" i="40" s="1"/>
  <c r="AA99" i="40" s="1"/>
  <c r="AB99" i="40" s="1"/>
  <c r="AC99" i="40" s="1"/>
  <c r="AE72" i="40"/>
  <c r="AE49" i="40"/>
  <c r="AI75" i="34"/>
  <c r="O50" i="34"/>
  <c r="O62" i="34" s="1"/>
  <c r="I8" i="26"/>
  <c r="I10" i="26"/>
  <c r="I12" i="26"/>
  <c r="I14" i="26"/>
  <c r="H49" i="26"/>
  <c r="I19" i="26"/>
  <c r="I25" i="26"/>
  <c r="I27" i="26"/>
  <c r="I35" i="26"/>
  <c r="I41" i="26"/>
  <c r="I43" i="26"/>
  <c r="I48" i="26"/>
  <c r="I7" i="26"/>
  <c r="I9" i="26"/>
  <c r="I11" i="26"/>
  <c r="I13" i="26"/>
  <c r="I31" i="26"/>
  <c r="I15" i="26"/>
  <c r="I26" i="26"/>
  <c r="I37" i="26"/>
  <c r="I17" i="26"/>
  <c r="E50" i="34"/>
  <c r="H64" i="37"/>
  <c r="K58" i="37"/>
  <c r="K52" i="37"/>
  <c r="O50" i="37"/>
  <c r="D51" i="37"/>
  <c r="D39" i="37"/>
  <c r="U10" i="37"/>
  <c r="G21" i="37"/>
  <c r="P99" i="40"/>
  <c r="E7" i="26"/>
  <c r="E9" i="26"/>
  <c r="E11" i="26"/>
  <c r="E13" i="26"/>
  <c r="E10" i="26"/>
  <c r="E14" i="26"/>
  <c r="E26" i="26"/>
  <c r="E39" i="26"/>
  <c r="E29" i="26"/>
  <c r="E35" i="26"/>
  <c r="E44" i="26"/>
  <c r="E8" i="26"/>
  <c r="E12" i="26"/>
  <c r="E17" i="26"/>
  <c r="E24" i="26"/>
  <c r="E28" i="26"/>
  <c r="E48" i="26"/>
  <c r="B49" i="26"/>
  <c r="F64" i="37"/>
  <c r="G58" i="37"/>
  <c r="K46" i="37"/>
  <c r="H80" i="37"/>
  <c r="O21" i="37"/>
  <c r="S21" i="37"/>
  <c r="S36" i="37"/>
  <c r="J50" i="27"/>
  <c r="I22" i="27"/>
  <c r="AI71" i="34"/>
  <c r="Q77" i="34"/>
  <c r="J48" i="26"/>
  <c r="J49" i="26" s="1"/>
  <c r="E37" i="26"/>
  <c r="L78" i="37"/>
  <c r="O73" i="37"/>
  <c r="L68" i="37"/>
  <c r="O68" i="37" s="1"/>
  <c r="U26" i="37"/>
  <c r="G30" i="37"/>
  <c r="L40" i="27"/>
  <c r="L49" i="27" s="1"/>
  <c r="D49" i="26"/>
  <c r="S59" i="37"/>
  <c r="S62" i="37"/>
  <c r="O36" i="37"/>
  <c r="O51" i="37" s="1"/>
  <c r="L51" i="37"/>
  <c r="L39" i="37"/>
  <c r="K35" i="37"/>
  <c r="K50" i="37" s="1"/>
  <c r="H39" i="37"/>
  <c r="K39" i="37" s="1"/>
  <c r="K57" i="34"/>
  <c r="J8" i="40"/>
  <c r="J16" i="40"/>
  <c r="J24" i="40"/>
  <c r="J31" i="40"/>
  <c r="J38" i="40"/>
  <c r="J40" i="40"/>
  <c r="J65" i="40"/>
  <c r="J80" i="40"/>
  <c r="P3" i="40"/>
  <c r="J55" i="40"/>
  <c r="J60" i="40"/>
  <c r="J76" i="40"/>
  <c r="J11" i="40"/>
  <c r="J19" i="40"/>
  <c r="J25" i="40"/>
  <c r="J27" i="40"/>
  <c r="J32" i="40"/>
  <c r="J35" i="40"/>
  <c r="J43" i="40"/>
  <c r="J53" i="40"/>
  <c r="J54" i="40"/>
  <c r="J57" i="40"/>
  <c r="J66" i="40"/>
  <c r="J17" i="40"/>
  <c r="J18" i="40"/>
  <c r="J20" i="40"/>
  <c r="J28" i="40"/>
  <c r="J33" i="40"/>
  <c r="J41" i="40"/>
  <c r="J56" i="40"/>
  <c r="J67" i="40"/>
  <c r="J77" i="40"/>
  <c r="J10" i="40"/>
  <c r="J21" i="40"/>
  <c r="J39" i="40"/>
  <c r="J45" i="40"/>
  <c r="J61" i="40"/>
  <c r="J63" i="40"/>
  <c r="J68" i="40"/>
  <c r="J69" i="40"/>
  <c r="J44" i="40"/>
  <c r="J46" i="40"/>
  <c r="J59" i="40"/>
  <c r="J9" i="40"/>
  <c r="J23" i="40"/>
  <c r="J58" i="40"/>
  <c r="J78" i="40"/>
  <c r="J36" i="40"/>
  <c r="J62" i="40"/>
  <c r="B111" i="41"/>
  <c r="B159" i="41"/>
  <c r="G49" i="27"/>
  <c r="G50" i="27" s="1"/>
  <c r="AI76" i="34"/>
  <c r="E43" i="26"/>
  <c r="E31" i="26"/>
  <c r="U19" i="37"/>
  <c r="U17" i="37"/>
  <c r="AE83" i="40"/>
  <c r="F19" i="40"/>
  <c r="F25" i="40"/>
  <c r="F27" i="40"/>
  <c r="F32" i="40"/>
  <c r="F35" i="40"/>
  <c r="F43" i="40"/>
  <c r="F53" i="40"/>
  <c r="F55" i="40"/>
  <c r="F66" i="40"/>
  <c r="F11" i="40"/>
  <c r="F17" i="40"/>
  <c r="F18" i="40"/>
  <c r="F20" i="40"/>
  <c r="F54" i="40"/>
  <c r="F56" i="40"/>
  <c r="F57" i="40"/>
  <c r="F67" i="40"/>
  <c r="F77" i="40"/>
  <c r="F8" i="40"/>
  <c r="F28" i="40"/>
  <c r="F39" i="40"/>
  <c r="F41" i="40"/>
  <c r="F45" i="40"/>
  <c r="F68" i="40"/>
  <c r="F69" i="40"/>
  <c r="F10" i="40"/>
  <c r="F21" i="40"/>
  <c r="F36" i="40"/>
  <c r="F44" i="40"/>
  <c r="F58" i="40"/>
  <c r="F61" i="40"/>
  <c r="F63" i="40"/>
  <c r="F64" i="40"/>
  <c r="F78" i="40"/>
  <c r="F22" i="40"/>
  <c r="F23" i="40"/>
  <c r="F30" i="40"/>
  <c r="F34" i="40"/>
  <c r="F62" i="40"/>
  <c r="F70" i="40"/>
  <c r="F82" i="40"/>
  <c r="F9" i="40"/>
  <c r="F38" i="40"/>
  <c r="F76" i="40"/>
  <c r="F60" i="40"/>
  <c r="F80" i="40"/>
  <c r="F24" i="40"/>
  <c r="F79" i="40"/>
  <c r="W50" i="51"/>
  <c r="W62" i="51" s="1"/>
  <c r="N51" i="37"/>
  <c r="N63" i="37"/>
  <c r="G36" i="37"/>
  <c r="G51" i="37" s="1"/>
  <c r="B51" i="37"/>
  <c r="U23" i="37"/>
  <c r="Z44" i="40"/>
  <c r="Z59" i="40"/>
  <c r="Z8" i="40"/>
  <c r="Z11" i="40"/>
  <c r="Z16" i="40"/>
  <c r="Z18" i="40"/>
  <c r="Z19" i="40"/>
  <c r="Z32" i="40"/>
  <c r="Z38" i="40"/>
  <c r="Z54" i="40"/>
  <c r="Z55" i="40"/>
  <c r="Z65" i="40"/>
  <c r="Z66" i="40"/>
  <c r="Z76" i="40"/>
  <c r="Z17" i="40"/>
  <c r="Z27" i="40"/>
  <c r="Z28" i="40"/>
  <c r="Z40" i="40"/>
  <c r="Z43" i="40"/>
  <c r="Z53" i="40"/>
  <c r="Z56" i="40"/>
  <c r="Z60" i="40"/>
  <c r="Z80" i="40"/>
  <c r="Z25" i="40"/>
  <c r="Z35" i="40"/>
  <c r="Z67" i="40"/>
  <c r="Z68" i="40"/>
  <c r="Z10" i="40"/>
  <c r="Z20" i="40"/>
  <c r="Z41" i="40"/>
  <c r="Z45" i="40"/>
  <c r="Z57" i="40"/>
  <c r="Z62" i="40"/>
  <c r="Z63" i="40"/>
  <c r="Z113" i="40" s="1"/>
  <c r="Z77" i="40"/>
  <c r="H38" i="41"/>
  <c r="W58" i="34"/>
  <c r="Y58" i="34" s="1"/>
  <c r="I29" i="26"/>
  <c r="F50" i="37"/>
  <c r="M51" i="37"/>
  <c r="M63" i="37"/>
  <c r="K21" i="37"/>
  <c r="K31" i="37" s="1"/>
  <c r="Z39" i="40"/>
  <c r="H123" i="41"/>
  <c r="I46" i="26"/>
  <c r="E21" i="26"/>
  <c r="D77" i="37"/>
  <c r="K69" i="37"/>
  <c r="U69" i="37" s="1"/>
  <c r="O52" i="37"/>
  <c r="G37" i="37"/>
  <c r="U16" i="37"/>
  <c r="Z64" i="40"/>
  <c r="Z34" i="40"/>
  <c r="Z21" i="40"/>
  <c r="G48" i="26"/>
  <c r="G49" i="26" s="1"/>
  <c r="R39" i="37"/>
  <c r="F39" i="37"/>
  <c r="O30" i="37"/>
  <c r="Z58" i="40"/>
  <c r="Z30" i="40"/>
  <c r="H99" i="40"/>
  <c r="AB19" i="40"/>
  <c r="V10" i="40"/>
  <c r="D68" i="25"/>
  <c r="D69" i="25" s="1"/>
  <c r="G49" i="25"/>
  <c r="G55" i="18"/>
  <c r="G52" i="25"/>
  <c r="X125" i="41"/>
  <c r="AB8" i="40"/>
  <c r="N20" i="22"/>
  <c r="N39" i="22"/>
  <c r="N46" i="22"/>
  <c r="N55" i="22"/>
  <c r="N61" i="22"/>
  <c r="N76" i="22"/>
  <c r="N23" i="22"/>
  <c r="N28" i="22"/>
  <c r="N32" i="22"/>
  <c r="N34" i="22"/>
  <c r="N57" i="22"/>
  <c r="N63" i="22"/>
  <c r="N65" i="22"/>
  <c r="N70" i="22"/>
  <c r="N30" i="22"/>
  <c r="N36" i="22"/>
  <c r="N45" i="22"/>
  <c r="N67" i="22"/>
  <c r="N78" i="22"/>
  <c r="N82" i="22"/>
  <c r="N24" i="22"/>
  <c r="N38" i="22"/>
  <c r="N40" i="22"/>
  <c r="N54" i="22"/>
  <c r="N56" i="22"/>
  <c r="N58" i="22"/>
  <c r="N60" i="22"/>
  <c r="N80" i="22"/>
  <c r="N10" i="22"/>
  <c r="N27" i="22"/>
  <c r="N69" i="22"/>
  <c r="N11" i="22"/>
  <c r="N22" i="22"/>
  <c r="N53" i="22"/>
  <c r="N17" i="22"/>
  <c r="N41" i="22"/>
  <c r="N59" i="22"/>
  <c r="N64" i="22"/>
  <c r="N77" i="22"/>
  <c r="J10" i="24"/>
  <c r="J16" i="24"/>
  <c r="J17" i="24"/>
  <c r="J18" i="24"/>
  <c r="J19" i="24"/>
  <c r="J20" i="24"/>
  <c r="J21" i="24"/>
  <c r="J36" i="24"/>
  <c r="J37" i="24"/>
  <c r="J9" i="24"/>
  <c r="J22" i="24"/>
  <c r="J23" i="24"/>
  <c r="J30" i="24"/>
  <c r="J31" i="24"/>
  <c r="J38" i="24"/>
  <c r="J39" i="24"/>
  <c r="J24" i="24"/>
  <c r="J25" i="24"/>
  <c r="J8" i="24"/>
  <c r="J11" i="24"/>
  <c r="J32" i="24"/>
  <c r="J33" i="24"/>
  <c r="J40" i="24"/>
  <c r="J41" i="24"/>
  <c r="J44" i="24"/>
  <c r="J34" i="24"/>
  <c r="J35" i="24"/>
  <c r="J43" i="24"/>
  <c r="J28" i="24"/>
  <c r="J46" i="24"/>
  <c r="AB24" i="40"/>
  <c r="R23" i="40"/>
  <c r="R22" i="40"/>
  <c r="V20" i="40"/>
  <c r="D8" i="40"/>
  <c r="N18" i="22"/>
  <c r="N8" i="22"/>
  <c r="O8" i="22" s="1"/>
  <c r="T130" i="41"/>
  <c r="AC28" i="41"/>
  <c r="Z123" i="41"/>
  <c r="R10" i="40"/>
  <c r="N21" i="22"/>
  <c r="X36" i="41"/>
  <c r="R130" i="41"/>
  <c r="H9" i="24"/>
  <c r="H33" i="24"/>
  <c r="H43" i="24"/>
  <c r="AE78" i="41"/>
  <c r="J105" i="41"/>
  <c r="P44" i="41"/>
  <c r="T123" i="41"/>
  <c r="X123" i="41" s="1"/>
  <c r="X28" i="41"/>
  <c r="T57" i="22"/>
  <c r="D53" i="22"/>
  <c r="T45" i="22"/>
  <c r="D38" i="22"/>
  <c r="V18" i="22"/>
  <c r="V82" i="22"/>
  <c r="V54" i="22"/>
  <c r="V56" i="22"/>
  <c r="F16" i="22"/>
  <c r="F41" i="22"/>
  <c r="F43" i="22"/>
  <c r="F53" i="22"/>
  <c r="F66" i="22"/>
  <c r="F68" i="22"/>
  <c r="F79" i="22"/>
  <c r="F11" i="22"/>
  <c r="F25" i="22"/>
  <c r="F39" i="22"/>
  <c r="F55" i="22"/>
  <c r="F59" i="22"/>
  <c r="F20" i="22"/>
  <c r="F23" i="22"/>
  <c r="F28" i="22"/>
  <c r="F32" i="22"/>
  <c r="F34" i="22"/>
  <c r="F57" i="22"/>
  <c r="F61" i="22"/>
  <c r="F65" i="22"/>
  <c r="F70" i="22"/>
  <c r="F76" i="22"/>
  <c r="F17" i="22"/>
  <c r="F69" i="22"/>
  <c r="F78" i="22"/>
  <c r="V33" i="24"/>
  <c r="V41" i="24"/>
  <c r="V27" i="24"/>
  <c r="V43" i="24"/>
  <c r="V11" i="24"/>
  <c r="V35" i="24"/>
  <c r="V46" i="24"/>
  <c r="V21" i="24"/>
  <c r="F32" i="24"/>
  <c r="F40" i="24"/>
  <c r="F41" i="24"/>
  <c r="F27" i="24"/>
  <c r="F43" i="24"/>
  <c r="F8" i="24"/>
  <c r="F11" i="24"/>
  <c r="F34" i="24"/>
  <c r="F35" i="24"/>
  <c r="F28" i="24"/>
  <c r="F44" i="24"/>
  <c r="F45" i="24"/>
  <c r="F71" i="24" s="1"/>
  <c r="F72" i="24" s="1"/>
  <c r="F46" i="24"/>
  <c r="F16" i="24"/>
  <c r="F17" i="24"/>
  <c r="F18" i="24"/>
  <c r="F19" i="24"/>
  <c r="F20" i="24"/>
  <c r="F21" i="24"/>
  <c r="F36" i="24"/>
  <c r="X78" i="41"/>
  <c r="P141" i="41"/>
  <c r="P19" i="41"/>
  <c r="J158" i="41"/>
  <c r="J160" i="41" s="1"/>
  <c r="P137" i="41"/>
  <c r="T17" i="22"/>
  <c r="T24" i="22"/>
  <c r="T38" i="22"/>
  <c r="T40" i="22"/>
  <c r="T54" i="22"/>
  <c r="T56" i="22"/>
  <c r="T60" i="22"/>
  <c r="T19" i="22"/>
  <c r="T22" i="22"/>
  <c r="T27" i="22"/>
  <c r="T35" i="22"/>
  <c r="T44" i="22"/>
  <c r="T62" i="22"/>
  <c r="T64" i="22"/>
  <c r="T10" i="22"/>
  <c r="T11" i="22"/>
  <c r="T66" i="22"/>
  <c r="T68" i="22"/>
  <c r="T77" i="22"/>
  <c r="T8" i="22"/>
  <c r="U8" i="22" s="1"/>
  <c r="T16" i="22"/>
  <c r="T20" i="22"/>
  <c r="T39" i="22"/>
  <c r="T46" i="22"/>
  <c r="T55" i="22"/>
  <c r="T61" i="22"/>
  <c r="T76" i="22"/>
  <c r="D20" i="22"/>
  <c r="D23" i="22"/>
  <c r="D32" i="22"/>
  <c r="D34" i="22"/>
  <c r="D55" i="22"/>
  <c r="D57" i="22"/>
  <c r="D61" i="22"/>
  <c r="D70" i="22"/>
  <c r="D76" i="22"/>
  <c r="D30" i="22"/>
  <c r="D36" i="22"/>
  <c r="D45" i="22"/>
  <c r="D63" i="22"/>
  <c r="D65" i="22"/>
  <c r="D10" i="22"/>
  <c r="D67" i="22"/>
  <c r="D69" i="22"/>
  <c r="D78" i="22"/>
  <c r="D24" i="22"/>
  <c r="D27" i="22"/>
  <c r="D35" i="22"/>
  <c r="D44" i="22"/>
  <c r="D58" i="22"/>
  <c r="D62" i="22"/>
  <c r="AC29" i="24"/>
  <c r="AC30" i="24"/>
  <c r="AC37" i="24"/>
  <c r="AC38" i="24"/>
  <c r="AC23" i="24"/>
  <c r="AC9" i="24"/>
  <c r="AC31" i="24"/>
  <c r="AC32" i="24"/>
  <c r="AC39" i="24"/>
  <c r="AC40" i="24"/>
  <c r="AC48" i="24"/>
  <c r="N111" i="41"/>
  <c r="AE39" i="41"/>
  <c r="D144" i="41"/>
  <c r="H23" i="41"/>
  <c r="D158" i="41"/>
  <c r="P142" i="41"/>
  <c r="D60" i="22"/>
  <c r="D46" i="22"/>
  <c r="D40" i="22"/>
  <c r="T36" i="22"/>
  <c r="T25" i="22"/>
  <c r="T21" i="22"/>
  <c r="R66" i="22"/>
  <c r="R68" i="22"/>
  <c r="R77" i="22"/>
  <c r="R9" i="22"/>
  <c r="S9" i="22" s="1"/>
  <c r="R10" i="22"/>
  <c r="R25" i="22"/>
  <c r="R41" i="22"/>
  <c r="R43" i="22"/>
  <c r="R53" i="22"/>
  <c r="R59" i="22"/>
  <c r="R8" i="22"/>
  <c r="S8" i="22" s="1"/>
  <c r="R16" i="22"/>
  <c r="R20" i="22"/>
  <c r="R39" i="22"/>
  <c r="R46" i="22"/>
  <c r="R55" i="22"/>
  <c r="R61" i="22"/>
  <c r="R76" i="22"/>
  <c r="R30" i="22"/>
  <c r="R36" i="22"/>
  <c r="R45" i="22"/>
  <c r="R67" i="22"/>
  <c r="R78" i="22"/>
  <c r="R82" i="22"/>
  <c r="B69" i="22"/>
  <c r="B60" i="22"/>
  <c r="B62" i="22"/>
  <c r="B68" i="22"/>
  <c r="AC47" i="24"/>
  <c r="AC26" i="24"/>
  <c r="J52" i="18"/>
  <c r="J52" i="25" s="1"/>
  <c r="J62" i="18"/>
  <c r="J63" i="18" s="1"/>
  <c r="B62" i="18"/>
  <c r="B63" i="18" s="1"/>
  <c r="B52" i="18"/>
  <c r="B52" i="25" s="1"/>
  <c r="N142" i="41"/>
  <c r="N158" i="41"/>
  <c r="X140" i="41"/>
  <c r="D16" i="22"/>
  <c r="T9" i="22"/>
  <c r="U9" i="22" s="1"/>
  <c r="AC21" i="24"/>
  <c r="F112" i="41"/>
  <c r="F114" i="41"/>
  <c r="H36" i="41"/>
  <c r="B130" i="41"/>
  <c r="L8" i="22"/>
  <c r="R32" i="24"/>
  <c r="X18" i="24"/>
  <c r="N18" i="24"/>
  <c r="X17" i="24"/>
  <c r="N17" i="24"/>
  <c r="X16" i="24"/>
  <c r="N16" i="24"/>
  <c r="X11" i="24"/>
  <c r="X7" i="24"/>
  <c r="J33" i="25"/>
  <c r="H26" i="25"/>
  <c r="K7" i="25"/>
  <c r="K9" i="25"/>
  <c r="K71" i="25" s="1"/>
  <c r="K72" i="25" s="1"/>
  <c r="K16" i="25"/>
  <c r="K21" i="25"/>
  <c r="K26" i="25"/>
  <c r="K28" i="25"/>
  <c r="K30" i="25"/>
  <c r="K32" i="25"/>
  <c r="K34" i="25"/>
  <c r="K36" i="25"/>
  <c r="K38" i="25"/>
  <c r="K40" i="25"/>
  <c r="K42" i="25"/>
  <c r="K44" i="25"/>
  <c r="K68" i="25" s="1"/>
  <c r="K69" i="25" s="1"/>
  <c r="C7" i="25"/>
  <c r="C9" i="25"/>
  <c r="C71" i="25" s="1"/>
  <c r="C72" i="25" s="1"/>
  <c r="C16" i="25"/>
  <c r="C21" i="25"/>
  <c r="C26" i="25"/>
  <c r="C28" i="25"/>
  <c r="C30" i="25"/>
  <c r="C32" i="25"/>
  <c r="C34" i="25"/>
  <c r="C36" i="25"/>
  <c r="C38" i="25"/>
  <c r="C40" i="25"/>
  <c r="C42" i="25"/>
  <c r="C44" i="25"/>
  <c r="I52" i="18"/>
  <c r="I62" i="18"/>
  <c r="I63" i="18" s="1"/>
  <c r="X55" i="41"/>
  <c r="P27" i="41"/>
  <c r="X8" i="41"/>
  <c r="X146" i="4"/>
  <c r="J164" i="4"/>
  <c r="I57" i="37" s="1"/>
  <c r="J146" i="4"/>
  <c r="J7" i="25"/>
  <c r="J9" i="25"/>
  <c r="J16" i="25"/>
  <c r="J21" i="25"/>
  <c r="J26" i="25"/>
  <c r="J28" i="25"/>
  <c r="J30" i="25"/>
  <c r="J32" i="25"/>
  <c r="J34" i="25"/>
  <c r="J36" i="25"/>
  <c r="J38" i="25"/>
  <c r="J40" i="25"/>
  <c r="J42" i="25"/>
  <c r="J44" i="25"/>
  <c r="J46" i="25"/>
  <c r="B7" i="25"/>
  <c r="B9" i="25"/>
  <c r="B16" i="25"/>
  <c r="B21" i="25"/>
  <c r="B26" i="25"/>
  <c r="B28" i="25"/>
  <c r="B30" i="25"/>
  <c r="B32" i="25"/>
  <c r="B34" i="25"/>
  <c r="B36" i="25"/>
  <c r="B38" i="25"/>
  <c r="B40" i="25"/>
  <c r="B42" i="25"/>
  <c r="B44" i="25"/>
  <c r="B46" i="25"/>
  <c r="T72" i="41"/>
  <c r="H20" i="41"/>
  <c r="F141" i="41"/>
  <c r="X152" i="4"/>
  <c r="J150" i="4"/>
  <c r="R38" i="24"/>
  <c r="B30" i="24"/>
  <c r="H38" i="25"/>
  <c r="J37" i="25"/>
  <c r="B37" i="25"/>
  <c r="H32" i="25"/>
  <c r="J31" i="25"/>
  <c r="C29" i="25"/>
  <c r="J20" i="25"/>
  <c r="C15" i="25"/>
  <c r="B10" i="25"/>
  <c r="C8" i="25"/>
  <c r="I16" i="25"/>
  <c r="I38" i="25"/>
  <c r="N65" i="18"/>
  <c r="N66" i="18" s="1"/>
  <c r="G62" i="18"/>
  <c r="G63" i="18" s="1"/>
  <c r="N12" i="18"/>
  <c r="AE79" i="41"/>
  <c r="R115" i="41"/>
  <c r="V112" i="41"/>
  <c r="R114" i="41"/>
  <c r="AA127" i="41"/>
  <c r="R23" i="24"/>
  <c r="B23" i="24"/>
  <c r="B22" i="24"/>
  <c r="B29" i="25"/>
  <c r="B15" i="25"/>
  <c r="B8" i="25"/>
  <c r="H8" i="25"/>
  <c r="H10" i="25"/>
  <c r="H15" i="25"/>
  <c r="H20" i="25"/>
  <c r="H25" i="25"/>
  <c r="H27" i="25"/>
  <c r="H29" i="25"/>
  <c r="H31" i="25"/>
  <c r="H33" i="25"/>
  <c r="N49" i="18"/>
  <c r="B112" i="41"/>
  <c r="X35" i="41"/>
  <c r="R129" i="41"/>
  <c r="F148" i="41"/>
  <c r="B21" i="24"/>
  <c r="R20" i="24"/>
  <c r="B19" i="24"/>
  <c r="B18" i="24"/>
  <c r="R16" i="24"/>
  <c r="B11" i="24"/>
  <c r="H42" i="25"/>
  <c r="J41" i="25"/>
  <c r="B41" i="25"/>
  <c r="H37" i="25"/>
  <c r="K35" i="25"/>
  <c r="C35" i="25"/>
  <c r="H30" i="25"/>
  <c r="J29" i="25"/>
  <c r="C27" i="25"/>
  <c r="H16" i="25"/>
  <c r="J15" i="25"/>
  <c r="K10" i="25"/>
  <c r="N105" i="41"/>
  <c r="AC145" i="41"/>
  <c r="N112" i="41"/>
  <c r="Z105" i="41"/>
  <c r="X24" i="41"/>
  <c r="R145" i="41"/>
  <c r="AE24" i="41"/>
  <c r="H24" i="41"/>
  <c r="B145" i="41"/>
  <c r="AE23" i="41"/>
  <c r="R142" i="41"/>
  <c r="X20" i="41"/>
  <c r="H16" i="41"/>
  <c r="AE16" i="41"/>
  <c r="H8" i="41"/>
  <c r="AE8" i="41"/>
  <c r="N27" i="29"/>
  <c r="G49" i="29"/>
  <c r="G89" i="29" s="1"/>
  <c r="N22" i="29"/>
  <c r="B101" i="29"/>
  <c r="X49" i="29"/>
  <c r="AE17" i="29"/>
  <c r="X101" i="29"/>
  <c r="K49" i="29"/>
  <c r="K101" i="29"/>
  <c r="C49" i="29"/>
  <c r="C101" i="29"/>
  <c r="N10" i="29"/>
  <c r="P64" i="41"/>
  <c r="V105" i="41"/>
  <c r="AE41" i="41"/>
  <c r="N130" i="41"/>
  <c r="P32" i="41"/>
  <c r="P22" i="41"/>
  <c r="D72" i="4"/>
  <c r="D118" i="4"/>
  <c r="L129" i="4"/>
  <c r="B158" i="41"/>
  <c r="J123" i="41"/>
  <c r="AB117" i="41"/>
  <c r="AB119" i="41" s="1"/>
  <c r="P104" i="41"/>
  <c r="AE63" i="41"/>
  <c r="P53" i="41"/>
  <c r="J111" i="41"/>
  <c r="X46" i="41"/>
  <c r="H46" i="41"/>
  <c r="X45" i="41"/>
  <c r="AE45" i="41"/>
  <c r="X43" i="41"/>
  <c r="X38" i="41"/>
  <c r="P38" i="41"/>
  <c r="X27" i="41"/>
  <c r="AE27" i="41"/>
  <c r="H27" i="41"/>
  <c r="X143" i="41"/>
  <c r="N137" i="41"/>
  <c r="J121" i="4"/>
  <c r="L67" i="41"/>
  <c r="P67" i="41" s="1"/>
  <c r="Z65" i="4"/>
  <c r="Z118" i="4" s="1"/>
  <c r="H118" i="4"/>
  <c r="G10" i="25"/>
  <c r="G12" i="25" s="1"/>
  <c r="D157" i="41"/>
  <c r="V114" i="41"/>
  <c r="T112" i="41"/>
  <c r="AA117" i="41"/>
  <c r="AA119" i="41" s="1"/>
  <c r="AE60" i="41"/>
  <c r="D112" i="41"/>
  <c r="B105" i="41"/>
  <c r="H44" i="41"/>
  <c r="AC34" i="41"/>
  <c r="X21" i="41"/>
  <c r="P18" i="41"/>
  <c r="J139" i="41"/>
  <c r="AE11" i="41"/>
  <c r="H122" i="4"/>
  <c r="H125" i="41"/>
  <c r="V104" i="41"/>
  <c r="P59" i="41"/>
  <c r="H55" i="41"/>
  <c r="D111" i="41"/>
  <c r="AE43" i="41"/>
  <c r="J129" i="41"/>
  <c r="X32" i="41"/>
  <c r="L123" i="41"/>
  <c r="H25" i="41"/>
  <c r="X23" i="41"/>
  <c r="H10" i="41"/>
  <c r="AE10" i="41"/>
  <c r="AC72" i="41"/>
  <c r="F111" i="41"/>
  <c r="P39" i="41"/>
  <c r="AC35" i="41"/>
  <c r="AE34" i="41"/>
  <c r="AE20" i="41"/>
  <c r="X17" i="41"/>
  <c r="N123" i="4"/>
  <c r="N125" i="4" s="1"/>
  <c r="J118" i="4"/>
  <c r="L61" i="41"/>
  <c r="L112" i="41" s="1"/>
  <c r="H132" i="4"/>
  <c r="V116" i="41"/>
  <c r="H104" i="41"/>
  <c r="X68" i="41"/>
  <c r="AE68" i="41"/>
  <c r="H45" i="41"/>
  <c r="R105" i="41"/>
  <c r="F105" i="41"/>
  <c r="P36" i="41"/>
  <c r="AE32" i="41"/>
  <c r="H32" i="41"/>
  <c r="P24" i="41"/>
  <c r="P11" i="41"/>
  <c r="AE9" i="41"/>
  <c r="H9" i="41"/>
  <c r="V135" i="4"/>
  <c r="AC83" i="41"/>
  <c r="P70" i="41"/>
  <c r="T111" i="41"/>
  <c r="H53" i="41"/>
  <c r="AC41" i="41"/>
  <c r="X39" i="41"/>
  <c r="H19" i="41"/>
  <c r="Z41" i="4"/>
  <c r="X18" i="41"/>
  <c r="T121" i="4"/>
  <c r="R131" i="4"/>
  <c r="H18" i="41"/>
  <c r="P9" i="41"/>
  <c r="L135" i="4"/>
  <c r="J149" i="4"/>
  <c r="J147" i="4"/>
  <c r="AE25" i="41"/>
  <c r="AC8" i="41"/>
  <c r="H17" i="41"/>
  <c r="X10" i="41"/>
  <c r="J119" i="4"/>
  <c r="L120" i="4"/>
  <c r="J131" i="4"/>
  <c r="AE28" i="29"/>
  <c r="S49" i="29"/>
  <c r="S87" i="29" s="1"/>
  <c r="H72" i="4"/>
  <c r="H117" i="4"/>
  <c r="N136" i="4"/>
  <c r="H135" i="4"/>
  <c r="R148" i="4"/>
  <c r="P72" i="4"/>
  <c r="T72" i="4"/>
  <c r="T117" i="4"/>
  <c r="T165" i="4"/>
  <c r="J134" i="4"/>
  <c r="X131" i="4"/>
  <c r="F152" i="4"/>
  <c r="J143" i="4"/>
  <c r="J163" i="4"/>
  <c r="B123" i="4"/>
  <c r="B125" i="4" s="1"/>
  <c r="R117" i="4"/>
  <c r="R165" i="4"/>
  <c r="Z45" i="4"/>
  <c r="F46" i="4"/>
  <c r="Z78" i="4"/>
  <c r="Z55" i="4"/>
  <c r="X143" i="4"/>
  <c r="X163" i="4"/>
  <c r="Z63" i="4"/>
  <c r="N35" i="4"/>
  <c r="N16" i="4"/>
  <c r="Z35" i="16"/>
  <c r="L34" i="4"/>
  <c r="T31" i="4"/>
  <c r="T31" i="22" s="1"/>
  <c r="Z17" i="16"/>
  <c r="D17" i="4"/>
  <c r="Z43" i="4"/>
  <c r="Z20" i="4"/>
  <c r="Z34" i="16"/>
  <c r="Z40" i="4"/>
  <c r="Z24" i="4"/>
  <c r="P17" i="4"/>
  <c r="AE37" i="29"/>
  <c r="D28" i="4"/>
  <c r="D28" i="22" s="1"/>
  <c r="Z46" i="16"/>
  <c r="Z44" i="16"/>
  <c r="R68" i="16"/>
  <c r="R69" i="16" s="1"/>
  <c r="T68" i="16"/>
  <c r="T69" i="16" s="1"/>
  <c r="Z32" i="16"/>
  <c r="Z38" i="16"/>
  <c r="B22" i="4"/>
  <c r="Z22" i="16"/>
  <c r="K6" i="20"/>
  <c r="K7" i="20"/>
  <c r="L6" i="20"/>
  <c r="C6" i="20"/>
  <c r="C7" i="20"/>
  <c r="D6" i="20"/>
  <c r="V106" i="29"/>
  <c r="L46" i="4"/>
  <c r="L110" i="4" s="1"/>
  <c r="Z18" i="4"/>
  <c r="L101" i="29"/>
  <c r="Y49" i="29"/>
  <c r="U104" i="29"/>
  <c r="AE46" i="29"/>
  <c r="AE104" i="29" s="1"/>
  <c r="M102" i="29"/>
  <c r="E102" i="29"/>
  <c r="AE27" i="29"/>
  <c r="W101" i="29"/>
  <c r="J49" i="29"/>
  <c r="J101" i="29"/>
  <c r="J106" i="29" s="1"/>
  <c r="J108" i="29" s="1"/>
  <c r="N18" i="29"/>
  <c r="B49" i="29"/>
  <c r="AD13" i="29"/>
  <c r="V13" i="29"/>
  <c r="AE7" i="29"/>
  <c r="I13" i="29"/>
  <c r="Q32" i="30"/>
  <c r="Q17" i="30"/>
  <c r="AE42" i="29"/>
  <c r="AE34" i="29"/>
  <c r="B103" i="29"/>
  <c r="N34" i="29"/>
  <c r="AB97" i="29"/>
  <c r="AC97" i="29"/>
  <c r="H97" i="29"/>
  <c r="AH46" i="30"/>
  <c r="Z20" i="16"/>
  <c r="AE112" i="29"/>
  <c r="AE72" i="29"/>
  <c r="AE111" i="29"/>
  <c r="AE117" i="29" s="1"/>
  <c r="G105" i="29"/>
  <c r="N43" i="29"/>
  <c r="AE23" i="29"/>
  <c r="AA97" i="29"/>
  <c r="AH25" i="30"/>
  <c r="AH29" i="30"/>
  <c r="AH41" i="30"/>
  <c r="AH45" i="30"/>
  <c r="Q23" i="30"/>
  <c r="Q27" i="30"/>
  <c r="Q31" i="30"/>
  <c r="Q35" i="30"/>
  <c r="Q39" i="30"/>
  <c r="Q43" i="30"/>
  <c r="Q18" i="30"/>
  <c r="Q22" i="30"/>
  <c r="Q26" i="30"/>
  <c r="Q30" i="30"/>
  <c r="Q34" i="30"/>
  <c r="Q38" i="30"/>
  <c r="Q42" i="30"/>
  <c r="Q46" i="30"/>
  <c r="AH35" i="30"/>
  <c r="AH22" i="30"/>
  <c r="AH27" i="30"/>
  <c r="Q41" i="30"/>
  <c r="AH19" i="30"/>
  <c r="AH31" i="30"/>
  <c r="Z19" i="16"/>
  <c r="AE44" i="29"/>
  <c r="AE30" i="29"/>
  <c r="W102" i="29"/>
  <c r="G101" i="29"/>
  <c r="N16" i="29"/>
  <c r="AE49" i="30"/>
  <c r="AH38" i="30"/>
  <c r="AH23" i="30"/>
  <c r="Q20" i="30"/>
  <c r="Z16" i="16"/>
  <c r="F7" i="20"/>
  <c r="F6" i="20"/>
  <c r="AE39" i="29"/>
  <c r="AC102" i="29"/>
  <c r="H102" i="29"/>
  <c r="M49" i="29"/>
  <c r="M87" i="29" s="1"/>
  <c r="N20" i="29"/>
  <c r="E49" i="29"/>
  <c r="AA101" i="29"/>
  <c r="AA49" i="29"/>
  <c r="AA87" i="29" s="1"/>
  <c r="S101" i="29"/>
  <c r="AE16" i="29"/>
  <c r="S97" i="29"/>
  <c r="Q33" i="30"/>
  <c r="Q29" i="30"/>
  <c r="Q25" i="30"/>
  <c r="Q16" i="30"/>
  <c r="AG13" i="30"/>
  <c r="L14" i="32"/>
  <c r="L27" i="32"/>
  <c r="L36" i="32" s="1"/>
  <c r="L40" i="32" s="1"/>
  <c r="D14" i="32"/>
  <c r="D27" i="32"/>
  <c r="D36" i="32" s="1"/>
  <c r="D40" i="32" s="1"/>
  <c r="AD106" i="29"/>
  <c r="N36" i="29"/>
  <c r="D101" i="29"/>
  <c r="AH43" i="30"/>
  <c r="AH34" i="30"/>
  <c r="AE47" i="29"/>
  <c r="I105" i="29"/>
  <c r="N42" i="29"/>
  <c r="AE36" i="29"/>
  <c r="N35" i="29"/>
  <c r="AC103" i="29"/>
  <c r="U103" i="29"/>
  <c r="Y102" i="29"/>
  <c r="L102" i="29"/>
  <c r="D102" i="29"/>
  <c r="N21" i="29"/>
  <c r="Z101" i="29"/>
  <c r="F101" i="29"/>
  <c r="K13" i="29"/>
  <c r="C13" i="29"/>
  <c r="Q40" i="30"/>
  <c r="AH21" i="30"/>
  <c r="AH16" i="30"/>
  <c r="AC105" i="29"/>
  <c r="U105" i="29"/>
  <c r="H105" i="29"/>
  <c r="N41" i="29"/>
  <c r="AE35" i="29"/>
  <c r="N30" i="29"/>
  <c r="X102" i="29"/>
  <c r="K102" i="29"/>
  <c r="C102" i="29"/>
  <c r="AE24" i="29"/>
  <c r="L49" i="29"/>
  <c r="L87" i="29" s="1"/>
  <c r="D49" i="29"/>
  <c r="D87" i="29" s="1"/>
  <c r="Y101" i="29"/>
  <c r="M101" i="29"/>
  <c r="E101" i="29"/>
  <c r="T97" i="29"/>
  <c r="W13" i="29"/>
  <c r="J13" i="29"/>
  <c r="B13" i="29"/>
  <c r="N7" i="29"/>
  <c r="AH36" i="30"/>
  <c r="Q28" i="30"/>
  <c r="J36" i="32"/>
  <c r="J40" i="32" s="1"/>
  <c r="B36" i="32"/>
  <c r="B40" i="32" s="1"/>
  <c r="N25" i="32"/>
  <c r="N27" i="32" s="1"/>
  <c r="N36" i="32" s="1"/>
  <c r="N40" i="32" s="1"/>
  <c r="T13" i="16"/>
  <c r="Y117" i="29"/>
  <c r="Y119" i="29" s="1"/>
  <c r="M117" i="29"/>
  <c r="M119" i="29" s="1"/>
  <c r="E117" i="29"/>
  <c r="E119" i="29" s="1"/>
  <c r="AE83" i="29"/>
  <c r="AA105" i="29"/>
  <c r="AE43" i="29"/>
  <c r="S105" i="29"/>
  <c r="N38" i="29"/>
  <c r="AE32" i="29"/>
  <c r="N31" i="29"/>
  <c r="G102" i="29"/>
  <c r="H49" i="29"/>
  <c r="H101" i="29"/>
  <c r="AD49" i="29"/>
  <c r="V49" i="29"/>
  <c r="I49" i="29"/>
  <c r="I101" i="29"/>
  <c r="W49" i="29"/>
  <c r="N17" i="29"/>
  <c r="AE9" i="29"/>
  <c r="AH44" i="30"/>
  <c r="Q36" i="30"/>
  <c r="AH17" i="30"/>
  <c r="N49" i="30"/>
  <c r="AE13" i="30"/>
  <c r="K14" i="32"/>
  <c r="K27" i="32"/>
  <c r="K36" i="32" s="1"/>
  <c r="K40" i="32" s="1"/>
  <c r="C14" i="32"/>
  <c r="C27" i="32"/>
  <c r="C36" i="32" s="1"/>
  <c r="C40" i="32" s="1"/>
  <c r="Y105" i="29"/>
  <c r="M105" i="29"/>
  <c r="E105" i="29"/>
  <c r="N37" i="29"/>
  <c r="Z102" i="29"/>
  <c r="F102" i="29"/>
  <c r="AA102" i="29"/>
  <c r="AE31" i="29"/>
  <c r="AE102" i="29" s="1"/>
  <c r="S102" i="29"/>
  <c r="N26" i="29"/>
  <c r="N23" i="29"/>
  <c r="AE20" i="29"/>
  <c r="AB49" i="29"/>
  <c r="AB87" i="29" s="1"/>
  <c r="AB101" i="29"/>
  <c r="AB106" i="29" s="1"/>
  <c r="T49" i="29"/>
  <c r="T87" i="29" s="1"/>
  <c r="T101" i="29"/>
  <c r="T106" i="29" s="1"/>
  <c r="T108" i="29" s="1"/>
  <c r="AC49" i="29"/>
  <c r="AC87" i="29" s="1"/>
  <c r="AC101" i="29"/>
  <c r="U49" i="29"/>
  <c r="U87" i="29" s="1"/>
  <c r="U101" i="29"/>
  <c r="Z87" i="29"/>
  <c r="N9" i="29"/>
  <c r="F87" i="29"/>
  <c r="F89" i="29"/>
  <c r="AE8" i="29"/>
  <c r="AH37" i="30"/>
  <c r="AH32" i="30"/>
  <c r="Q24" i="30"/>
  <c r="Q19" i="30"/>
  <c r="E27" i="32"/>
  <c r="E36" i="32" s="1"/>
  <c r="E40" i="32" s="1"/>
  <c r="N49" i="31"/>
  <c r="N13" i="31"/>
  <c r="N46" i="29"/>
  <c r="N104" i="29" s="1"/>
  <c r="B104" i="29"/>
  <c r="AE40" i="29"/>
  <c r="K103" i="29"/>
  <c r="C103" i="29"/>
  <c r="N25" i="29"/>
  <c r="AE19" i="29"/>
  <c r="G97" i="29"/>
  <c r="G87" i="29"/>
  <c r="D89" i="29"/>
  <c r="Y13" i="29"/>
  <c r="M89" i="29"/>
  <c r="E87" i="29"/>
  <c r="E89" i="29"/>
  <c r="Q44" i="30"/>
  <c r="AH20" i="30"/>
  <c r="AC20" i="21"/>
  <c r="L89" i="29" l="1"/>
  <c r="AE103" i="29"/>
  <c r="J43" i="22"/>
  <c r="M27" i="25"/>
  <c r="M41" i="25"/>
  <c r="M42" i="25"/>
  <c r="M31" i="25"/>
  <c r="M34" i="25"/>
  <c r="M47" i="25"/>
  <c r="M10" i="25"/>
  <c r="U46" i="37"/>
  <c r="V36" i="48"/>
  <c r="AI58" i="51"/>
  <c r="AC106" i="29"/>
  <c r="AC108" i="29" s="1"/>
  <c r="AB108" i="29"/>
  <c r="I47" i="27"/>
  <c r="X99" i="40"/>
  <c r="R35" i="22"/>
  <c r="J20" i="22"/>
  <c r="J45" i="22"/>
  <c r="M44" i="25"/>
  <c r="M35" i="25"/>
  <c r="M40" i="25"/>
  <c r="M29" i="25"/>
  <c r="M26" i="25"/>
  <c r="V31" i="48"/>
  <c r="V33" i="48"/>
  <c r="H89" i="29"/>
  <c r="H87" i="29"/>
  <c r="N102" i="29"/>
  <c r="D106" i="29"/>
  <c r="D108" i="29" s="1"/>
  <c r="AD108" i="29"/>
  <c r="AE119" i="29"/>
  <c r="O63" i="37"/>
  <c r="Q21" i="30"/>
  <c r="Q37" i="30"/>
  <c r="AH39" i="30"/>
  <c r="Q45" i="30"/>
  <c r="AH42" i="30"/>
  <c r="AH40" i="30"/>
  <c r="AH33" i="30"/>
  <c r="AH30" i="30"/>
  <c r="AH28" i="30"/>
  <c r="AH26" i="30"/>
  <c r="AH24" i="30"/>
  <c r="AH18" i="30"/>
  <c r="AB13" i="48"/>
  <c r="AC9" i="48" s="1"/>
  <c r="AB49" i="48"/>
  <c r="AC16" i="48"/>
  <c r="AE18" i="48"/>
  <c r="AE20" i="48"/>
  <c r="AE22" i="48"/>
  <c r="AE24" i="48"/>
  <c r="AE26" i="48"/>
  <c r="AE28" i="48"/>
  <c r="AE30" i="48"/>
  <c r="AE32" i="48"/>
  <c r="AC34" i="48"/>
  <c r="AE36" i="48"/>
  <c r="AC37" i="48"/>
  <c r="AE38" i="48"/>
  <c r="AE39" i="48"/>
  <c r="AE40" i="48"/>
  <c r="AE41" i="48"/>
  <c r="AE42" i="48"/>
  <c r="AE43" i="48"/>
  <c r="AE44" i="48"/>
  <c r="AE45" i="48"/>
  <c r="AC45" i="48"/>
  <c r="AC46" i="48"/>
  <c r="AE47" i="48"/>
  <c r="AC47" i="48"/>
  <c r="I57" i="51"/>
  <c r="C61" i="51"/>
  <c r="E61" i="51"/>
  <c r="E62" i="51"/>
  <c r="M61" i="51"/>
  <c r="M62" i="51"/>
  <c r="AG57" i="51"/>
  <c r="AG61" i="51" s="1"/>
  <c r="AA61" i="51"/>
  <c r="AE36" i="41"/>
  <c r="Z37" i="46"/>
  <c r="N31" i="48"/>
  <c r="L48" i="65"/>
  <c r="M48" i="65" s="1"/>
  <c r="D44" i="65"/>
  <c r="E44" i="65" s="1"/>
  <c r="J44" i="65"/>
  <c r="K44" i="65" s="1"/>
  <c r="H44" i="65"/>
  <c r="I44" i="65" s="1"/>
  <c r="F44" i="65"/>
  <c r="G44" i="65" s="1"/>
  <c r="L47" i="65"/>
  <c r="M47" i="65" s="1"/>
  <c r="K43" i="65"/>
  <c r="E43" i="65"/>
  <c r="I43" i="65"/>
  <c r="G43" i="65"/>
  <c r="K10" i="48"/>
  <c r="Y10" i="48"/>
  <c r="AE35" i="41"/>
  <c r="AE129" i="41" s="1"/>
  <c r="Z36" i="4"/>
  <c r="Z136" i="4" s="1"/>
  <c r="Y11" i="48"/>
  <c r="D31" i="4"/>
  <c r="D31" i="40" s="1"/>
  <c r="K11" i="48"/>
  <c r="H101" i="48"/>
  <c r="K13" i="34" s="1"/>
  <c r="I10" i="48"/>
  <c r="I11" i="48"/>
  <c r="E11" i="48"/>
  <c r="D31" i="24"/>
  <c r="F31" i="24"/>
  <c r="Q11" i="48"/>
  <c r="AB33" i="40"/>
  <c r="Q10" i="48"/>
  <c r="J29" i="40"/>
  <c r="T115" i="48"/>
  <c r="AA25" i="34" s="1"/>
  <c r="T113" i="48"/>
  <c r="AA23" i="34" s="1"/>
  <c r="F70" i="48"/>
  <c r="F62" i="48"/>
  <c r="F54" i="48"/>
  <c r="F69" i="48"/>
  <c r="F61" i="48"/>
  <c r="F53" i="48"/>
  <c r="F82" i="48"/>
  <c r="F68" i="48"/>
  <c r="F60" i="48"/>
  <c r="F80" i="48"/>
  <c r="F67" i="48"/>
  <c r="F59" i="48"/>
  <c r="F79" i="48"/>
  <c r="F66" i="48"/>
  <c r="F78" i="48"/>
  <c r="F65" i="48"/>
  <c r="F57" i="48"/>
  <c r="F77" i="48"/>
  <c r="F64" i="48"/>
  <c r="F76" i="48"/>
  <c r="F63" i="48"/>
  <c r="F55" i="48"/>
  <c r="F45" i="48"/>
  <c r="F23" i="48"/>
  <c r="F46" i="48"/>
  <c r="F10" i="48"/>
  <c r="F19" i="48"/>
  <c r="F28" i="48"/>
  <c r="F27" i="48"/>
  <c r="F9" i="48"/>
  <c r="G9" i="48" s="1"/>
  <c r="F20" i="48"/>
  <c r="F21" i="48"/>
  <c r="F32" i="48"/>
  <c r="F17" i="48"/>
  <c r="F18" i="48"/>
  <c r="F41" i="48"/>
  <c r="F43" i="48"/>
  <c r="F29" i="48"/>
  <c r="F25" i="48"/>
  <c r="F38" i="48"/>
  <c r="F44" i="48"/>
  <c r="F22" i="48"/>
  <c r="F8" i="48"/>
  <c r="G8" i="48" s="1"/>
  <c r="F24" i="48"/>
  <c r="F35" i="48"/>
  <c r="F11" i="48"/>
  <c r="F26" i="48"/>
  <c r="F30" i="48"/>
  <c r="F34" i="48"/>
  <c r="F16" i="48"/>
  <c r="F40" i="48"/>
  <c r="F36" i="48"/>
  <c r="Z36" i="48" s="1"/>
  <c r="AD36" i="48" s="1"/>
  <c r="H116" i="48"/>
  <c r="K26" i="34" s="1"/>
  <c r="H112" i="48"/>
  <c r="K22" i="34" s="1"/>
  <c r="J112" i="48"/>
  <c r="M22" i="34" s="1"/>
  <c r="J116" i="48"/>
  <c r="M26" i="34" s="1"/>
  <c r="P113" i="48"/>
  <c r="U23" i="34" s="1"/>
  <c r="P115" i="48"/>
  <c r="U25" i="34" s="1"/>
  <c r="T112" i="48"/>
  <c r="AA22" i="34" s="1"/>
  <c r="T116" i="48"/>
  <c r="AA26" i="34" s="1"/>
  <c r="X111" i="48"/>
  <c r="X72" i="48"/>
  <c r="AE37" i="34"/>
  <c r="J104" i="48"/>
  <c r="M16" i="34" s="1"/>
  <c r="L82" i="48"/>
  <c r="L64" i="48"/>
  <c r="L80" i="48"/>
  <c r="L63" i="48"/>
  <c r="L55" i="48"/>
  <c r="L79" i="48"/>
  <c r="L70" i="48"/>
  <c r="L62" i="48"/>
  <c r="L54" i="48"/>
  <c r="L78" i="48"/>
  <c r="L69" i="48"/>
  <c r="L61" i="48"/>
  <c r="L53" i="48"/>
  <c r="L77" i="48"/>
  <c r="L68" i="48"/>
  <c r="L60" i="48"/>
  <c r="L76" i="48"/>
  <c r="L67" i="48"/>
  <c r="L59" i="48"/>
  <c r="L66" i="48"/>
  <c r="L65" i="48"/>
  <c r="L57" i="48"/>
  <c r="L38" i="48"/>
  <c r="L9" i="48"/>
  <c r="M9" i="48" s="1"/>
  <c r="L8" i="48"/>
  <c r="M8" i="48" s="1"/>
  <c r="L20" i="48"/>
  <c r="L19" i="48"/>
  <c r="L30" i="48"/>
  <c r="L27" i="48"/>
  <c r="L17" i="48"/>
  <c r="L45" i="48"/>
  <c r="L46" i="48"/>
  <c r="L21" i="48"/>
  <c r="L28" i="48"/>
  <c r="L11" i="48"/>
  <c r="L25" i="48"/>
  <c r="L18" i="48"/>
  <c r="L10" i="48"/>
  <c r="L32" i="48"/>
  <c r="L22" i="48"/>
  <c r="L43" i="48"/>
  <c r="L44" i="48"/>
  <c r="L34" i="48"/>
  <c r="L24" i="48"/>
  <c r="L16" i="48"/>
  <c r="L23" i="48"/>
  <c r="L41" i="48"/>
  <c r="L39" i="48"/>
  <c r="L40" i="48"/>
  <c r="N70" i="48"/>
  <c r="N62" i="48"/>
  <c r="N54" i="48"/>
  <c r="N69" i="48"/>
  <c r="N61" i="48"/>
  <c r="N53" i="48"/>
  <c r="N82" i="48"/>
  <c r="N68" i="48"/>
  <c r="N60" i="48"/>
  <c r="N80" i="48"/>
  <c r="N67" i="48"/>
  <c r="N59" i="48"/>
  <c r="N79" i="48"/>
  <c r="N66" i="48"/>
  <c r="N78" i="48"/>
  <c r="N65" i="48"/>
  <c r="N57" i="48"/>
  <c r="N77" i="48"/>
  <c r="N64" i="48"/>
  <c r="N76" i="48"/>
  <c r="N63" i="48"/>
  <c r="N55" i="48"/>
  <c r="N19" i="48"/>
  <c r="N9" i="48"/>
  <c r="O9" i="48" s="1"/>
  <c r="N46" i="48"/>
  <c r="N41" i="48"/>
  <c r="N30" i="48"/>
  <c r="N18" i="48"/>
  <c r="N44" i="48"/>
  <c r="N16" i="48"/>
  <c r="N43" i="48"/>
  <c r="N8" i="48"/>
  <c r="O8" i="48" s="1"/>
  <c r="N11" i="48"/>
  <c r="N22" i="48"/>
  <c r="N23" i="48"/>
  <c r="N34" i="48"/>
  <c r="N35" i="48"/>
  <c r="N10" i="48"/>
  <c r="N24" i="48"/>
  <c r="N20" i="48"/>
  <c r="N21" i="48"/>
  <c r="N38" i="48"/>
  <c r="N17" i="48"/>
  <c r="N27" i="48"/>
  <c r="N45" i="48"/>
  <c r="N32" i="48"/>
  <c r="N25" i="48"/>
  <c r="N28" i="48"/>
  <c r="N39" i="48"/>
  <c r="N40" i="48"/>
  <c r="J26" i="24"/>
  <c r="D101" i="48"/>
  <c r="E13" i="34" s="1"/>
  <c r="P116" i="48"/>
  <c r="U26" i="34" s="1"/>
  <c r="P112" i="48"/>
  <c r="U22" i="34" s="1"/>
  <c r="R104" i="48"/>
  <c r="W16" i="34" s="1"/>
  <c r="R113" i="48"/>
  <c r="W23" i="34" s="1"/>
  <c r="T104" i="48"/>
  <c r="AA16" i="34" s="1"/>
  <c r="U11" i="48"/>
  <c r="V70" i="48"/>
  <c r="V62" i="48"/>
  <c r="V54" i="48"/>
  <c r="V69" i="48"/>
  <c r="V61" i="48"/>
  <c r="V53" i="48"/>
  <c r="V82" i="48"/>
  <c r="V68" i="48"/>
  <c r="Z68" i="48" s="1"/>
  <c r="AD68" i="48" s="1"/>
  <c r="V60" i="48"/>
  <c r="V80" i="48"/>
  <c r="V67" i="48"/>
  <c r="V59" i="48"/>
  <c r="V79" i="48"/>
  <c r="V66" i="48"/>
  <c r="V78" i="48"/>
  <c r="V65" i="48"/>
  <c r="V57" i="48"/>
  <c r="V77" i="48"/>
  <c r="V64" i="48"/>
  <c r="V76" i="48"/>
  <c r="V63" i="48"/>
  <c r="V55" i="48"/>
  <c r="V18" i="48"/>
  <c r="V28" i="48"/>
  <c r="V20" i="48"/>
  <c r="V39" i="48"/>
  <c r="V17" i="48"/>
  <c r="V27" i="48"/>
  <c r="V44" i="48"/>
  <c r="V30" i="48"/>
  <c r="V25" i="48"/>
  <c r="V43" i="48"/>
  <c r="V10" i="48"/>
  <c r="V45" i="48"/>
  <c r="V41" i="48"/>
  <c r="V32" i="48"/>
  <c r="V9" i="48"/>
  <c r="W9" i="48" s="1"/>
  <c r="V21" i="48"/>
  <c r="V16" i="48"/>
  <c r="V46" i="48"/>
  <c r="V11" i="48"/>
  <c r="V22" i="48"/>
  <c r="V23" i="48"/>
  <c r="V8" i="48"/>
  <c r="W8" i="48" s="1"/>
  <c r="V19" i="48"/>
  <c r="V34" i="48"/>
  <c r="V38" i="48"/>
  <c r="V24" i="48"/>
  <c r="V40" i="48"/>
  <c r="H104" i="48"/>
  <c r="K16" i="34" s="1"/>
  <c r="X104" i="48"/>
  <c r="AE16" i="34" s="1"/>
  <c r="X113" i="48"/>
  <c r="AE23" i="34" s="1"/>
  <c r="D65" i="25"/>
  <c r="D66" i="25" s="1"/>
  <c r="P104" i="48"/>
  <c r="U16" i="34" s="1"/>
  <c r="R115" i="48"/>
  <c r="W25" i="34" s="1"/>
  <c r="X116" i="48"/>
  <c r="AE26" i="34" s="1"/>
  <c r="X115" i="48"/>
  <c r="AE25" i="34" s="1"/>
  <c r="J29" i="24"/>
  <c r="X112" i="48"/>
  <c r="AE22" i="34" s="1"/>
  <c r="F33" i="48"/>
  <c r="R112" i="48"/>
  <c r="W22" i="34" s="1"/>
  <c r="R116" i="48"/>
  <c r="W26" i="34" s="1"/>
  <c r="E10" i="48"/>
  <c r="D115" i="48"/>
  <c r="E25" i="34" s="1"/>
  <c r="D113" i="48"/>
  <c r="E23" i="34" s="1"/>
  <c r="J113" i="48"/>
  <c r="M23" i="34" s="1"/>
  <c r="L65" i="25"/>
  <c r="L66" i="25" s="1"/>
  <c r="D112" i="48"/>
  <c r="E22" i="34" s="1"/>
  <c r="D116" i="48"/>
  <c r="E26" i="34" s="1"/>
  <c r="J115" i="48"/>
  <c r="M25" i="34" s="1"/>
  <c r="R11" i="22"/>
  <c r="D104" i="48"/>
  <c r="E16" i="34" s="1"/>
  <c r="U10" i="48"/>
  <c r="H113" i="48"/>
  <c r="K23" i="34" s="1"/>
  <c r="H115" i="48"/>
  <c r="K25" i="34" s="1"/>
  <c r="X114" i="48"/>
  <c r="AE24" i="34" s="1"/>
  <c r="F33" i="24"/>
  <c r="F31" i="41"/>
  <c r="F126" i="41" s="1"/>
  <c r="F131" i="41" s="1"/>
  <c r="F33" i="4"/>
  <c r="F134" i="4" s="1"/>
  <c r="B31" i="22"/>
  <c r="B31" i="40"/>
  <c r="Z31" i="16"/>
  <c r="B31" i="41"/>
  <c r="B126" i="41" s="1"/>
  <c r="B33" i="4"/>
  <c r="B134" i="4" s="1"/>
  <c r="AC31" i="41"/>
  <c r="Z33" i="46"/>
  <c r="B41" i="65" s="1"/>
  <c r="F134" i="41"/>
  <c r="H33" i="41"/>
  <c r="Z33" i="16"/>
  <c r="D33" i="4"/>
  <c r="D134" i="4" s="1"/>
  <c r="T33" i="48"/>
  <c r="D33" i="24"/>
  <c r="H31" i="48"/>
  <c r="H102" i="48" s="1"/>
  <c r="K14" i="34" s="1"/>
  <c r="D31" i="48"/>
  <c r="D102" i="48" s="1"/>
  <c r="E14" i="34" s="1"/>
  <c r="J31" i="48"/>
  <c r="J102" i="48" s="1"/>
  <c r="M14" i="34" s="1"/>
  <c r="F31" i="48"/>
  <c r="W16" i="16"/>
  <c r="Y17" i="16"/>
  <c r="Y54" i="16"/>
  <c r="Y44" i="16"/>
  <c r="Y46" i="16"/>
  <c r="Y27" i="16"/>
  <c r="Y34" i="16"/>
  <c r="Y41" i="16"/>
  <c r="Y25" i="16"/>
  <c r="Y24" i="16"/>
  <c r="Y21" i="16"/>
  <c r="Y23" i="16"/>
  <c r="Y18" i="16"/>
  <c r="Y16" i="16"/>
  <c r="Y30" i="16"/>
  <c r="Y35" i="16"/>
  <c r="Y53" i="16"/>
  <c r="Y22" i="16"/>
  <c r="Y39" i="16"/>
  <c r="Y40" i="16"/>
  <c r="Y48" i="16"/>
  <c r="Y20" i="16"/>
  <c r="Y38" i="16"/>
  <c r="Y28" i="16"/>
  <c r="Y19" i="16"/>
  <c r="Y7" i="16"/>
  <c r="Y43" i="16"/>
  <c r="R29" i="48"/>
  <c r="R102" i="48" s="1"/>
  <c r="W14" i="34" s="1"/>
  <c r="P29" i="48"/>
  <c r="P102" i="48" s="1"/>
  <c r="U14" i="34" s="1"/>
  <c r="N29" i="48"/>
  <c r="F31" i="40"/>
  <c r="D131" i="41"/>
  <c r="P35" i="41"/>
  <c r="F37" i="40"/>
  <c r="D37" i="4"/>
  <c r="D155" i="4" s="1"/>
  <c r="N37" i="22"/>
  <c r="L37" i="4"/>
  <c r="L155" i="4" s="1"/>
  <c r="H37" i="4"/>
  <c r="H155" i="4" s="1"/>
  <c r="L37" i="24"/>
  <c r="B37" i="4"/>
  <c r="B155" i="4" s="1"/>
  <c r="D37" i="41"/>
  <c r="D149" i="41" s="1"/>
  <c r="B45" i="65"/>
  <c r="D45" i="65" s="1"/>
  <c r="W24" i="16"/>
  <c r="W7" i="16"/>
  <c r="Y45" i="16"/>
  <c r="AC33" i="41"/>
  <c r="AB31" i="40"/>
  <c r="L31" i="40"/>
  <c r="F37" i="41"/>
  <c r="F149" i="41" s="1"/>
  <c r="F37" i="22"/>
  <c r="F37" i="24"/>
  <c r="R37" i="40"/>
  <c r="X134" i="4"/>
  <c r="X140" i="4" s="1"/>
  <c r="Z33" i="40"/>
  <c r="T33" i="22"/>
  <c r="X29" i="24"/>
  <c r="X29" i="4"/>
  <c r="X130" i="4" s="1"/>
  <c r="M68" i="45"/>
  <c r="V26" i="24"/>
  <c r="AB102" i="41"/>
  <c r="AA26" i="41"/>
  <c r="AA147" i="41" s="1"/>
  <c r="V37" i="41"/>
  <c r="V149" i="41" s="1"/>
  <c r="R37" i="22"/>
  <c r="T29" i="4"/>
  <c r="Z29" i="40" s="1"/>
  <c r="Z29" i="41"/>
  <c r="Z124" i="41" s="1"/>
  <c r="Z131" i="41" s="1"/>
  <c r="N29" i="24"/>
  <c r="V29" i="4"/>
  <c r="W29" i="4" s="1"/>
  <c r="AA29" i="41"/>
  <c r="W20" i="16"/>
  <c r="W54" i="16"/>
  <c r="W22" i="16"/>
  <c r="W44" i="16"/>
  <c r="W17" i="16"/>
  <c r="W45" i="16"/>
  <c r="W46" i="16"/>
  <c r="W41" i="4"/>
  <c r="V52" i="16"/>
  <c r="W52" i="16" s="1"/>
  <c r="T153" i="4"/>
  <c r="X26" i="24"/>
  <c r="X26" i="4"/>
  <c r="Y26" i="4" s="1"/>
  <c r="R26" i="48"/>
  <c r="R101" i="48" s="1"/>
  <c r="W13" i="34" s="1"/>
  <c r="N26" i="48"/>
  <c r="P26" i="48"/>
  <c r="P101" i="48" s="1"/>
  <c r="U13" i="34" s="1"/>
  <c r="L26" i="48"/>
  <c r="X37" i="4"/>
  <c r="Y37" i="4" s="1"/>
  <c r="AB37" i="41"/>
  <c r="AB101" i="41" s="1"/>
  <c r="T37" i="41"/>
  <c r="T149" i="41" s="1"/>
  <c r="T37" i="48"/>
  <c r="V37" i="4"/>
  <c r="V155" i="4" s="1"/>
  <c r="AA37" i="41"/>
  <c r="AA149" i="41" s="1"/>
  <c r="T37" i="4"/>
  <c r="Z37" i="41"/>
  <c r="T37" i="24"/>
  <c r="Z37" i="16"/>
  <c r="N37" i="48"/>
  <c r="V134" i="41"/>
  <c r="N33" i="22"/>
  <c r="P37" i="41"/>
  <c r="P149" i="41" s="1"/>
  <c r="R33" i="40"/>
  <c r="Z26" i="41"/>
  <c r="T26" i="24"/>
  <c r="B20" i="24"/>
  <c r="B31" i="24"/>
  <c r="B9" i="24"/>
  <c r="B34" i="40"/>
  <c r="B8" i="24"/>
  <c r="B38" i="24"/>
  <c r="B10" i="24"/>
  <c r="B32" i="24"/>
  <c r="B30" i="40"/>
  <c r="H30" i="40" s="1"/>
  <c r="B101" i="48"/>
  <c r="C13" i="34" s="1"/>
  <c r="B104" i="48"/>
  <c r="C16" i="34" s="1"/>
  <c r="B16" i="24"/>
  <c r="B36" i="24"/>
  <c r="B39" i="24"/>
  <c r="B33" i="24"/>
  <c r="B10" i="40"/>
  <c r="H3" i="40"/>
  <c r="B45" i="40"/>
  <c r="H45" i="40" s="1"/>
  <c r="B116" i="48"/>
  <c r="C26" i="34" s="1"/>
  <c r="B37" i="24"/>
  <c r="B40" i="24"/>
  <c r="B40" i="40"/>
  <c r="H40" i="40" s="1"/>
  <c r="B115" i="48"/>
  <c r="C25" i="34" s="1"/>
  <c r="B17" i="24"/>
  <c r="B28" i="40"/>
  <c r="N29" i="4"/>
  <c r="N130" i="4" s="1"/>
  <c r="Z26" i="40"/>
  <c r="T26" i="22"/>
  <c r="V26" i="41"/>
  <c r="L29" i="24"/>
  <c r="L29" i="22"/>
  <c r="N29" i="41"/>
  <c r="N124" i="41" s="1"/>
  <c r="N131" i="41" s="1"/>
  <c r="L130" i="4"/>
  <c r="L137" i="4" s="1"/>
  <c r="T29" i="41"/>
  <c r="T124" i="41" s="1"/>
  <c r="T131" i="41" s="1"/>
  <c r="Y50" i="51"/>
  <c r="Y62" i="51" s="1"/>
  <c r="S62" i="51"/>
  <c r="X52" i="16"/>
  <c r="Y52" i="16" s="1"/>
  <c r="T7" i="22"/>
  <c r="T13" i="22" s="1"/>
  <c r="T13" i="4"/>
  <c r="U16" i="4" s="1"/>
  <c r="L30" i="50"/>
  <c r="P7" i="16"/>
  <c r="T7" i="41" s="1"/>
  <c r="T13" i="41" s="1"/>
  <c r="U44" i="41" s="1"/>
  <c r="L31" i="50"/>
  <c r="F29" i="4"/>
  <c r="F130" i="4" s="1"/>
  <c r="F35" i="45"/>
  <c r="F36" i="45" s="1"/>
  <c r="E35" i="45"/>
  <c r="E36" i="45" s="1"/>
  <c r="F29" i="24"/>
  <c r="B29" i="4"/>
  <c r="B29" i="22" s="1"/>
  <c r="B29" i="41"/>
  <c r="H29" i="41" s="1"/>
  <c r="K68" i="45"/>
  <c r="G68" i="45"/>
  <c r="D68" i="45"/>
  <c r="H130" i="4"/>
  <c r="H137" i="4" s="1"/>
  <c r="P108" i="4"/>
  <c r="E68" i="45"/>
  <c r="Z29" i="46"/>
  <c r="B37" i="65" s="1"/>
  <c r="D37" i="65" s="1"/>
  <c r="F37" i="65" s="1"/>
  <c r="H108" i="4"/>
  <c r="R29" i="4"/>
  <c r="R130" i="4" s="1"/>
  <c r="R137" i="4" s="1"/>
  <c r="V29" i="41"/>
  <c r="J68" i="45"/>
  <c r="F68" i="45"/>
  <c r="H29" i="22"/>
  <c r="D29" i="4"/>
  <c r="D29" i="24"/>
  <c r="J29" i="41"/>
  <c r="J124" i="41" s="1"/>
  <c r="J131" i="41" s="1"/>
  <c r="L68" i="45"/>
  <c r="Z29" i="16"/>
  <c r="L29" i="41"/>
  <c r="J29" i="4"/>
  <c r="R7" i="16"/>
  <c r="R7" i="4" s="1"/>
  <c r="M6" i="50"/>
  <c r="M30" i="50"/>
  <c r="M31" i="50"/>
  <c r="R11" i="48"/>
  <c r="T13" i="24"/>
  <c r="U43" i="24" s="1"/>
  <c r="P153" i="4"/>
  <c r="T160" i="41"/>
  <c r="X31" i="41"/>
  <c r="L149" i="41"/>
  <c r="L108" i="4"/>
  <c r="R102" i="41"/>
  <c r="N31" i="40"/>
  <c r="N102" i="40" s="1"/>
  <c r="P107" i="4"/>
  <c r="P126" i="41"/>
  <c r="P31" i="41"/>
  <c r="L31" i="22"/>
  <c r="P33" i="41"/>
  <c r="D102" i="41"/>
  <c r="X128" i="41"/>
  <c r="X134" i="41" s="1"/>
  <c r="X33" i="41"/>
  <c r="AE33" i="41"/>
  <c r="AE128" i="41" s="1"/>
  <c r="N132" i="4"/>
  <c r="N31" i="22"/>
  <c r="R31" i="22"/>
  <c r="T26" i="41"/>
  <c r="N147" i="41"/>
  <c r="N150" i="41" s="1"/>
  <c r="N101" i="41"/>
  <c r="L66" i="45"/>
  <c r="M66" i="45"/>
  <c r="R26" i="41"/>
  <c r="N26" i="4"/>
  <c r="Z26" i="16"/>
  <c r="D26" i="41"/>
  <c r="D26" i="24"/>
  <c r="D26" i="4"/>
  <c r="X33" i="48"/>
  <c r="E66" i="45"/>
  <c r="L37" i="48"/>
  <c r="J66" i="45"/>
  <c r="F66" i="45"/>
  <c r="J26" i="4"/>
  <c r="L26" i="41"/>
  <c r="H26" i="4"/>
  <c r="J26" i="41"/>
  <c r="G66" i="45"/>
  <c r="K66" i="45"/>
  <c r="Z26" i="46"/>
  <c r="B34" i="65" s="1"/>
  <c r="L29" i="48"/>
  <c r="X31" i="48"/>
  <c r="Z31" i="46"/>
  <c r="X37" i="48"/>
  <c r="R26" i="4"/>
  <c r="L26" i="24"/>
  <c r="X29" i="48"/>
  <c r="B26" i="4"/>
  <c r="B26" i="41"/>
  <c r="L26" i="4"/>
  <c r="D35" i="45"/>
  <c r="D36" i="45" s="1"/>
  <c r="D66" i="45"/>
  <c r="L33" i="48"/>
  <c r="F26" i="41"/>
  <c r="F26" i="4"/>
  <c r="P11" i="40"/>
  <c r="L71" i="24"/>
  <c r="L72" i="24" s="1"/>
  <c r="AE62" i="51"/>
  <c r="AC62" i="51"/>
  <c r="AG50" i="51"/>
  <c r="AA62" i="51"/>
  <c r="Q50" i="51"/>
  <c r="Q62" i="51" s="1"/>
  <c r="K62" i="51"/>
  <c r="I50" i="51"/>
  <c r="C62" i="51"/>
  <c r="I59" i="34"/>
  <c r="I11" i="34"/>
  <c r="K11" i="34" s="1"/>
  <c r="G45" i="34"/>
  <c r="D13" i="46"/>
  <c r="D45" i="46" s="1"/>
  <c r="F13" i="46"/>
  <c r="F45" i="46" s="1"/>
  <c r="H13" i="46"/>
  <c r="H45" i="46" s="1"/>
  <c r="H115" i="41"/>
  <c r="L160" i="41"/>
  <c r="T166" i="4"/>
  <c r="X159" i="41"/>
  <c r="P114" i="41"/>
  <c r="K80" i="37"/>
  <c r="AB7" i="40"/>
  <c r="AB13" i="40" s="1"/>
  <c r="X7" i="22"/>
  <c r="X13" i="22" s="1"/>
  <c r="M11" i="22"/>
  <c r="L166" i="4"/>
  <c r="V11" i="40"/>
  <c r="Z11" i="4"/>
  <c r="R111" i="40"/>
  <c r="P9" i="40"/>
  <c r="V160" i="41"/>
  <c r="J62" i="37"/>
  <c r="F62" i="37"/>
  <c r="G80" i="37"/>
  <c r="L140" i="4"/>
  <c r="D115" i="40"/>
  <c r="F160" i="41"/>
  <c r="Y11" i="22"/>
  <c r="H166" i="4"/>
  <c r="Z44" i="4"/>
  <c r="Z111" i="4" s="1"/>
  <c r="R112" i="40"/>
  <c r="L115" i="22"/>
  <c r="O25" i="51" s="1"/>
  <c r="W13" i="4"/>
  <c r="V13" i="24"/>
  <c r="W37" i="24" s="1"/>
  <c r="W31" i="4"/>
  <c r="L63" i="37"/>
  <c r="W7" i="4"/>
  <c r="V166" i="4"/>
  <c r="R160" i="41"/>
  <c r="W35" i="4"/>
  <c r="P137" i="4"/>
  <c r="V71" i="24"/>
  <c r="V72" i="24" s="1"/>
  <c r="N71" i="24"/>
  <c r="N72" i="24" s="1"/>
  <c r="W30" i="4"/>
  <c r="N68" i="24"/>
  <c r="N69" i="24" s="1"/>
  <c r="F46" i="40"/>
  <c r="F104" i="40" s="1"/>
  <c r="F110" i="4"/>
  <c r="R126" i="41"/>
  <c r="X126" i="41" s="1"/>
  <c r="W17" i="4"/>
  <c r="L68" i="24"/>
  <c r="L69" i="24" s="1"/>
  <c r="AE114" i="41"/>
  <c r="AC7" i="41"/>
  <c r="Y71" i="4"/>
  <c r="Y40" i="4"/>
  <c r="Y82" i="4"/>
  <c r="Y78" i="4"/>
  <c r="Y27" i="4"/>
  <c r="Y7" i="4"/>
  <c r="Y24" i="4"/>
  <c r="Y86" i="4"/>
  <c r="Y64" i="4"/>
  <c r="Y80" i="4"/>
  <c r="Y54" i="4"/>
  <c r="Y16" i="4"/>
  <c r="Y35" i="4"/>
  <c r="Y67" i="4"/>
  <c r="Y46" i="4"/>
  <c r="Y33" i="4"/>
  <c r="Y55" i="4"/>
  <c r="Y41" i="4"/>
  <c r="Y53" i="4"/>
  <c r="Y68" i="4"/>
  <c r="Y57" i="4"/>
  <c r="Y59" i="4"/>
  <c r="Y23" i="4"/>
  <c r="Y20" i="4"/>
  <c r="Y48" i="4"/>
  <c r="Y13" i="4"/>
  <c r="Y77" i="4"/>
  <c r="Y45" i="4"/>
  <c r="Y56" i="4"/>
  <c r="Y43" i="4"/>
  <c r="Y36" i="4"/>
  <c r="Y61" i="4"/>
  <c r="Y63" i="4"/>
  <c r="Y58" i="4"/>
  <c r="Y17" i="4"/>
  <c r="Y66" i="4"/>
  <c r="Y18" i="4"/>
  <c r="Y62" i="4"/>
  <c r="Y60" i="4"/>
  <c r="Y19" i="4"/>
  <c r="Y30" i="4"/>
  <c r="Y76" i="4"/>
  <c r="Y34" i="4"/>
  <c r="Y38" i="4"/>
  <c r="Y70" i="4"/>
  <c r="Y28" i="4"/>
  <c r="Y79" i="4"/>
  <c r="Y65" i="4"/>
  <c r="Y32" i="4"/>
  <c r="Y31" i="4"/>
  <c r="Y25" i="4"/>
  <c r="Y22" i="4"/>
  <c r="Y39" i="4"/>
  <c r="Y69" i="4"/>
  <c r="W36" i="4"/>
  <c r="W72" i="4"/>
  <c r="W27" i="4"/>
  <c r="W45" i="4"/>
  <c r="W18" i="16"/>
  <c r="W25" i="16"/>
  <c r="W21" i="16"/>
  <c r="W53" i="16"/>
  <c r="W23" i="16"/>
  <c r="W19" i="16"/>
  <c r="W13" i="16"/>
  <c r="W39" i="4"/>
  <c r="L20" i="21"/>
  <c r="L72" i="22"/>
  <c r="D123" i="4"/>
  <c r="D125" i="4" s="1"/>
  <c r="U68" i="37"/>
  <c r="L22" i="21"/>
  <c r="M10" i="22"/>
  <c r="W19" i="4"/>
  <c r="L72" i="40"/>
  <c r="D72" i="40"/>
  <c r="L123" i="4"/>
  <c r="L125" i="4" s="1"/>
  <c r="D112" i="40"/>
  <c r="W28" i="4"/>
  <c r="W65" i="4"/>
  <c r="W80" i="4"/>
  <c r="W16" i="4"/>
  <c r="W61" i="4"/>
  <c r="W66" i="4"/>
  <c r="W53" i="4"/>
  <c r="W84" i="4"/>
  <c r="W46" i="4"/>
  <c r="W60" i="4"/>
  <c r="W23" i="4"/>
  <c r="W38" i="4"/>
  <c r="W59" i="4"/>
  <c r="W57" i="4"/>
  <c r="W21" i="4"/>
  <c r="W55" i="4"/>
  <c r="W86" i="4"/>
  <c r="W25" i="4"/>
  <c r="W56" i="4"/>
  <c r="W62" i="4"/>
  <c r="W67" i="4"/>
  <c r="W76" i="4"/>
  <c r="W24" i="4"/>
  <c r="W33" i="4"/>
  <c r="W34" i="4"/>
  <c r="W54" i="4"/>
  <c r="W68" i="4"/>
  <c r="W32" i="4"/>
  <c r="W40" i="4"/>
  <c r="W77" i="4"/>
  <c r="W82" i="4"/>
  <c r="W22" i="4"/>
  <c r="W48" i="4"/>
  <c r="W64" i="4"/>
  <c r="W88" i="4"/>
  <c r="W18" i="4"/>
  <c r="W69" i="4"/>
  <c r="W63" i="4"/>
  <c r="W78" i="4"/>
  <c r="W20" i="4"/>
  <c r="W44" i="4"/>
  <c r="W58" i="4"/>
  <c r="W71" i="4"/>
  <c r="W79" i="4"/>
  <c r="W43" i="4"/>
  <c r="AG61" i="34"/>
  <c r="P128" i="41"/>
  <c r="P134" i="41" s="1"/>
  <c r="Z31" i="40"/>
  <c r="V153" i="4"/>
  <c r="W26" i="4"/>
  <c r="B67" i="22"/>
  <c r="B23" i="21" s="1"/>
  <c r="V20" i="22"/>
  <c r="V34" i="22"/>
  <c r="V8" i="22"/>
  <c r="W8" i="22" s="1"/>
  <c r="V23" i="22"/>
  <c r="V32" i="22"/>
  <c r="V55" i="22"/>
  <c r="V62" i="22"/>
  <c r="V80" i="22"/>
  <c r="V53" i="22"/>
  <c r="V11" i="22"/>
  <c r="V35" i="22"/>
  <c r="V65" i="22"/>
  <c r="V70" i="22"/>
  <c r="V76" i="22"/>
  <c r="V79" i="22"/>
  <c r="V27" i="22"/>
  <c r="V46" i="22"/>
  <c r="V104" i="22" s="1"/>
  <c r="AC16" i="51" s="1"/>
  <c r="V41" i="22"/>
  <c r="V43" i="22"/>
  <c r="V22" i="22"/>
  <c r="V33" i="22"/>
  <c r="V61" i="22"/>
  <c r="V64" i="22"/>
  <c r="V19" i="22"/>
  <c r="V25" i="22"/>
  <c r="V39" i="22"/>
  <c r="V63" i="22"/>
  <c r="V17" i="22"/>
  <c r="V10" i="22"/>
  <c r="V16" i="22"/>
  <c r="V57" i="22"/>
  <c r="V44" i="22"/>
  <c r="V59" i="22"/>
  <c r="I10" i="25"/>
  <c r="I34" i="25"/>
  <c r="R39" i="24"/>
  <c r="R33" i="24"/>
  <c r="B53" i="22"/>
  <c r="B40" i="22"/>
  <c r="B54" i="22"/>
  <c r="B45" i="22"/>
  <c r="V77" i="22"/>
  <c r="V40" i="22"/>
  <c r="V78" i="22"/>
  <c r="V30" i="21" s="1"/>
  <c r="H27" i="24"/>
  <c r="H25" i="24"/>
  <c r="I10" i="22"/>
  <c r="L112" i="22"/>
  <c r="O22" i="51" s="1"/>
  <c r="AA36" i="40"/>
  <c r="AA40" i="40"/>
  <c r="AA45" i="40"/>
  <c r="AA59" i="40"/>
  <c r="AA70" i="40"/>
  <c r="AA9" i="40"/>
  <c r="AA23" i="40"/>
  <c r="AA38" i="40"/>
  <c r="AA55" i="40"/>
  <c r="AA67" i="40"/>
  <c r="AA18" i="40"/>
  <c r="AA10" i="40"/>
  <c r="AA28" i="40"/>
  <c r="AA34" i="40"/>
  <c r="AA46" i="40"/>
  <c r="AA104" i="40" s="1"/>
  <c r="AA58" i="40"/>
  <c r="AA60" i="40"/>
  <c r="AA62" i="40"/>
  <c r="AA43" i="40"/>
  <c r="AA53" i="40"/>
  <c r="AA69" i="40"/>
  <c r="AA116" i="40" s="1"/>
  <c r="AA77" i="40"/>
  <c r="AA80" i="40"/>
  <c r="AA16" i="40"/>
  <c r="AA41" i="40"/>
  <c r="AA64" i="40"/>
  <c r="AA26" i="40"/>
  <c r="AA39" i="40"/>
  <c r="AA56" i="40"/>
  <c r="AA66" i="40"/>
  <c r="AA8" i="40"/>
  <c r="AA79" i="40"/>
  <c r="AA24" i="40"/>
  <c r="AA32" i="40"/>
  <c r="AA35" i="40"/>
  <c r="AA44" i="40"/>
  <c r="AA54" i="40"/>
  <c r="AA68" i="40"/>
  <c r="AA61" i="40"/>
  <c r="AA27" i="40"/>
  <c r="AA33" i="40"/>
  <c r="AA57" i="40"/>
  <c r="AA20" i="40"/>
  <c r="AA78" i="40"/>
  <c r="AA82" i="40"/>
  <c r="AA25" i="40"/>
  <c r="AA63" i="40"/>
  <c r="AA113" i="40" s="1"/>
  <c r="AA22" i="40"/>
  <c r="AA65" i="40"/>
  <c r="AA21" i="40"/>
  <c r="AA7" i="40"/>
  <c r="AA76" i="40"/>
  <c r="AA11" i="40"/>
  <c r="L114" i="22"/>
  <c r="O24" i="51" s="1"/>
  <c r="L19" i="21"/>
  <c r="L116" i="22"/>
  <c r="O26" i="51" s="1"/>
  <c r="L24" i="21"/>
  <c r="H20" i="24"/>
  <c r="B44" i="22"/>
  <c r="N112" i="40"/>
  <c r="R17" i="24"/>
  <c r="R21" i="24"/>
  <c r="I8" i="25"/>
  <c r="I32" i="25"/>
  <c r="H23" i="24"/>
  <c r="B43" i="22"/>
  <c r="B35" i="22"/>
  <c r="V9" i="22"/>
  <c r="W9" i="22" s="1"/>
  <c r="H17" i="24"/>
  <c r="V68" i="22"/>
  <c r="V38" i="22"/>
  <c r="V67" i="22"/>
  <c r="V23" i="21" s="1"/>
  <c r="H26" i="24"/>
  <c r="H16" i="24"/>
  <c r="H18" i="24"/>
  <c r="H22" i="24"/>
  <c r="H28" i="24"/>
  <c r="H44" i="24"/>
  <c r="H46" i="24"/>
  <c r="H37" i="24"/>
  <c r="H45" i="24"/>
  <c r="H21" i="24"/>
  <c r="H10" i="24"/>
  <c r="I46" i="25"/>
  <c r="I30" i="25"/>
  <c r="R30" i="24"/>
  <c r="I52" i="25"/>
  <c r="R40" i="24"/>
  <c r="H29" i="24"/>
  <c r="B38" i="22"/>
  <c r="B17" i="22"/>
  <c r="H19" i="24"/>
  <c r="V66" i="22"/>
  <c r="V22" i="21" s="1"/>
  <c r="V24" i="22"/>
  <c r="V45" i="22"/>
  <c r="H11" i="24"/>
  <c r="H39" i="24"/>
  <c r="L111" i="40"/>
  <c r="L17" i="21"/>
  <c r="V21" i="22"/>
  <c r="L49" i="25"/>
  <c r="E15" i="25"/>
  <c r="E44" i="25"/>
  <c r="E68" i="25" s="1"/>
  <c r="E69" i="25" s="1"/>
  <c r="E20" i="25"/>
  <c r="E26" i="25"/>
  <c r="E36" i="25"/>
  <c r="E10" i="25"/>
  <c r="E25" i="25"/>
  <c r="E46" i="25"/>
  <c r="E9" i="25"/>
  <c r="E12" i="25" s="1"/>
  <c r="E21" i="25"/>
  <c r="L29" i="21"/>
  <c r="X8" i="24"/>
  <c r="X68" i="24" s="1"/>
  <c r="X69" i="24" s="1"/>
  <c r="X37" i="24"/>
  <c r="X40" i="24"/>
  <c r="X38" i="24"/>
  <c r="X27" i="24"/>
  <c r="X46" i="24"/>
  <c r="X35" i="24"/>
  <c r="B66" i="22"/>
  <c r="B22" i="21" s="1"/>
  <c r="H32" i="24"/>
  <c r="R72" i="40"/>
  <c r="R8" i="24"/>
  <c r="R18" i="24"/>
  <c r="R36" i="24"/>
  <c r="I44" i="25"/>
  <c r="I28" i="25"/>
  <c r="H36" i="24"/>
  <c r="B18" i="22"/>
  <c r="B21" i="22"/>
  <c r="D49" i="25"/>
  <c r="V69" i="22"/>
  <c r="V24" i="21" s="1"/>
  <c r="V36" i="22"/>
  <c r="H8" i="24"/>
  <c r="H38" i="24"/>
  <c r="H11" i="22"/>
  <c r="H17" i="22"/>
  <c r="H76" i="22"/>
  <c r="H27" i="22"/>
  <c r="H38" i="22"/>
  <c r="H43" i="22"/>
  <c r="H78" i="22"/>
  <c r="H30" i="21" s="1"/>
  <c r="H64" i="22"/>
  <c r="H46" i="22"/>
  <c r="H67" i="22"/>
  <c r="H23" i="21" s="1"/>
  <c r="H82" i="22"/>
  <c r="H33" i="21" s="1"/>
  <c r="H9" i="22"/>
  <c r="H24" i="22"/>
  <c r="H69" i="22"/>
  <c r="H25" i="22"/>
  <c r="H28" i="22"/>
  <c r="H39" i="22"/>
  <c r="H63" i="22"/>
  <c r="H23" i="22"/>
  <c r="H79" i="22"/>
  <c r="H57" i="22"/>
  <c r="H114" i="22" s="1"/>
  <c r="K24" i="51" s="1"/>
  <c r="H66" i="22"/>
  <c r="H77" i="22"/>
  <c r="H80" i="22"/>
  <c r="H68" i="22"/>
  <c r="H70" i="22"/>
  <c r="H111" i="22" s="1"/>
  <c r="K21" i="51" s="1"/>
  <c r="H65" i="22"/>
  <c r="H62" i="22"/>
  <c r="H40" i="22"/>
  <c r="M37" i="25"/>
  <c r="M20" i="25"/>
  <c r="M65" i="25" s="1"/>
  <c r="M66" i="25" s="1"/>
  <c r="T116" i="22"/>
  <c r="AA26" i="51" s="1"/>
  <c r="T24" i="21"/>
  <c r="I36" i="25"/>
  <c r="B56" i="22"/>
  <c r="B18" i="21" s="1"/>
  <c r="I42" i="25"/>
  <c r="B10" i="22"/>
  <c r="V58" i="22"/>
  <c r="V30" i="22"/>
  <c r="H35" i="24"/>
  <c r="H41" i="24"/>
  <c r="H31" i="24"/>
  <c r="N111" i="40"/>
  <c r="V28" i="22"/>
  <c r="X11" i="21"/>
  <c r="L111" i="22"/>
  <c r="O21" i="51" s="1"/>
  <c r="X59" i="22"/>
  <c r="X63" i="22"/>
  <c r="X66" i="22"/>
  <c r="X77" i="22"/>
  <c r="X60" i="22"/>
  <c r="X70" i="22"/>
  <c r="X32" i="22"/>
  <c r="X62" i="22"/>
  <c r="X68" i="22"/>
  <c r="X80" i="22"/>
  <c r="X58" i="22"/>
  <c r="X19" i="21" s="1"/>
  <c r="X65" i="22"/>
  <c r="X76" i="22"/>
  <c r="X79" i="22"/>
  <c r="X78" i="22"/>
  <c r="X30" i="21" s="1"/>
  <c r="X64" i="22"/>
  <c r="X67" i="22"/>
  <c r="X23" i="21" s="1"/>
  <c r="X33" i="22"/>
  <c r="X69" i="22"/>
  <c r="X31" i="22"/>
  <c r="X54" i="22"/>
  <c r="D111" i="40"/>
  <c r="R22" i="24"/>
  <c r="I26" i="25"/>
  <c r="R31" i="24"/>
  <c r="R41" i="24"/>
  <c r="B16" i="22"/>
  <c r="B24" i="22"/>
  <c r="R11" i="24"/>
  <c r="R19" i="24"/>
  <c r="R37" i="24"/>
  <c r="I40" i="25"/>
  <c r="B79" i="22"/>
  <c r="B8" i="22"/>
  <c r="B9" i="22"/>
  <c r="B78" i="22"/>
  <c r="B30" i="21" s="1"/>
  <c r="U11" i="22"/>
  <c r="V60" i="22"/>
  <c r="V7" i="22"/>
  <c r="V26" i="22"/>
  <c r="H34" i="24"/>
  <c r="H40" i="24"/>
  <c r="H30" i="24"/>
  <c r="B30" i="22"/>
  <c r="F8" i="22"/>
  <c r="G8" i="22" s="1"/>
  <c r="F27" i="22"/>
  <c r="F38" i="22"/>
  <c r="F45" i="22"/>
  <c r="F58" i="22"/>
  <c r="F60" i="22"/>
  <c r="F67" i="22"/>
  <c r="F23" i="21" s="1"/>
  <c r="F82" i="22"/>
  <c r="F33" i="21" s="1"/>
  <c r="F36" i="22"/>
  <c r="F9" i="22"/>
  <c r="G9" i="22" s="1"/>
  <c r="F24" i="22"/>
  <c r="F64" i="22"/>
  <c r="F56" i="22"/>
  <c r="F18" i="21" s="1"/>
  <c r="F63" i="22"/>
  <c r="F19" i="22"/>
  <c r="F22" i="22"/>
  <c r="F62" i="22"/>
  <c r="F10" i="22"/>
  <c r="G10" i="22" s="1"/>
  <c r="F31" i="22"/>
  <c r="F44" i="22"/>
  <c r="F54" i="22"/>
  <c r="F17" i="21" s="1"/>
  <c r="F77" i="22"/>
  <c r="F29" i="21" s="1"/>
  <c r="F80" i="22"/>
  <c r="F31" i="21" s="1"/>
  <c r="J82" i="40"/>
  <c r="P82" i="40" s="1"/>
  <c r="J34" i="40"/>
  <c r="J64" i="40"/>
  <c r="P64" i="40" s="1"/>
  <c r="J79" i="40"/>
  <c r="P79" i="40" s="1"/>
  <c r="J70" i="40"/>
  <c r="P70" i="40" s="1"/>
  <c r="J22" i="40"/>
  <c r="P22" i="40" s="1"/>
  <c r="J30" i="40"/>
  <c r="L113" i="22"/>
  <c r="O23" i="51" s="1"/>
  <c r="L21" i="21"/>
  <c r="AB27" i="40"/>
  <c r="AB57" i="40"/>
  <c r="AB114" i="40" s="1"/>
  <c r="AB41" i="40"/>
  <c r="AB82" i="40"/>
  <c r="AB80" i="40"/>
  <c r="B28" i="22"/>
  <c r="B16" i="40"/>
  <c r="H16" i="40" s="1"/>
  <c r="B43" i="40"/>
  <c r="H43" i="40" s="1"/>
  <c r="U7" i="16"/>
  <c r="AB7" i="16" s="1"/>
  <c r="AE61" i="34"/>
  <c r="AG58" i="34"/>
  <c r="AI58" i="34" s="1"/>
  <c r="O39" i="37"/>
  <c r="U21" i="37"/>
  <c r="G39" i="37"/>
  <c r="I42" i="26"/>
  <c r="I44" i="26"/>
  <c r="I28" i="26"/>
  <c r="I24" i="26"/>
  <c r="I39" i="26"/>
  <c r="B28" i="24"/>
  <c r="B46" i="24"/>
  <c r="B24" i="24"/>
  <c r="B29" i="24"/>
  <c r="B26" i="24"/>
  <c r="B27" i="24"/>
  <c r="B43" i="24"/>
  <c r="B44" i="24"/>
  <c r="B35" i="24"/>
  <c r="B45" i="24"/>
  <c r="B71" i="24" s="1"/>
  <c r="B72" i="24" s="1"/>
  <c r="B25" i="24"/>
  <c r="B34" i="24"/>
  <c r="P10" i="22"/>
  <c r="P16" i="22"/>
  <c r="P32" i="22"/>
  <c r="P33" i="22"/>
  <c r="P41" i="22"/>
  <c r="P46" i="22"/>
  <c r="P8" i="22"/>
  <c r="Q8" i="22" s="1"/>
  <c r="P19" i="22"/>
  <c r="P23" i="22"/>
  <c r="P24" i="22"/>
  <c r="P27" i="22"/>
  <c r="P31" i="22"/>
  <c r="P40" i="22"/>
  <c r="P57" i="22"/>
  <c r="P30" i="22"/>
  <c r="P35" i="22"/>
  <c r="P53" i="22"/>
  <c r="P54" i="22"/>
  <c r="P59" i="22"/>
  <c r="P60" i="22"/>
  <c r="P21" i="22"/>
  <c r="P39" i="22"/>
  <c r="P43" i="22"/>
  <c r="P44" i="22"/>
  <c r="P77" i="22"/>
  <c r="P80" i="22"/>
  <c r="P18" i="22"/>
  <c r="P20" i="22"/>
  <c r="P22" i="22"/>
  <c r="P62" i="22"/>
  <c r="P63" i="22"/>
  <c r="P69" i="22"/>
  <c r="P70" i="22"/>
  <c r="P29" i="22"/>
  <c r="P45" i="22"/>
  <c r="P56" i="22"/>
  <c r="P82" i="22"/>
  <c r="P25" i="22"/>
  <c r="P58" i="22"/>
  <c r="P64" i="22"/>
  <c r="P65" i="22"/>
  <c r="P67" i="22"/>
  <c r="P68" i="22"/>
  <c r="P78" i="22"/>
  <c r="P79" i="22"/>
  <c r="P11" i="22"/>
  <c r="P55" i="22"/>
  <c r="P34" i="22"/>
  <c r="P66" i="22"/>
  <c r="P76" i="22"/>
  <c r="P61" i="22"/>
  <c r="P38" i="22"/>
  <c r="P9" i="22"/>
  <c r="Q9" i="22" s="1"/>
  <c r="P26" i="22"/>
  <c r="P36" i="22"/>
  <c r="L104" i="40"/>
  <c r="T111" i="22"/>
  <c r="AA21" i="51" s="1"/>
  <c r="P8" i="40"/>
  <c r="B39" i="22"/>
  <c r="B11" i="22"/>
  <c r="B25" i="22"/>
  <c r="B20" i="22"/>
  <c r="B32" i="22"/>
  <c r="B23" i="22"/>
  <c r="B27" i="22"/>
  <c r="B46" i="22"/>
  <c r="B104" i="22" s="1"/>
  <c r="C16" i="51" s="1"/>
  <c r="B59" i="22"/>
  <c r="B61" i="22"/>
  <c r="B65" i="22"/>
  <c r="B58" i="22"/>
  <c r="B77" i="22"/>
  <c r="B80" i="22"/>
  <c r="B36" i="22"/>
  <c r="B55" i="22"/>
  <c r="B57" i="22"/>
  <c r="B63" i="22"/>
  <c r="B82" i="22"/>
  <c r="B33" i="21" s="1"/>
  <c r="B70" i="22"/>
  <c r="B64" i="22"/>
  <c r="B76" i="22"/>
  <c r="B19" i="22"/>
  <c r="V8" i="40"/>
  <c r="V21" i="40"/>
  <c r="V30" i="40"/>
  <c r="V32" i="40"/>
  <c r="V33" i="40"/>
  <c r="V34" i="40"/>
  <c r="V56" i="40"/>
  <c r="V61" i="40"/>
  <c r="V65" i="40"/>
  <c r="V16" i="40"/>
  <c r="V27" i="40"/>
  <c r="V28" i="40"/>
  <c r="V57" i="40"/>
  <c r="V9" i="40"/>
  <c r="V62" i="40"/>
  <c r="V66" i="40"/>
  <c r="V18" i="40"/>
  <c r="V19" i="40"/>
  <c r="V46" i="40"/>
  <c r="V104" i="40" s="1"/>
  <c r="V23" i="40"/>
  <c r="V36" i="40"/>
  <c r="V44" i="40"/>
  <c r="V53" i="40"/>
  <c r="V59" i="40"/>
  <c r="V82" i="40"/>
  <c r="V38" i="40"/>
  <c r="V68" i="40"/>
  <c r="V70" i="40"/>
  <c r="V17" i="40"/>
  <c r="V25" i="40"/>
  <c r="V37" i="40"/>
  <c r="V55" i="40"/>
  <c r="V67" i="40"/>
  <c r="V79" i="40"/>
  <c r="V58" i="40"/>
  <c r="V54" i="40"/>
  <c r="V69" i="40"/>
  <c r="V116" i="40" s="1"/>
  <c r="V80" i="40"/>
  <c r="V77" i="40"/>
  <c r="V78" i="40"/>
  <c r="V40" i="40"/>
  <c r="V64" i="40"/>
  <c r="V76" i="40"/>
  <c r="V31" i="40"/>
  <c r="V60" i="40"/>
  <c r="V63" i="40"/>
  <c r="V113" i="40" s="1"/>
  <c r="V35" i="40"/>
  <c r="P37" i="22"/>
  <c r="N114" i="40"/>
  <c r="D114" i="40"/>
  <c r="L113" i="40"/>
  <c r="I27" i="25"/>
  <c r="I29" i="25"/>
  <c r="I31" i="25"/>
  <c r="I33" i="25"/>
  <c r="I45" i="25"/>
  <c r="I20" i="25"/>
  <c r="I25" i="25"/>
  <c r="I35" i="25"/>
  <c r="I37" i="25"/>
  <c r="I15" i="25"/>
  <c r="I39" i="25"/>
  <c r="I41" i="25"/>
  <c r="I43" i="25"/>
  <c r="I68" i="25" s="1"/>
  <c r="I69" i="25" s="1"/>
  <c r="I47" i="25"/>
  <c r="I7" i="25"/>
  <c r="I9" i="25"/>
  <c r="J25" i="25"/>
  <c r="J10" i="25"/>
  <c r="J27" i="25"/>
  <c r="J45" i="25"/>
  <c r="J35" i="25"/>
  <c r="J43" i="25"/>
  <c r="J39" i="25"/>
  <c r="J47" i="25"/>
  <c r="J8" i="25"/>
  <c r="H38" i="40"/>
  <c r="N72" i="40"/>
  <c r="V24" i="40"/>
  <c r="V45" i="40"/>
  <c r="F9" i="25"/>
  <c r="F10" i="25"/>
  <c r="F15" i="25"/>
  <c r="F46" i="25"/>
  <c r="F40" i="25"/>
  <c r="N40" i="25" s="1"/>
  <c r="F41" i="25"/>
  <c r="F8" i="25"/>
  <c r="F42" i="25"/>
  <c r="F43" i="25"/>
  <c r="F47" i="25"/>
  <c r="F44" i="25"/>
  <c r="N44" i="25" s="1"/>
  <c r="F45" i="25"/>
  <c r="F20" i="25"/>
  <c r="F31" i="25"/>
  <c r="F16" i="25"/>
  <c r="F28" i="25"/>
  <c r="F39" i="25"/>
  <c r="F27" i="25"/>
  <c r="F33" i="25"/>
  <c r="F38" i="25"/>
  <c r="F36" i="25"/>
  <c r="F26" i="25"/>
  <c r="F32" i="25"/>
  <c r="F35" i="25"/>
  <c r="F34" i="25"/>
  <c r="F37" i="25"/>
  <c r="F21" i="25"/>
  <c r="N21" i="25" s="1"/>
  <c r="F7" i="25"/>
  <c r="F25" i="25"/>
  <c r="F30" i="25"/>
  <c r="N30" i="25" s="1"/>
  <c r="F29" i="25"/>
  <c r="K49" i="25"/>
  <c r="L112" i="40"/>
  <c r="B34" i="22"/>
  <c r="J45" i="24"/>
  <c r="J71" i="24" s="1"/>
  <c r="J72" i="24" s="1"/>
  <c r="J27" i="24"/>
  <c r="B23" i="40"/>
  <c r="H23" i="40" s="1"/>
  <c r="B36" i="40"/>
  <c r="H36" i="40" s="1"/>
  <c r="B44" i="40"/>
  <c r="H44" i="40" s="1"/>
  <c r="B54" i="40"/>
  <c r="B60" i="40"/>
  <c r="H60" i="40" s="1"/>
  <c r="B18" i="40"/>
  <c r="H18" i="40" s="1"/>
  <c r="B55" i="40"/>
  <c r="H55" i="40" s="1"/>
  <c r="B65" i="40"/>
  <c r="H65" i="40" s="1"/>
  <c r="B21" i="40"/>
  <c r="B24" i="40"/>
  <c r="H24" i="40" s="1"/>
  <c r="B25" i="40"/>
  <c r="H25" i="40" s="1"/>
  <c r="B32" i="40"/>
  <c r="H32" i="40" s="1"/>
  <c r="B56" i="40"/>
  <c r="H56" i="40" s="1"/>
  <c r="B61" i="40"/>
  <c r="H61" i="40" s="1"/>
  <c r="B27" i="40"/>
  <c r="B62" i="40"/>
  <c r="H62" i="40" s="1"/>
  <c r="B9" i="40"/>
  <c r="H9" i="40" s="1"/>
  <c r="B58" i="40"/>
  <c r="H58" i="40" s="1"/>
  <c r="B63" i="40"/>
  <c r="B113" i="40" s="1"/>
  <c r="B17" i="40"/>
  <c r="B35" i="40"/>
  <c r="H35" i="40" s="1"/>
  <c r="B70" i="40"/>
  <c r="H70" i="40" s="1"/>
  <c r="B77" i="40"/>
  <c r="H77" i="40" s="1"/>
  <c r="B76" i="40"/>
  <c r="H76" i="40" s="1"/>
  <c r="B64" i="40"/>
  <c r="H64" i="40" s="1"/>
  <c r="B78" i="40"/>
  <c r="H78" i="40" s="1"/>
  <c r="B82" i="40"/>
  <c r="H82" i="40" s="1"/>
  <c r="B19" i="40"/>
  <c r="H19" i="40" s="1"/>
  <c r="B8" i="40"/>
  <c r="H8" i="40" s="1"/>
  <c r="B57" i="40"/>
  <c r="B79" i="40"/>
  <c r="H79" i="40" s="1"/>
  <c r="B20" i="40"/>
  <c r="B39" i="40"/>
  <c r="H39" i="40" s="1"/>
  <c r="B67" i="40"/>
  <c r="H67" i="40" s="1"/>
  <c r="B80" i="40"/>
  <c r="H80" i="40" s="1"/>
  <c r="B11" i="40"/>
  <c r="H11" i="40" s="1"/>
  <c r="B46" i="40"/>
  <c r="B104" i="40" s="1"/>
  <c r="B66" i="40"/>
  <c r="H66" i="40" s="1"/>
  <c r="B68" i="40"/>
  <c r="H68" i="40" s="1"/>
  <c r="B53" i="40"/>
  <c r="H53" i="40" s="1"/>
  <c r="B59" i="40"/>
  <c r="B69" i="40"/>
  <c r="B116" i="40" s="1"/>
  <c r="P20" i="24"/>
  <c r="P25" i="24"/>
  <c r="P19" i="24"/>
  <c r="Z19" i="24" s="1"/>
  <c r="P26" i="24"/>
  <c r="P41" i="24"/>
  <c r="P43" i="24"/>
  <c r="P18" i="24"/>
  <c r="P27" i="24"/>
  <c r="P33" i="24"/>
  <c r="P34" i="24"/>
  <c r="P40" i="24"/>
  <c r="P44" i="24"/>
  <c r="P17" i="24"/>
  <c r="P32" i="24"/>
  <c r="P36" i="24"/>
  <c r="P45" i="24"/>
  <c r="P11" i="24"/>
  <c r="P28" i="24"/>
  <c r="P31" i="24"/>
  <c r="P8" i="24"/>
  <c r="P24" i="24"/>
  <c r="P39" i="24"/>
  <c r="P10" i="24"/>
  <c r="P9" i="24"/>
  <c r="P16" i="24"/>
  <c r="P29" i="24"/>
  <c r="P23" i="24"/>
  <c r="P35" i="24"/>
  <c r="P38" i="24"/>
  <c r="P30" i="24"/>
  <c r="P37" i="24"/>
  <c r="P46" i="24"/>
  <c r="P22" i="24"/>
  <c r="P21" i="24"/>
  <c r="R24" i="24"/>
  <c r="R25" i="24"/>
  <c r="R26" i="24"/>
  <c r="R43" i="24"/>
  <c r="R35" i="24"/>
  <c r="R45" i="24"/>
  <c r="R27" i="24"/>
  <c r="R28" i="24"/>
  <c r="R46" i="24"/>
  <c r="R9" i="24"/>
  <c r="R34" i="24"/>
  <c r="R44" i="24"/>
  <c r="R29" i="24"/>
  <c r="T10" i="40"/>
  <c r="T16" i="40"/>
  <c r="T20" i="40"/>
  <c r="X20" i="40" s="1"/>
  <c r="T26" i="40"/>
  <c r="T27" i="40"/>
  <c r="T28" i="40"/>
  <c r="T57" i="40"/>
  <c r="T9" i="40"/>
  <c r="T62" i="40"/>
  <c r="T58" i="40"/>
  <c r="T63" i="40"/>
  <c r="T23" i="40"/>
  <c r="T36" i="40"/>
  <c r="T53" i="40"/>
  <c r="T59" i="40"/>
  <c r="T22" i="40"/>
  <c r="T35" i="40"/>
  <c r="T37" i="40"/>
  <c r="T41" i="40"/>
  <c r="T43" i="40"/>
  <c r="T54" i="40"/>
  <c r="T60" i="40"/>
  <c r="T64" i="40"/>
  <c r="T38" i="40"/>
  <c r="T8" i="40"/>
  <c r="T80" i="40"/>
  <c r="T56" i="40"/>
  <c r="T82" i="40"/>
  <c r="T21" i="40"/>
  <c r="T25" i="40"/>
  <c r="T55" i="40"/>
  <c r="T66" i="40"/>
  <c r="T67" i="40"/>
  <c r="T79" i="40"/>
  <c r="T61" i="40"/>
  <c r="T11" i="40"/>
  <c r="T33" i="40"/>
  <c r="T19" i="40"/>
  <c r="T30" i="40"/>
  <c r="T32" i="40"/>
  <c r="T45" i="40"/>
  <c r="T65" i="40"/>
  <c r="T68" i="40"/>
  <c r="T69" i="40"/>
  <c r="T24" i="40"/>
  <c r="T40" i="40"/>
  <c r="T76" i="40"/>
  <c r="T39" i="40"/>
  <c r="T18" i="40"/>
  <c r="T29" i="40"/>
  <c r="T31" i="40"/>
  <c r="T34" i="40"/>
  <c r="T77" i="40"/>
  <c r="T70" i="40"/>
  <c r="T78" i="40"/>
  <c r="T46" i="40"/>
  <c r="V22" i="40"/>
  <c r="V39" i="40"/>
  <c r="L116" i="40"/>
  <c r="J24" i="22"/>
  <c r="J27" i="22"/>
  <c r="J31" i="22"/>
  <c r="J40" i="22"/>
  <c r="J57" i="22"/>
  <c r="J36" i="22"/>
  <c r="J55" i="22"/>
  <c r="J56" i="22"/>
  <c r="J58" i="22"/>
  <c r="J61" i="22"/>
  <c r="J22" i="22"/>
  <c r="J30" i="22"/>
  <c r="J44" i="22"/>
  <c r="J53" i="22"/>
  <c r="J54" i="22"/>
  <c r="J59" i="22"/>
  <c r="J60" i="22"/>
  <c r="J11" i="22"/>
  <c r="J17" i="22"/>
  <c r="J25" i="22"/>
  <c r="J38" i="22"/>
  <c r="J34" i="22"/>
  <c r="J63" i="22"/>
  <c r="J69" i="22"/>
  <c r="J70" i="22"/>
  <c r="J8" i="22"/>
  <c r="K8" i="22" s="1"/>
  <c r="J10" i="22"/>
  <c r="J41" i="22"/>
  <c r="J33" i="22"/>
  <c r="J68" i="22"/>
  <c r="J79" i="22"/>
  <c r="J82" i="22"/>
  <c r="J66" i="22"/>
  <c r="J9" i="22"/>
  <c r="K9" i="22" s="1"/>
  <c r="J21" i="22"/>
  <c r="J23" i="22"/>
  <c r="J32" i="22"/>
  <c r="J76" i="22"/>
  <c r="J16" i="22"/>
  <c r="J46" i="22"/>
  <c r="J62" i="22"/>
  <c r="J80" i="22"/>
  <c r="J67" i="22"/>
  <c r="J23" i="21" s="1"/>
  <c r="J64" i="22"/>
  <c r="J19" i="22"/>
  <c r="J78" i="22"/>
  <c r="J30" i="21" s="1"/>
  <c r="J28" i="22"/>
  <c r="J65" i="22"/>
  <c r="J77" i="22"/>
  <c r="B45" i="25"/>
  <c r="N45" i="25" s="1"/>
  <c r="B31" i="25"/>
  <c r="B33" i="25"/>
  <c r="B27" i="25"/>
  <c r="B47" i="25"/>
  <c r="B25" i="25"/>
  <c r="B20" i="25"/>
  <c r="B39" i="25"/>
  <c r="B43" i="25"/>
  <c r="B35" i="25"/>
  <c r="R18" i="22"/>
  <c r="R28" i="22"/>
  <c r="R32" i="22"/>
  <c r="R33" i="22"/>
  <c r="R19" i="22"/>
  <c r="R23" i="22"/>
  <c r="R56" i="22"/>
  <c r="R18" i="21" s="1"/>
  <c r="R58" i="22"/>
  <c r="R62" i="22"/>
  <c r="R54" i="22"/>
  <c r="R60" i="22"/>
  <c r="R17" i="22"/>
  <c r="R38" i="22"/>
  <c r="R44" i="22"/>
  <c r="R57" i="22"/>
  <c r="R80" i="22"/>
  <c r="R27" i="22"/>
  <c r="R21" i="22"/>
  <c r="R34" i="22"/>
  <c r="R64" i="22"/>
  <c r="R79" i="22"/>
  <c r="R63" i="22"/>
  <c r="R70" i="22"/>
  <c r="R69" i="22"/>
  <c r="R40" i="22"/>
  <c r="R65" i="22"/>
  <c r="C49" i="25"/>
  <c r="J71" i="25"/>
  <c r="J72" i="25" s="1"/>
  <c r="P10" i="40"/>
  <c r="M68" i="25"/>
  <c r="M69" i="25" s="1"/>
  <c r="B41" i="22"/>
  <c r="T44" i="40"/>
  <c r="X3" i="40"/>
  <c r="L114" i="40"/>
  <c r="Z165" i="4"/>
  <c r="Z115" i="40"/>
  <c r="N160" i="41"/>
  <c r="J123" i="4"/>
  <c r="J125" i="4" s="1"/>
  <c r="L72" i="41"/>
  <c r="AE111" i="41"/>
  <c r="F112" i="40"/>
  <c r="B55" i="18"/>
  <c r="B56" i="18" s="1"/>
  <c r="AB105" i="41"/>
  <c r="AC44" i="41"/>
  <c r="AB44" i="40"/>
  <c r="U22" i="16"/>
  <c r="U21" i="16"/>
  <c r="X158" i="41"/>
  <c r="H56" i="18"/>
  <c r="H75" i="18"/>
  <c r="F68" i="24"/>
  <c r="F69" i="24" s="1"/>
  <c r="F166" i="4"/>
  <c r="P157" i="41"/>
  <c r="H62" i="37"/>
  <c r="Y10" i="22"/>
  <c r="X71" i="24"/>
  <c r="X72" i="24" s="1"/>
  <c r="Y44" i="4"/>
  <c r="Y72" i="4"/>
  <c r="X123" i="4"/>
  <c r="X125" i="4" s="1"/>
  <c r="AB111" i="40"/>
  <c r="AB21" i="40"/>
  <c r="X164" i="4"/>
  <c r="X166" i="4" s="1"/>
  <c r="AC21" i="41"/>
  <c r="AE21" i="41"/>
  <c r="AE142" i="41" s="1"/>
  <c r="Z21" i="4"/>
  <c r="Z148" i="4" s="1"/>
  <c r="X21" i="22"/>
  <c r="X148" i="4"/>
  <c r="Y21" i="4"/>
  <c r="AC157" i="41"/>
  <c r="AC137" i="41"/>
  <c r="M75" i="18"/>
  <c r="M12" i="25"/>
  <c r="AB112" i="40"/>
  <c r="AB115" i="40"/>
  <c r="AI77" i="34"/>
  <c r="S64" i="37"/>
  <c r="S52" i="37"/>
  <c r="U37" i="37"/>
  <c r="U52" i="37" s="1"/>
  <c r="U30" i="37"/>
  <c r="U31" i="37" s="1"/>
  <c r="S31" i="37"/>
  <c r="AE62" i="34"/>
  <c r="AG50" i="34"/>
  <c r="AG62" i="34" s="1"/>
  <c r="M13" i="27"/>
  <c r="M29" i="27"/>
  <c r="M42" i="27"/>
  <c r="M12" i="27"/>
  <c r="M28" i="27"/>
  <c r="M9" i="27"/>
  <c r="M18" i="27"/>
  <c r="M25" i="27"/>
  <c r="M36" i="27"/>
  <c r="M8" i="27"/>
  <c r="M27" i="27"/>
  <c r="M10" i="27"/>
  <c r="M43" i="27"/>
  <c r="M45" i="27"/>
  <c r="M14" i="27"/>
  <c r="M49" i="27"/>
  <c r="M26" i="27"/>
  <c r="M11" i="27"/>
  <c r="M16" i="27"/>
  <c r="M44" i="27"/>
  <c r="L50" i="27"/>
  <c r="M32" i="27"/>
  <c r="M15" i="27"/>
  <c r="M38" i="27"/>
  <c r="M30" i="27"/>
  <c r="M47" i="27"/>
  <c r="M22" i="27"/>
  <c r="AH48" i="40"/>
  <c r="AF23" i="40"/>
  <c r="AH30" i="40"/>
  <c r="AH36" i="40"/>
  <c r="AH39" i="40"/>
  <c r="AF64" i="40"/>
  <c r="AF70" i="40"/>
  <c r="AF82" i="40"/>
  <c r="AH23" i="40"/>
  <c r="AF18" i="40"/>
  <c r="AF26" i="40"/>
  <c r="AF59" i="40"/>
  <c r="AH16" i="40"/>
  <c r="AF17" i="40"/>
  <c r="AH17" i="40"/>
  <c r="AF48" i="40"/>
  <c r="AF71" i="40"/>
  <c r="AH26" i="40"/>
  <c r="AH32" i="40"/>
  <c r="AF19" i="40"/>
  <c r="AF28" i="40"/>
  <c r="AH44" i="40"/>
  <c r="AH28" i="40"/>
  <c r="AF38" i="40"/>
  <c r="AF40" i="40"/>
  <c r="AF54" i="40"/>
  <c r="AF16" i="40"/>
  <c r="AH18" i="40"/>
  <c r="AH38" i="40"/>
  <c r="AH40" i="40"/>
  <c r="AF67" i="40"/>
  <c r="AH19" i="40"/>
  <c r="AF55" i="40"/>
  <c r="AF65" i="40"/>
  <c r="AF32" i="40"/>
  <c r="AF53" i="40"/>
  <c r="AF76" i="40"/>
  <c r="AF68" i="40"/>
  <c r="AF44" i="40"/>
  <c r="AF27" i="40"/>
  <c r="AF56" i="40"/>
  <c r="AF66" i="40"/>
  <c r="AH21" i="40"/>
  <c r="AH27" i="40"/>
  <c r="AF39" i="40"/>
  <c r="AF57" i="40"/>
  <c r="AF31" i="40"/>
  <c r="AH37" i="40"/>
  <c r="AF60" i="40"/>
  <c r="AF42" i="40"/>
  <c r="AF81" i="40"/>
  <c r="AF7" i="40"/>
  <c r="AF62" i="40"/>
  <c r="AH34" i="40"/>
  <c r="AH42" i="40"/>
  <c r="AF46" i="40"/>
  <c r="AF24" i="40"/>
  <c r="AF87" i="40"/>
  <c r="AF36" i="40"/>
  <c r="AF77" i="40"/>
  <c r="AF22" i="40"/>
  <c r="AF79" i="40"/>
  <c r="AH31" i="40"/>
  <c r="AF35" i="40"/>
  <c r="AF33" i="40"/>
  <c r="AH20" i="40"/>
  <c r="AF29" i="40"/>
  <c r="AH43" i="40"/>
  <c r="AF45" i="40"/>
  <c r="AH22" i="40"/>
  <c r="AF9" i="40"/>
  <c r="AH24" i="40"/>
  <c r="AF25" i="40"/>
  <c r="AH25" i="40"/>
  <c r="AF30" i="40"/>
  <c r="AH33" i="40"/>
  <c r="AH29" i="40"/>
  <c r="AF69" i="40"/>
  <c r="AF43" i="40"/>
  <c r="AH45" i="40"/>
  <c r="AH35" i="40"/>
  <c r="AH47" i="40"/>
  <c r="AF20" i="40"/>
  <c r="AF63" i="40"/>
  <c r="AH46" i="40"/>
  <c r="AF58" i="40"/>
  <c r="AF41" i="40"/>
  <c r="AF80" i="40"/>
  <c r="AF61" i="40"/>
  <c r="AF47" i="40"/>
  <c r="AF37" i="40"/>
  <c r="AF21" i="40"/>
  <c r="AH41" i="40"/>
  <c r="AF78" i="40"/>
  <c r="AF34" i="40"/>
  <c r="P125" i="4"/>
  <c r="AE141" i="41"/>
  <c r="P58" i="40"/>
  <c r="D49" i="27"/>
  <c r="E40" i="27" s="1"/>
  <c r="L62" i="25"/>
  <c r="L63" i="25" s="1"/>
  <c r="L55" i="25"/>
  <c r="K89" i="29"/>
  <c r="K97" i="29"/>
  <c r="K87" i="29"/>
  <c r="Z145" i="4"/>
  <c r="P144" i="4"/>
  <c r="P163" i="4"/>
  <c r="P166" i="4" s="1"/>
  <c r="P17" i="22"/>
  <c r="T17" i="40"/>
  <c r="N135" i="4"/>
  <c r="R35" i="40"/>
  <c r="Z35" i="4"/>
  <c r="H139" i="41"/>
  <c r="P112" i="41"/>
  <c r="P143" i="41"/>
  <c r="AE145" i="41"/>
  <c r="H68" i="25"/>
  <c r="H69" i="25" s="1"/>
  <c r="H12" i="25"/>
  <c r="V117" i="41"/>
  <c r="N46" i="25"/>
  <c r="I63" i="37"/>
  <c r="K57" i="37"/>
  <c r="P148" i="41"/>
  <c r="AE130" i="41"/>
  <c r="S10" i="22"/>
  <c r="D104" i="22"/>
  <c r="E16" i="51" s="1"/>
  <c r="D11" i="21"/>
  <c r="D30" i="21"/>
  <c r="D113" i="22"/>
  <c r="E23" i="51" s="1"/>
  <c r="D21" i="21"/>
  <c r="T20" i="21"/>
  <c r="T112" i="22"/>
  <c r="AA22" i="51" s="1"/>
  <c r="H10" i="40"/>
  <c r="N17" i="21"/>
  <c r="N111" i="22"/>
  <c r="S21" i="51" s="1"/>
  <c r="N72" i="22"/>
  <c r="P68" i="40"/>
  <c r="P18" i="40"/>
  <c r="P32" i="40"/>
  <c r="P16" i="40"/>
  <c r="K62" i="34"/>
  <c r="Q57" i="34"/>
  <c r="S63" i="37"/>
  <c r="S51" i="37"/>
  <c r="S39" i="37"/>
  <c r="U36" i="37"/>
  <c r="U51" i="37" s="1"/>
  <c r="K61" i="34"/>
  <c r="Q59" i="34"/>
  <c r="AI59" i="34" s="1"/>
  <c r="AE148" i="41"/>
  <c r="P159" i="41"/>
  <c r="D114" i="22"/>
  <c r="E24" i="51" s="1"/>
  <c r="D19" i="21"/>
  <c r="F116" i="22"/>
  <c r="G26" i="51" s="1"/>
  <c r="F24" i="21"/>
  <c r="F46" i="22"/>
  <c r="P24" i="40"/>
  <c r="D144" i="4"/>
  <c r="D163" i="4"/>
  <c r="D17" i="40"/>
  <c r="Z17" i="4"/>
  <c r="P145" i="41"/>
  <c r="X116" i="41"/>
  <c r="H146" i="41"/>
  <c r="B160" i="41"/>
  <c r="AE158" i="41"/>
  <c r="N28" i="25"/>
  <c r="H114" i="41"/>
  <c r="T18" i="21"/>
  <c r="L34" i="22"/>
  <c r="N34" i="40"/>
  <c r="Z34" i="4"/>
  <c r="R123" i="4"/>
  <c r="R125" i="4" s="1"/>
  <c r="B106" i="29"/>
  <c r="B108" i="29" s="1"/>
  <c r="P105" i="41"/>
  <c r="J68" i="24"/>
  <c r="J69" i="24" s="1"/>
  <c r="P17" i="40"/>
  <c r="AB49" i="22"/>
  <c r="E106" i="29"/>
  <c r="E108" i="29" s="1"/>
  <c r="F106" i="29"/>
  <c r="F108" i="29" s="1"/>
  <c r="AE49" i="29"/>
  <c r="AE101" i="29"/>
  <c r="I97" i="29"/>
  <c r="I87" i="29"/>
  <c r="I89" i="29"/>
  <c r="Z119" i="4"/>
  <c r="J166" i="4"/>
  <c r="I56" i="37"/>
  <c r="AA3" i="41"/>
  <c r="AC3" i="41" s="1"/>
  <c r="AC13" i="41"/>
  <c r="AD145" i="41" s="1"/>
  <c r="X111" i="41"/>
  <c r="T117" i="41"/>
  <c r="P61" i="41"/>
  <c r="AE61" i="41"/>
  <c r="L115" i="41"/>
  <c r="L117" i="41" s="1"/>
  <c r="AE67" i="41"/>
  <c r="AE113" i="41"/>
  <c r="C106" i="29"/>
  <c r="C108" i="29" s="1"/>
  <c r="X115" i="41"/>
  <c r="N42" i="25"/>
  <c r="R33" i="21"/>
  <c r="D20" i="21"/>
  <c r="D115" i="22"/>
  <c r="E25" i="51" s="1"/>
  <c r="D23" i="21"/>
  <c r="T11" i="21"/>
  <c r="T104" i="22"/>
  <c r="AA16" i="51" s="1"/>
  <c r="AG16" i="51" s="1"/>
  <c r="T72" i="22"/>
  <c r="P140" i="41"/>
  <c r="P158" i="41"/>
  <c r="G11" i="22"/>
  <c r="V18" i="21"/>
  <c r="N35" i="22"/>
  <c r="N31" i="21"/>
  <c r="N29" i="21"/>
  <c r="D112" i="22"/>
  <c r="E22" i="51" s="1"/>
  <c r="F113" i="40"/>
  <c r="P61" i="40"/>
  <c r="P67" i="40"/>
  <c r="J115" i="40"/>
  <c r="P66" i="40"/>
  <c r="P25" i="40"/>
  <c r="P65" i="40"/>
  <c r="AF49" i="40"/>
  <c r="AH49" i="40"/>
  <c r="O80" i="37"/>
  <c r="O77" i="37"/>
  <c r="U72" i="37"/>
  <c r="U77" i="37" s="1"/>
  <c r="W61" i="34"/>
  <c r="X87" i="29"/>
  <c r="X97" i="29"/>
  <c r="H145" i="41"/>
  <c r="N32" i="25"/>
  <c r="P69" i="40"/>
  <c r="J116" i="40"/>
  <c r="I106" i="29"/>
  <c r="I108" i="29" s="1"/>
  <c r="H72" i="41"/>
  <c r="H159" i="41"/>
  <c r="R29" i="21"/>
  <c r="D24" i="21"/>
  <c r="D116" i="22"/>
  <c r="E26" i="51" s="1"/>
  <c r="H65" i="25"/>
  <c r="H66" i="25" s="1"/>
  <c r="J113" i="40"/>
  <c r="P63" i="40"/>
  <c r="Y87" i="29"/>
  <c r="Y97" i="29"/>
  <c r="U106" i="29"/>
  <c r="U108" i="29" s="1"/>
  <c r="N13" i="29"/>
  <c r="M106" i="29"/>
  <c r="M108" i="29" s="1"/>
  <c r="Z106" i="29"/>
  <c r="Z108" i="29" s="1"/>
  <c r="S106" i="29"/>
  <c r="S108" i="29" s="1"/>
  <c r="AE13" i="29"/>
  <c r="W106" i="29"/>
  <c r="W108" i="29" s="1"/>
  <c r="N46" i="40"/>
  <c r="P46" i="40" s="1"/>
  <c r="L46" i="22"/>
  <c r="U19" i="16"/>
  <c r="H123" i="4"/>
  <c r="H125" i="4" s="1"/>
  <c r="X105" i="41"/>
  <c r="F117" i="41"/>
  <c r="P129" i="41"/>
  <c r="AE105" i="41"/>
  <c r="P139" i="41"/>
  <c r="H105" i="41"/>
  <c r="X112" i="41"/>
  <c r="AE137" i="41"/>
  <c r="X145" i="41"/>
  <c r="N29" i="25"/>
  <c r="N62" i="18"/>
  <c r="N63" i="18" s="1"/>
  <c r="N52" i="18"/>
  <c r="N55" i="18" s="1"/>
  <c r="P130" i="41"/>
  <c r="J55" i="18"/>
  <c r="R30" i="21"/>
  <c r="V33" i="21"/>
  <c r="D111" i="22"/>
  <c r="E21" i="51" s="1"/>
  <c r="D17" i="21"/>
  <c r="D72" i="22"/>
  <c r="N33" i="21"/>
  <c r="T17" i="21"/>
  <c r="Z111" i="40"/>
  <c r="Z72" i="40"/>
  <c r="AF83" i="40"/>
  <c r="AE159" i="41"/>
  <c r="P45" i="40"/>
  <c r="P56" i="40"/>
  <c r="J114" i="40"/>
  <c r="P57" i="40"/>
  <c r="P19" i="40"/>
  <c r="I12" i="27"/>
  <c r="I28" i="27"/>
  <c r="H50" i="27"/>
  <c r="I11" i="27"/>
  <c r="I27" i="27"/>
  <c r="I8" i="27"/>
  <c r="I32" i="27"/>
  <c r="I45" i="27"/>
  <c r="I10" i="27"/>
  <c r="I18" i="27"/>
  <c r="I43" i="27"/>
  <c r="I16" i="27"/>
  <c r="I29" i="27"/>
  <c r="I49" i="27"/>
  <c r="I14" i="27"/>
  <c r="I36" i="27"/>
  <c r="I26" i="27"/>
  <c r="I9" i="27"/>
  <c r="I20" i="27"/>
  <c r="I42" i="27"/>
  <c r="I44" i="27"/>
  <c r="I13" i="27"/>
  <c r="I15" i="27"/>
  <c r="I25" i="27"/>
  <c r="I38" i="27"/>
  <c r="H144" i="41"/>
  <c r="P35" i="40"/>
  <c r="F116" i="40"/>
  <c r="P80" i="40"/>
  <c r="G64" i="37"/>
  <c r="AB13" i="22"/>
  <c r="AE47" i="22" s="1"/>
  <c r="V97" i="29"/>
  <c r="V87" i="29"/>
  <c r="V108" i="29"/>
  <c r="Z147" i="4"/>
  <c r="N143" i="4"/>
  <c r="N163" i="4"/>
  <c r="N16" i="22"/>
  <c r="R16" i="40"/>
  <c r="Z16" i="4"/>
  <c r="T123" i="4"/>
  <c r="T125" i="4" s="1"/>
  <c r="AE146" i="41"/>
  <c r="X157" i="41"/>
  <c r="X138" i="41"/>
  <c r="X142" i="41"/>
  <c r="K106" i="29"/>
  <c r="K108" i="29" s="1"/>
  <c r="H137" i="41"/>
  <c r="H157" i="41"/>
  <c r="AE144" i="41"/>
  <c r="H141" i="41"/>
  <c r="N38" i="25"/>
  <c r="N16" i="25"/>
  <c r="H128" i="41"/>
  <c r="X72" i="41"/>
  <c r="K12" i="25"/>
  <c r="K65" i="25"/>
  <c r="K66" i="25" s="1"/>
  <c r="M8" i="22"/>
  <c r="X104" i="41"/>
  <c r="B116" i="22"/>
  <c r="C26" i="51" s="1"/>
  <c r="B24" i="21"/>
  <c r="R23" i="21"/>
  <c r="R11" i="21"/>
  <c r="R104" i="22"/>
  <c r="W16" i="51" s="1"/>
  <c r="R22" i="21"/>
  <c r="R115" i="22"/>
  <c r="W25" i="51" s="1"/>
  <c r="D29" i="21"/>
  <c r="O11" i="22"/>
  <c r="N30" i="21"/>
  <c r="N113" i="22"/>
  <c r="S23" i="51" s="1"/>
  <c r="N21" i="21"/>
  <c r="Z13" i="40"/>
  <c r="H34" i="40"/>
  <c r="H41" i="40"/>
  <c r="F114" i="40"/>
  <c r="F115" i="40"/>
  <c r="B117" i="41"/>
  <c r="H111" i="41"/>
  <c r="P62" i="40"/>
  <c r="P59" i="40"/>
  <c r="P39" i="40"/>
  <c r="P41" i="40"/>
  <c r="P54" i="40"/>
  <c r="P40" i="40"/>
  <c r="M40" i="27"/>
  <c r="O78" i="37"/>
  <c r="U73" i="37"/>
  <c r="U78" i="37" s="1"/>
  <c r="I40" i="27"/>
  <c r="Y57" i="34"/>
  <c r="Y61" i="34" s="1"/>
  <c r="V68" i="24"/>
  <c r="V69" i="24" s="1"/>
  <c r="W97" i="29"/>
  <c r="W87" i="29"/>
  <c r="C89" i="29"/>
  <c r="C97" i="29"/>
  <c r="C87" i="29"/>
  <c r="T29" i="21"/>
  <c r="P20" i="40"/>
  <c r="AE127" i="41"/>
  <c r="B68" i="25"/>
  <c r="B69" i="25" s="1"/>
  <c r="P27" i="40"/>
  <c r="AC25" i="21"/>
  <c r="H106" i="29"/>
  <c r="H108" i="29" s="1"/>
  <c r="U16" i="16"/>
  <c r="U24" i="16"/>
  <c r="U18" i="16"/>
  <c r="U48" i="16"/>
  <c r="U13" i="16"/>
  <c r="U44" i="16"/>
  <c r="U20" i="16"/>
  <c r="U46" i="16"/>
  <c r="U54" i="16"/>
  <c r="U23" i="16"/>
  <c r="U45" i="16"/>
  <c r="U50" i="16"/>
  <c r="U51" i="16"/>
  <c r="U53" i="16"/>
  <c r="T52" i="16"/>
  <c r="B89" i="29"/>
  <c r="B97" i="29"/>
  <c r="B87" i="29"/>
  <c r="AA106" i="29"/>
  <c r="AA108" i="29" s="1"/>
  <c r="N101" i="29"/>
  <c r="N49" i="29"/>
  <c r="AD97" i="29"/>
  <c r="AD87" i="29"/>
  <c r="L106" i="29"/>
  <c r="L108" i="29" s="1"/>
  <c r="B164" i="4"/>
  <c r="B149" i="4"/>
  <c r="B22" i="22"/>
  <c r="B22" i="40"/>
  <c r="Z22" i="4"/>
  <c r="D129" i="4"/>
  <c r="D28" i="40"/>
  <c r="Z28" i="4"/>
  <c r="T132" i="4"/>
  <c r="Z72" i="4"/>
  <c r="Z117" i="4"/>
  <c r="R166" i="4"/>
  <c r="AB72" i="4"/>
  <c r="D117" i="41"/>
  <c r="D160" i="41"/>
  <c r="P123" i="41"/>
  <c r="X129" i="41"/>
  <c r="C68" i="25"/>
  <c r="C69" i="25" s="1"/>
  <c r="N36" i="25"/>
  <c r="B71" i="25"/>
  <c r="B72" i="25" s="1"/>
  <c r="H130" i="41"/>
  <c r="AE157" i="41"/>
  <c r="D17" i="22"/>
  <c r="U10" i="22"/>
  <c r="T114" i="22"/>
  <c r="AA24" i="51" s="1"/>
  <c r="T19" i="21"/>
  <c r="X130" i="41"/>
  <c r="N112" i="22"/>
  <c r="S22" i="51" s="1"/>
  <c r="N20" i="21"/>
  <c r="N24" i="21"/>
  <c r="N116" i="22"/>
  <c r="S26" i="51" s="1"/>
  <c r="N18" i="21"/>
  <c r="N115" i="22"/>
  <c r="S25" i="51" s="1"/>
  <c r="N23" i="21"/>
  <c r="N114" i="22"/>
  <c r="S24" i="51" s="1"/>
  <c r="N19" i="21"/>
  <c r="N104" i="22"/>
  <c r="S16" i="51" s="1"/>
  <c r="N11" i="21"/>
  <c r="Z114" i="40"/>
  <c r="W50" i="34"/>
  <c r="Y50" i="34" s="1"/>
  <c r="P36" i="40"/>
  <c r="J104" i="40"/>
  <c r="P33" i="40"/>
  <c r="P53" i="40"/>
  <c r="P76" i="40"/>
  <c r="P38" i="40"/>
  <c r="O31" i="37"/>
  <c r="K64" i="37"/>
  <c r="U58" i="37"/>
  <c r="U64" i="37" s="1"/>
  <c r="I50" i="34"/>
  <c r="E62" i="34"/>
  <c r="AF72" i="40"/>
  <c r="U50" i="37"/>
  <c r="AI60" i="34"/>
  <c r="J99" i="22"/>
  <c r="H140" i="41"/>
  <c r="H158" i="41"/>
  <c r="X144" i="41"/>
  <c r="X141" i="41"/>
  <c r="P55" i="40"/>
  <c r="Z46" i="4"/>
  <c r="X148" i="41"/>
  <c r="H112" i="41"/>
  <c r="T115" i="22"/>
  <c r="AA25" i="51" s="1"/>
  <c r="T22" i="21"/>
  <c r="P23" i="40"/>
  <c r="P77" i="40"/>
  <c r="Y106" i="29"/>
  <c r="Y108" i="29" s="1"/>
  <c r="AE105" i="29"/>
  <c r="J89" i="29"/>
  <c r="J97" i="29"/>
  <c r="J87" i="29"/>
  <c r="AE42" i="22"/>
  <c r="U17" i="16"/>
  <c r="G106" i="29"/>
  <c r="G108" i="29" s="1"/>
  <c r="N105" i="29"/>
  <c r="N103" i="29"/>
  <c r="Z151" i="4"/>
  <c r="Z68" i="16"/>
  <c r="Z69" i="16" s="1"/>
  <c r="H138" i="41"/>
  <c r="U25" i="16"/>
  <c r="X139" i="41"/>
  <c r="G55" i="25"/>
  <c r="G62" i="25"/>
  <c r="G63" i="25" s="1"/>
  <c r="H148" i="41"/>
  <c r="P111" i="41"/>
  <c r="J117" i="41"/>
  <c r="X106" i="29"/>
  <c r="X108" i="29" s="1"/>
  <c r="I55" i="18"/>
  <c r="H49" i="25"/>
  <c r="N134" i="41"/>
  <c r="X114" i="41"/>
  <c r="R117" i="41"/>
  <c r="N10" i="25"/>
  <c r="N34" i="25"/>
  <c r="B12" i="25"/>
  <c r="N7" i="25"/>
  <c r="C12" i="25"/>
  <c r="C65" i="25"/>
  <c r="C66" i="25" s="1"/>
  <c r="N117" i="41"/>
  <c r="D62" i="25"/>
  <c r="D63" i="25" s="1"/>
  <c r="D55" i="25"/>
  <c r="E10" i="22"/>
  <c r="F30" i="21"/>
  <c r="F22" i="21"/>
  <c r="G75" i="18"/>
  <c r="G56" i="18"/>
  <c r="Z112" i="40"/>
  <c r="F72" i="40"/>
  <c r="F111" i="40"/>
  <c r="P78" i="40"/>
  <c r="P44" i="40"/>
  <c r="P21" i="40"/>
  <c r="P28" i="40"/>
  <c r="P43" i="40"/>
  <c r="P60" i="40"/>
  <c r="G52" i="37"/>
  <c r="G31" i="37"/>
  <c r="T21" i="37"/>
  <c r="Q50" i="34"/>
  <c r="I61" i="34"/>
  <c r="P49" i="27"/>
  <c r="Q40" i="27" s="1"/>
  <c r="AE46" i="48" l="1"/>
  <c r="AC44" i="48"/>
  <c r="AC42" i="48"/>
  <c r="AC40" i="48"/>
  <c r="AC38" i="48"/>
  <c r="AC36" i="48"/>
  <c r="AE34" i="48"/>
  <c r="AC32" i="48"/>
  <c r="AC30" i="48"/>
  <c r="AC28" i="48"/>
  <c r="AC26" i="48"/>
  <c r="AC24" i="48"/>
  <c r="AC22" i="48"/>
  <c r="AC20" i="48"/>
  <c r="AC18" i="48"/>
  <c r="AE16" i="48"/>
  <c r="AC7" i="48"/>
  <c r="N41" i="25"/>
  <c r="AE35" i="48"/>
  <c r="AE33" i="48"/>
  <c r="AE31" i="48"/>
  <c r="AE29" i="48"/>
  <c r="AC27" i="48"/>
  <c r="AC25" i="48"/>
  <c r="AE23" i="48"/>
  <c r="AC21" i="48"/>
  <c r="AE19" i="48"/>
  <c r="AC17" i="48"/>
  <c r="AC43" i="48"/>
  <c r="AC41" i="48"/>
  <c r="AC39" i="48"/>
  <c r="AE37" i="48"/>
  <c r="AC35" i="48"/>
  <c r="AC33" i="48"/>
  <c r="AC31" i="48"/>
  <c r="AC29" i="48"/>
  <c r="AE27" i="48"/>
  <c r="AE25" i="48"/>
  <c r="AC23" i="48"/>
  <c r="AE21" i="48"/>
  <c r="AC19" i="48"/>
  <c r="AE17" i="48"/>
  <c r="AB89" i="48"/>
  <c r="AB89" i="22"/>
  <c r="J68" i="25"/>
  <c r="J69" i="25" s="1"/>
  <c r="N15" i="25"/>
  <c r="N37" i="25"/>
  <c r="AI57" i="51"/>
  <c r="AI61" i="51" s="1"/>
  <c r="I61" i="51"/>
  <c r="AC49" i="48"/>
  <c r="AE49" i="48"/>
  <c r="AE48" i="48"/>
  <c r="AC48" i="48"/>
  <c r="AC59" i="48"/>
  <c r="AC87" i="48"/>
  <c r="AC81" i="48"/>
  <c r="AC77" i="48"/>
  <c r="AC58" i="48"/>
  <c r="AC70" i="48"/>
  <c r="AC60" i="48"/>
  <c r="AC66" i="48"/>
  <c r="AC71" i="48"/>
  <c r="AC53" i="48"/>
  <c r="AC56" i="48"/>
  <c r="AC64" i="48"/>
  <c r="AC62" i="48"/>
  <c r="AC79" i="48"/>
  <c r="AC57" i="48"/>
  <c r="AC63" i="48"/>
  <c r="AC54" i="48"/>
  <c r="AC65" i="48"/>
  <c r="AC55" i="48"/>
  <c r="AC80" i="48"/>
  <c r="AC67" i="48"/>
  <c r="AC68" i="48"/>
  <c r="AC69" i="48"/>
  <c r="AC61" i="48"/>
  <c r="AC82" i="48"/>
  <c r="AC76" i="48"/>
  <c r="AC78" i="48"/>
  <c r="AC83" i="48"/>
  <c r="AC72" i="48"/>
  <c r="AB85" i="48"/>
  <c r="J37" i="65"/>
  <c r="K37" i="65" s="1"/>
  <c r="H37" i="65"/>
  <c r="I37" i="65" s="1"/>
  <c r="B39" i="65"/>
  <c r="D39" i="65" s="1"/>
  <c r="I45" i="46"/>
  <c r="G45" i="46"/>
  <c r="H55" i="46"/>
  <c r="I7" i="72" s="1"/>
  <c r="F55" i="46"/>
  <c r="G7" i="72" s="1"/>
  <c r="D55" i="46"/>
  <c r="E7" i="72" s="1"/>
  <c r="Z31" i="4"/>
  <c r="Z132" i="4" s="1"/>
  <c r="L44" i="65"/>
  <c r="M44" i="65" s="1"/>
  <c r="D41" i="65"/>
  <c r="E41" i="65" s="1"/>
  <c r="J41" i="65"/>
  <c r="K41" i="65" s="1"/>
  <c r="F41" i="65"/>
  <c r="G41" i="65" s="1"/>
  <c r="H41" i="65"/>
  <c r="I41" i="65" s="1"/>
  <c r="D132" i="4"/>
  <c r="F34" i="65"/>
  <c r="G34" i="65" s="1"/>
  <c r="H34" i="65"/>
  <c r="I34" i="65" s="1"/>
  <c r="J34" i="65"/>
  <c r="K34" i="65" s="1"/>
  <c r="D34" i="65"/>
  <c r="E34" i="65" s="1"/>
  <c r="L43" i="65"/>
  <c r="M43" i="65" s="1"/>
  <c r="Z67" i="48"/>
  <c r="AD67" i="48" s="1"/>
  <c r="Z10" i="48"/>
  <c r="AD10" i="48" s="1"/>
  <c r="Z79" i="48"/>
  <c r="AD79" i="48" s="1"/>
  <c r="G7" i="46"/>
  <c r="H1" i="72" s="1"/>
  <c r="O10" i="48"/>
  <c r="D31" i="22"/>
  <c r="Z31" i="22" s="1"/>
  <c r="AD31" i="22" s="1"/>
  <c r="Z39" i="48"/>
  <c r="AD39" i="48" s="1"/>
  <c r="Z30" i="48"/>
  <c r="AD30" i="48" s="1"/>
  <c r="Z82" i="48"/>
  <c r="AD82" i="48" s="1"/>
  <c r="Z20" i="48"/>
  <c r="AD20" i="48" s="1"/>
  <c r="Z22" i="48"/>
  <c r="AD22" i="48" s="1"/>
  <c r="Z21" i="48"/>
  <c r="AD21" i="48" s="1"/>
  <c r="Z34" i="48"/>
  <c r="AD34" i="48" s="1"/>
  <c r="M10" i="48"/>
  <c r="Z27" i="48"/>
  <c r="AD27" i="48" s="1"/>
  <c r="Z43" i="48"/>
  <c r="AD43" i="48" s="1"/>
  <c r="Z66" i="48"/>
  <c r="Z41" i="48"/>
  <c r="AD41" i="48" s="1"/>
  <c r="Z45" i="48"/>
  <c r="AD45" i="48" s="1"/>
  <c r="Z38" i="48"/>
  <c r="AD38" i="48" s="1"/>
  <c r="Z17" i="48"/>
  <c r="AD17" i="48" s="1"/>
  <c r="Z46" i="48"/>
  <c r="Z104" i="48" s="1"/>
  <c r="Z40" i="48"/>
  <c r="AD40" i="48" s="1"/>
  <c r="Z35" i="48"/>
  <c r="AD35" i="48" s="1"/>
  <c r="B33" i="40"/>
  <c r="B33" i="22"/>
  <c r="Z16" i="48"/>
  <c r="AD16" i="48" s="1"/>
  <c r="Z32" i="48"/>
  <c r="AD32" i="48" s="1"/>
  <c r="N102" i="48"/>
  <c r="S14" i="34" s="1"/>
  <c r="W11" i="48"/>
  <c r="G11" i="48"/>
  <c r="Z24" i="48"/>
  <c r="AD24" i="48" s="1"/>
  <c r="Z70" i="48"/>
  <c r="AD70" i="48" s="1"/>
  <c r="Z44" i="48"/>
  <c r="AD44" i="48" s="1"/>
  <c r="Z69" i="48"/>
  <c r="Z80" i="48"/>
  <c r="AD80" i="48" s="1"/>
  <c r="Z23" i="48"/>
  <c r="AD23" i="48" s="1"/>
  <c r="Z25" i="48"/>
  <c r="AD25" i="48" s="1"/>
  <c r="Z24" i="24"/>
  <c r="J12" i="25"/>
  <c r="W10" i="48"/>
  <c r="I71" i="25"/>
  <c r="I72" i="25" s="1"/>
  <c r="Z28" i="48"/>
  <c r="AD28" i="48" s="1"/>
  <c r="Z18" i="48"/>
  <c r="AD18" i="48" s="1"/>
  <c r="Z19" i="48"/>
  <c r="AD19" i="48" s="1"/>
  <c r="Z77" i="48"/>
  <c r="AD77" i="48" s="1"/>
  <c r="M49" i="25"/>
  <c r="M62" i="25" s="1"/>
  <c r="M63" i="25" s="1"/>
  <c r="E65" i="25"/>
  <c r="E66" i="25" s="1"/>
  <c r="V115" i="48"/>
  <c r="AC25" i="34" s="1"/>
  <c r="N112" i="48"/>
  <c r="S22" i="34" s="1"/>
  <c r="N116" i="48"/>
  <c r="S26" i="34" s="1"/>
  <c r="F104" i="48"/>
  <c r="G16" i="34" s="1"/>
  <c r="N33" i="25"/>
  <c r="N26" i="25"/>
  <c r="E49" i="25"/>
  <c r="E62" i="25" s="1"/>
  <c r="E63" i="25" s="1"/>
  <c r="E71" i="25"/>
  <c r="E72" i="25" s="1"/>
  <c r="O11" i="48"/>
  <c r="N104" i="48"/>
  <c r="S16" i="34" s="1"/>
  <c r="I12" i="25"/>
  <c r="N8" i="25"/>
  <c r="Z9" i="48"/>
  <c r="AD9" i="48" s="1"/>
  <c r="Z8" i="48"/>
  <c r="AD8" i="48" s="1"/>
  <c r="V112" i="48"/>
  <c r="AC22" i="34" s="1"/>
  <c r="V116" i="48"/>
  <c r="AC26" i="34" s="1"/>
  <c r="M11" i="48"/>
  <c r="L115" i="48"/>
  <c r="O25" i="34" s="1"/>
  <c r="L113" i="48"/>
  <c r="O23" i="34" s="1"/>
  <c r="F101" i="48"/>
  <c r="G13" i="34" s="1"/>
  <c r="N43" i="25"/>
  <c r="L112" i="48"/>
  <c r="O22" i="34" s="1"/>
  <c r="L116" i="48"/>
  <c r="O26" i="34" s="1"/>
  <c r="N39" i="25"/>
  <c r="V104" i="48"/>
  <c r="AC16" i="34" s="1"/>
  <c r="AE21" i="34"/>
  <c r="X117" i="48"/>
  <c r="X119" i="48" s="1"/>
  <c r="F113" i="48"/>
  <c r="G23" i="34" s="1"/>
  <c r="N20" i="25"/>
  <c r="Z78" i="48"/>
  <c r="AD78" i="48" s="1"/>
  <c r="N113" i="48"/>
  <c r="S23" i="34" s="1"/>
  <c r="L104" i="48"/>
  <c r="O16" i="34" s="1"/>
  <c r="F115" i="48"/>
  <c r="G25" i="34" s="1"/>
  <c r="N115" i="48"/>
  <c r="S25" i="34" s="1"/>
  <c r="J49" i="25"/>
  <c r="Z76" i="48"/>
  <c r="AD76" i="48" s="1"/>
  <c r="F102" i="48"/>
  <c r="G14" i="34" s="1"/>
  <c r="V113" i="48"/>
  <c r="AC23" i="34" s="1"/>
  <c r="G10" i="48"/>
  <c r="F112" i="48"/>
  <c r="G22" i="34" s="1"/>
  <c r="F116" i="48"/>
  <c r="G26" i="34" s="1"/>
  <c r="F137" i="4"/>
  <c r="F33" i="22"/>
  <c r="F33" i="40"/>
  <c r="F102" i="41"/>
  <c r="H31" i="40"/>
  <c r="F140" i="4"/>
  <c r="D33" i="40"/>
  <c r="D108" i="4"/>
  <c r="D33" i="22"/>
  <c r="H31" i="41"/>
  <c r="H126" i="41"/>
  <c r="AE31" i="41"/>
  <c r="AE126" i="41" s="1"/>
  <c r="Z33" i="4"/>
  <c r="Z134" i="4" s="1"/>
  <c r="Z140" i="4" s="1"/>
  <c r="D37" i="40"/>
  <c r="B31" i="48"/>
  <c r="B102" i="48" s="1"/>
  <c r="C14" i="34" s="1"/>
  <c r="W28" i="24"/>
  <c r="W22" i="24"/>
  <c r="W36" i="24"/>
  <c r="U78" i="4"/>
  <c r="W17" i="24"/>
  <c r="U79" i="4"/>
  <c r="W19" i="24"/>
  <c r="W46" i="24"/>
  <c r="W24" i="24"/>
  <c r="W34" i="24"/>
  <c r="U39" i="4"/>
  <c r="U86" i="4"/>
  <c r="U19" i="4"/>
  <c r="U56" i="4"/>
  <c r="W29" i="24"/>
  <c r="W51" i="24"/>
  <c r="U66" i="4"/>
  <c r="U35" i="4"/>
  <c r="U22" i="4"/>
  <c r="U54" i="4"/>
  <c r="W53" i="24"/>
  <c r="T3" i="4"/>
  <c r="W32" i="24"/>
  <c r="W43" i="24"/>
  <c r="U28" i="4"/>
  <c r="W18" i="24"/>
  <c r="U40" i="4"/>
  <c r="U46" i="4"/>
  <c r="U21" i="4"/>
  <c r="U31" i="4"/>
  <c r="U17" i="4"/>
  <c r="U63" i="4"/>
  <c r="U72" i="4"/>
  <c r="U65" i="4"/>
  <c r="U48" i="4"/>
  <c r="T29" i="48"/>
  <c r="T102" i="48" s="1"/>
  <c r="AA14" i="34" s="1"/>
  <c r="V29" i="48"/>
  <c r="V102" i="48" s="1"/>
  <c r="AC14" i="34" s="1"/>
  <c r="U20" i="4"/>
  <c r="U57" i="4"/>
  <c r="U70" i="4"/>
  <c r="U34" i="4"/>
  <c r="D37" i="22"/>
  <c r="H37" i="22"/>
  <c r="J37" i="40"/>
  <c r="N37" i="40"/>
  <c r="T108" i="4"/>
  <c r="L37" i="22"/>
  <c r="AA150" i="41"/>
  <c r="AC26" i="41"/>
  <c r="AC147" i="41" s="1"/>
  <c r="AD147" i="41" s="1"/>
  <c r="B37" i="40"/>
  <c r="B37" i="22"/>
  <c r="H37" i="41"/>
  <c r="H149" i="41" s="1"/>
  <c r="X137" i="4"/>
  <c r="AA101" i="41"/>
  <c r="T130" i="4"/>
  <c r="T137" i="4" s="1"/>
  <c r="Y29" i="4"/>
  <c r="T29" i="22"/>
  <c r="T102" i="22" s="1"/>
  <c r="AA14" i="51" s="1"/>
  <c r="X29" i="22"/>
  <c r="X102" i="22" s="1"/>
  <c r="U29" i="4"/>
  <c r="AB29" i="40"/>
  <c r="AB102" i="40" s="1"/>
  <c r="X107" i="4"/>
  <c r="X108" i="4"/>
  <c r="V37" i="22"/>
  <c r="V101" i="22" s="1"/>
  <c r="AC13" i="51" s="1"/>
  <c r="V101" i="41"/>
  <c r="W37" i="4"/>
  <c r="V107" i="4"/>
  <c r="AA37" i="40"/>
  <c r="AA101" i="40" s="1"/>
  <c r="V156" i="4"/>
  <c r="V29" i="22"/>
  <c r="V102" i="22" s="1"/>
  <c r="AC14" i="51" s="1"/>
  <c r="AC29" i="41"/>
  <c r="N101" i="48"/>
  <c r="S13" i="34" s="1"/>
  <c r="AE37" i="41"/>
  <c r="AE149" i="41" s="1"/>
  <c r="Z102" i="41"/>
  <c r="AA29" i="40"/>
  <c r="AA102" i="40" s="1"/>
  <c r="N108" i="4"/>
  <c r="AA124" i="41"/>
  <c r="AA131" i="41" s="1"/>
  <c r="AA102" i="41"/>
  <c r="V130" i="4"/>
  <c r="V137" i="4" s="1"/>
  <c r="V108" i="4"/>
  <c r="U88" i="4"/>
  <c r="U55" i="4"/>
  <c r="U58" i="4"/>
  <c r="U24" i="4"/>
  <c r="U77" i="4"/>
  <c r="U76" i="4"/>
  <c r="U80" i="4"/>
  <c r="U61" i="4"/>
  <c r="U25" i="4"/>
  <c r="U26" i="4"/>
  <c r="U60" i="4"/>
  <c r="U41" i="4"/>
  <c r="X52" i="24"/>
  <c r="V52" i="24"/>
  <c r="W52" i="24" s="1"/>
  <c r="U27" i="4"/>
  <c r="U43" i="4"/>
  <c r="U13" i="4"/>
  <c r="U82" i="4"/>
  <c r="U38" i="4"/>
  <c r="U45" i="4"/>
  <c r="U7" i="4"/>
  <c r="U67" i="4"/>
  <c r="U33" i="4"/>
  <c r="U62" i="4"/>
  <c r="U53" i="4"/>
  <c r="U71" i="4"/>
  <c r="U68" i="4"/>
  <c r="U30" i="4"/>
  <c r="U59" i="4"/>
  <c r="U18" i="4"/>
  <c r="U36" i="4"/>
  <c r="U69" i="4"/>
  <c r="U32" i="4"/>
  <c r="U23" i="4"/>
  <c r="U44" i="4"/>
  <c r="U64" i="4"/>
  <c r="W27" i="24"/>
  <c r="W30" i="24"/>
  <c r="W26" i="24"/>
  <c r="W31" i="24"/>
  <c r="W38" i="24"/>
  <c r="W23" i="24"/>
  <c r="W50" i="24"/>
  <c r="W7" i="24"/>
  <c r="W33" i="24"/>
  <c r="W16" i="24"/>
  <c r="W48" i="24"/>
  <c r="W13" i="24"/>
  <c r="U27" i="24"/>
  <c r="W44" i="24"/>
  <c r="W40" i="24"/>
  <c r="W21" i="24"/>
  <c r="W39" i="24"/>
  <c r="W45" i="24"/>
  <c r="W41" i="24"/>
  <c r="W35" i="24"/>
  <c r="W20" i="24"/>
  <c r="W25" i="24"/>
  <c r="W54" i="24"/>
  <c r="U32" i="24"/>
  <c r="U40" i="24"/>
  <c r="U26" i="24"/>
  <c r="U18" i="24"/>
  <c r="U44" i="24"/>
  <c r="X26" i="22"/>
  <c r="Y26" i="22" s="1"/>
  <c r="AB26" i="40"/>
  <c r="X153" i="4"/>
  <c r="T26" i="48"/>
  <c r="T101" i="48" s="1"/>
  <c r="V26" i="48"/>
  <c r="V101" i="48" s="1"/>
  <c r="L101" i="48"/>
  <c r="O13" i="34" s="1"/>
  <c r="O53" i="34" s="1"/>
  <c r="O63" i="34" s="1"/>
  <c r="T37" i="22"/>
  <c r="T101" i="22" s="1"/>
  <c r="AA13" i="51" s="1"/>
  <c r="AA53" i="51" s="1"/>
  <c r="T155" i="4"/>
  <c r="T156" i="4" s="1"/>
  <c r="Z37" i="40"/>
  <c r="Z101" i="40" s="1"/>
  <c r="Z149" i="41"/>
  <c r="AC37" i="41"/>
  <c r="AC149" i="41" s="1"/>
  <c r="AD149" i="41" s="1"/>
  <c r="Z37" i="4"/>
  <c r="Z155" i="4" s="1"/>
  <c r="T107" i="4"/>
  <c r="U37" i="4"/>
  <c r="X155" i="4"/>
  <c r="X37" i="22"/>
  <c r="Y37" i="22" s="1"/>
  <c r="AB37" i="40"/>
  <c r="X37" i="41"/>
  <c r="X149" i="41" s="1"/>
  <c r="R29" i="40"/>
  <c r="R102" i="40" s="1"/>
  <c r="L102" i="22"/>
  <c r="O14" i="51" s="1"/>
  <c r="N29" i="22"/>
  <c r="N102" i="22" s="1"/>
  <c r="S14" i="51" s="1"/>
  <c r="V147" i="41"/>
  <c r="V150" i="41" s="1"/>
  <c r="N102" i="41"/>
  <c r="T102" i="41"/>
  <c r="U102" i="41" s="1"/>
  <c r="Z147" i="41"/>
  <c r="Z101" i="41"/>
  <c r="N35" i="25"/>
  <c r="AD69" i="48"/>
  <c r="Z116" i="48"/>
  <c r="Z115" i="48"/>
  <c r="AD66" i="48"/>
  <c r="X29" i="41"/>
  <c r="F29" i="40"/>
  <c r="F29" i="22"/>
  <c r="F108" i="4"/>
  <c r="P156" i="4"/>
  <c r="U23" i="24"/>
  <c r="U24" i="24"/>
  <c r="U17" i="24"/>
  <c r="U35" i="24"/>
  <c r="U39" i="24"/>
  <c r="U37" i="24"/>
  <c r="U13" i="24"/>
  <c r="U41" i="24"/>
  <c r="U36" i="24"/>
  <c r="U7" i="24"/>
  <c r="U29" i="24"/>
  <c r="U25" i="24"/>
  <c r="U16" i="24"/>
  <c r="U33" i="24"/>
  <c r="U31" i="24"/>
  <c r="U21" i="24"/>
  <c r="U48" i="24"/>
  <c r="U22" i="24"/>
  <c r="U34" i="24"/>
  <c r="U30" i="24"/>
  <c r="U20" i="24"/>
  <c r="U46" i="24"/>
  <c r="U28" i="24"/>
  <c r="U38" i="24"/>
  <c r="U19" i="24"/>
  <c r="U45" i="24"/>
  <c r="P7" i="24"/>
  <c r="P13" i="24" s="1"/>
  <c r="Q20" i="24" s="1"/>
  <c r="P13" i="16"/>
  <c r="Q41" i="16" s="1"/>
  <c r="L32" i="50"/>
  <c r="N137" i="4"/>
  <c r="R139" i="4" s="1"/>
  <c r="R141" i="4" s="1"/>
  <c r="R108" i="4"/>
  <c r="R29" i="22"/>
  <c r="R102" i="22" s="1"/>
  <c r="W14" i="51" s="1"/>
  <c r="V29" i="40"/>
  <c r="Z29" i="4"/>
  <c r="P29" i="41"/>
  <c r="N68" i="45"/>
  <c r="AE29" i="41"/>
  <c r="AE124" i="41" s="1"/>
  <c r="J102" i="41"/>
  <c r="H68" i="45"/>
  <c r="J29" i="22"/>
  <c r="J102" i="22" s="1"/>
  <c r="M14" i="51" s="1"/>
  <c r="D130" i="4"/>
  <c r="D29" i="40"/>
  <c r="D29" i="22"/>
  <c r="L29" i="40"/>
  <c r="J108" i="4"/>
  <c r="J130" i="4"/>
  <c r="J137" i="4" s="1"/>
  <c r="L139" i="4" s="1"/>
  <c r="L141" i="4" s="1"/>
  <c r="L124" i="41"/>
  <c r="L102" i="41"/>
  <c r="V124" i="41"/>
  <c r="V102" i="41"/>
  <c r="B124" i="41"/>
  <c r="B102" i="41"/>
  <c r="B29" i="40"/>
  <c r="B108" i="4"/>
  <c r="B130" i="4"/>
  <c r="B137" i="4" s="1"/>
  <c r="M32" i="50"/>
  <c r="B68" i="24"/>
  <c r="B69" i="24" s="1"/>
  <c r="Z20" i="24"/>
  <c r="Z11" i="48"/>
  <c r="AD11" i="48" s="1"/>
  <c r="S11" i="48"/>
  <c r="Z43" i="24"/>
  <c r="Z32" i="24"/>
  <c r="Z21" i="24"/>
  <c r="B153" i="4"/>
  <c r="B156" i="4" s="1"/>
  <c r="J26" i="22"/>
  <c r="J101" i="22" s="1"/>
  <c r="M13" i="51" s="1"/>
  <c r="M53" i="51" s="1"/>
  <c r="M63" i="51" s="1"/>
  <c r="X13" i="24"/>
  <c r="Y7" i="24" s="1"/>
  <c r="Z9" i="24"/>
  <c r="V26" i="40"/>
  <c r="V101" i="40" s="1"/>
  <c r="D107" i="4"/>
  <c r="P31" i="40"/>
  <c r="B26" i="22"/>
  <c r="R26" i="22"/>
  <c r="R101" i="22" s="1"/>
  <c r="W13" i="51" s="1"/>
  <c r="W53" i="51" s="1"/>
  <c r="W63" i="51" s="1"/>
  <c r="R107" i="4"/>
  <c r="R131" i="41"/>
  <c r="R153" i="4"/>
  <c r="R156" i="4" s="1"/>
  <c r="B26" i="40"/>
  <c r="P26" i="41"/>
  <c r="P147" i="41" s="1"/>
  <c r="P150" i="41" s="1"/>
  <c r="AE26" i="41"/>
  <c r="AE147" i="41" s="1"/>
  <c r="Z26" i="4"/>
  <c r="Z153" i="4" s="1"/>
  <c r="T147" i="41"/>
  <c r="T150" i="41" s="1"/>
  <c r="U150" i="41" s="1"/>
  <c r="T101" i="41"/>
  <c r="U101" i="41" s="1"/>
  <c r="F153" i="4"/>
  <c r="F156" i="4" s="1"/>
  <c r="F107" i="4"/>
  <c r="F26" i="40"/>
  <c r="F101" i="40" s="1"/>
  <c r="F26" i="22"/>
  <c r="F101" i="22" s="1"/>
  <c r="G13" i="51" s="1"/>
  <c r="G53" i="51" s="1"/>
  <c r="G63" i="51" s="1"/>
  <c r="L147" i="41"/>
  <c r="L150" i="41" s="1"/>
  <c r="L101" i="41"/>
  <c r="R147" i="41"/>
  <c r="R150" i="41" s="1"/>
  <c r="X26" i="41"/>
  <c r="X147" i="41" s="1"/>
  <c r="R101" i="41"/>
  <c r="R26" i="40"/>
  <c r="N153" i="4"/>
  <c r="N156" i="4" s="1"/>
  <c r="N26" i="22"/>
  <c r="N101" i="22" s="1"/>
  <c r="S13" i="51" s="1"/>
  <c r="S53" i="51" s="1"/>
  <c r="S63" i="51" s="1"/>
  <c r="F147" i="41"/>
  <c r="F150" i="41" s="1"/>
  <c r="F101" i="41"/>
  <c r="L31" i="48"/>
  <c r="L26" i="40"/>
  <c r="L101" i="40" s="1"/>
  <c r="J153" i="4"/>
  <c r="J156" i="4" s="1"/>
  <c r="J107" i="4"/>
  <c r="M98" i="45"/>
  <c r="M106" i="45" s="1"/>
  <c r="J26" i="48"/>
  <c r="E98" i="45"/>
  <c r="E106" i="45" s="1"/>
  <c r="B107" i="4"/>
  <c r="X102" i="48"/>
  <c r="H153" i="4"/>
  <c r="H156" i="4" s="1"/>
  <c r="H107" i="4"/>
  <c r="J26" i="40"/>
  <c r="H26" i="22"/>
  <c r="Z33" i="48"/>
  <c r="AD33" i="48" s="1"/>
  <c r="L153" i="4"/>
  <c r="L156" i="4" s="1"/>
  <c r="N26" i="40"/>
  <c r="L26" i="22"/>
  <c r="L107" i="4"/>
  <c r="N107" i="4"/>
  <c r="K98" i="45"/>
  <c r="K106" i="45" s="1"/>
  <c r="F98" i="45"/>
  <c r="F106" i="45" s="1"/>
  <c r="X26" i="48"/>
  <c r="D147" i="41"/>
  <c r="D150" i="41" s="1"/>
  <c r="D101" i="41"/>
  <c r="D74" i="45"/>
  <c r="D98" i="45"/>
  <c r="H66" i="45"/>
  <c r="B147" i="41"/>
  <c r="B150" i="41" s="1"/>
  <c r="H26" i="41"/>
  <c r="H147" i="41" s="1"/>
  <c r="B101" i="41"/>
  <c r="G98" i="45"/>
  <c r="G106" i="45" s="1"/>
  <c r="J98" i="45"/>
  <c r="N66" i="45"/>
  <c r="L98" i="45"/>
  <c r="L106" i="45" s="1"/>
  <c r="D153" i="4"/>
  <c r="D156" i="4" s="1"/>
  <c r="D26" i="22"/>
  <c r="D26" i="40"/>
  <c r="J101" i="41"/>
  <c r="J147" i="41"/>
  <c r="J150" i="41" s="1"/>
  <c r="Z37" i="48"/>
  <c r="AD37" i="48" s="1"/>
  <c r="S27" i="51"/>
  <c r="E27" i="51"/>
  <c r="AA27" i="51"/>
  <c r="I26" i="51"/>
  <c r="O27" i="51"/>
  <c r="Z33" i="24"/>
  <c r="Z28" i="24"/>
  <c r="Y34" i="22"/>
  <c r="AE10" i="51"/>
  <c r="U54" i="22"/>
  <c r="AA10" i="51"/>
  <c r="AG62" i="51"/>
  <c r="AI50" i="51"/>
  <c r="AI62" i="51" s="1"/>
  <c r="I62" i="51"/>
  <c r="P7" i="4"/>
  <c r="T7" i="40" s="1"/>
  <c r="T13" i="40" s="1"/>
  <c r="U78" i="40" s="1"/>
  <c r="M11" i="34"/>
  <c r="K45" i="34"/>
  <c r="V7" i="40"/>
  <c r="V13" i="40" s="1"/>
  <c r="W7" i="40" s="1"/>
  <c r="R7" i="22"/>
  <c r="R13" i="22" s="1"/>
  <c r="W10" i="51" s="1"/>
  <c r="I44" i="46"/>
  <c r="I36" i="46"/>
  <c r="I16" i="46"/>
  <c r="I29" i="46"/>
  <c r="I20" i="46"/>
  <c r="I35" i="46"/>
  <c r="I23" i="46"/>
  <c r="I33" i="46"/>
  <c r="I13" i="46"/>
  <c r="I24" i="46"/>
  <c r="I19" i="46"/>
  <c r="I32" i="46"/>
  <c r="I18" i="46"/>
  <c r="I41" i="46"/>
  <c r="I47" i="46"/>
  <c r="I50" i="46"/>
  <c r="I43" i="46"/>
  <c r="I37" i="46"/>
  <c r="I31" i="46"/>
  <c r="I39" i="46"/>
  <c r="I21" i="46"/>
  <c r="I26" i="46"/>
  <c r="I38" i="46"/>
  <c r="I40" i="46"/>
  <c r="I17" i="46"/>
  <c r="I22" i="46"/>
  <c r="I30" i="46"/>
  <c r="I28" i="46"/>
  <c r="I25" i="46"/>
  <c r="I34" i="46"/>
  <c r="I46" i="46"/>
  <c r="I27" i="46"/>
  <c r="D7" i="48"/>
  <c r="H7" i="48"/>
  <c r="E38" i="46"/>
  <c r="E25" i="46"/>
  <c r="E37" i="46"/>
  <c r="E39" i="46"/>
  <c r="E36" i="46"/>
  <c r="E46" i="46"/>
  <c r="E16" i="46"/>
  <c r="E17" i="46"/>
  <c r="E26" i="46"/>
  <c r="E40" i="46"/>
  <c r="E19" i="46"/>
  <c r="E29" i="46"/>
  <c r="E44" i="46"/>
  <c r="E47" i="46"/>
  <c r="E23" i="46"/>
  <c r="E33" i="46"/>
  <c r="E28" i="46"/>
  <c r="E43" i="46"/>
  <c r="E50" i="46"/>
  <c r="E27" i="46"/>
  <c r="E30" i="46"/>
  <c r="E22" i="46"/>
  <c r="E24" i="46"/>
  <c r="E21" i="46"/>
  <c r="E18" i="46"/>
  <c r="E20" i="46"/>
  <c r="E13" i="46"/>
  <c r="E34" i="46"/>
  <c r="E32" i="46"/>
  <c r="E35" i="46"/>
  <c r="E31" i="46"/>
  <c r="E41" i="46"/>
  <c r="G33" i="46"/>
  <c r="G29" i="46"/>
  <c r="G35" i="46"/>
  <c r="G34" i="46"/>
  <c r="G24" i="46"/>
  <c r="G39" i="46"/>
  <c r="G47" i="46"/>
  <c r="G16" i="46"/>
  <c r="G17" i="46"/>
  <c r="G22" i="46"/>
  <c r="G44" i="46"/>
  <c r="G18" i="46"/>
  <c r="G43" i="46"/>
  <c r="G28" i="46"/>
  <c r="G46" i="46"/>
  <c r="G19" i="46"/>
  <c r="G27" i="46"/>
  <c r="G21" i="46"/>
  <c r="G40" i="46"/>
  <c r="G20" i="46"/>
  <c r="G26" i="46"/>
  <c r="G41" i="46"/>
  <c r="G37" i="46"/>
  <c r="G36" i="46"/>
  <c r="G32" i="46"/>
  <c r="G13" i="46"/>
  <c r="G30" i="46"/>
  <c r="G25" i="46"/>
  <c r="G50" i="46"/>
  <c r="G23" i="46"/>
  <c r="G31" i="46"/>
  <c r="G38" i="46"/>
  <c r="F7" i="48"/>
  <c r="I7" i="46"/>
  <c r="J1" i="72" s="1"/>
  <c r="J13" i="46"/>
  <c r="J45" i="46" s="1"/>
  <c r="B7" i="48"/>
  <c r="E7" i="46"/>
  <c r="F1" i="72" s="1"/>
  <c r="V7" i="41"/>
  <c r="V13" i="41" s="1"/>
  <c r="W117" i="41" s="1"/>
  <c r="R13" i="16"/>
  <c r="R7" i="24"/>
  <c r="R13" i="24" s="1"/>
  <c r="J111" i="40"/>
  <c r="H63" i="40"/>
  <c r="AC76" i="40"/>
  <c r="AG76" i="40" s="1"/>
  <c r="R17" i="21"/>
  <c r="J112" i="40"/>
  <c r="R117" i="40"/>
  <c r="R119" i="40" s="1"/>
  <c r="F115" i="22"/>
  <c r="G25" i="51" s="1"/>
  <c r="B115" i="22"/>
  <c r="C25" i="51" s="1"/>
  <c r="X8" i="40"/>
  <c r="AC78" i="40"/>
  <c r="AG78" i="40" s="1"/>
  <c r="J72" i="40"/>
  <c r="F111" i="22"/>
  <c r="G21" i="51" s="1"/>
  <c r="AC77" i="40"/>
  <c r="AG77" i="40" s="1"/>
  <c r="H31" i="21"/>
  <c r="AC67" i="40"/>
  <c r="AG67" i="40" s="1"/>
  <c r="AC58" i="40"/>
  <c r="AG58" i="40" s="1"/>
  <c r="X11" i="40"/>
  <c r="D117" i="40"/>
  <c r="D119" i="40" s="1"/>
  <c r="R13" i="4"/>
  <c r="S45" i="4" s="1"/>
  <c r="R111" i="22"/>
  <c r="W21" i="51" s="1"/>
  <c r="V115" i="22"/>
  <c r="AC25" i="51" s="1"/>
  <c r="Z57" i="22"/>
  <c r="AD57" i="22" s="1"/>
  <c r="V112" i="22"/>
  <c r="AC22" i="51" s="1"/>
  <c r="V20" i="21"/>
  <c r="AC10" i="40"/>
  <c r="AG10" i="40" s="1"/>
  <c r="B31" i="21"/>
  <c r="AC70" i="40"/>
  <c r="AG70" i="40" s="1"/>
  <c r="AC55" i="40"/>
  <c r="AG55" i="40" s="1"/>
  <c r="Z55" i="22"/>
  <c r="AD55" i="22" s="1"/>
  <c r="F20" i="21"/>
  <c r="AC61" i="40"/>
  <c r="AG61" i="40" s="1"/>
  <c r="V29" i="21"/>
  <c r="AC59" i="40"/>
  <c r="AG59" i="40" s="1"/>
  <c r="AC20" i="40"/>
  <c r="AG20" i="40" s="1"/>
  <c r="Z78" i="22"/>
  <c r="AD78" i="22" s="1"/>
  <c r="Z59" i="22"/>
  <c r="AD59" i="22" s="1"/>
  <c r="Z77" i="22"/>
  <c r="AD77" i="22" s="1"/>
  <c r="Z54" i="22"/>
  <c r="AD54" i="22" s="1"/>
  <c r="Z56" i="22"/>
  <c r="AD56" i="22" s="1"/>
  <c r="Z66" i="22"/>
  <c r="AD66" i="22" s="1"/>
  <c r="Z67" i="22"/>
  <c r="AD67" i="22" s="1"/>
  <c r="V114" i="22"/>
  <c r="AC24" i="51" s="1"/>
  <c r="V116" i="22"/>
  <c r="AC26" i="51" s="1"/>
  <c r="V19" i="21"/>
  <c r="B112" i="22"/>
  <c r="C22" i="51" s="1"/>
  <c r="Z80" i="22"/>
  <c r="AD80" i="22" s="1"/>
  <c r="AC69" i="40"/>
  <c r="AC116" i="40" s="1"/>
  <c r="AC57" i="40"/>
  <c r="X22" i="40"/>
  <c r="Z82" i="22"/>
  <c r="AD82" i="22" s="1"/>
  <c r="AC63" i="40"/>
  <c r="AG63" i="40" s="1"/>
  <c r="AC68" i="40"/>
  <c r="AG68" i="40" s="1"/>
  <c r="H112" i="22"/>
  <c r="K22" i="51" s="1"/>
  <c r="V111" i="22"/>
  <c r="AC21" i="51" s="1"/>
  <c r="Z70" i="22"/>
  <c r="AD70" i="22" s="1"/>
  <c r="AB72" i="40"/>
  <c r="Z61" i="22"/>
  <c r="AD61" i="22" s="1"/>
  <c r="X17" i="21"/>
  <c r="B111" i="22"/>
  <c r="C21" i="51" s="1"/>
  <c r="V31" i="21"/>
  <c r="Z23" i="22"/>
  <c r="AD23" i="22" s="1"/>
  <c r="Z24" i="22"/>
  <c r="AD24" i="22" s="1"/>
  <c r="Z37" i="24"/>
  <c r="Z18" i="24"/>
  <c r="AC41" i="40"/>
  <c r="AG41" i="40" s="1"/>
  <c r="AC43" i="40"/>
  <c r="AG43" i="40" s="1"/>
  <c r="P71" i="24"/>
  <c r="P72" i="24" s="1"/>
  <c r="Z38" i="24"/>
  <c r="Z11" i="24"/>
  <c r="Z16" i="24"/>
  <c r="Z46" i="24"/>
  <c r="H20" i="40"/>
  <c r="Z20" i="22"/>
  <c r="AD20" i="22" s="1"/>
  <c r="B75" i="18"/>
  <c r="Z17" i="24"/>
  <c r="X23" i="40"/>
  <c r="Z22" i="24"/>
  <c r="Z45" i="24"/>
  <c r="H68" i="24"/>
  <c r="H69" i="24" s="1"/>
  <c r="Z31" i="24"/>
  <c r="Z34" i="24"/>
  <c r="Z45" i="22"/>
  <c r="AD45" i="22" s="1"/>
  <c r="Z18" i="22"/>
  <c r="AD18" i="22" s="1"/>
  <c r="AC23" i="40"/>
  <c r="AG23" i="40" s="1"/>
  <c r="X27" i="40"/>
  <c r="H102" i="22"/>
  <c r="K14" i="51" s="1"/>
  <c r="Z25" i="24"/>
  <c r="AC18" i="40"/>
  <c r="AG18" i="40" s="1"/>
  <c r="Z41" i="22"/>
  <c r="AD41" i="22" s="1"/>
  <c r="R71" i="24"/>
  <c r="R72" i="24" s="1"/>
  <c r="Z27" i="24"/>
  <c r="Z8" i="22"/>
  <c r="AD8" i="22" s="1"/>
  <c r="Z41" i="24"/>
  <c r="Z44" i="24"/>
  <c r="Z40" i="24"/>
  <c r="Z40" i="22"/>
  <c r="AD40" i="22" s="1"/>
  <c r="B102" i="22"/>
  <c r="C14" i="51" s="1"/>
  <c r="Z35" i="24"/>
  <c r="AC27" i="40"/>
  <c r="AG27" i="40" s="1"/>
  <c r="Z43" i="22"/>
  <c r="AD43" i="22" s="1"/>
  <c r="U137" i="41"/>
  <c r="U127" i="41"/>
  <c r="U80" i="41"/>
  <c r="U48" i="41"/>
  <c r="T3" i="41"/>
  <c r="U28" i="41"/>
  <c r="U139" i="41"/>
  <c r="U117" i="41"/>
  <c r="U39" i="41"/>
  <c r="U125" i="41"/>
  <c r="U129" i="41"/>
  <c r="U77" i="41"/>
  <c r="U34" i="41"/>
  <c r="U67" i="41"/>
  <c r="U18" i="41"/>
  <c r="U17" i="41"/>
  <c r="U36" i="41"/>
  <c r="U111" i="41"/>
  <c r="U45" i="41"/>
  <c r="U33" i="41"/>
  <c r="U105" i="41"/>
  <c r="U27" i="41"/>
  <c r="U78" i="41"/>
  <c r="U76" i="41"/>
  <c r="U114" i="41"/>
  <c r="U128" i="41"/>
  <c r="U62" i="41"/>
  <c r="U143" i="41"/>
  <c r="U65" i="41"/>
  <c r="U53" i="41"/>
  <c r="U86" i="41"/>
  <c r="U146" i="41"/>
  <c r="U130" i="41"/>
  <c r="U144" i="41"/>
  <c r="U138" i="41"/>
  <c r="U58" i="41"/>
  <c r="U141" i="41"/>
  <c r="U124" i="41"/>
  <c r="U46" i="41"/>
  <c r="U126" i="41"/>
  <c r="U56" i="41"/>
  <c r="U70" i="41"/>
  <c r="U41" i="41"/>
  <c r="U104" i="41"/>
  <c r="U54" i="41"/>
  <c r="U131" i="41"/>
  <c r="U63" i="41"/>
  <c r="U19" i="41"/>
  <c r="U30" i="41"/>
  <c r="U64" i="41"/>
  <c r="U40" i="41"/>
  <c r="U29" i="41"/>
  <c r="U32" i="41"/>
  <c r="U149" i="41"/>
  <c r="U7" i="41"/>
  <c r="U115" i="41"/>
  <c r="U35" i="41"/>
  <c r="U123" i="41"/>
  <c r="U55" i="41"/>
  <c r="U142" i="41"/>
  <c r="U12" i="41"/>
  <c r="U24" i="41"/>
  <c r="U88" i="41"/>
  <c r="U20" i="41"/>
  <c r="U140" i="41"/>
  <c r="U145" i="41"/>
  <c r="U26" i="41"/>
  <c r="U148" i="41"/>
  <c r="U13" i="41"/>
  <c r="U113" i="41"/>
  <c r="U68" i="41"/>
  <c r="U8" i="41"/>
  <c r="U112" i="41"/>
  <c r="U72" i="41"/>
  <c r="U60" i="41"/>
  <c r="U59" i="41"/>
  <c r="U71" i="41"/>
  <c r="U116" i="41"/>
  <c r="U61" i="41"/>
  <c r="U69" i="41"/>
  <c r="U79" i="41"/>
  <c r="U57" i="41"/>
  <c r="U10" i="41"/>
  <c r="U66" i="41"/>
  <c r="U31" i="41"/>
  <c r="U23" i="41"/>
  <c r="U37" i="41"/>
  <c r="U16" i="41"/>
  <c r="U43" i="41"/>
  <c r="U38" i="41"/>
  <c r="U9" i="41"/>
  <c r="U21" i="41"/>
  <c r="U25" i="41"/>
  <c r="U11" i="41"/>
  <c r="U82" i="41"/>
  <c r="U22" i="41"/>
  <c r="F72" i="22"/>
  <c r="B17" i="21"/>
  <c r="P160" i="41"/>
  <c r="Z65" i="22"/>
  <c r="AD65" i="22" s="1"/>
  <c r="Z21" i="22"/>
  <c r="AD21" i="22" s="1"/>
  <c r="Z64" i="22"/>
  <c r="AD64" i="22" s="1"/>
  <c r="Z27" i="22"/>
  <c r="AD27" i="22" s="1"/>
  <c r="V115" i="40"/>
  <c r="H57" i="40"/>
  <c r="H114" i="40" s="1"/>
  <c r="Z28" i="22"/>
  <c r="AD28" i="22" s="1"/>
  <c r="B20" i="21"/>
  <c r="H72" i="22"/>
  <c r="P102" i="22"/>
  <c r="U14" i="51" s="1"/>
  <c r="Z34" i="22"/>
  <c r="AD34" i="22" s="1"/>
  <c r="B11" i="21"/>
  <c r="H27" i="40"/>
  <c r="V13" i="22"/>
  <c r="W30" i="22" s="1"/>
  <c r="X31" i="40"/>
  <c r="AC53" i="40"/>
  <c r="W10" i="22"/>
  <c r="H46" i="40"/>
  <c r="H104" i="40" s="1"/>
  <c r="N117" i="40"/>
  <c r="N119" i="40" s="1"/>
  <c r="AC38" i="40"/>
  <c r="AG38" i="40" s="1"/>
  <c r="AC32" i="40"/>
  <c r="AG32" i="40" s="1"/>
  <c r="Z11" i="22"/>
  <c r="AD11" i="22" s="1"/>
  <c r="Z44" i="22"/>
  <c r="AD44" i="22" s="1"/>
  <c r="Z35" i="22"/>
  <c r="AD35" i="22" s="1"/>
  <c r="Z19" i="22"/>
  <c r="AD19" i="22" s="1"/>
  <c r="AC24" i="40"/>
  <c r="AG24" i="40" s="1"/>
  <c r="AC64" i="40"/>
  <c r="AG64" i="40" s="1"/>
  <c r="AC45" i="40"/>
  <c r="AG45" i="40" s="1"/>
  <c r="H20" i="21"/>
  <c r="V11" i="21"/>
  <c r="V17" i="21"/>
  <c r="AC62" i="40"/>
  <c r="AG62" i="40" s="1"/>
  <c r="W11" i="22"/>
  <c r="L25" i="21"/>
  <c r="Z102" i="40"/>
  <c r="AC36" i="40"/>
  <c r="AG36" i="40" s="1"/>
  <c r="Z32" i="22"/>
  <c r="AD32" i="22" s="1"/>
  <c r="Z29" i="24"/>
  <c r="Z39" i="24"/>
  <c r="AC39" i="40"/>
  <c r="AG39" i="40" s="1"/>
  <c r="Z23" i="24"/>
  <c r="AC82" i="40"/>
  <c r="AG82" i="40" s="1"/>
  <c r="N31" i="25"/>
  <c r="X22" i="21"/>
  <c r="X115" i="22"/>
  <c r="AE25" i="51" s="1"/>
  <c r="X72" i="22"/>
  <c r="Y72" i="22" s="1"/>
  <c r="X114" i="22"/>
  <c r="AE24" i="51" s="1"/>
  <c r="AA112" i="40"/>
  <c r="X116" i="22"/>
  <c r="AE26" i="51" s="1"/>
  <c r="X24" i="21"/>
  <c r="I9" i="22"/>
  <c r="Z58" i="22"/>
  <c r="Z8" i="24"/>
  <c r="Z9" i="22"/>
  <c r="AD9" i="22" s="1"/>
  <c r="Z10" i="22"/>
  <c r="AD10" i="22" s="1"/>
  <c r="X113" i="22"/>
  <c r="AE23" i="51" s="1"/>
  <c r="X21" i="21"/>
  <c r="H113" i="22"/>
  <c r="K23" i="51" s="1"/>
  <c r="H21" i="21"/>
  <c r="H29" i="21"/>
  <c r="F112" i="22"/>
  <c r="G22" i="51" s="1"/>
  <c r="F19" i="21"/>
  <c r="F49" i="25"/>
  <c r="X20" i="21"/>
  <c r="X112" i="22"/>
  <c r="AE22" i="51" s="1"/>
  <c r="H11" i="21"/>
  <c r="H104" i="22"/>
  <c r="K16" i="51" s="1"/>
  <c r="H71" i="24"/>
  <c r="H72" i="24" s="1"/>
  <c r="AA13" i="40"/>
  <c r="B65" i="25"/>
  <c r="B66" i="25" s="1"/>
  <c r="AC56" i="40"/>
  <c r="AG56" i="40" s="1"/>
  <c r="F114" i="22"/>
  <c r="G24" i="51" s="1"/>
  <c r="Z79" i="22"/>
  <c r="AD79" i="22" s="1"/>
  <c r="Z38" i="22"/>
  <c r="AD38" i="22" s="1"/>
  <c r="R19" i="21"/>
  <c r="K10" i="22"/>
  <c r="Z39" i="22"/>
  <c r="I11" i="22"/>
  <c r="AA114" i="40"/>
  <c r="AA115" i="40"/>
  <c r="N9" i="25"/>
  <c r="N71" i="25" s="1"/>
  <c r="N72" i="25" s="1"/>
  <c r="AC11" i="40"/>
  <c r="AG11" i="40" s="1"/>
  <c r="N25" i="25"/>
  <c r="AC40" i="40"/>
  <c r="AG40" i="40" s="1"/>
  <c r="AC21" i="40"/>
  <c r="AG21" i="40" s="1"/>
  <c r="AC54" i="40"/>
  <c r="AG54" i="40" s="1"/>
  <c r="F71" i="25"/>
  <c r="F72" i="25" s="1"/>
  <c r="I49" i="25"/>
  <c r="F113" i="22"/>
  <c r="G23" i="51" s="1"/>
  <c r="F21" i="21"/>
  <c r="H22" i="21"/>
  <c r="H115" i="22"/>
  <c r="K25" i="51" s="1"/>
  <c r="H17" i="21"/>
  <c r="V21" i="21"/>
  <c r="V113" i="22"/>
  <c r="AC23" i="51" s="1"/>
  <c r="P68" i="24"/>
  <c r="P69" i="24" s="1"/>
  <c r="Z53" i="22"/>
  <c r="AD53" i="22" s="1"/>
  <c r="L117" i="40"/>
  <c r="L119" i="40" s="1"/>
  <c r="Z69" i="22"/>
  <c r="Z116" i="22" s="1"/>
  <c r="V72" i="22"/>
  <c r="AC35" i="40"/>
  <c r="AG35" i="40" s="1"/>
  <c r="N47" i="25"/>
  <c r="L117" i="22"/>
  <c r="L119" i="22" s="1"/>
  <c r="B114" i="40"/>
  <c r="P30" i="40"/>
  <c r="J65" i="25"/>
  <c r="J66" i="25" s="1"/>
  <c r="X31" i="21"/>
  <c r="H116" i="22"/>
  <c r="K26" i="51" s="1"/>
  <c r="H24" i="21"/>
  <c r="AA111" i="40"/>
  <c r="AA72" i="40"/>
  <c r="X111" i="22"/>
  <c r="AE21" i="51" s="1"/>
  <c r="AC30" i="40"/>
  <c r="AG30" i="40" s="1"/>
  <c r="B72" i="22"/>
  <c r="AC31" i="40"/>
  <c r="AG31" i="40" s="1"/>
  <c r="J102" i="40"/>
  <c r="H69" i="40"/>
  <c r="H116" i="40" s="1"/>
  <c r="N27" i="25"/>
  <c r="R68" i="24"/>
  <c r="R69" i="24" s="1"/>
  <c r="B19" i="21"/>
  <c r="X29" i="21"/>
  <c r="H19" i="21"/>
  <c r="Z25" i="22"/>
  <c r="AD25" i="22" s="1"/>
  <c r="AC60" i="40"/>
  <c r="AG60" i="40" s="1"/>
  <c r="AC80" i="40"/>
  <c r="AG80" i="40" s="1"/>
  <c r="AC25" i="40"/>
  <c r="AG25" i="40" s="1"/>
  <c r="AC9" i="40"/>
  <c r="AG9" i="40" s="1"/>
  <c r="B29" i="21"/>
  <c r="AC66" i="40"/>
  <c r="U17" i="22"/>
  <c r="U31" i="22"/>
  <c r="Q61" i="34"/>
  <c r="Y62" i="34"/>
  <c r="J113" i="22"/>
  <c r="M23" i="51" s="1"/>
  <c r="J21" i="21"/>
  <c r="Z10" i="24"/>
  <c r="H54" i="40"/>
  <c r="H111" i="40" s="1"/>
  <c r="AC44" i="40"/>
  <c r="AG44" i="40" s="1"/>
  <c r="R20" i="21"/>
  <c r="H21" i="40"/>
  <c r="J33" i="21"/>
  <c r="X39" i="40"/>
  <c r="X32" i="40"/>
  <c r="X79" i="40"/>
  <c r="X41" i="40"/>
  <c r="T113" i="40"/>
  <c r="X63" i="40"/>
  <c r="X113" i="40" s="1"/>
  <c r="X59" i="40"/>
  <c r="V112" i="40"/>
  <c r="B114" i="22"/>
  <c r="C24" i="51" s="1"/>
  <c r="P116" i="22"/>
  <c r="U26" i="51" s="1"/>
  <c r="P24" i="21"/>
  <c r="P72" i="22"/>
  <c r="P111" i="22"/>
  <c r="U21" i="51" s="1"/>
  <c r="P17" i="21"/>
  <c r="X10" i="40"/>
  <c r="U36" i="22"/>
  <c r="Z36" i="24"/>
  <c r="R112" i="22"/>
  <c r="W22" i="51" s="1"/>
  <c r="J29" i="21"/>
  <c r="J31" i="21"/>
  <c r="J116" i="22"/>
  <c r="M26" i="51" s="1"/>
  <c r="J24" i="21"/>
  <c r="K11" i="22"/>
  <c r="X70" i="40"/>
  <c r="X76" i="40"/>
  <c r="X80" i="40"/>
  <c r="X37" i="40"/>
  <c r="X58" i="40"/>
  <c r="B115" i="40"/>
  <c r="AC65" i="40"/>
  <c r="AG65" i="40" s="1"/>
  <c r="F12" i="25"/>
  <c r="F65" i="25"/>
  <c r="F66" i="25" s="1"/>
  <c r="X24" i="40"/>
  <c r="X53" i="40"/>
  <c r="V111" i="40"/>
  <c r="V72" i="40"/>
  <c r="P114" i="22"/>
  <c r="U24" i="51" s="1"/>
  <c r="P21" i="21"/>
  <c r="P113" i="22"/>
  <c r="U23" i="51" s="1"/>
  <c r="X62" i="40"/>
  <c r="AC8" i="40"/>
  <c r="AG8" i="40" s="1"/>
  <c r="X44" i="40"/>
  <c r="J112" i="22"/>
  <c r="M22" i="51" s="1"/>
  <c r="J20" i="21"/>
  <c r="X77" i="40"/>
  <c r="X55" i="40"/>
  <c r="X38" i="40"/>
  <c r="X9" i="40"/>
  <c r="V114" i="40"/>
  <c r="S11" i="22"/>
  <c r="P33" i="21"/>
  <c r="P19" i="21"/>
  <c r="P11" i="21"/>
  <c r="P104" i="22"/>
  <c r="U16" i="51" s="1"/>
  <c r="Y16" i="51" s="1"/>
  <c r="E55" i="25"/>
  <c r="X19" i="40"/>
  <c r="Z60" i="22"/>
  <c r="AD60" i="22" s="1"/>
  <c r="B49" i="25"/>
  <c r="B62" i="25" s="1"/>
  <c r="B63" i="25" s="1"/>
  <c r="U64" i="22"/>
  <c r="AC19" i="40"/>
  <c r="AG19" i="40" s="1"/>
  <c r="R72" i="22"/>
  <c r="R116" i="22"/>
  <c r="W26" i="51" s="1"/>
  <c r="R24" i="21"/>
  <c r="J18" i="21"/>
  <c r="X34" i="40"/>
  <c r="X69" i="40"/>
  <c r="X116" i="40" s="1"/>
  <c r="T116" i="40"/>
  <c r="X25" i="40"/>
  <c r="X64" i="40"/>
  <c r="T112" i="40"/>
  <c r="T114" i="40"/>
  <c r="X57" i="40"/>
  <c r="P29" i="21"/>
  <c r="P30" i="21"/>
  <c r="Z30" i="21" s="1"/>
  <c r="P18" i="21"/>
  <c r="T115" i="40"/>
  <c r="X66" i="40"/>
  <c r="U55" i="22"/>
  <c r="Z30" i="24"/>
  <c r="AC79" i="40"/>
  <c r="AG79" i="40" s="1"/>
  <c r="Z76" i="22"/>
  <c r="AD76" i="22" s="1"/>
  <c r="Z62" i="22"/>
  <c r="AD62" i="22" s="1"/>
  <c r="Z46" i="22"/>
  <c r="AD46" i="22" s="1"/>
  <c r="U61" i="22"/>
  <c r="I65" i="25"/>
  <c r="I66" i="25" s="1"/>
  <c r="J111" i="22"/>
  <c r="M21" i="51" s="1"/>
  <c r="Q21" i="51" s="1"/>
  <c r="J17" i="21"/>
  <c r="J72" i="22"/>
  <c r="X68" i="40"/>
  <c r="X21" i="40"/>
  <c r="X60" i="40"/>
  <c r="T72" i="40"/>
  <c r="T111" i="40"/>
  <c r="X28" i="40"/>
  <c r="P22" i="21"/>
  <c r="P115" i="22"/>
  <c r="U25" i="51" s="1"/>
  <c r="Y25" i="51" s="1"/>
  <c r="X40" i="40"/>
  <c r="Z26" i="24"/>
  <c r="Z68" i="22"/>
  <c r="AD68" i="22" s="1"/>
  <c r="Z36" i="22"/>
  <c r="AD36" i="22" s="1"/>
  <c r="R113" i="22"/>
  <c r="W23" i="51" s="1"/>
  <c r="R21" i="21"/>
  <c r="J104" i="22"/>
  <c r="M16" i="51" s="1"/>
  <c r="J11" i="21"/>
  <c r="J115" i="22"/>
  <c r="M25" i="51" s="1"/>
  <c r="J22" i="21"/>
  <c r="T102" i="40"/>
  <c r="X65" i="40"/>
  <c r="X82" i="40"/>
  <c r="X54" i="40"/>
  <c r="X36" i="40"/>
  <c r="B112" i="40"/>
  <c r="H59" i="40"/>
  <c r="H112" i="40" s="1"/>
  <c r="F68" i="25"/>
  <c r="F69" i="25" s="1"/>
  <c r="P23" i="21"/>
  <c r="Z23" i="21" s="1"/>
  <c r="P31" i="21"/>
  <c r="P112" i="22"/>
  <c r="U22" i="51" s="1"/>
  <c r="P20" i="21"/>
  <c r="X33" i="40"/>
  <c r="Z30" i="22"/>
  <c r="AD30" i="22" s="1"/>
  <c r="Z63" i="22"/>
  <c r="AD63" i="22" s="1"/>
  <c r="R31" i="21"/>
  <c r="R114" i="22"/>
  <c r="W24" i="51" s="1"/>
  <c r="J19" i="21"/>
  <c r="J114" i="22"/>
  <c r="M24" i="51" s="1"/>
  <c r="Q24" i="51" s="1"/>
  <c r="T104" i="40"/>
  <c r="X46" i="40"/>
  <c r="X104" i="40" s="1"/>
  <c r="X18" i="40"/>
  <c r="X45" i="40"/>
  <c r="X61" i="40"/>
  <c r="X56" i="40"/>
  <c r="X43" i="40"/>
  <c r="B72" i="40"/>
  <c r="B111" i="40"/>
  <c r="X78" i="40"/>
  <c r="X67" i="40"/>
  <c r="X30" i="40"/>
  <c r="B113" i="22"/>
  <c r="C23" i="51" s="1"/>
  <c r="B21" i="21"/>
  <c r="Q10" i="22"/>
  <c r="Z123" i="4"/>
  <c r="Z125" i="4" s="1"/>
  <c r="U76" i="22"/>
  <c r="U45" i="22"/>
  <c r="U35" i="22"/>
  <c r="U68" i="22"/>
  <c r="U40" i="22"/>
  <c r="U25" i="22"/>
  <c r="U77" i="22"/>
  <c r="U27" i="22"/>
  <c r="U20" i="22"/>
  <c r="U21" i="22"/>
  <c r="AE160" i="41"/>
  <c r="M55" i="25"/>
  <c r="M75" i="25" s="1"/>
  <c r="Y44" i="22"/>
  <c r="Y17" i="22"/>
  <c r="Y82" i="22"/>
  <c r="Y100" i="22"/>
  <c r="Y76" i="22"/>
  <c r="Y77" i="22"/>
  <c r="Y62" i="22"/>
  <c r="Y104" i="22"/>
  <c r="Y53" i="22"/>
  <c r="Y56" i="22"/>
  <c r="Y59" i="22"/>
  <c r="Y30" i="22"/>
  <c r="Y18" i="22"/>
  <c r="Y16" i="22"/>
  <c r="Y54" i="22"/>
  <c r="Y58" i="22"/>
  <c r="Y107" i="22"/>
  <c r="Y22" i="22"/>
  <c r="Y48" i="22"/>
  <c r="Y52" i="22"/>
  <c r="Y45" i="22"/>
  <c r="Y55" i="22"/>
  <c r="Y68" i="22"/>
  <c r="Y71" i="22"/>
  <c r="Y85" i="22"/>
  <c r="Y69" i="22"/>
  <c r="Y80" i="22"/>
  <c r="X7" i="21"/>
  <c r="Y64" i="22"/>
  <c r="Y86" i="22"/>
  <c r="Y78" i="22"/>
  <c r="Y46" i="22"/>
  <c r="Y28" i="22"/>
  <c r="Y88" i="22"/>
  <c r="X98" i="22"/>
  <c r="Y98" i="22" s="1"/>
  <c r="Y67" i="22"/>
  <c r="Y70" i="22"/>
  <c r="Y35" i="22"/>
  <c r="Y19" i="22"/>
  <c r="Y84" i="22"/>
  <c r="Y97" i="22"/>
  <c r="Y24" i="22"/>
  <c r="Y60" i="22"/>
  <c r="Y41" i="22"/>
  <c r="Y40" i="22"/>
  <c r="Y32" i="22"/>
  <c r="Y90" i="22"/>
  <c r="Y33" i="22"/>
  <c r="Y95" i="22"/>
  <c r="Y96" i="22"/>
  <c r="Y66" i="22"/>
  <c r="Y20" i="22"/>
  <c r="Y39" i="22"/>
  <c r="Y36" i="22"/>
  <c r="Y63" i="22"/>
  <c r="Y74" i="22"/>
  <c r="Y25" i="22"/>
  <c r="Y57" i="22"/>
  <c r="Y31" i="22"/>
  <c r="Y27" i="22"/>
  <c r="Y109" i="22"/>
  <c r="Y110" i="22"/>
  <c r="Y73" i="22"/>
  <c r="Y65" i="22"/>
  <c r="Y38" i="22"/>
  <c r="Y79" i="22"/>
  <c r="Y23" i="22"/>
  <c r="Y75" i="22"/>
  <c r="Y13" i="22"/>
  <c r="Y7" i="22"/>
  <c r="Y61" i="22"/>
  <c r="Y93" i="22"/>
  <c r="Y43" i="22"/>
  <c r="AB117" i="40"/>
  <c r="Y21" i="22"/>
  <c r="AC158" i="41"/>
  <c r="AC160" i="41" s="1"/>
  <c r="AC142" i="41"/>
  <c r="AE31" i="22"/>
  <c r="AE37" i="22"/>
  <c r="AC37" i="22"/>
  <c r="AC7" i="22"/>
  <c r="AE28" i="22"/>
  <c r="AE18" i="22"/>
  <c r="AE16" i="22"/>
  <c r="AE19" i="22"/>
  <c r="AC32" i="22"/>
  <c r="N75" i="18"/>
  <c r="N56" i="18"/>
  <c r="AE89" i="40"/>
  <c r="H117" i="41"/>
  <c r="H134" i="41"/>
  <c r="H113" i="40"/>
  <c r="U104" i="22"/>
  <c r="N117" i="22"/>
  <c r="Z135" i="4"/>
  <c r="AC18" i="22"/>
  <c r="AE32" i="22"/>
  <c r="AC47" i="22"/>
  <c r="AC9" i="22"/>
  <c r="AI50" i="34"/>
  <c r="I62" i="34"/>
  <c r="U24" i="22"/>
  <c r="D119" i="41"/>
  <c r="H22" i="40"/>
  <c r="AC22" i="40"/>
  <c r="H160" i="41"/>
  <c r="H161" i="41"/>
  <c r="Z143" i="4"/>
  <c r="AB98" i="40"/>
  <c r="L104" i="22"/>
  <c r="O16" i="51" s="1"/>
  <c r="L11" i="21"/>
  <c r="AC22" i="22"/>
  <c r="X117" i="41"/>
  <c r="AD144" i="41"/>
  <c r="AD148" i="41"/>
  <c r="AD146" i="41"/>
  <c r="AD137" i="41"/>
  <c r="AD139" i="41"/>
  <c r="AD141" i="41"/>
  <c r="AD140" i="41"/>
  <c r="AD138" i="41"/>
  <c r="AD143" i="41"/>
  <c r="AC49" i="22"/>
  <c r="AE49" i="22"/>
  <c r="AC10" i="21"/>
  <c r="Z144" i="4"/>
  <c r="F11" i="21"/>
  <c r="F104" i="22"/>
  <c r="G16" i="51" s="1"/>
  <c r="I16" i="51" s="1"/>
  <c r="N25" i="21"/>
  <c r="X35" i="40"/>
  <c r="AC34" i="22"/>
  <c r="E11" i="27"/>
  <c r="E27" i="27"/>
  <c r="E10" i="27"/>
  <c r="E20" i="27"/>
  <c r="E26" i="27"/>
  <c r="E38" i="27"/>
  <c r="E15" i="27"/>
  <c r="E44" i="27"/>
  <c r="E29" i="27"/>
  <c r="E45" i="27"/>
  <c r="E12" i="27"/>
  <c r="E14" i="27"/>
  <c r="E36" i="27"/>
  <c r="D50" i="27"/>
  <c r="E9" i="27"/>
  <c r="E42" i="27"/>
  <c r="E28" i="27"/>
  <c r="E13" i="27"/>
  <c r="E16" i="27"/>
  <c r="E32" i="27"/>
  <c r="E8" i="27"/>
  <c r="E43" i="27"/>
  <c r="E18" i="27"/>
  <c r="E25" i="27"/>
  <c r="E49" i="27"/>
  <c r="E22" i="27"/>
  <c r="E30" i="27"/>
  <c r="H28" i="40"/>
  <c r="AC28" i="40"/>
  <c r="D75" i="25"/>
  <c r="D56" i="25"/>
  <c r="H115" i="40"/>
  <c r="AC43" i="22"/>
  <c r="AC48" i="22"/>
  <c r="AC53" i="22"/>
  <c r="AC59" i="22"/>
  <c r="AC79" i="22"/>
  <c r="AC80" i="22"/>
  <c r="AC39" i="22"/>
  <c r="AE43" i="22"/>
  <c r="AC61" i="22"/>
  <c r="AE48" i="22"/>
  <c r="AC57" i="22"/>
  <c r="AC70" i="22"/>
  <c r="AC76" i="22"/>
  <c r="AE45" i="22"/>
  <c r="AC58" i="22"/>
  <c r="AC82" i="22"/>
  <c r="AC56" i="22"/>
  <c r="AC77" i="22"/>
  <c r="AC64" i="22"/>
  <c r="AC81" i="22"/>
  <c r="AC54" i="22"/>
  <c r="AC60" i="22"/>
  <c r="AC66" i="22"/>
  <c r="AC78" i="22"/>
  <c r="AC67" i="22"/>
  <c r="AC62" i="22"/>
  <c r="AC68" i="22"/>
  <c r="AC87" i="22"/>
  <c r="AC45" i="22"/>
  <c r="AC65" i="22"/>
  <c r="AC71" i="22"/>
  <c r="AC7" i="21"/>
  <c r="AD25" i="21" s="1"/>
  <c r="AC69" i="22"/>
  <c r="AC63" i="22"/>
  <c r="AC55" i="22"/>
  <c r="AB85" i="22"/>
  <c r="AC72" i="22"/>
  <c r="AE39" i="22"/>
  <c r="AC24" i="22"/>
  <c r="AC46" i="22"/>
  <c r="AE24" i="22"/>
  <c r="AC83" i="22"/>
  <c r="AE46" i="22"/>
  <c r="D117" i="22"/>
  <c r="P115" i="40"/>
  <c r="I62" i="37"/>
  <c r="I59" i="37"/>
  <c r="K56" i="37"/>
  <c r="AC16" i="22"/>
  <c r="P34" i="40"/>
  <c r="V119" i="41"/>
  <c r="I56" i="18"/>
  <c r="I75" i="18"/>
  <c r="U57" i="22"/>
  <c r="U22" i="22"/>
  <c r="J62" i="25"/>
  <c r="J63" i="25" s="1"/>
  <c r="J55" i="25"/>
  <c r="Z22" i="22"/>
  <c r="B119" i="41"/>
  <c r="T25" i="21"/>
  <c r="U39" i="22"/>
  <c r="N104" i="40"/>
  <c r="U46" i="22"/>
  <c r="AE22" i="22"/>
  <c r="AC25" i="22"/>
  <c r="U56" i="22"/>
  <c r="U39" i="37"/>
  <c r="U112" i="22"/>
  <c r="T119" i="41"/>
  <c r="X17" i="40"/>
  <c r="T101" i="40"/>
  <c r="AE34" i="22"/>
  <c r="AE41" i="22"/>
  <c r="U80" i="37"/>
  <c r="G56" i="25"/>
  <c r="G75" i="25"/>
  <c r="K62" i="25"/>
  <c r="K63" i="25" s="1"/>
  <c r="K55" i="25"/>
  <c r="X16" i="40"/>
  <c r="AE21" i="22"/>
  <c r="F119" i="41"/>
  <c r="AE17" i="22"/>
  <c r="AC33" i="22"/>
  <c r="AC27" i="22"/>
  <c r="AE106" i="29"/>
  <c r="AE108" i="29" s="1"/>
  <c r="AE25" i="22"/>
  <c r="H17" i="40"/>
  <c r="AC17" i="40"/>
  <c r="Q11" i="22"/>
  <c r="P101" i="22"/>
  <c r="U13" i="51" s="1"/>
  <c r="AG53" i="40"/>
  <c r="N119" i="41"/>
  <c r="J119" i="41"/>
  <c r="AE26" i="22"/>
  <c r="AC31" i="22"/>
  <c r="U115" i="22"/>
  <c r="P104" i="40"/>
  <c r="U114" i="22"/>
  <c r="AE23" i="22"/>
  <c r="U52" i="16"/>
  <c r="T52" i="24"/>
  <c r="AE30" i="22"/>
  <c r="X160" i="41"/>
  <c r="X161" i="41"/>
  <c r="AC21" i="22"/>
  <c r="I62" i="25"/>
  <c r="I63" i="25" s="1"/>
  <c r="I55" i="25"/>
  <c r="J75" i="18"/>
  <c r="J56" i="18"/>
  <c r="AC17" i="22"/>
  <c r="AE33" i="22"/>
  <c r="U62" i="22"/>
  <c r="AE27" i="22"/>
  <c r="U72" i="22"/>
  <c r="P115" i="41"/>
  <c r="AC38" i="22"/>
  <c r="Q62" i="34"/>
  <c r="AI57" i="34"/>
  <c r="U60" i="22"/>
  <c r="H55" i="25"/>
  <c r="H62" i="25"/>
  <c r="H63" i="25" s="1"/>
  <c r="AC29" i="22"/>
  <c r="AE20" i="22"/>
  <c r="D25" i="21"/>
  <c r="N87" i="29"/>
  <c r="N90" i="29" s="1"/>
  <c r="N89" i="29"/>
  <c r="N97" i="29"/>
  <c r="P116" i="40"/>
  <c r="F117" i="40"/>
  <c r="E11" i="22"/>
  <c r="AC23" i="22"/>
  <c r="P112" i="40"/>
  <c r="P113" i="40"/>
  <c r="AC41" i="22"/>
  <c r="AC36" i="22"/>
  <c r="U19" i="22"/>
  <c r="AE36" i="22"/>
  <c r="AC26" i="22"/>
  <c r="U66" i="22"/>
  <c r="U7" i="22"/>
  <c r="L99" i="22"/>
  <c r="U16" i="22"/>
  <c r="B57" i="37"/>
  <c r="Z164" i="4"/>
  <c r="B166" i="4"/>
  <c r="N68" i="25"/>
  <c r="N69" i="25" s="1"/>
  <c r="AC34" i="40"/>
  <c r="AD69" i="22"/>
  <c r="AE44" i="22"/>
  <c r="P161" i="41"/>
  <c r="AE35" i="22"/>
  <c r="Z16" i="22"/>
  <c r="AE38" i="22"/>
  <c r="AE72" i="41"/>
  <c r="D166" i="4"/>
  <c r="D56" i="37"/>
  <c r="Z163" i="4"/>
  <c r="O10" i="22"/>
  <c r="AE40" i="22"/>
  <c r="K63" i="37"/>
  <c r="AE29" i="22"/>
  <c r="AC20" i="22"/>
  <c r="L56" i="25"/>
  <c r="L75" i="25"/>
  <c r="T117" i="22"/>
  <c r="U117" i="22" s="1"/>
  <c r="Z149" i="4"/>
  <c r="P114" i="40"/>
  <c r="R119" i="41"/>
  <c r="P111" i="40"/>
  <c r="AC30" i="22"/>
  <c r="AE115" i="41"/>
  <c r="Q14" i="27"/>
  <c r="Q43" i="27"/>
  <c r="Q13" i="27"/>
  <c r="Q29" i="27"/>
  <c r="Q42" i="27"/>
  <c r="Q10" i="27"/>
  <c r="Q26" i="27"/>
  <c r="Q38" i="27"/>
  <c r="Q49" i="27"/>
  <c r="P50" i="27"/>
  <c r="Q15" i="27"/>
  <c r="Q25" i="27"/>
  <c r="Q8" i="27"/>
  <c r="Q18" i="27"/>
  <c r="Q27" i="27"/>
  <c r="Q12" i="27"/>
  <c r="Q45" i="27"/>
  <c r="Q36" i="27"/>
  <c r="Q9" i="27"/>
  <c r="Q20" i="27"/>
  <c r="Q28" i="27"/>
  <c r="Q32" i="27"/>
  <c r="Q44" i="27"/>
  <c r="Q11" i="27"/>
  <c r="Q16" i="27"/>
  <c r="Q30" i="27"/>
  <c r="Q22" i="27"/>
  <c r="Q47" i="27"/>
  <c r="C55" i="25"/>
  <c r="C62" i="25"/>
  <c r="C63" i="25" s="1"/>
  <c r="AC42" i="22"/>
  <c r="Z110" i="4"/>
  <c r="U93" i="22"/>
  <c r="U71" i="22"/>
  <c r="U52" i="22"/>
  <c r="U73" i="22"/>
  <c r="U84" i="22"/>
  <c r="U90" i="22"/>
  <c r="U95" i="22"/>
  <c r="T98" i="22"/>
  <c r="U98" i="22" s="1"/>
  <c r="U48" i="22"/>
  <c r="U74" i="22"/>
  <c r="U75" i="22"/>
  <c r="U109" i="22"/>
  <c r="U65" i="22"/>
  <c r="U82" i="22"/>
  <c r="T7" i="21"/>
  <c r="U96" i="22"/>
  <c r="U107" i="22"/>
  <c r="U86" i="22"/>
  <c r="U88" i="22"/>
  <c r="U110" i="22"/>
  <c r="U113" i="22"/>
  <c r="U100" i="22"/>
  <c r="U67" i="22"/>
  <c r="U13" i="22"/>
  <c r="U34" i="22"/>
  <c r="U97" i="22"/>
  <c r="U70" i="22"/>
  <c r="U78" i="22"/>
  <c r="U30" i="22"/>
  <c r="U58" i="22"/>
  <c r="U23" i="22"/>
  <c r="U80" i="22"/>
  <c r="U32" i="22"/>
  <c r="U79" i="22"/>
  <c r="U69" i="22"/>
  <c r="U41" i="22"/>
  <c r="U28" i="22"/>
  <c r="U43" i="22"/>
  <c r="U18" i="22"/>
  <c r="U53" i="22"/>
  <c r="U63" i="22"/>
  <c r="U116" i="22"/>
  <c r="U26" i="22"/>
  <c r="U59" i="22"/>
  <c r="Z129" i="4"/>
  <c r="N106" i="29"/>
  <c r="N108" i="29" s="1"/>
  <c r="Z98" i="40"/>
  <c r="U38" i="22"/>
  <c r="L119" i="41"/>
  <c r="N166" i="4"/>
  <c r="L56" i="37"/>
  <c r="AC44" i="22"/>
  <c r="Z117" i="40"/>
  <c r="Z119" i="40" s="1"/>
  <c r="AE97" i="29"/>
  <c r="AE87" i="29"/>
  <c r="AE90" i="29" s="1"/>
  <c r="AC35" i="22"/>
  <c r="U33" i="22"/>
  <c r="AC19" i="22"/>
  <c r="AE112" i="41"/>
  <c r="P72" i="41"/>
  <c r="AC40" i="22"/>
  <c r="AC16" i="40"/>
  <c r="U44" i="22"/>
  <c r="Z17" i="22"/>
  <c r="AC28" i="22"/>
  <c r="W62" i="34"/>
  <c r="AC46" i="40"/>
  <c r="U111" i="22"/>
  <c r="B55" i="25" l="1"/>
  <c r="AB91" i="48"/>
  <c r="AC89" i="48"/>
  <c r="G37" i="65"/>
  <c r="E37" i="65"/>
  <c r="K45" i="46"/>
  <c r="E45" i="46"/>
  <c r="J55" i="46"/>
  <c r="K7" i="72" s="1"/>
  <c r="D137" i="4"/>
  <c r="F139" i="4" s="1"/>
  <c r="F141" i="4" s="1"/>
  <c r="L34" i="65"/>
  <c r="M34" i="65" s="1"/>
  <c r="F102" i="22"/>
  <c r="G14" i="51" s="1"/>
  <c r="L41" i="65"/>
  <c r="M41" i="65" s="1"/>
  <c r="L37" i="65"/>
  <c r="M37" i="65" s="1"/>
  <c r="AD46" i="48"/>
  <c r="C7" i="46"/>
  <c r="D1" i="72" s="1"/>
  <c r="F102" i="40"/>
  <c r="H102" i="41"/>
  <c r="Z108" i="4"/>
  <c r="AA108" i="4" s="1"/>
  <c r="Z33" i="22"/>
  <c r="AD33" i="22" s="1"/>
  <c r="I23" i="51"/>
  <c r="AC33" i="40"/>
  <c r="AG33" i="40" s="1"/>
  <c r="F55" i="25"/>
  <c r="F75" i="25" s="1"/>
  <c r="N49" i="25"/>
  <c r="D101" i="40"/>
  <c r="H33" i="40"/>
  <c r="C20" i="46"/>
  <c r="C40" i="46"/>
  <c r="C31" i="46"/>
  <c r="C28" i="46"/>
  <c r="C50" i="46"/>
  <c r="C33" i="46"/>
  <c r="S9" i="46"/>
  <c r="C41" i="46"/>
  <c r="C30" i="46"/>
  <c r="C35" i="46"/>
  <c r="C9" i="46"/>
  <c r="C25" i="46"/>
  <c r="C32" i="46"/>
  <c r="C47" i="46"/>
  <c r="C23" i="46"/>
  <c r="Q9" i="46"/>
  <c r="C18" i="46"/>
  <c r="C34" i="46"/>
  <c r="W9" i="46"/>
  <c r="C38" i="46"/>
  <c r="C37" i="46"/>
  <c r="O9" i="46"/>
  <c r="K9" i="46"/>
  <c r="C22" i="46"/>
  <c r="C44" i="46"/>
  <c r="C21" i="46"/>
  <c r="C36" i="46"/>
  <c r="C13" i="46"/>
  <c r="Z150" i="41"/>
  <c r="C39" i="46"/>
  <c r="C46" i="46"/>
  <c r="D102" i="40"/>
  <c r="D102" i="22"/>
  <c r="E14" i="51" s="1"/>
  <c r="M9" i="46"/>
  <c r="C26" i="46"/>
  <c r="C19" i="46"/>
  <c r="C24" i="46"/>
  <c r="C29" i="46"/>
  <c r="E9" i="46"/>
  <c r="G9" i="46"/>
  <c r="C43" i="46"/>
  <c r="C27" i="46"/>
  <c r="I9" i="46"/>
  <c r="Y9" i="46"/>
  <c r="U9" i="46"/>
  <c r="AE131" i="41"/>
  <c r="Z31" i="48"/>
  <c r="AD31" i="48" s="1"/>
  <c r="N101" i="40"/>
  <c r="P37" i="40"/>
  <c r="H37" i="40"/>
  <c r="H101" i="22"/>
  <c r="K13" i="51" s="1"/>
  <c r="D101" i="22"/>
  <c r="E13" i="51" s="1"/>
  <c r="E53" i="51" s="1"/>
  <c r="E63" i="51" s="1"/>
  <c r="Z29" i="48"/>
  <c r="B101" i="40"/>
  <c r="J101" i="40"/>
  <c r="U29" i="22"/>
  <c r="X101" i="22"/>
  <c r="AE13" i="51" s="1"/>
  <c r="AG13" i="51" s="1"/>
  <c r="U102" i="22"/>
  <c r="L101" i="22"/>
  <c r="O13" i="51" s="1"/>
  <c r="O53" i="51" s="1"/>
  <c r="O63" i="51" s="1"/>
  <c r="U37" i="22"/>
  <c r="X150" i="41"/>
  <c r="X152" i="41" s="1"/>
  <c r="AC37" i="40"/>
  <c r="AG37" i="40" s="1"/>
  <c r="Z37" i="22"/>
  <c r="AD37" i="22" s="1"/>
  <c r="AE150" i="41"/>
  <c r="H150" i="41"/>
  <c r="H152" i="41" s="1"/>
  <c r="B101" i="22"/>
  <c r="C13" i="51" s="1"/>
  <c r="AC150" i="41"/>
  <c r="AC152" i="41" s="1"/>
  <c r="Y29" i="22"/>
  <c r="X139" i="4"/>
  <c r="X141" i="4" s="1"/>
  <c r="AB101" i="40"/>
  <c r="Z130" i="4"/>
  <c r="Z137" i="4" s="1"/>
  <c r="Z139" i="4" s="1"/>
  <c r="Z141" i="4" s="1"/>
  <c r="X102" i="41"/>
  <c r="X29" i="40"/>
  <c r="X102" i="40" s="1"/>
  <c r="U101" i="22"/>
  <c r="X113" i="4"/>
  <c r="Y43" i="24"/>
  <c r="Y17" i="24"/>
  <c r="Y31" i="24"/>
  <c r="Y23" i="24"/>
  <c r="Y22" i="24"/>
  <c r="Y35" i="24"/>
  <c r="Y28" i="24"/>
  <c r="Y45" i="24"/>
  <c r="Y19" i="24"/>
  <c r="Y34" i="24"/>
  <c r="Y16" i="24"/>
  <c r="Y38" i="24"/>
  <c r="Y29" i="24"/>
  <c r="Y50" i="24"/>
  <c r="Y33" i="24"/>
  <c r="Y27" i="24"/>
  <c r="Y52" i="24"/>
  <c r="Y36" i="24"/>
  <c r="Y41" i="24"/>
  <c r="Y18" i="24"/>
  <c r="Y44" i="24"/>
  <c r="Y21" i="24"/>
  <c r="Y20" i="24"/>
  <c r="Y53" i="24"/>
  <c r="Y26" i="24"/>
  <c r="Y25" i="24"/>
  <c r="Y13" i="24"/>
  <c r="Y40" i="24"/>
  <c r="Y24" i="24"/>
  <c r="Y54" i="24"/>
  <c r="Y51" i="24"/>
  <c r="Y39" i="24"/>
  <c r="Y37" i="24"/>
  <c r="Y30" i="24"/>
  <c r="Y46" i="24"/>
  <c r="Y48" i="24"/>
  <c r="Y32" i="24"/>
  <c r="S32" i="16"/>
  <c r="Y32" i="16"/>
  <c r="Y36" i="16"/>
  <c r="U32" i="16"/>
  <c r="W32" i="16"/>
  <c r="W39" i="16"/>
  <c r="U39" i="16"/>
  <c r="W36" i="16"/>
  <c r="U36" i="16"/>
  <c r="W31" i="16"/>
  <c r="U33" i="16"/>
  <c r="Y29" i="16"/>
  <c r="W33" i="16"/>
  <c r="U29" i="16"/>
  <c r="W26" i="16"/>
  <c r="U31" i="16"/>
  <c r="W29" i="16"/>
  <c r="Y31" i="16"/>
  <c r="Y33" i="16"/>
  <c r="Y37" i="16"/>
  <c r="U37" i="16"/>
  <c r="Y26" i="16"/>
  <c r="U26" i="16"/>
  <c r="S26" i="16"/>
  <c r="W37" i="16"/>
  <c r="Q23" i="16"/>
  <c r="X156" i="4"/>
  <c r="V102" i="40"/>
  <c r="W102" i="40" s="1"/>
  <c r="N65" i="25"/>
  <c r="N66" i="25" s="1"/>
  <c r="H29" i="40"/>
  <c r="K7" i="46"/>
  <c r="L1" i="72" s="1"/>
  <c r="Q20" i="16"/>
  <c r="Q19" i="16"/>
  <c r="Q32" i="16"/>
  <c r="Q38" i="16"/>
  <c r="Q34" i="16"/>
  <c r="Q28" i="16"/>
  <c r="Q27" i="16"/>
  <c r="Q33" i="16"/>
  <c r="Q40" i="16"/>
  <c r="Q43" i="16"/>
  <c r="Q37" i="16"/>
  <c r="Q54" i="16"/>
  <c r="Q18" i="16"/>
  <c r="Q7" i="16"/>
  <c r="Q44" i="16"/>
  <c r="Q30" i="16"/>
  <c r="Q46" i="16"/>
  <c r="Q53" i="16"/>
  <c r="Q13" i="16"/>
  <c r="Q22" i="16"/>
  <c r="Q31" i="16"/>
  <c r="Q25" i="16"/>
  <c r="Q48" i="16"/>
  <c r="Q24" i="16"/>
  <c r="Q26" i="16"/>
  <c r="Q36" i="16"/>
  <c r="Q17" i="16"/>
  <c r="Q16" i="16"/>
  <c r="Q39" i="16"/>
  <c r="Q45" i="16"/>
  <c r="Q21" i="16"/>
  <c r="Q29" i="16"/>
  <c r="Q35" i="16"/>
  <c r="P102" i="41"/>
  <c r="S33" i="16"/>
  <c r="S18" i="16"/>
  <c r="Z29" i="22"/>
  <c r="AD29" i="22" s="1"/>
  <c r="AE102" i="41"/>
  <c r="AC29" i="40"/>
  <c r="AG29" i="40" s="1"/>
  <c r="B102" i="40"/>
  <c r="X26" i="40"/>
  <c r="X101" i="40" s="1"/>
  <c r="P124" i="41"/>
  <c r="P131" i="41" s="1"/>
  <c r="P133" i="41" s="1"/>
  <c r="P135" i="41" s="1"/>
  <c r="L131" i="41"/>
  <c r="L102" i="40"/>
  <c r="P29" i="40"/>
  <c r="P102" i="40" s="1"/>
  <c r="H124" i="41"/>
  <c r="H131" i="41" s="1"/>
  <c r="H133" i="41" s="1"/>
  <c r="H135" i="41" s="1"/>
  <c r="B131" i="41"/>
  <c r="V131" i="41"/>
  <c r="W131" i="41" s="1"/>
  <c r="X124" i="41"/>
  <c r="X131" i="41" s="1"/>
  <c r="X133" i="41" s="1"/>
  <c r="X135" i="41" s="1"/>
  <c r="P7" i="22"/>
  <c r="P13" i="22" s="1"/>
  <c r="Q55" i="22" s="1"/>
  <c r="W60" i="22"/>
  <c r="Z68" i="24"/>
  <c r="Z69" i="24" s="1"/>
  <c r="P101" i="41"/>
  <c r="R158" i="4"/>
  <c r="F113" i="4"/>
  <c r="F158" i="4"/>
  <c r="AE101" i="41"/>
  <c r="Z107" i="4"/>
  <c r="Z113" i="4" s="1"/>
  <c r="X101" i="41"/>
  <c r="R113" i="4"/>
  <c r="U147" i="41"/>
  <c r="L158" i="4"/>
  <c r="H26" i="40"/>
  <c r="Z26" i="22"/>
  <c r="AD26" i="22" s="1"/>
  <c r="H101" i="41"/>
  <c r="N98" i="45"/>
  <c r="N106" i="45" s="1"/>
  <c r="J106" i="45"/>
  <c r="D106" i="45"/>
  <c r="H98" i="45"/>
  <c r="H106" i="45" s="1"/>
  <c r="AA13" i="34"/>
  <c r="AA53" i="34" s="1"/>
  <c r="P26" i="40"/>
  <c r="J101" i="48"/>
  <c r="M13" i="34" s="1"/>
  <c r="Z26" i="48"/>
  <c r="AC26" i="40"/>
  <c r="AG26" i="40" s="1"/>
  <c r="L113" i="4"/>
  <c r="AE14" i="34"/>
  <c r="R101" i="40"/>
  <c r="X101" i="48"/>
  <c r="AC13" i="34"/>
  <c r="L102" i="48"/>
  <c r="O14" i="34" s="1"/>
  <c r="Y23" i="51"/>
  <c r="AG24" i="51"/>
  <c r="Y22" i="51"/>
  <c r="AC114" i="40"/>
  <c r="AC27" i="51"/>
  <c r="AG22" i="51"/>
  <c r="I25" i="51"/>
  <c r="Y26" i="51"/>
  <c r="K27" i="51"/>
  <c r="AG25" i="51"/>
  <c r="Q23" i="51"/>
  <c r="I22" i="51"/>
  <c r="W27" i="51"/>
  <c r="X27" i="51" s="1"/>
  <c r="P13" i="4"/>
  <c r="Q61" i="4" s="1"/>
  <c r="AE27" i="51"/>
  <c r="AG26" i="51"/>
  <c r="Y24" i="51"/>
  <c r="Y102" i="22"/>
  <c r="AE14" i="51"/>
  <c r="AG14" i="51" s="1"/>
  <c r="G27" i="51"/>
  <c r="U27" i="51"/>
  <c r="AG23" i="51"/>
  <c r="J117" i="40"/>
  <c r="M27" i="51"/>
  <c r="AG21" i="51"/>
  <c r="C27" i="51"/>
  <c r="I21" i="51"/>
  <c r="Q26" i="51"/>
  <c r="Q25" i="51"/>
  <c r="Q22" i="51"/>
  <c r="AA63" i="51"/>
  <c r="I24" i="51"/>
  <c r="AC53" i="51"/>
  <c r="AC63" i="51" s="1"/>
  <c r="Y21" i="51"/>
  <c r="Z71" i="24"/>
  <c r="Z72" i="24" s="1"/>
  <c r="Q16" i="51"/>
  <c r="AI16" i="51" s="1"/>
  <c r="Q14" i="51"/>
  <c r="K53" i="34"/>
  <c r="K63" i="34" s="1"/>
  <c r="AF26" i="51"/>
  <c r="AF16" i="51"/>
  <c r="AF10" i="51"/>
  <c r="AF24" i="51"/>
  <c r="AF22" i="51"/>
  <c r="AF23" i="51"/>
  <c r="AE38" i="51"/>
  <c r="AF21" i="51"/>
  <c r="AF25" i="51"/>
  <c r="AE47" i="51"/>
  <c r="AE258" i="51" s="1"/>
  <c r="AF27" i="51"/>
  <c r="W36" i="22"/>
  <c r="W41" i="22"/>
  <c r="W69" i="22"/>
  <c r="W67" i="22"/>
  <c r="W77" i="22"/>
  <c r="AC10" i="51"/>
  <c r="AG10" i="51" s="1"/>
  <c r="AB16" i="51"/>
  <c r="AB14" i="51"/>
  <c r="AB21" i="51"/>
  <c r="AA38" i="51"/>
  <c r="AB22" i="51"/>
  <c r="AA47" i="51"/>
  <c r="AB23" i="51"/>
  <c r="AB26" i="51"/>
  <c r="AB10" i="51"/>
  <c r="AB13" i="51"/>
  <c r="AB25" i="51"/>
  <c r="AB24" i="51"/>
  <c r="AB27" i="51"/>
  <c r="AA54" i="51"/>
  <c r="Y14" i="51"/>
  <c r="U53" i="51"/>
  <c r="Y13" i="51"/>
  <c r="X25" i="51"/>
  <c r="X23" i="51"/>
  <c r="W47" i="51"/>
  <c r="X22" i="51"/>
  <c r="X24" i="51"/>
  <c r="X21" i="51"/>
  <c r="X10" i="51"/>
  <c r="X26" i="51"/>
  <c r="X14" i="51"/>
  <c r="X13" i="51"/>
  <c r="X16" i="51"/>
  <c r="W54" i="51"/>
  <c r="O11" i="34"/>
  <c r="M45" i="34"/>
  <c r="H13" i="48"/>
  <c r="K10" i="34" s="1"/>
  <c r="D13" i="48"/>
  <c r="K33" i="46"/>
  <c r="K40" i="46"/>
  <c r="K19" i="46"/>
  <c r="K34" i="46"/>
  <c r="K22" i="46"/>
  <c r="K31" i="46"/>
  <c r="K13" i="46"/>
  <c r="K16" i="46"/>
  <c r="K35" i="46"/>
  <c r="K24" i="46"/>
  <c r="K26" i="46"/>
  <c r="K47" i="46"/>
  <c r="K20" i="46"/>
  <c r="K29" i="46"/>
  <c r="K25" i="46"/>
  <c r="K37" i="46"/>
  <c r="K46" i="46"/>
  <c r="K27" i="46"/>
  <c r="K39" i="46"/>
  <c r="K23" i="46"/>
  <c r="K41" i="46"/>
  <c r="K28" i="46"/>
  <c r="K43" i="46"/>
  <c r="K50" i="46"/>
  <c r="K17" i="46"/>
  <c r="K18" i="46"/>
  <c r="K36" i="46"/>
  <c r="K30" i="46"/>
  <c r="K38" i="46"/>
  <c r="K44" i="46"/>
  <c r="K21" i="46"/>
  <c r="K32" i="46"/>
  <c r="J7" i="48"/>
  <c r="F13" i="48"/>
  <c r="B13" i="48"/>
  <c r="S20" i="24"/>
  <c r="S45" i="24"/>
  <c r="S30" i="24"/>
  <c r="S41" i="24"/>
  <c r="S43" i="16"/>
  <c r="S19" i="16"/>
  <c r="S22" i="16"/>
  <c r="S17" i="16"/>
  <c r="S54" i="16"/>
  <c r="S34" i="16"/>
  <c r="S16" i="16"/>
  <c r="S7" i="24"/>
  <c r="S13" i="24"/>
  <c r="S38" i="16"/>
  <c r="S28" i="16"/>
  <c r="S44" i="16"/>
  <c r="S21" i="16"/>
  <c r="S31" i="16"/>
  <c r="S48" i="16"/>
  <c r="S36" i="16"/>
  <c r="S13" i="16"/>
  <c r="S23" i="16"/>
  <c r="S41" i="16"/>
  <c r="S40" i="16"/>
  <c r="S24" i="16"/>
  <c r="S27" i="16"/>
  <c r="S30" i="16"/>
  <c r="S25" i="16"/>
  <c r="S35" i="16"/>
  <c r="S45" i="16"/>
  <c r="S39" i="16"/>
  <c r="S46" i="16"/>
  <c r="S53" i="16"/>
  <c r="S7" i="16"/>
  <c r="S20" i="16"/>
  <c r="S29" i="16"/>
  <c r="S37" i="16"/>
  <c r="S61" i="4"/>
  <c r="S24" i="24"/>
  <c r="S50" i="24"/>
  <c r="S18" i="24"/>
  <c r="S27" i="4"/>
  <c r="S32" i="4"/>
  <c r="S53" i="4"/>
  <c r="S16" i="4"/>
  <c r="S7" i="4"/>
  <c r="S46" i="24"/>
  <c r="S29" i="24"/>
  <c r="S48" i="24"/>
  <c r="S36" i="24"/>
  <c r="S16" i="24"/>
  <c r="S27" i="24"/>
  <c r="S34" i="24"/>
  <c r="S43" i="24"/>
  <c r="S35" i="24"/>
  <c r="S23" i="24"/>
  <c r="S40" i="24"/>
  <c r="S39" i="24"/>
  <c r="S53" i="24"/>
  <c r="S28" i="24"/>
  <c r="S26" i="24"/>
  <c r="S37" i="24"/>
  <c r="S22" i="24"/>
  <c r="S31" i="24"/>
  <c r="S33" i="24"/>
  <c r="S25" i="24"/>
  <c r="S54" i="24"/>
  <c r="S32" i="24"/>
  <c r="S17" i="24"/>
  <c r="S21" i="24"/>
  <c r="S44" i="24"/>
  <c r="S51" i="24"/>
  <c r="S38" i="24"/>
  <c r="S19" i="24"/>
  <c r="S86" i="4"/>
  <c r="S13" i="4"/>
  <c r="W22" i="22"/>
  <c r="W19" i="22"/>
  <c r="W63" i="22"/>
  <c r="W95" i="22"/>
  <c r="Z33" i="21"/>
  <c r="W96" i="22"/>
  <c r="W52" i="22"/>
  <c r="W66" i="22"/>
  <c r="W110" i="22"/>
  <c r="F25" i="21"/>
  <c r="S28" i="4"/>
  <c r="S62" i="4"/>
  <c r="R52" i="16"/>
  <c r="R52" i="24" s="1"/>
  <c r="S48" i="4"/>
  <c r="S60" i="4"/>
  <c r="S70" i="4"/>
  <c r="S69" i="4"/>
  <c r="R3" i="4"/>
  <c r="S31" i="4"/>
  <c r="S67" i="4"/>
  <c r="S57" i="4"/>
  <c r="S46" i="4"/>
  <c r="S17" i="4"/>
  <c r="S68" i="4"/>
  <c r="S19" i="4"/>
  <c r="S79" i="4"/>
  <c r="S18" i="4"/>
  <c r="S21" i="4"/>
  <c r="S66" i="4"/>
  <c r="S80" i="4"/>
  <c r="S37" i="4"/>
  <c r="S77" i="4"/>
  <c r="S72" i="4"/>
  <c r="S88" i="4"/>
  <c r="S78" i="4"/>
  <c r="S54" i="4"/>
  <c r="S40" i="4"/>
  <c r="S55" i="4"/>
  <c r="S59" i="4"/>
  <c r="S43" i="4"/>
  <c r="S38" i="4"/>
  <c r="S20" i="4"/>
  <c r="S64" i="4"/>
  <c r="S44" i="4"/>
  <c r="S76" i="4"/>
  <c r="S29" i="4"/>
  <c r="S25" i="4"/>
  <c r="S23" i="4"/>
  <c r="S71" i="4"/>
  <c r="AC115" i="40"/>
  <c r="S26" i="4"/>
  <c r="S24" i="4"/>
  <c r="S33" i="4"/>
  <c r="S58" i="4"/>
  <c r="S39" i="4"/>
  <c r="S36" i="4"/>
  <c r="S82" i="4"/>
  <c r="S56" i="4"/>
  <c r="P72" i="40"/>
  <c r="S41" i="4"/>
  <c r="S30" i="4"/>
  <c r="S65" i="4"/>
  <c r="S34" i="4"/>
  <c r="S22" i="4"/>
  <c r="S35" i="4"/>
  <c r="S63" i="4"/>
  <c r="W114" i="22"/>
  <c r="AB119" i="40"/>
  <c r="Y113" i="22"/>
  <c r="AG69" i="40"/>
  <c r="AC113" i="40"/>
  <c r="AG57" i="40"/>
  <c r="W116" i="22"/>
  <c r="V117" i="22"/>
  <c r="V119" i="22" s="1"/>
  <c r="Z114" i="22"/>
  <c r="W115" i="22"/>
  <c r="W58" i="22"/>
  <c r="W18" i="22"/>
  <c r="W40" i="22"/>
  <c r="W68" i="22"/>
  <c r="W76" i="22"/>
  <c r="W80" i="22"/>
  <c r="W71" i="22"/>
  <c r="W43" i="22"/>
  <c r="W111" i="22"/>
  <c r="W101" i="22"/>
  <c r="AG66" i="40"/>
  <c r="W38" i="22"/>
  <c r="W24" i="22"/>
  <c r="W70" i="22"/>
  <c r="W27" i="22"/>
  <c r="W86" i="22"/>
  <c r="W33" i="22"/>
  <c r="W31" i="22"/>
  <c r="W56" i="22"/>
  <c r="W28" i="22"/>
  <c r="W93" i="22"/>
  <c r="W57" i="22"/>
  <c r="W20" i="22"/>
  <c r="W26" i="22"/>
  <c r="AC112" i="40"/>
  <c r="W90" i="22"/>
  <c r="W84" i="22"/>
  <c r="W113" i="22"/>
  <c r="V98" i="22"/>
  <c r="W98" i="22" s="1"/>
  <c r="W104" i="22"/>
  <c r="W75" i="22"/>
  <c r="W59" i="22"/>
  <c r="W54" i="22"/>
  <c r="W82" i="22"/>
  <c r="W34" i="22"/>
  <c r="W64" i="22"/>
  <c r="W79" i="22"/>
  <c r="W109" i="22"/>
  <c r="W29" i="22"/>
  <c r="W17" i="22"/>
  <c r="W97" i="22"/>
  <c r="W35" i="22"/>
  <c r="W16" i="22"/>
  <c r="V7" i="21"/>
  <c r="W33" i="21" s="1"/>
  <c r="W112" i="22"/>
  <c r="W62" i="22"/>
  <c r="W88" i="22"/>
  <c r="W32" i="22"/>
  <c r="W73" i="22"/>
  <c r="W23" i="22"/>
  <c r="W21" i="22"/>
  <c r="W39" i="22"/>
  <c r="W74" i="22"/>
  <c r="W44" i="22"/>
  <c r="W65" i="22"/>
  <c r="W48" i="22"/>
  <c r="W13" i="22"/>
  <c r="Y112" i="22"/>
  <c r="Z22" i="21"/>
  <c r="Z115" i="22"/>
  <c r="V25" i="21"/>
  <c r="Z17" i="21"/>
  <c r="AC111" i="40"/>
  <c r="Y116" i="22"/>
  <c r="H72" i="40"/>
  <c r="Z18" i="21"/>
  <c r="R25" i="21"/>
  <c r="W37" i="22"/>
  <c r="W25" i="22"/>
  <c r="W53" i="22"/>
  <c r="W107" i="22"/>
  <c r="W46" i="22"/>
  <c r="W55" i="22"/>
  <c r="W100" i="22"/>
  <c r="W7" i="22"/>
  <c r="Z11" i="21"/>
  <c r="AA117" i="40"/>
  <c r="AA119" i="40" s="1"/>
  <c r="AI62" i="34"/>
  <c r="W78" i="22"/>
  <c r="W102" i="22"/>
  <c r="W61" i="22"/>
  <c r="W45" i="22"/>
  <c r="W72" i="22"/>
  <c r="W142" i="41"/>
  <c r="W45" i="41"/>
  <c r="W37" i="41"/>
  <c r="W71" i="41"/>
  <c r="W148" i="41"/>
  <c r="W141" i="41"/>
  <c r="W137" i="41"/>
  <c r="W38" i="41"/>
  <c r="W21" i="41"/>
  <c r="W53" i="41"/>
  <c r="W65" i="41"/>
  <c r="W82" i="41"/>
  <c r="W55" i="41"/>
  <c r="W88" i="41"/>
  <c r="W54" i="41"/>
  <c r="W58" i="41"/>
  <c r="W67" i="41"/>
  <c r="W31" i="41"/>
  <c r="W64" i="41"/>
  <c r="W29" i="41"/>
  <c r="W144" i="41"/>
  <c r="W86" i="41"/>
  <c r="W79" i="41"/>
  <c r="W130" i="41"/>
  <c r="W46" i="41"/>
  <c r="W17" i="41"/>
  <c r="W36" i="41"/>
  <c r="W28" i="41"/>
  <c r="W57" i="41"/>
  <c r="W146" i="41"/>
  <c r="W115" i="41"/>
  <c r="W138" i="41"/>
  <c r="W140" i="41"/>
  <c r="W128" i="41"/>
  <c r="W27" i="41"/>
  <c r="W34" i="41"/>
  <c r="W145" i="41"/>
  <c r="V3" i="41"/>
  <c r="W66" i="41"/>
  <c r="W70" i="41"/>
  <c r="W123" i="41"/>
  <c r="W127" i="41"/>
  <c r="W111" i="41"/>
  <c r="W80" i="41"/>
  <c r="W77" i="41"/>
  <c r="W59" i="41"/>
  <c r="W22" i="41"/>
  <c r="W24" i="41"/>
  <c r="W19" i="41"/>
  <c r="W20" i="41"/>
  <c r="W68" i="41"/>
  <c r="W43" i="41"/>
  <c r="W13" i="41"/>
  <c r="W35" i="41"/>
  <c r="W78" i="41"/>
  <c r="W25" i="41"/>
  <c r="W149" i="41"/>
  <c r="W125" i="41"/>
  <c r="W124" i="41"/>
  <c r="W143" i="41"/>
  <c r="W44" i="41"/>
  <c r="W56" i="41"/>
  <c r="W23" i="41"/>
  <c r="W30" i="41"/>
  <c r="W39" i="41"/>
  <c r="W16" i="41"/>
  <c r="W26" i="41"/>
  <c r="W32" i="41"/>
  <c r="W40" i="41"/>
  <c r="W41" i="41"/>
  <c r="W18" i="41"/>
  <c r="W126" i="41"/>
  <c r="W69" i="41"/>
  <c r="W102" i="41"/>
  <c r="W61" i="41"/>
  <c r="W33" i="41"/>
  <c r="W48" i="41"/>
  <c r="W105" i="41"/>
  <c r="W129" i="41"/>
  <c r="W150" i="41"/>
  <c r="W116" i="41"/>
  <c r="W147" i="41"/>
  <c r="W62" i="41"/>
  <c r="W60" i="41"/>
  <c r="W101" i="41"/>
  <c r="W72" i="41"/>
  <c r="W112" i="41"/>
  <c r="W114" i="41"/>
  <c r="W63" i="41"/>
  <c r="W104" i="41"/>
  <c r="W76" i="41"/>
  <c r="W139" i="41"/>
  <c r="W113" i="41"/>
  <c r="W7" i="41"/>
  <c r="U53" i="40"/>
  <c r="U46" i="40"/>
  <c r="U29" i="40"/>
  <c r="U56" i="40"/>
  <c r="U66" i="40"/>
  <c r="AC72" i="40"/>
  <c r="AG72" i="40" s="1"/>
  <c r="U61" i="40"/>
  <c r="U104" i="40"/>
  <c r="U80" i="40"/>
  <c r="Z113" i="22"/>
  <c r="U23" i="40"/>
  <c r="Z19" i="21"/>
  <c r="U57" i="40"/>
  <c r="U116" i="40"/>
  <c r="U24" i="40"/>
  <c r="U26" i="40"/>
  <c r="U82" i="40"/>
  <c r="U60" i="40"/>
  <c r="U33" i="40"/>
  <c r="U44" i="40"/>
  <c r="U67" i="40"/>
  <c r="Z29" i="21"/>
  <c r="U45" i="40"/>
  <c r="U27" i="40"/>
  <c r="U21" i="40"/>
  <c r="U114" i="40"/>
  <c r="Z21" i="21"/>
  <c r="U19" i="40"/>
  <c r="H119" i="41"/>
  <c r="B25" i="21"/>
  <c r="U65" i="40"/>
  <c r="U28" i="40"/>
  <c r="U112" i="40"/>
  <c r="U69" i="40"/>
  <c r="U22" i="40"/>
  <c r="U77" i="40"/>
  <c r="U43" i="40"/>
  <c r="U18" i="40"/>
  <c r="U36" i="40"/>
  <c r="U40" i="40"/>
  <c r="U68" i="40"/>
  <c r="U59" i="40"/>
  <c r="U62" i="40"/>
  <c r="U17" i="40"/>
  <c r="U54" i="40"/>
  <c r="U102" i="40"/>
  <c r="U115" i="40"/>
  <c r="U64" i="40"/>
  <c r="U38" i="40"/>
  <c r="H117" i="22"/>
  <c r="AI61" i="34"/>
  <c r="F117" i="22"/>
  <c r="Y115" i="22"/>
  <c r="Z111" i="22"/>
  <c r="AD39" i="22"/>
  <c r="AA98" i="40"/>
  <c r="Z112" i="22"/>
  <c r="Z20" i="21"/>
  <c r="AG23" i="34"/>
  <c r="AD58" i="22"/>
  <c r="U79" i="40"/>
  <c r="H25" i="21"/>
  <c r="V117" i="40"/>
  <c r="Z24" i="21"/>
  <c r="X117" i="22"/>
  <c r="Y111" i="22"/>
  <c r="Y114" i="22"/>
  <c r="X25" i="21"/>
  <c r="Y25" i="21" s="1"/>
  <c r="R117" i="22"/>
  <c r="R119" i="22" s="1"/>
  <c r="N12" i="25"/>
  <c r="N52" i="25" s="1"/>
  <c r="N55" i="25" s="1"/>
  <c r="U31" i="40"/>
  <c r="U34" i="40"/>
  <c r="U55" i="40"/>
  <c r="U32" i="40"/>
  <c r="U25" i="40"/>
  <c r="U113" i="40"/>
  <c r="U58" i="40"/>
  <c r="U76" i="40"/>
  <c r="U39" i="40"/>
  <c r="U37" i="40"/>
  <c r="U70" i="40"/>
  <c r="U41" i="40"/>
  <c r="B117" i="22"/>
  <c r="B119" i="22" s="1"/>
  <c r="W101" i="40"/>
  <c r="Y22" i="34"/>
  <c r="F56" i="25"/>
  <c r="P117" i="22"/>
  <c r="U35" i="40"/>
  <c r="U111" i="40"/>
  <c r="T117" i="40"/>
  <c r="B117" i="40"/>
  <c r="Y14" i="34"/>
  <c r="U72" i="40"/>
  <c r="X72" i="40"/>
  <c r="X115" i="40"/>
  <c r="U16" i="40"/>
  <c r="U30" i="40"/>
  <c r="U7" i="40"/>
  <c r="E75" i="25"/>
  <c r="E56" i="25"/>
  <c r="X114" i="40"/>
  <c r="X112" i="40"/>
  <c r="U86" i="40"/>
  <c r="U88" i="40"/>
  <c r="T98" i="40"/>
  <c r="T120" i="40"/>
  <c r="U48" i="40"/>
  <c r="U13" i="40"/>
  <c r="U71" i="40"/>
  <c r="Q32" i="24"/>
  <c r="Q53" i="24"/>
  <c r="Q29" i="24"/>
  <c r="Q28" i="24"/>
  <c r="Q25" i="24"/>
  <c r="Q39" i="24"/>
  <c r="Q48" i="24"/>
  <c r="Q33" i="24"/>
  <c r="Q35" i="24"/>
  <c r="Q17" i="24"/>
  <c r="Q40" i="24"/>
  <c r="Q21" i="24"/>
  <c r="Q16" i="24"/>
  <c r="Q19" i="24"/>
  <c r="Q34" i="24"/>
  <c r="Q31" i="24"/>
  <c r="Q41" i="24"/>
  <c r="Q37" i="24"/>
  <c r="Q13" i="24"/>
  <c r="Q22" i="24"/>
  <c r="Q38" i="24"/>
  <c r="Q54" i="24"/>
  <c r="Q44" i="24"/>
  <c r="Q46" i="24"/>
  <c r="Q24" i="24"/>
  <c r="Q50" i="24"/>
  <c r="Q7" i="24"/>
  <c r="Q43" i="24"/>
  <c r="Q51" i="24"/>
  <c r="Q45" i="24"/>
  <c r="Q23" i="24"/>
  <c r="Q26" i="24"/>
  <c r="Q27" i="24"/>
  <c r="J25" i="21"/>
  <c r="X111" i="40"/>
  <c r="U20" i="40"/>
  <c r="Q18" i="24"/>
  <c r="S7" i="22"/>
  <c r="Z31" i="21"/>
  <c r="Z104" i="22"/>
  <c r="J117" i="22"/>
  <c r="Y16" i="34"/>
  <c r="Y26" i="34"/>
  <c r="Q36" i="24"/>
  <c r="Y23" i="34"/>
  <c r="P25" i="21"/>
  <c r="U63" i="40"/>
  <c r="F62" i="25"/>
  <c r="F63" i="25" s="1"/>
  <c r="Q30" i="24"/>
  <c r="M56" i="25"/>
  <c r="X119" i="41"/>
  <c r="N119" i="22"/>
  <c r="AE117" i="41"/>
  <c r="AE119" i="41" s="1"/>
  <c r="U22" i="21"/>
  <c r="S111" i="22"/>
  <c r="Y20" i="21"/>
  <c r="Y33" i="21"/>
  <c r="Y22" i="21"/>
  <c r="Y19" i="21"/>
  <c r="Y31" i="21"/>
  <c r="Y17" i="21"/>
  <c r="Y23" i="21"/>
  <c r="Y24" i="21"/>
  <c r="Y11" i="21"/>
  <c r="Y21" i="21"/>
  <c r="Y18" i="21"/>
  <c r="Y29" i="21"/>
  <c r="Y30" i="21"/>
  <c r="AD142" i="41"/>
  <c r="AC161" i="41"/>
  <c r="AD16" i="22"/>
  <c r="AC89" i="22"/>
  <c r="AB91" i="22"/>
  <c r="C56" i="25"/>
  <c r="C75" i="25"/>
  <c r="S71" i="22"/>
  <c r="S88" i="22"/>
  <c r="S90" i="22"/>
  <c r="S52" i="22"/>
  <c r="S74" i="22"/>
  <c r="S75" i="22"/>
  <c r="S86" i="22"/>
  <c r="S13" i="22"/>
  <c r="S48" i="22"/>
  <c r="S100" i="22"/>
  <c r="S110" i="22"/>
  <c r="S73" i="22"/>
  <c r="R7" i="21"/>
  <c r="S56" i="22"/>
  <c r="S69" i="22"/>
  <c r="S96" i="22"/>
  <c r="S107" i="22"/>
  <c r="S113" i="22"/>
  <c r="S93" i="22"/>
  <c r="S84" i="22"/>
  <c r="S97" i="22"/>
  <c r="R98" i="22"/>
  <c r="S98" i="22" s="1"/>
  <c r="S95" i="22"/>
  <c r="S109" i="22"/>
  <c r="S18" i="22"/>
  <c r="S58" i="22"/>
  <c r="S17" i="22"/>
  <c r="S24" i="22"/>
  <c r="S54" i="22"/>
  <c r="S32" i="22"/>
  <c r="S65" i="22"/>
  <c r="S116" i="22"/>
  <c r="S44" i="22"/>
  <c r="S19" i="22"/>
  <c r="S29" i="22"/>
  <c r="S35" i="22"/>
  <c r="S70" i="22"/>
  <c r="S33" i="22"/>
  <c r="S63" i="22"/>
  <c r="S28" i="22"/>
  <c r="S27" i="22"/>
  <c r="S62" i="22"/>
  <c r="S38" i="22"/>
  <c r="S22" i="22"/>
  <c r="S57" i="22"/>
  <c r="S34" i="22"/>
  <c r="S60" i="22"/>
  <c r="S23" i="22"/>
  <c r="S40" i="22"/>
  <c r="S79" i="22"/>
  <c r="S64" i="22"/>
  <c r="S80" i="22"/>
  <c r="S21" i="22"/>
  <c r="S61" i="22"/>
  <c r="S55" i="22"/>
  <c r="S66" i="22"/>
  <c r="S45" i="22"/>
  <c r="S20" i="22"/>
  <c r="S41" i="22"/>
  <c r="S26" i="22"/>
  <c r="S53" i="22"/>
  <c r="S114" i="22"/>
  <c r="S43" i="22"/>
  <c r="S39" i="22"/>
  <c r="S36" i="22"/>
  <c r="S59" i="22"/>
  <c r="S68" i="22"/>
  <c r="S67" i="22"/>
  <c r="S37" i="22"/>
  <c r="S30" i="22"/>
  <c r="S25" i="22"/>
  <c r="S77" i="22"/>
  <c r="S76" i="22"/>
  <c r="S16" i="22"/>
  <c r="S46" i="22"/>
  <c r="S31" i="22"/>
  <c r="S78" i="22"/>
  <c r="S82" i="22"/>
  <c r="S72" i="22"/>
  <c r="S102" i="22"/>
  <c r="J56" i="25"/>
  <c r="J75" i="25"/>
  <c r="W53" i="34"/>
  <c r="I25" i="34"/>
  <c r="AG16" i="40"/>
  <c r="AG34" i="40"/>
  <c r="H75" i="25"/>
  <c r="H56" i="25"/>
  <c r="I56" i="25"/>
  <c r="I75" i="25"/>
  <c r="P152" i="41"/>
  <c r="K62" i="37"/>
  <c r="K59" i="37"/>
  <c r="S101" i="22"/>
  <c r="Z166" i="4"/>
  <c r="I26" i="34"/>
  <c r="AG46" i="40"/>
  <c r="AC104" i="40"/>
  <c r="AD17" i="22"/>
  <c r="I13" i="34"/>
  <c r="F119" i="40"/>
  <c r="T119" i="22"/>
  <c r="S115" i="22"/>
  <c r="B75" i="25"/>
  <c r="B56" i="25"/>
  <c r="AD22" i="22"/>
  <c r="U17" i="21"/>
  <c r="AG28" i="40"/>
  <c r="G57" i="37"/>
  <c r="B63" i="37"/>
  <c r="B59" i="37"/>
  <c r="Y25" i="34"/>
  <c r="U19" i="21"/>
  <c r="N99" i="22"/>
  <c r="AG22" i="34"/>
  <c r="S112" i="22"/>
  <c r="AD29" i="21"/>
  <c r="AD31" i="21"/>
  <c r="AD24" i="21"/>
  <c r="AD38" i="21"/>
  <c r="AD32" i="21"/>
  <c r="AD19" i="21"/>
  <c r="AD18" i="21"/>
  <c r="AD17" i="21"/>
  <c r="AD34" i="21"/>
  <c r="AD33" i="21"/>
  <c r="AD30" i="21"/>
  <c r="AD21" i="21"/>
  <c r="AD23" i="21"/>
  <c r="AD22" i="21"/>
  <c r="AD20" i="21"/>
  <c r="AD11" i="21"/>
  <c r="Z156" i="4"/>
  <c r="AG16" i="34"/>
  <c r="U33" i="21"/>
  <c r="U23" i="21"/>
  <c r="U21" i="21"/>
  <c r="U24" i="21"/>
  <c r="U30" i="21"/>
  <c r="U31" i="21"/>
  <c r="P117" i="40"/>
  <c r="AG25" i="34"/>
  <c r="L62" i="37"/>
  <c r="O56" i="37"/>
  <c r="L59" i="37"/>
  <c r="H117" i="40"/>
  <c r="U20" i="21"/>
  <c r="S104" i="22"/>
  <c r="U18" i="21"/>
  <c r="J119" i="40"/>
  <c r="D119" i="22"/>
  <c r="P117" i="41"/>
  <c r="AG17" i="40"/>
  <c r="K56" i="25"/>
  <c r="K75" i="25"/>
  <c r="U101" i="40"/>
  <c r="W13" i="40"/>
  <c r="W98" i="40" s="1"/>
  <c r="W86" i="40"/>
  <c r="W88" i="40"/>
  <c r="W25" i="40"/>
  <c r="W67" i="40"/>
  <c r="W21" i="40"/>
  <c r="W22" i="40"/>
  <c r="W30" i="40"/>
  <c r="W36" i="40"/>
  <c r="W39" i="40"/>
  <c r="W58" i="40"/>
  <c r="W61" i="40"/>
  <c r="W69" i="40"/>
  <c r="W71" i="40"/>
  <c r="W78" i="40"/>
  <c r="W48" i="40"/>
  <c r="W64" i="40"/>
  <c r="V98" i="40"/>
  <c r="W68" i="40"/>
  <c r="W70" i="40"/>
  <c r="W31" i="40"/>
  <c r="W79" i="40"/>
  <c r="W82" i="40"/>
  <c r="W29" i="40"/>
  <c r="W46" i="40"/>
  <c r="W18" i="40"/>
  <c r="W44" i="40"/>
  <c r="W84" i="40"/>
  <c r="W113" i="40"/>
  <c r="W104" i="40"/>
  <c r="W116" i="40"/>
  <c r="V120" i="40"/>
  <c r="W59" i="40"/>
  <c r="W23" i="40"/>
  <c r="W62" i="40"/>
  <c r="W56" i="40"/>
  <c r="W72" i="40"/>
  <c r="W66" i="40"/>
  <c r="W63" i="40"/>
  <c r="W33" i="40"/>
  <c r="W28" i="40"/>
  <c r="W57" i="40"/>
  <c r="W53" i="40"/>
  <c r="W27" i="40"/>
  <c r="W41" i="40"/>
  <c r="W43" i="40"/>
  <c r="W16" i="40"/>
  <c r="W65" i="40"/>
  <c r="W26" i="40"/>
  <c r="W45" i="40"/>
  <c r="W76" i="40"/>
  <c r="W32" i="40"/>
  <c r="W37" i="40"/>
  <c r="W35" i="40"/>
  <c r="W77" i="40"/>
  <c r="W55" i="40"/>
  <c r="W80" i="40"/>
  <c r="W34" i="40"/>
  <c r="W60" i="40"/>
  <c r="W112" i="40"/>
  <c r="W17" i="40"/>
  <c r="W40" i="40"/>
  <c r="W114" i="40"/>
  <c r="W24" i="40"/>
  <c r="W19" i="40"/>
  <c r="W54" i="40"/>
  <c r="W38" i="40"/>
  <c r="W20" i="40"/>
  <c r="W111" i="40"/>
  <c r="W115" i="40"/>
  <c r="AG22" i="40"/>
  <c r="D59" i="37"/>
  <c r="G56" i="37"/>
  <c r="G62" i="37" s="1"/>
  <c r="D62" i="37"/>
  <c r="C53" i="34"/>
  <c r="AG26" i="34"/>
  <c r="G53" i="34"/>
  <c r="U25" i="21"/>
  <c r="I14" i="34"/>
  <c r="U29" i="21"/>
  <c r="AD10" i="21"/>
  <c r="AC12" i="21"/>
  <c r="AC14" i="21" s="1"/>
  <c r="U11" i="21"/>
  <c r="AF89" i="40"/>
  <c r="AE91" i="40"/>
  <c r="E39" i="65" l="1"/>
  <c r="F39" i="65"/>
  <c r="I14" i="51"/>
  <c r="AI14" i="51" s="1"/>
  <c r="C10" i="34"/>
  <c r="C47" i="34" s="1"/>
  <c r="B62" i="48"/>
  <c r="Z62" i="48" s="1"/>
  <c r="AD62" i="48" s="1"/>
  <c r="B55" i="48"/>
  <c r="Z55" i="48" s="1"/>
  <c r="AD55" i="48" s="1"/>
  <c r="B58" i="48"/>
  <c r="C58" i="48" s="1"/>
  <c r="B64" i="48"/>
  <c r="Z64" i="48" s="1"/>
  <c r="AD64" i="48" s="1"/>
  <c r="B59" i="48"/>
  <c r="C59" i="48" s="1"/>
  <c r="B63" i="48"/>
  <c r="C63" i="48" s="1"/>
  <c r="B65" i="48"/>
  <c r="Z65" i="48" s="1"/>
  <c r="AD65" i="48" s="1"/>
  <c r="B60" i="48"/>
  <c r="Z60" i="48" s="1"/>
  <c r="AD60" i="48" s="1"/>
  <c r="B61" i="48"/>
  <c r="Z61" i="48" s="1"/>
  <c r="AD61" i="48" s="1"/>
  <c r="B57" i="48"/>
  <c r="C57" i="48" s="1"/>
  <c r="N62" i="25"/>
  <c r="N63" i="25" s="1"/>
  <c r="H102" i="40"/>
  <c r="AD150" i="41"/>
  <c r="Z102" i="48"/>
  <c r="I13" i="51"/>
  <c r="I53" i="51" s="1"/>
  <c r="I63" i="51" s="1"/>
  <c r="AF13" i="51"/>
  <c r="AE53" i="51"/>
  <c r="AE63" i="51" s="1"/>
  <c r="P101" i="40"/>
  <c r="H101" i="40"/>
  <c r="Y101" i="22"/>
  <c r="AD29" i="48"/>
  <c r="K54" i="34"/>
  <c r="C53" i="51"/>
  <c r="C63" i="51" s="1"/>
  <c r="AE260" i="51"/>
  <c r="AA260" i="51"/>
  <c r="AA258" i="51"/>
  <c r="W258" i="51"/>
  <c r="W260" i="51"/>
  <c r="Z102" i="22"/>
  <c r="Q16" i="22"/>
  <c r="Q54" i="22"/>
  <c r="Q104" i="22"/>
  <c r="Q58" i="22"/>
  <c r="Q71" i="22"/>
  <c r="Q18" i="22"/>
  <c r="Q61" i="22"/>
  <c r="Q27" i="22"/>
  <c r="Q41" i="22"/>
  <c r="Q88" i="22"/>
  <c r="Q59" i="22"/>
  <c r="Q13" i="22"/>
  <c r="P98" i="22"/>
  <c r="Q98" i="22" s="1"/>
  <c r="Q38" i="22"/>
  <c r="Q76" i="22"/>
  <c r="Q25" i="22"/>
  <c r="Q57" i="22"/>
  <c r="Q116" i="22"/>
  <c r="Q110" i="22"/>
  <c r="Q26" i="22"/>
  <c r="Q111" i="22"/>
  <c r="Q68" i="22"/>
  <c r="Q20" i="22"/>
  <c r="Q52" i="22"/>
  <c r="Q69" i="22"/>
  <c r="Q30" i="22"/>
  <c r="Q37" i="22"/>
  <c r="Q53" i="22"/>
  <c r="Q90" i="22"/>
  <c r="Q34" i="22"/>
  <c r="Q56" i="22"/>
  <c r="Q46" i="22"/>
  <c r="Q65" i="22"/>
  <c r="Q33" i="4"/>
  <c r="AC102" i="40"/>
  <c r="Q113" i="22"/>
  <c r="Q115" i="22"/>
  <c r="Q19" i="22"/>
  <c r="Q114" i="22"/>
  <c r="Q86" i="22"/>
  <c r="Q93" i="22"/>
  <c r="Q48" i="22"/>
  <c r="Q62" i="22"/>
  <c r="Q23" i="22"/>
  <c r="Q82" i="22"/>
  <c r="Q17" i="22"/>
  <c r="Q97" i="22"/>
  <c r="P7" i="21"/>
  <c r="Q21" i="21" s="1"/>
  <c r="Q74" i="22"/>
  <c r="Q112" i="22"/>
  <c r="Q78" i="22"/>
  <c r="Q39" i="22"/>
  <c r="Q33" i="22"/>
  <c r="Q43" i="22"/>
  <c r="Q67" i="22"/>
  <c r="Q36" i="22"/>
  <c r="Q66" i="22"/>
  <c r="Q64" i="22"/>
  <c r="Q44" i="22"/>
  <c r="Q102" i="22"/>
  <c r="Q28" i="22"/>
  <c r="Q96" i="22"/>
  <c r="Q107" i="22"/>
  <c r="Q63" i="22"/>
  <c r="Q80" i="22"/>
  <c r="Q77" i="22"/>
  <c r="Q60" i="22"/>
  <c r="Q31" i="22"/>
  <c r="Q24" i="22"/>
  <c r="Q7" i="22"/>
  <c r="Q109" i="22"/>
  <c r="Q73" i="22"/>
  <c r="Q84" i="22"/>
  <c r="Q117" i="22"/>
  <c r="Q72" i="22"/>
  <c r="Q79" i="22"/>
  <c r="Q70" i="22"/>
  <c r="Q101" i="22"/>
  <c r="Q22" i="22"/>
  <c r="Q75" i="22"/>
  <c r="Q95" i="22"/>
  <c r="Q100" i="22"/>
  <c r="Q35" i="22"/>
  <c r="Q32" i="22"/>
  <c r="Q40" i="22"/>
  <c r="Q21" i="22"/>
  <c r="Q29" i="22"/>
  <c r="Q45" i="22"/>
  <c r="Q76" i="4"/>
  <c r="Q29" i="4"/>
  <c r="Q82" i="4"/>
  <c r="Q71" i="4"/>
  <c r="Q46" i="4"/>
  <c r="Q55" i="4"/>
  <c r="Q57" i="4"/>
  <c r="Q79" i="4"/>
  <c r="Q21" i="4"/>
  <c r="P52" i="16"/>
  <c r="P52" i="24" s="1"/>
  <c r="Q52" i="24" s="1"/>
  <c r="Q25" i="4"/>
  <c r="Q70" i="4"/>
  <c r="AI26" i="51"/>
  <c r="AI22" i="51"/>
  <c r="Q17" i="4"/>
  <c r="Q24" i="4"/>
  <c r="Q34" i="4"/>
  <c r="Q66" i="4"/>
  <c r="Q16" i="4"/>
  <c r="Q62" i="4"/>
  <c r="U10" i="51"/>
  <c r="U54" i="51" s="1"/>
  <c r="Q22" i="4"/>
  <c r="Q38" i="4"/>
  <c r="Q32" i="4"/>
  <c r="Z101" i="22"/>
  <c r="AC101" i="40"/>
  <c r="AE13" i="34"/>
  <c r="AG13" i="34" s="1"/>
  <c r="AC53" i="34"/>
  <c r="Z101" i="48"/>
  <c r="AD26" i="48"/>
  <c r="Q27" i="4"/>
  <c r="Q31" i="4"/>
  <c r="Q78" i="4"/>
  <c r="Q36" i="4"/>
  <c r="Q37" i="4"/>
  <c r="AI23" i="51"/>
  <c r="Q45" i="4"/>
  <c r="Q26" i="4"/>
  <c r="Q39" i="4"/>
  <c r="Q59" i="4"/>
  <c r="Q67" i="4"/>
  <c r="Q58" i="4"/>
  <c r="Q88" i="4"/>
  <c r="Q60" i="4"/>
  <c r="Q43" i="4"/>
  <c r="Q35" i="4"/>
  <c r="Q80" i="4"/>
  <c r="Q23" i="4"/>
  <c r="Q77" i="4"/>
  <c r="Q7" i="4"/>
  <c r="Q28" i="4"/>
  <c r="Q30" i="4"/>
  <c r="Q44" i="4"/>
  <c r="Q86" i="4"/>
  <c r="Q72" i="4"/>
  <c r="Q69" i="4"/>
  <c r="Q56" i="4"/>
  <c r="Q53" i="4"/>
  <c r="Q68" i="4"/>
  <c r="Q20" i="4"/>
  <c r="AI25" i="51"/>
  <c r="Q48" i="4"/>
  <c r="Q54" i="4"/>
  <c r="Q64" i="4"/>
  <c r="Q18" i="4"/>
  <c r="P3" i="4"/>
  <c r="Q13" i="4"/>
  <c r="Q63" i="4"/>
  <c r="Q27" i="51"/>
  <c r="AI24" i="51"/>
  <c r="Q65" i="4"/>
  <c r="Q19" i="4"/>
  <c r="Q41" i="4"/>
  <c r="Q40" i="4"/>
  <c r="AF14" i="51"/>
  <c r="Y27" i="51"/>
  <c r="AG27" i="51"/>
  <c r="AH27" i="51" s="1"/>
  <c r="AC117" i="40"/>
  <c r="AC119" i="40" s="1"/>
  <c r="I27" i="51"/>
  <c r="AI21" i="51"/>
  <c r="K53" i="51"/>
  <c r="Q13" i="51"/>
  <c r="AD14" i="51"/>
  <c r="AD10" i="51"/>
  <c r="AD13" i="51"/>
  <c r="AD23" i="51"/>
  <c r="AD25" i="51"/>
  <c r="AC54" i="51"/>
  <c r="AD21" i="51"/>
  <c r="AC38" i="51"/>
  <c r="AD26" i="51"/>
  <c r="AC47" i="51"/>
  <c r="AD22" i="51"/>
  <c r="AD16" i="51"/>
  <c r="AD24" i="51"/>
  <c r="AD27" i="51"/>
  <c r="AD11" i="51"/>
  <c r="AH16" i="51"/>
  <c r="AH24" i="51"/>
  <c r="AH14" i="51"/>
  <c r="AH25" i="51"/>
  <c r="AH21" i="51"/>
  <c r="AG47" i="51"/>
  <c r="AH13" i="51"/>
  <c r="AH23" i="51"/>
  <c r="AH26" i="51"/>
  <c r="AH22" i="51"/>
  <c r="AH10" i="51"/>
  <c r="AG38" i="51"/>
  <c r="U63" i="51"/>
  <c r="Y53" i="51"/>
  <c r="Y63" i="51" s="1"/>
  <c r="I7" i="48"/>
  <c r="G7" i="48"/>
  <c r="G10" i="34"/>
  <c r="H26" i="34" s="1"/>
  <c r="E7" i="48"/>
  <c r="E10" i="34"/>
  <c r="F14" i="34" s="1"/>
  <c r="Q11" i="34"/>
  <c r="S11" i="34" s="1"/>
  <c r="O45" i="34"/>
  <c r="E44" i="48"/>
  <c r="E20" i="48"/>
  <c r="E67" i="48"/>
  <c r="E54" i="48"/>
  <c r="E62" i="48"/>
  <c r="E63" i="48"/>
  <c r="E104" i="48"/>
  <c r="E26" i="48"/>
  <c r="E38" i="48"/>
  <c r="E43" i="48"/>
  <c r="E76" i="48"/>
  <c r="E53" i="48"/>
  <c r="E33" i="48"/>
  <c r="E79" i="48"/>
  <c r="E31" i="48"/>
  <c r="E116" i="48"/>
  <c r="E60" i="48"/>
  <c r="E57" i="48"/>
  <c r="E70" i="48"/>
  <c r="E61" i="48"/>
  <c r="E86" i="48"/>
  <c r="E75" i="48"/>
  <c r="E21" i="48"/>
  <c r="E102" i="48"/>
  <c r="E113" i="48"/>
  <c r="E22" i="48"/>
  <c r="E80" i="48"/>
  <c r="E64" i="48"/>
  <c r="E41" i="48"/>
  <c r="E45" i="48"/>
  <c r="E112" i="48"/>
  <c r="E82" i="48"/>
  <c r="E48" i="48"/>
  <c r="E17" i="48"/>
  <c r="E30" i="48"/>
  <c r="E16" i="48"/>
  <c r="D98" i="48"/>
  <c r="E13" i="48"/>
  <c r="E35" i="48"/>
  <c r="E78" i="48"/>
  <c r="E77" i="48"/>
  <c r="E66" i="48"/>
  <c r="D120" i="48"/>
  <c r="E52" i="48"/>
  <c r="E34" i="48"/>
  <c r="E28" i="48"/>
  <c r="E74" i="48"/>
  <c r="E39" i="48"/>
  <c r="E32" i="48"/>
  <c r="E55" i="48"/>
  <c r="E88" i="48"/>
  <c r="E19" i="48"/>
  <c r="E73" i="48"/>
  <c r="E29" i="48"/>
  <c r="E65" i="48"/>
  <c r="E18" i="48"/>
  <c r="E68" i="48"/>
  <c r="E27" i="48"/>
  <c r="E37" i="48"/>
  <c r="E84" i="48"/>
  <c r="E24" i="48"/>
  <c r="E101" i="48"/>
  <c r="E23" i="48"/>
  <c r="E25" i="48"/>
  <c r="E40" i="48"/>
  <c r="E115" i="48"/>
  <c r="E69" i="48"/>
  <c r="E59" i="48"/>
  <c r="E71" i="48"/>
  <c r="E46" i="48"/>
  <c r="E36" i="48"/>
  <c r="G31" i="48"/>
  <c r="G32" i="48"/>
  <c r="G82" i="48"/>
  <c r="G41" i="48"/>
  <c r="G33" i="48"/>
  <c r="G104" i="48"/>
  <c r="G67" i="48"/>
  <c r="G23" i="48"/>
  <c r="G53" i="48"/>
  <c r="G57" i="48"/>
  <c r="G55" i="48"/>
  <c r="G37" i="48"/>
  <c r="G78" i="48"/>
  <c r="G35" i="48"/>
  <c r="G45" i="48"/>
  <c r="G65" i="48"/>
  <c r="G34" i="48"/>
  <c r="G70" i="48"/>
  <c r="G64" i="48"/>
  <c r="G68" i="48"/>
  <c r="G76" i="48"/>
  <c r="G63" i="48"/>
  <c r="G21" i="48"/>
  <c r="G43" i="48"/>
  <c r="G16" i="48"/>
  <c r="G110" i="48"/>
  <c r="G99" i="48"/>
  <c r="G75" i="48"/>
  <c r="G19" i="48"/>
  <c r="G29" i="48"/>
  <c r="G39" i="48"/>
  <c r="G79" i="48"/>
  <c r="G26" i="48"/>
  <c r="G101" i="48"/>
  <c r="G100" i="48"/>
  <c r="G96" i="48"/>
  <c r="G88" i="48"/>
  <c r="G30" i="48"/>
  <c r="G20" i="48"/>
  <c r="G66" i="48"/>
  <c r="G97" i="48"/>
  <c r="G73" i="48"/>
  <c r="G48" i="48"/>
  <c r="G22" i="48"/>
  <c r="G116" i="48"/>
  <c r="G44" i="48"/>
  <c r="G61" i="48"/>
  <c r="G54" i="48"/>
  <c r="G69" i="48"/>
  <c r="G84" i="48"/>
  <c r="G13" i="48"/>
  <c r="G38" i="48"/>
  <c r="G115" i="48"/>
  <c r="G62" i="48"/>
  <c r="G102" i="48"/>
  <c r="G80" i="48"/>
  <c r="G86" i="48"/>
  <c r="G71" i="48"/>
  <c r="G25" i="48"/>
  <c r="G17" i="48"/>
  <c r="G113" i="48"/>
  <c r="G112" i="48"/>
  <c r="F120" i="48"/>
  <c r="G109" i="48"/>
  <c r="G24" i="48"/>
  <c r="G18" i="48"/>
  <c r="G60" i="48"/>
  <c r="G28" i="48"/>
  <c r="G93" i="48"/>
  <c r="G36" i="48"/>
  <c r="G90" i="48"/>
  <c r="F98" i="48"/>
  <c r="G98" i="48" s="1"/>
  <c r="G52" i="48"/>
  <c r="G107" i="48"/>
  <c r="G77" i="48"/>
  <c r="G95" i="48"/>
  <c r="G27" i="48"/>
  <c r="G59" i="48"/>
  <c r="G46" i="48"/>
  <c r="G40" i="48"/>
  <c r="J13" i="48"/>
  <c r="I78" i="48"/>
  <c r="I100" i="48"/>
  <c r="I95" i="48"/>
  <c r="I74" i="48"/>
  <c r="I21" i="48"/>
  <c r="I41" i="48"/>
  <c r="I62" i="48"/>
  <c r="I76" i="48"/>
  <c r="I65" i="48"/>
  <c r="I112" i="48"/>
  <c r="I109" i="48"/>
  <c r="I60" i="48"/>
  <c r="I19" i="48"/>
  <c r="I79" i="48"/>
  <c r="I43" i="48"/>
  <c r="I53" i="48"/>
  <c r="I29" i="48"/>
  <c r="I38" i="48"/>
  <c r="I90" i="48"/>
  <c r="H98" i="48"/>
  <c r="I98" i="48" s="1"/>
  <c r="I84" i="48"/>
  <c r="I99" i="48"/>
  <c r="I55" i="48"/>
  <c r="I35" i="48"/>
  <c r="I32" i="48"/>
  <c r="I17" i="48"/>
  <c r="I26" i="48"/>
  <c r="I97" i="48"/>
  <c r="I71" i="48"/>
  <c r="I20" i="48"/>
  <c r="I57" i="48"/>
  <c r="I33" i="48"/>
  <c r="I44" i="48"/>
  <c r="I37" i="48"/>
  <c r="I80" i="48"/>
  <c r="I34" i="48"/>
  <c r="I88" i="48"/>
  <c r="I107" i="48"/>
  <c r="I75" i="48"/>
  <c r="I39" i="48"/>
  <c r="I28" i="48"/>
  <c r="I18" i="48"/>
  <c r="I22" i="48"/>
  <c r="I63" i="48"/>
  <c r="I110" i="48"/>
  <c r="I96" i="48"/>
  <c r="I52" i="48"/>
  <c r="I25" i="48"/>
  <c r="I16" i="48"/>
  <c r="I70" i="48"/>
  <c r="I30" i="48"/>
  <c r="I115" i="48"/>
  <c r="I69" i="48"/>
  <c r="I54" i="48"/>
  <c r="I31" i="48"/>
  <c r="I40" i="48"/>
  <c r="I101" i="48"/>
  <c r="I24" i="48"/>
  <c r="I86" i="48"/>
  <c r="I67" i="48"/>
  <c r="I82" i="48"/>
  <c r="I36" i="48"/>
  <c r="I118" i="48"/>
  <c r="I104" i="48"/>
  <c r="I23" i="48"/>
  <c r="I102" i="48"/>
  <c r="I61" i="48"/>
  <c r="I66" i="48"/>
  <c r="I93" i="48"/>
  <c r="I46" i="48"/>
  <c r="I77" i="48"/>
  <c r="I73" i="48"/>
  <c r="I64" i="48"/>
  <c r="I48" i="48"/>
  <c r="I45" i="48"/>
  <c r="I13" i="48"/>
  <c r="I116" i="48"/>
  <c r="I27" i="48"/>
  <c r="I68" i="48"/>
  <c r="I59" i="48"/>
  <c r="I113" i="48"/>
  <c r="C7" i="48"/>
  <c r="C79" i="48"/>
  <c r="C41" i="48"/>
  <c r="C46" i="48"/>
  <c r="C19" i="48"/>
  <c r="C30" i="48"/>
  <c r="C35" i="48"/>
  <c r="C10" i="48"/>
  <c r="C31" i="48"/>
  <c r="C69" i="48"/>
  <c r="C77" i="48"/>
  <c r="C44" i="48"/>
  <c r="C76" i="48"/>
  <c r="C18" i="48"/>
  <c r="C36" i="48"/>
  <c r="C40" i="48"/>
  <c r="C80" i="48"/>
  <c r="C38" i="48"/>
  <c r="C20" i="48"/>
  <c r="C66" i="48"/>
  <c r="C43" i="48"/>
  <c r="C21" i="48"/>
  <c r="C24" i="48"/>
  <c r="C68" i="48"/>
  <c r="C67" i="48"/>
  <c r="C22" i="48"/>
  <c r="C23" i="48"/>
  <c r="C9" i="48"/>
  <c r="C32" i="48"/>
  <c r="C37" i="48"/>
  <c r="C26" i="48"/>
  <c r="C17" i="48"/>
  <c r="C82" i="48"/>
  <c r="C8" i="48"/>
  <c r="C34" i="48"/>
  <c r="C39" i="48"/>
  <c r="C16" i="48"/>
  <c r="C70" i="48"/>
  <c r="C45" i="48"/>
  <c r="C104" i="48"/>
  <c r="C115" i="48"/>
  <c r="C25" i="48"/>
  <c r="C101" i="48"/>
  <c r="C11" i="48"/>
  <c r="C27" i="48"/>
  <c r="C33" i="48"/>
  <c r="C29" i="48"/>
  <c r="C28" i="48"/>
  <c r="B120" i="48"/>
  <c r="C71" i="48"/>
  <c r="C116" i="48"/>
  <c r="C102" i="48"/>
  <c r="C78" i="48"/>
  <c r="B98" i="48"/>
  <c r="C13" i="48"/>
  <c r="S52" i="16"/>
  <c r="W117" i="22"/>
  <c r="W11" i="21"/>
  <c r="W23" i="21"/>
  <c r="W21" i="21"/>
  <c r="W31" i="21"/>
  <c r="W17" i="21"/>
  <c r="W25" i="21"/>
  <c r="W24" i="21"/>
  <c r="W29" i="21"/>
  <c r="W19" i="21"/>
  <c r="W30" i="21"/>
  <c r="W18" i="21"/>
  <c r="W20" i="21"/>
  <c r="W22" i="21"/>
  <c r="Z117" i="22"/>
  <c r="Z25" i="21"/>
  <c r="H119" i="22"/>
  <c r="S25" i="21"/>
  <c r="AG14" i="34"/>
  <c r="L25" i="34"/>
  <c r="S117" i="22"/>
  <c r="AE27" i="34"/>
  <c r="X117" i="40"/>
  <c r="X119" i="40" s="1"/>
  <c r="L16" i="34"/>
  <c r="L26" i="34"/>
  <c r="W117" i="40"/>
  <c r="V119" i="40"/>
  <c r="K47" i="34"/>
  <c r="L13" i="34"/>
  <c r="L14" i="34"/>
  <c r="L10" i="34"/>
  <c r="L22" i="34"/>
  <c r="F119" i="22"/>
  <c r="X119" i="22"/>
  <c r="Y117" i="22"/>
  <c r="L23" i="34"/>
  <c r="J119" i="22"/>
  <c r="U117" i="40"/>
  <c r="T119" i="40"/>
  <c r="P119" i="22"/>
  <c r="Q22" i="34"/>
  <c r="B119" i="40"/>
  <c r="Q26" i="34"/>
  <c r="AI26" i="34" s="1"/>
  <c r="Q25" i="34"/>
  <c r="AI25" i="34" s="1"/>
  <c r="M53" i="34"/>
  <c r="Q13" i="34"/>
  <c r="Q23" i="34"/>
  <c r="Q14" i="34"/>
  <c r="P119" i="41"/>
  <c r="H119" i="40"/>
  <c r="G59" i="37"/>
  <c r="E53" i="34"/>
  <c r="W63" i="34"/>
  <c r="N56" i="25"/>
  <c r="N75" i="25"/>
  <c r="G63" i="37"/>
  <c r="U57" i="37"/>
  <c r="U63" i="37" s="1"/>
  <c r="O62" i="37"/>
  <c r="U56" i="37"/>
  <c r="O59" i="37"/>
  <c r="I53" i="34"/>
  <c r="AD12" i="21"/>
  <c r="AC27" i="21"/>
  <c r="P119" i="40"/>
  <c r="AA63" i="34"/>
  <c r="Q16" i="34"/>
  <c r="P99" i="22"/>
  <c r="I16" i="34"/>
  <c r="S52" i="24"/>
  <c r="U53" i="34"/>
  <c r="G63" i="34"/>
  <c r="C63" i="34"/>
  <c r="Y13" i="34"/>
  <c r="S53" i="34"/>
  <c r="S18" i="21"/>
  <c r="S19" i="21"/>
  <c r="S24" i="21"/>
  <c r="S21" i="21"/>
  <c r="S31" i="21"/>
  <c r="S29" i="21"/>
  <c r="S17" i="21"/>
  <c r="S33" i="21"/>
  <c r="S20" i="21"/>
  <c r="S11" i="21"/>
  <c r="S30" i="21"/>
  <c r="S23" i="21"/>
  <c r="S22" i="21"/>
  <c r="G39" i="65" l="1"/>
  <c r="H39" i="65"/>
  <c r="D10" i="34"/>
  <c r="D16" i="34"/>
  <c r="D14" i="34"/>
  <c r="D26" i="34"/>
  <c r="C54" i="34"/>
  <c r="D13" i="34"/>
  <c r="D25" i="34"/>
  <c r="C55" i="48"/>
  <c r="C65" i="48"/>
  <c r="C61" i="48"/>
  <c r="C62" i="48"/>
  <c r="C64" i="48"/>
  <c r="C60" i="48"/>
  <c r="Z63" i="48"/>
  <c r="B113" i="48"/>
  <c r="D58" i="48"/>
  <c r="Z59" i="48"/>
  <c r="B112" i="48"/>
  <c r="Z57" i="48"/>
  <c r="B114" i="48"/>
  <c r="AE54" i="51"/>
  <c r="AG53" i="51"/>
  <c r="AG63" i="51" s="1"/>
  <c r="AI13" i="51"/>
  <c r="AI53" i="51" s="1"/>
  <c r="AI63" i="51" s="1"/>
  <c r="K258" i="34"/>
  <c r="C258" i="34"/>
  <c r="C262" i="34" s="1"/>
  <c r="H16" i="34"/>
  <c r="AC258" i="51"/>
  <c r="AC260" i="51"/>
  <c r="Q29" i="21"/>
  <c r="Q31" i="21"/>
  <c r="Q30" i="21"/>
  <c r="Q33" i="21"/>
  <c r="Q17" i="21"/>
  <c r="Q20" i="21"/>
  <c r="Q22" i="21"/>
  <c r="Q25" i="21"/>
  <c r="Q18" i="21"/>
  <c r="Q24" i="21"/>
  <c r="Q19" i="21"/>
  <c r="Q11" i="21"/>
  <c r="Q23" i="21"/>
  <c r="Q52" i="16"/>
  <c r="V10" i="51"/>
  <c r="V16" i="51"/>
  <c r="V25" i="51"/>
  <c r="V22" i="51"/>
  <c r="V21" i="51"/>
  <c r="V13" i="51"/>
  <c r="U47" i="51"/>
  <c r="U258" i="51" s="1"/>
  <c r="V14" i="51"/>
  <c r="V27" i="51"/>
  <c r="V24" i="51"/>
  <c r="V26" i="51"/>
  <c r="V23" i="51"/>
  <c r="F16" i="34"/>
  <c r="H23" i="34"/>
  <c r="G47" i="34"/>
  <c r="H14" i="34"/>
  <c r="H10" i="34"/>
  <c r="G54" i="34"/>
  <c r="H22" i="34"/>
  <c r="H25" i="34"/>
  <c r="H13" i="34"/>
  <c r="AE53" i="34"/>
  <c r="AE63" i="34" s="1"/>
  <c r="AC63" i="34"/>
  <c r="AI27" i="51"/>
  <c r="F22" i="34"/>
  <c r="F13" i="34"/>
  <c r="E47" i="34"/>
  <c r="F23" i="34"/>
  <c r="F26" i="34"/>
  <c r="I10" i="34"/>
  <c r="J25" i="34" s="1"/>
  <c r="F10" i="34"/>
  <c r="F25" i="34"/>
  <c r="Q53" i="51"/>
  <c r="Q63" i="51" s="1"/>
  <c r="K63" i="51"/>
  <c r="K7" i="48"/>
  <c r="M10" i="34"/>
  <c r="U11" i="34"/>
  <c r="S45" i="34"/>
  <c r="F121" i="48"/>
  <c r="K34" i="48"/>
  <c r="K53" i="48"/>
  <c r="K33" i="48"/>
  <c r="K104" i="48"/>
  <c r="K39" i="48"/>
  <c r="K112" i="48"/>
  <c r="K97" i="48"/>
  <c r="K84" i="48"/>
  <c r="K93" i="48"/>
  <c r="K40" i="48"/>
  <c r="K59" i="48"/>
  <c r="K23" i="48"/>
  <c r="K82" i="48"/>
  <c r="K102" i="48"/>
  <c r="K35" i="48"/>
  <c r="K109" i="48"/>
  <c r="K74" i="48"/>
  <c r="K67" i="48"/>
  <c r="K21" i="48"/>
  <c r="K30" i="48"/>
  <c r="K60" i="48"/>
  <c r="K79" i="48"/>
  <c r="K68" i="48"/>
  <c r="K24" i="48"/>
  <c r="K107" i="48"/>
  <c r="K73" i="48"/>
  <c r="K48" i="48"/>
  <c r="K32" i="48"/>
  <c r="K20" i="48"/>
  <c r="J98" i="48"/>
  <c r="K98" i="48" s="1"/>
  <c r="K71" i="48"/>
  <c r="K13" i="48"/>
  <c r="K26" i="48"/>
  <c r="K54" i="48"/>
  <c r="K28" i="48"/>
  <c r="K101" i="48"/>
  <c r="K99" i="48"/>
  <c r="K113" i="48"/>
  <c r="K116" i="48"/>
  <c r="K66" i="48"/>
  <c r="K96" i="48"/>
  <c r="K90" i="48"/>
  <c r="K17" i="48"/>
  <c r="K27" i="48"/>
  <c r="K57" i="48"/>
  <c r="K80" i="48"/>
  <c r="K18" i="48"/>
  <c r="K31" i="48"/>
  <c r="K45" i="48"/>
  <c r="K62" i="48"/>
  <c r="K63" i="48"/>
  <c r="K110" i="48"/>
  <c r="K75" i="48"/>
  <c r="K16" i="48"/>
  <c r="K43" i="48"/>
  <c r="K65" i="48"/>
  <c r="K38" i="48"/>
  <c r="K77" i="48"/>
  <c r="K36" i="48"/>
  <c r="K88" i="48"/>
  <c r="K41" i="48"/>
  <c r="K76" i="48"/>
  <c r="K78" i="48"/>
  <c r="K52" i="48"/>
  <c r="K25" i="48"/>
  <c r="K37" i="48"/>
  <c r="K61" i="48"/>
  <c r="K69" i="48"/>
  <c r="K64" i="48"/>
  <c r="K22" i="48"/>
  <c r="K44" i="48"/>
  <c r="K19" i="48"/>
  <c r="K55" i="48"/>
  <c r="K100" i="48"/>
  <c r="K70" i="48"/>
  <c r="K86" i="48"/>
  <c r="K46" i="48"/>
  <c r="K29" i="48"/>
  <c r="K115" i="48"/>
  <c r="K95" i="48"/>
  <c r="AI13" i="34"/>
  <c r="AI53" i="34" s="1"/>
  <c r="M63" i="34"/>
  <c r="Q53" i="34"/>
  <c r="AI14" i="34"/>
  <c r="E54" i="34"/>
  <c r="E63" i="34"/>
  <c r="AD27" i="21"/>
  <c r="AC36" i="21"/>
  <c r="U63" i="34"/>
  <c r="I63" i="34"/>
  <c r="S63" i="34"/>
  <c r="Y53" i="34"/>
  <c r="U59" i="37"/>
  <c r="U62" i="37"/>
  <c r="AI16" i="34"/>
  <c r="R99" i="22"/>
  <c r="Q99" i="22"/>
  <c r="I39" i="65" l="1"/>
  <c r="J39" i="65"/>
  <c r="K39" i="65" s="1"/>
  <c r="AG54" i="51"/>
  <c r="F58" i="48"/>
  <c r="C22" i="34"/>
  <c r="C112" i="48"/>
  <c r="C23" i="34"/>
  <c r="C113" i="48"/>
  <c r="Z113" i="48"/>
  <c r="AD63" i="48"/>
  <c r="Z112" i="48"/>
  <c r="AD59" i="48"/>
  <c r="D114" i="48"/>
  <c r="E58" i="48"/>
  <c r="C24" i="34"/>
  <c r="C114" i="48"/>
  <c r="AD57" i="48"/>
  <c r="E258" i="34"/>
  <c r="G258" i="34"/>
  <c r="U260" i="51"/>
  <c r="I54" i="34"/>
  <c r="J14" i="34"/>
  <c r="J16" i="34"/>
  <c r="I47" i="34"/>
  <c r="I258" i="34" s="1"/>
  <c r="J10" i="34"/>
  <c r="J26" i="34"/>
  <c r="J13" i="34"/>
  <c r="AG53" i="34"/>
  <c r="AG63" i="34" s="1"/>
  <c r="M54" i="34"/>
  <c r="N26" i="34"/>
  <c r="M47" i="34"/>
  <c r="N13" i="34"/>
  <c r="N23" i="34"/>
  <c r="N25" i="34"/>
  <c r="N14" i="34"/>
  <c r="N22" i="34"/>
  <c r="N16" i="34"/>
  <c r="N10" i="34"/>
  <c r="W11" i="34"/>
  <c r="U45" i="34"/>
  <c r="Q63" i="34"/>
  <c r="AC40" i="21"/>
  <c r="AD40" i="21" s="1"/>
  <c r="AD36" i="21"/>
  <c r="S99" i="22"/>
  <c r="T99" i="22"/>
  <c r="Y63" i="34"/>
  <c r="AI63" i="34"/>
  <c r="L39" i="65" l="1"/>
  <c r="M39" i="65" s="1"/>
  <c r="I23" i="34"/>
  <c r="D23" i="34"/>
  <c r="E24" i="34"/>
  <c r="F24" i="34" s="1"/>
  <c r="E114" i="48"/>
  <c r="I22" i="34"/>
  <c r="D22" i="34"/>
  <c r="F114" i="48"/>
  <c r="G58" i="48"/>
  <c r="H58" i="48"/>
  <c r="D24" i="34"/>
  <c r="M258" i="34"/>
  <c r="AI261" i="51"/>
  <c r="Y11" i="34"/>
  <c r="AA11" i="34" s="1"/>
  <c r="W45" i="34"/>
  <c r="U99" i="22"/>
  <c r="V99" i="22"/>
  <c r="AI22" i="34" l="1"/>
  <c r="J22" i="34"/>
  <c r="J58" i="48"/>
  <c r="H114" i="48"/>
  <c r="I58" i="48"/>
  <c r="G24" i="34"/>
  <c r="G114" i="48"/>
  <c r="AI23" i="34"/>
  <c r="J23" i="34"/>
  <c r="AC11" i="34"/>
  <c r="AA45" i="34"/>
  <c r="X99" i="22"/>
  <c r="W99" i="22"/>
  <c r="H24" i="34" l="1"/>
  <c r="I24" i="34"/>
  <c r="J114" i="48"/>
  <c r="K58" i="48"/>
  <c r="L58" i="48"/>
  <c r="K24" i="34"/>
  <c r="I114" i="48"/>
  <c r="AE11" i="34"/>
  <c r="AC45" i="34"/>
  <c r="X87" i="22"/>
  <c r="AE37" i="51" s="1"/>
  <c r="Y87" i="4"/>
  <c r="AB87" i="40"/>
  <c r="AA87" i="40"/>
  <c r="W87" i="4"/>
  <c r="V87" i="22"/>
  <c r="AC37" i="51" s="1"/>
  <c r="AD37" i="51" s="1"/>
  <c r="T87" i="22"/>
  <c r="AA37" i="51" s="1"/>
  <c r="AB37" i="51" s="1"/>
  <c r="U87" i="4"/>
  <c r="Z87" i="40"/>
  <c r="Y99" i="22"/>
  <c r="Z99" i="22"/>
  <c r="AG11" i="34" l="1"/>
  <c r="AE45" i="34"/>
  <c r="N58" i="48"/>
  <c r="J24" i="34"/>
  <c r="M24" i="34"/>
  <c r="N24" i="34" s="1"/>
  <c r="K114" i="48"/>
  <c r="L24" i="34"/>
  <c r="L114" i="48"/>
  <c r="O24" i="34" s="1"/>
  <c r="AG37" i="51"/>
  <c r="AH37" i="51" s="1"/>
  <c r="AF37" i="51"/>
  <c r="AI11" i="34"/>
  <c r="AI45" i="34" s="1"/>
  <c r="AG45" i="34"/>
  <c r="W87" i="22"/>
  <c r="V38" i="21"/>
  <c r="W38" i="21" s="1"/>
  <c r="U87" i="22"/>
  <c r="T38" i="21"/>
  <c r="U38" i="21" s="1"/>
  <c r="Y87" i="22"/>
  <c r="X38" i="21"/>
  <c r="Q24" i="34" l="1"/>
  <c r="N114" i="48"/>
  <c r="S24" i="34" s="1"/>
  <c r="P58" i="48"/>
  <c r="Y38" i="21"/>
  <c r="R58" i="48" l="1"/>
  <c r="P114" i="48"/>
  <c r="U24" i="34" s="1"/>
  <c r="F87" i="41"/>
  <c r="N87" i="40"/>
  <c r="L87" i="22"/>
  <c r="O37" i="51" s="1"/>
  <c r="N87" i="41"/>
  <c r="L87" i="41"/>
  <c r="L87" i="40"/>
  <c r="J87" i="22"/>
  <c r="M37" i="51" s="1"/>
  <c r="N87" i="22"/>
  <c r="S37" i="51" s="1"/>
  <c r="R87" i="41"/>
  <c r="R87" i="40"/>
  <c r="H87" i="22"/>
  <c r="K37" i="51" s="1"/>
  <c r="J87" i="41"/>
  <c r="J87" i="40"/>
  <c r="B87" i="22"/>
  <c r="C37" i="51" s="1"/>
  <c r="B87" i="40"/>
  <c r="B87" i="41"/>
  <c r="R114" i="48" l="1"/>
  <c r="W24" i="34" s="1"/>
  <c r="Y24" i="34" s="1"/>
  <c r="V58" i="48"/>
  <c r="T58" i="48"/>
  <c r="D87" i="22"/>
  <c r="E37" i="51" s="1"/>
  <c r="D87" i="40"/>
  <c r="D87" i="41"/>
  <c r="F87" i="22"/>
  <c r="G37" i="51" s="1"/>
  <c r="F87" i="40"/>
  <c r="T87" i="41"/>
  <c r="P87" i="22"/>
  <c r="U37" i="51" s="1"/>
  <c r="V37" i="51" s="1"/>
  <c r="T87" i="40"/>
  <c r="Q87" i="4"/>
  <c r="V87" i="40"/>
  <c r="W87" i="40" s="1"/>
  <c r="R87" i="22"/>
  <c r="W37" i="51" s="1"/>
  <c r="W38" i="51" s="1"/>
  <c r="Z87" i="4"/>
  <c r="S87" i="4"/>
  <c r="V87" i="41"/>
  <c r="Q37" i="51"/>
  <c r="H38" i="21"/>
  <c r="P87" i="41"/>
  <c r="B38" i="21"/>
  <c r="J38" i="21"/>
  <c r="N38" i="21"/>
  <c r="P87" i="40"/>
  <c r="L38" i="21"/>
  <c r="Z58" i="48" l="1"/>
  <c r="AD58" i="48" s="1"/>
  <c r="T114" i="48"/>
  <c r="AA24" i="34" s="1"/>
  <c r="V114" i="48"/>
  <c r="AC24" i="34" s="1"/>
  <c r="H87" i="41"/>
  <c r="D38" i="21"/>
  <c r="H87" i="40"/>
  <c r="U87" i="40"/>
  <c r="F38" i="21"/>
  <c r="I37" i="51"/>
  <c r="Q87" i="22"/>
  <c r="X87" i="41"/>
  <c r="U38" i="51"/>
  <c r="P38" i="21"/>
  <c r="Z87" i="22"/>
  <c r="S87" i="22"/>
  <c r="X87" i="40"/>
  <c r="X37" i="51"/>
  <c r="R38" i="21"/>
  <c r="AC87" i="40"/>
  <c r="AG87" i="40" s="1"/>
  <c r="Y37" i="51"/>
  <c r="W87" i="41"/>
  <c r="AE87" i="41"/>
  <c r="Z114" i="48" l="1"/>
  <c r="AG24" i="34"/>
  <c r="AI24" i="34" s="1"/>
  <c r="Q38" i="21"/>
  <c r="Z38" i="21"/>
  <c r="S38" i="21"/>
  <c r="AD87" i="22"/>
  <c r="AG93" i="41"/>
  <c r="AI37" i="51"/>
  <c r="D4" i="45" l="1"/>
  <c r="F3" i="45" s="1"/>
  <c r="K4" i="45"/>
  <c r="M3" i="45" s="1"/>
  <c r="L4" i="45"/>
  <c r="N3" i="45" s="1"/>
  <c r="O4" i="45"/>
  <c r="Q3" i="45" s="1"/>
  <c r="N4" i="45"/>
  <c r="P3" i="45" s="1"/>
  <c r="Q4" i="45"/>
  <c r="S3" i="45" s="1"/>
  <c r="J4" i="45"/>
  <c r="L3" i="45" s="1"/>
  <c r="P4" i="45"/>
  <c r="R3" i="45" s="1"/>
  <c r="I4" i="45"/>
  <c r="K3" i="45" s="1"/>
  <c r="E4" i="45"/>
  <c r="G3" i="45" s="1"/>
  <c r="G4" i="45" l="1"/>
  <c r="I3" i="45" s="1"/>
  <c r="H4" i="45"/>
  <c r="J3" i="45" s="1"/>
  <c r="F4" i="45"/>
  <c r="H3" i="45" s="1"/>
  <c r="E9" i="50"/>
  <c r="E4" i="50" s="1"/>
  <c r="M4" i="45"/>
  <c r="O3" i="45" s="1"/>
  <c r="H9" i="50"/>
  <c r="H4" i="50" s="1"/>
  <c r="I9" i="50"/>
  <c r="I4" i="50" s="1"/>
  <c r="G9" i="50"/>
  <c r="K9" i="50"/>
  <c r="N9" i="50" s="1"/>
  <c r="D9" i="50"/>
  <c r="D11" i="50" s="1"/>
  <c r="G10" i="45"/>
  <c r="S10" i="45"/>
  <c r="S16" i="45" s="1"/>
  <c r="L10" i="45"/>
  <c r="L16" i="45" s="1"/>
  <c r="H10" i="45"/>
  <c r="M10" i="45"/>
  <c r="M16" i="45" s="1"/>
  <c r="T10" i="45"/>
  <c r="Q10" i="45"/>
  <c r="C9" i="50"/>
  <c r="R10" i="45"/>
  <c r="R16" i="45" s="1"/>
  <c r="O10" i="45"/>
  <c r="O16" i="45" s="1"/>
  <c r="J10" i="45" l="1"/>
  <c r="J16" i="45" s="1"/>
  <c r="E11" i="50"/>
  <c r="F7" i="16" s="1"/>
  <c r="H11" i="50"/>
  <c r="H30" i="50" s="1"/>
  <c r="P10" i="45"/>
  <c r="P16" i="45" s="1"/>
  <c r="J9" i="50"/>
  <c r="J4" i="50" s="1"/>
  <c r="I11" i="50"/>
  <c r="L7" i="16" s="1"/>
  <c r="G4" i="50"/>
  <c r="G11" i="50"/>
  <c r="G31" i="50" s="1"/>
  <c r="D4" i="50"/>
  <c r="K10" i="45"/>
  <c r="J49" i="45" s="1"/>
  <c r="I10" i="45"/>
  <c r="I16" i="45" s="1"/>
  <c r="K11" i="50"/>
  <c r="K30" i="50" s="1"/>
  <c r="K4" i="50"/>
  <c r="C4" i="50"/>
  <c r="F9" i="50"/>
  <c r="C11" i="50"/>
  <c r="F49" i="45"/>
  <c r="G16" i="45"/>
  <c r="Q16" i="45"/>
  <c r="L49" i="45"/>
  <c r="N10" i="45"/>
  <c r="T16" i="45"/>
  <c r="M49" i="45"/>
  <c r="H16" i="45"/>
  <c r="N4" i="50"/>
  <c r="N11" i="50"/>
  <c r="N6" i="50" s="1"/>
  <c r="D7" i="16"/>
  <c r="D30" i="50"/>
  <c r="D6" i="50"/>
  <c r="D31" i="50"/>
  <c r="Y4" i="45"/>
  <c r="P13" i="46" l="1"/>
  <c r="P45" i="46" s="1"/>
  <c r="E30" i="50"/>
  <c r="E6" i="50"/>
  <c r="E31" i="50"/>
  <c r="J7" i="16"/>
  <c r="J7" i="24" s="1"/>
  <c r="H31" i="50"/>
  <c r="H32" i="50" s="1"/>
  <c r="H6" i="50"/>
  <c r="G30" i="50"/>
  <c r="G32" i="50" s="1"/>
  <c r="G6" i="50"/>
  <c r="H7" i="16"/>
  <c r="H7" i="4" s="1"/>
  <c r="G49" i="45"/>
  <c r="G55" i="45" s="1"/>
  <c r="K16" i="45"/>
  <c r="I30" i="50"/>
  <c r="I6" i="50"/>
  <c r="K6" i="50"/>
  <c r="I31" i="50"/>
  <c r="K31" i="50"/>
  <c r="K32" i="50" s="1"/>
  <c r="N7" i="16"/>
  <c r="N13" i="16" s="1"/>
  <c r="O7" i="16" s="1"/>
  <c r="J11" i="50"/>
  <c r="J6" i="50" s="1"/>
  <c r="S9" i="50"/>
  <c r="F4" i="50"/>
  <c r="F11" i="50"/>
  <c r="F6" i="50" s="1"/>
  <c r="K49" i="45"/>
  <c r="N49" i="45" s="1"/>
  <c r="N16" i="45"/>
  <c r="R13" i="46"/>
  <c r="R45" i="46" s="1"/>
  <c r="D7" i="24"/>
  <c r="D13" i="16"/>
  <c r="E7" i="16" s="1"/>
  <c r="D7" i="4"/>
  <c r="D7" i="41"/>
  <c r="L7" i="24"/>
  <c r="L13" i="16"/>
  <c r="M7" i="16" s="1"/>
  <c r="L7" i="4"/>
  <c r="N7" i="41"/>
  <c r="F89" i="45"/>
  <c r="F55" i="45"/>
  <c r="L13" i="46"/>
  <c r="L45" i="46" s="1"/>
  <c r="T13" i="46"/>
  <c r="T45" i="46" s="1"/>
  <c r="F7" i="24"/>
  <c r="F13" i="16"/>
  <c r="G7" i="16" s="1"/>
  <c r="F7" i="4"/>
  <c r="F7" i="41"/>
  <c r="D32" i="50"/>
  <c r="J89" i="45"/>
  <c r="J55" i="45"/>
  <c r="M89" i="45"/>
  <c r="M95" i="45" s="1"/>
  <c r="M55" i="45"/>
  <c r="L89" i="45"/>
  <c r="L95" i="45" s="1"/>
  <c r="L55" i="45"/>
  <c r="B7" i="16"/>
  <c r="C6" i="50"/>
  <c r="C30" i="50"/>
  <c r="C31" i="50"/>
  <c r="S45" i="46" l="1"/>
  <c r="T55" i="46"/>
  <c r="U7" i="72" s="1"/>
  <c r="U45" i="46"/>
  <c r="Q45" i="46"/>
  <c r="R55" i="46"/>
  <c r="S7" i="72" s="1"/>
  <c r="P55" i="46"/>
  <c r="Q7" i="72" s="1"/>
  <c r="L55" i="46"/>
  <c r="M7" i="72" s="1"/>
  <c r="U7" i="46"/>
  <c r="V1" i="72" s="1"/>
  <c r="N13" i="46"/>
  <c r="N45" i="46" s="1"/>
  <c r="Z13" i="46"/>
  <c r="Q7" i="46"/>
  <c r="R1" i="72" s="1"/>
  <c r="Q13" i="46"/>
  <c r="V13" i="46"/>
  <c r="V45" i="46" s="1"/>
  <c r="P7" i="48"/>
  <c r="E32" i="50"/>
  <c r="L7" i="41"/>
  <c r="L13" i="41" s="1"/>
  <c r="M7" i="41" s="1"/>
  <c r="J7" i="4"/>
  <c r="L7" i="40" s="1"/>
  <c r="J13" i="16"/>
  <c r="K17" i="16" s="1"/>
  <c r="S7" i="46"/>
  <c r="T1" i="72" s="1"/>
  <c r="U47" i="46"/>
  <c r="U34" i="46"/>
  <c r="U27" i="46"/>
  <c r="W40" i="46"/>
  <c r="U40" i="46"/>
  <c r="U30" i="46"/>
  <c r="W43" i="46"/>
  <c r="U41" i="46"/>
  <c r="W34" i="46"/>
  <c r="U38" i="46"/>
  <c r="U28" i="46"/>
  <c r="W41" i="46"/>
  <c r="W27" i="46"/>
  <c r="W44" i="46"/>
  <c r="U46" i="46"/>
  <c r="W38" i="46"/>
  <c r="U43" i="46"/>
  <c r="W28" i="46"/>
  <c r="W46" i="46"/>
  <c r="U44" i="46"/>
  <c r="W30" i="46"/>
  <c r="W47" i="46"/>
  <c r="U35" i="46"/>
  <c r="U32" i="46"/>
  <c r="W32" i="46"/>
  <c r="U39" i="46"/>
  <c r="W39" i="46"/>
  <c r="W36" i="46"/>
  <c r="U36" i="46"/>
  <c r="W35" i="46"/>
  <c r="W37" i="46"/>
  <c r="U37" i="46"/>
  <c r="U31" i="46"/>
  <c r="U33" i="46"/>
  <c r="W31" i="46"/>
  <c r="W33" i="46"/>
  <c r="W29" i="46"/>
  <c r="U26" i="46"/>
  <c r="U29" i="46"/>
  <c r="W26" i="46"/>
  <c r="M7" i="46"/>
  <c r="N1" i="72" s="1"/>
  <c r="M41" i="46"/>
  <c r="M40" i="46"/>
  <c r="M32" i="46"/>
  <c r="M33" i="46"/>
  <c r="H13" i="16"/>
  <c r="I7" i="16" s="1"/>
  <c r="D5" i="60"/>
  <c r="F5" i="60" s="1"/>
  <c r="F6" i="60" s="1"/>
  <c r="H7" i="24"/>
  <c r="H13" i="24" s="1"/>
  <c r="I7" i="24" s="1"/>
  <c r="J7" i="41"/>
  <c r="I32" i="50"/>
  <c r="H49" i="45"/>
  <c r="G89" i="45"/>
  <c r="G95" i="45" s="1"/>
  <c r="N7" i="24"/>
  <c r="N13" i="24" s="1"/>
  <c r="R7" i="41"/>
  <c r="R13" i="41" s="1"/>
  <c r="S7" i="41" s="1"/>
  <c r="N7" i="4"/>
  <c r="N7" i="22" s="1"/>
  <c r="N13" i="41"/>
  <c r="E43" i="16"/>
  <c r="E44" i="16"/>
  <c r="E45" i="16"/>
  <c r="E46" i="16"/>
  <c r="E16" i="16"/>
  <c r="E18" i="16"/>
  <c r="E20" i="16"/>
  <c r="E22" i="16"/>
  <c r="E24" i="16"/>
  <c r="E26" i="16"/>
  <c r="E28" i="16"/>
  <c r="E30" i="16"/>
  <c r="E32" i="16"/>
  <c r="E34" i="16"/>
  <c r="E36" i="16"/>
  <c r="E38" i="16"/>
  <c r="E40" i="16"/>
  <c r="E13" i="16"/>
  <c r="E17" i="16"/>
  <c r="E19" i="16"/>
  <c r="E21" i="16"/>
  <c r="E23" i="16"/>
  <c r="E25" i="16"/>
  <c r="E27" i="16"/>
  <c r="E29" i="16"/>
  <c r="E31" i="16"/>
  <c r="E33" i="16"/>
  <c r="E35" i="16"/>
  <c r="E37" i="16"/>
  <c r="E39" i="16"/>
  <c r="E41" i="16"/>
  <c r="E48" i="16"/>
  <c r="L7" i="48"/>
  <c r="L7" i="22"/>
  <c r="L13" i="4"/>
  <c r="L52" i="16" s="1"/>
  <c r="N7" i="40"/>
  <c r="F13" i="41"/>
  <c r="N7" i="48"/>
  <c r="M53" i="16"/>
  <c r="M16" i="16"/>
  <c r="M17" i="16"/>
  <c r="M18" i="16"/>
  <c r="M19" i="16"/>
  <c r="M20" i="16"/>
  <c r="M21" i="16"/>
  <c r="M22" i="16"/>
  <c r="M23" i="16"/>
  <c r="M24" i="16"/>
  <c r="M25" i="16"/>
  <c r="M26" i="16"/>
  <c r="M27" i="16"/>
  <c r="M28" i="16"/>
  <c r="M29" i="16"/>
  <c r="M30" i="16"/>
  <c r="M31" i="16"/>
  <c r="M32" i="16"/>
  <c r="M33" i="16"/>
  <c r="M34" i="16"/>
  <c r="M35" i="16"/>
  <c r="M36" i="16"/>
  <c r="M37" i="16"/>
  <c r="M38" i="16"/>
  <c r="M39" i="16"/>
  <c r="M40" i="16"/>
  <c r="M41" i="16"/>
  <c r="M48" i="16"/>
  <c r="M44" i="16"/>
  <c r="M46" i="16"/>
  <c r="M43" i="16"/>
  <c r="M45" i="16"/>
  <c r="M13" i="16"/>
  <c r="M54" i="16"/>
  <c r="F7" i="22"/>
  <c r="F13" i="4"/>
  <c r="F52" i="16" s="1"/>
  <c r="F7" i="40"/>
  <c r="C32" i="50"/>
  <c r="O13" i="16"/>
  <c r="O53" i="16"/>
  <c r="O44" i="16"/>
  <c r="O46" i="16"/>
  <c r="O54" i="16"/>
  <c r="O17" i="16"/>
  <c r="O19" i="16"/>
  <c r="O21" i="16"/>
  <c r="O23" i="16"/>
  <c r="O25" i="16"/>
  <c r="O27" i="16"/>
  <c r="O29" i="16"/>
  <c r="O31" i="16"/>
  <c r="O33" i="16"/>
  <c r="O35" i="16"/>
  <c r="O37" i="16"/>
  <c r="O39" i="16"/>
  <c r="O41" i="16"/>
  <c r="O48" i="16"/>
  <c r="O22" i="16"/>
  <c r="O30" i="16"/>
  <c r="O38" i="16"/>
  <c r="O45" i="16"/>
  <c r="O16" i="16"/>
  <c r="O24" i="16"/>
  <c r="O32" i="16"/>
  <c r="O40" i="16"/>
  <c r="O43" i="16"/>
  <c r="O18" i="16"/>
  <c r="O34" i="16"/>
  <c r="O20" i="16"/>
  <c r="O36" i="16"/>
  <c r="O26" i="16"/>
  <c r="O28" i="16"/>
  <c r="M28" i="46"/>
  <c r="M36" i="46"/>
  <c r="M44" i="46"/>
  <c r="M46" i="46"/>
  <c r="M47" i="46"/>
  <c r="M50" i="46"/>
  <c r="M27" i="46"/>
  <c r="M31" i="46"/>
  <c r="M35" i="46"/>
  <c r="M39" i="46"/>
  <c r="M43" i="46"/>
  <c r="M56" i="46"/>
  <c r="M13" i="46"/>
  <c r="M16" i="46"/>
  <c r="M17" i="46"/>
  <c r="M18" i="46"/>
  <c r="M19" i="46"/>
  <c r="M20" i="46"/>
  <c r="M21" i="46"/>
  <c r="M22" i="46"/>
  <c r="M23" i="46"/>
  <c r="M24" i="46"/>
  <c r="M25" i="46"/>
  <c r="M26" i="46"/>
  <c r="M30" i="46"/>
  <c r="M34" i="46"/>
  <c r="M29" i="46"/>
  <c r="M37" i="46"/>
  <c r="M38" i="46"/>
  <c r="D13" i="24"/>
  <c r="K16" i="16"/>
  <c r="K18" i="16"/>
  <c r="K19" i="16"/>
  <c r="K32" i="16"/>
  <c r="K34" i="16"/>
  <c r="K35" i="16"/>
  <c r="K40" i="16"/>
  <c r="K48" i="16"/>
  <c r="K55" i="45"/>
  <c r="N55" i="45" s="1"/>
  <c r="K89" i="45"/>
  <c r="K95" i="45" s="1"/>
  <c r="B7" i="24"/>
  <c r="Z7" i="16"/>
  <c r="B13" i="16"/>
  <c r="B7" i="4"/>
  <c r="B7" i="41"/>
  <c r="Q29" i="46"/>
  <c r="Q33" i="46"/>
  <c r="Q37" i="46"/>
  <c r="Q41" i="46"/>
  <c r="Q28" i="46"/>
  <c r="Q32" i="46"/>
  <c r="Q36" i="46"/>
  <c r="Q40" i="46"/>
  <c r="Q44" i="46"/>
  <c r="Q46" i="46"/>
  <c r="Q47" i="46"/>
  <c r="Q50" i="46"/>
  <c r="Q27" i="46"/>
  <c r="Q31" i="46"/>
  <c r="Q16" i="46"/>
  <c r="Q17" i="46"/>
  <c r="Q18" i="46"/>
  <c r="Q19" i="46"/>
  <c r="Q20" i="46"/>
  <c r="Q21" i="46"/>
  <c r="Q22" i="46"/>
  <c r="Q23" i="46"/>
  <c r="Q24" i="46"/>
  <c r="Q25" i="46"/>
  <c r="Q26" i="46"/>
  <c r="Q30" i="46"/>
  <c r="Q39" i="46"/>
  <c r="Q43" i="46"/>
  <c r="Q34" i="46"/>
  <c r="Q38" i="46"/>
  <c r="Q56" i="46"/>
  <c r="Q35" i="46"/>
  <c r="U16" i="46"/>
  <c r="U17" i="46"/>
  <c r="U18" i="46"/>
  <c r="U19" i="46"/>
  <c r="U20" i="46"/>
  <c r="U21" i="46"/>
  <c r="U22" i="46"/>
  <c r="U23" i="46"/>
  <c r="U24" i="46"/>
  <c r="U25" i="46"/>
  <c r="U13" i="46"/>
  <c r="U50" i="46"/>
  <c r="U56" i="46"/>
  <c r="J95" i="45"/>
  <c r="G13" i="16"/>
  <c r="G16" i="16"/>
  <c r="G18" i="16"/>
  <c r="G20" i="16"/>
  <c r="G22" i="16"/>
  <c r="G24" i="16"/>
  <c r="G26" i="16"/>
  <c r="G28" i="16"/>
  <c r="G30" i="16"/>
  <c r="G32" i="16"/>
  <c r="G34" i="16"/>
  <c r="G36" i="16"/>
  <c r="G38" i="16"/>
  <c r="G40" i="16"/>
  <c r="G44" i="16"/>
  <c r="G46" i="16"/>
  <c r="G45" i="16"/>
  <c r="G23" i="16"/>
  <c r="G31" i="16"/>
  <c r="G39" i="16"/>
  <c r="G21" i="16"/>
  <c r="G29" i="16"/>
  <c r="G37" i="16"/>
  <c r="G19" i="16"/>
  <c r="G35" i="16"/>
  <c r="G48" i="16"/>
  <c r="G25" i="16"/>
  <c r="G41" i="16"/>
  <c r="G27" i="16"/>
  <c r="G43" i="16"/>
  <c r="G17" i="16"/>
  <c r="G33" i="16"/>
  <c r="H55" i="45"/>
  <c r="L13" i="24"/>
  <c r="R7" i="48"/>
  <c r="V7" i="48"/>
  <c r="S4" i="50"/>
  <c r="S11" i="50"/>
  <c r="S6" i="50" s="1"/>
  <c r="J13" i="24"/>
  <c r="K7" i="24" s="1"/>
  <c r="F13" i="24"/>
  <c r="G7" i="24" s="1"/>
  <c r="F95" i="45"/>
  <c r="D13" i="41"/>
  <c r="E7" i="41" s="1"/>
  <c r="T7" i="48"/>
  <c r="H7" i="22"/>
  <c r="H13" i="4"/>
  <c r="I7" i="4" s="1"/>
  <c r="J7" i="40"/>
  <c r="D7" i="22"/>
  <c r="D13" i="4"/>
  <c r="E7" i="4" s="1"/>
  <c r="D7" i="40"/>
  <c r="S29" i="46"/>
  <c r="S33" i="46"/>
  <c r="S37" i="46"/>
  <c r="S41" i="46"/>
  <c r="S13" i="46"/>
  <c r="S16" i="46"/>
  <c r="S17" i="46"/>
  <c r="S18" i="46"/>
  <c r="S19" i="46"/>
  <c r="S20" i="46"/>
  <c r="S21" i="46"/>
  <c r="S22" i="46"/>
  <c r="S23" i="46"/>
  <c r="S24" i="46"/>
  <c r="S25" i="46"/>
  <c r="S26" i="46"/>
  <c r="S30" i="46"/>
  <c r="S34" i="46"/>
  <c r="S38" i="46"/>
  <c r="S39" i="46"/>
  <c r="S43" i="46"/>
  <c r="S40" i="46"/>
  <c r="S44" i="46"/>
  <c r="S47" i="46"/>
  <c r="S32" i="46"/>
  <c r="S35" i="46"/>
  <c r="S56" i="46"/>
  <c r="S28" i="46"/>
  <c r="S36" i="46"/>
  <c r="S46" i="46"/>
  <c r="S50" i="46"/>
  <c r="S27" i="46"/>
  <c r="S31" i="46"/>
  <c r="V55" i="46" l="1"/>
  <c r="W7" i="72" s="1"/>
  <c r="W45" i="46"/>
  <c r="M45" i="46"/>
  <c r="X55" i="46"/>
  <c r="Y7" i="72" s="1"/>
  <c r="N55" i="46"/>
  <c r="O7" i="72" s="1"/>
  <c r="C15" i="65"/>
  <c r="C54" i="65"/>
  <c r="C31" i="65"/>
  <c r="C49" i="65"/>
  <c r="C43" i="65"/>
  <c r="C36" i="65"/>
  <c r="C33" i="65"/>
  <c r="C47" i="65"/>
  <c r="C52" i="65"/>
  <c r="C46" i="65"/>
  <c r="C26" i="65"/>
  <c r="C45" i="65"/>
  <c r="C42" i="65"/>
  <c r="C39" i="65"/>
  <c r="C21" i="65"/>
  <c r="C37" i="65"/>
  <c r="C17" i="65"/>
  <c r="C51" i="65"/>
  <c r="C28" i="65"/>
  <c r="C41" i="65"/>
  <c r="C35" i="65"/>
  <c r="C48" i="65"/>
  <c r="C38" i="65"/>
  <c r="C30" i="65"/>
  <c r="C44" i="65"/>
  <c r="C34" i="65"/>
  <c r="I17" i="65"/>
  <c r="G17" i="65"/>
  <c r="C29" i="65"/>
  <c r="C27" i="65"/>
  <c r="C40" i="65"/>
  <c r="E17" i="65"/>
  <c r="C32" i="65"/>
  <c r="Z55" i="46"/>
  <c r="B63" i="65" s="1"/>
  <c r="C18" i="33" s="1"/>
  <c r="O47" i="46"/>
  <c r="Y56" i="46"/>
  <c r="W7" i="46"/>
  <c r="X1" i="72" s="1"/>
  <c r="Y13" i="46"/>
  <c r="Y40" i="46"/>
  <c r="Y27" i="46"/>
  <c r="Y24" i="46"/>
  <c r="Y21" i="46"/>
  <c r="Y18" i="46"/>
  <c r="Y28" i="46"/>
  <c r="Y38" i="46"/>
  <c r="Y35" i="46"/>
  <c r="Y41" i="46"/>
  <c r="Y34" i="46"/>
  <c r="Y47" i="46"/>
  <c r="Y25" i="46"/>
  <c r="Y30" i="46"/>
  <c r="Y39" i="46"/>
  <c r="Y22" i="46"/>
  <c r="Y7" i="46"/>
  <c r="Y31" i="46"/>
  <c r="Y20" i="46"/>
  <c r="Y43" i="46"/>
  <c r="Y29" i="46"/>
  <c r="Y16" i="46"/>
  <c r="Y46" i="46"/>
  <c r="Y37" i="46"/>
  <c r="Y17" i="46"/>
  <c r="Y44" i="46"/>
  <c r="Y36" i="46"/>
  <c r="Y33" i="46"/>
  <c r="Y19" i="46"/>
  <c r="Y26" i="46"/>
  <c r="Y50" i="46"/>
  <c r="Y32" i="46"/>
  <c r="Y23" i="46"/>
  <c r="K26" i="16"/>
  <c r="K27" i="16"/>
  <c r="K13" i="16"/>
  <c r="K24" i="16"/>
  <c r="P7" i="41"/>
  <c r="O23" i="46"/>
  <c r="O31" i="46"/>
  <c r="O30" i="46"/>
  <c r="O36" i="46"/>
  <c r="O33" i="46"/>
  <c r="O22" i="46"/>
  <c r="O17" i="46"/>
  <c r="O38" i="46"/>
  <c r="O29" i="46"/>
  <c r="O34" i="46"/>
  <c r="O13" i="46"/>
  <c r="O28" i="46"/>
  <c r="O19" i="46"/>
  <c r="O25" i="46"/>
  <c r="O39" i="46"/>
  <c r="O41" i="46"/>
  <c r="O18" i="46"/>
  <c r="O21" i="46"/>
  <c r="O50" i="46"/>
  <c r="O32" i="46"/>
  <c r="O46" i="46"/>
  <c r="O26" i="46"/>
  <c r="O24" i="46"/>
  <c r="O44" i="46"/>
  <c r="O7" i="46"/>
  <c r="P1" i="72" s="1"/>
  <c r="O35" i="46"/>
  <c r="O40" i="46"/>
  <c r="O27" i="46"/>
  <c r="O20" i="46"/>
  <c r="O43" i="46"/>
  <c r="O56" i="46"/>
  <c r="O16" i="46"/>
  <c r="O37" i="46"/>
  <c r="J13" i="4"/>
  <c r="K7" i="4" s="1"/>
  <c r="W16" i="46"/>
  <c r="W24" i="46"/>
  <c r="J13" i="41"/>
  <c r="K7" i="41" s="1"/>
  <c r="W23" i="46"/>
  <c r="W22" i="46"/>
  <c r="W21" i="46"/>
  <c r="W20" i="46"/>
  <c r="W18" i="46"/>
  <c r="W50" i="46"/>
  <c r="W56" i="46"/>
  <c r="W19" i="46"/>
  <c r="W13" i="46"/>
  <c r="W25" i="46"/>
  <c r="W17" i="46"/>
  <c r="X7" i="41"/>
  <c r="K46" i="16"/>
  <c r="K39" i="16"/>
  <c r="K31" i="16"/>
  <c r="K23" i="16"/>
  <c r="J7" i="22"/>
  <c r="J13" i="22" s="1"/>
  <c r="K7" i="22" s="1"/>
  <c r="K45" i="16"/>
  <c r="K38" i="16"/>
  <c r="K30" i="16"/>
  <c r="K22" i="16"/>
  <c r="K44" i="16"/>
  <c r="K37" i="16"/>
  <c r="K29" i="16"/>
  <c r="K21" i="16"/>
  <c r="K43" i="16"/>
  <c r="K36" i="16"/>
  <c r="K28" i="16"/>
  <c r="K20" i="16"/>
  <c r="K7" i="16"/>
  <c r="K41" i="16"/>
  <c r="K33" i="16"/>
  <c r="K25" i="16"/>
  <c r="R7" i="40"/>
  <c r="R13" i="40" s="1"/>
  <c r="S7" i="40" s="1"/>
  <c r="I13" i="16"/>
  <c r="I39" i="16"/>
  <c r="I32" i="16"/>
  <c r="I31" i="16"/>
  <c r="I40" i="16"/>
  <c r="I24" i="16"/>
  <c r="I23" i="16"/>
  <c r="I16" i="16"/>
  <c r="I30" i="16"/>
  <c r="I43" i="16"/>
  <c r="I37" i="16"/>
  <c r="I29" i="16"/>
  <c r="I21" i="16"/>
  <c r="I46" i="16"/>
  <c r="I36" i="16"/>
  <c r="I28" i="16"/>
  <c r="I20" i="16"/>
  <c r="I44" i="16"/>
  <c r="I35" i="16"/>
  <c r="I27" i="16"/>
  <c r="I19" i="16"/>
  <c r="I38" i="16"/>
  <c r="I48" i="16"/>
  <c r="I34" i="16"/>
  <c r="I26" i="16"/>
  <c r="I18" i="16"/>
  <c r="I45" i="16"/>
  <c r="I22" i="16"/>
  <c r="I41" i="16"/>
  <c r="I33" i="16"/>
  <c r="I25" i="16"/>
  <c r="I17" i="16"/>
  <c r="AA7" i="46"/>
  <c r="H89" i="45"/>
  <c r="H95" i="45"/>
  <c r="X7" i="48"/>
  <c r="Z7" i="48" s="1"/>
  <c r="N13" i="4"/>
  <c r="O7" i="4" s="1"/>
  <c r="J52" i="16"/>
  <c r="K52" i="16" s="1"/>
  <c r="N89" i="45"/>
  <c r="N95" i="45"/>
  <c r="J99" i="43"/>
  <c r="I13" i="4"/>
  <c r="I43" i="4"/>
  <c r="I44" i="4"/>
  <c r="I45" i="4"/>
  <c r="I46" i="4"/>
  <c r="H3" i="4"/>
  <c r="I16" i="4"/>
  <c r="I18" i="4"/>
  <c r="I20" i="4"/>
  <c r="I22" i="4"/>
  <c r="I24" i="4"/>
  <c r="I26" i="4"/>
  <c r="I28" i="4"/>
  <c r="I30" i="4"/>
  <c r="I32" i="4"/>
  <c r="I34" i="4"/>
  <c r="I36" i="4"/>
  <c r="I38" i="4"/>
  <c r="I40" i="4"/>
  <c r="I17" i="4"/>
  <c r="I19" i="4"/>
  <c r="I21" i="4"/>
  <c r="I23" i="4"/>
  <c r="I25" i="4"/>
  <c r="I27" i="4"/>
  <c r="I29" i="4"/>
  <c r="I31" i="4"/>
  <c r="I33" i="4"/>
  <c r="I35" i="4"/>
  <c r="I37" i="4"/>
  <c r="I39" i="4"/>
  <c r="I41" i="4"/>
  <c r="I53" i="4"/>
  <c r="I55" i="4"/>
  <c r="I57" i="4"/>
  <c r="I59" i="4"/>
  <c r="I64" i="4"/>
  <c r="I58" i="4"/>
  <c r="I67" i="4"/>
  <c r="I62" i="4"/>
  <c r="I77" i="4"/>
  <c r="I79" i="4"/>
  <c r="I65" i="4"/>
  <c r="I70" i="4"/>
  <c r="I72" i="4"/>
  <c r="I87" i="4"/>
  <c r="I60" i="4"/>
  <c r="I68" i="4"/>
  <c r="I82" i="4"/>
  <c r="I54" i="4"/>
  <c r="I63" i="4"/>
  <c r="I66" i="4"/>
  <c r="I76" i="4"/>
  <c r="I78" i="4"/>
  <c r="I80" i="4"/>
  <c r="I56" i="4"/>
  <c r="I61" i="4"/>
  <c r="I69" i="4"/>
  <c r="I71" i="4"/>
  <c r="G13" i="24"/>
  <c r="G17" i="24"/>
  <c r="G19" i="24"/>
  <c r="G21" i="24"/>
  <c r="G23" i="24"/>
  <c r="G25" i="24"/>
  <c r="G29" i="24"/>
  <c r="G33" i="24"/>
  <c r="G37" i="24"/>
  <c r="G41" i="24"/>
  <c r="G54" i="24"/>
  <c r="G48" i="24"/>
  <c r="G28" i="24"/>
  <c r="G32" i="24"/>
  <c r="G36" i="24"/>
  <c r="G40" i="24"/>
  <c r="G44" i="24"/>
  <c r="G45" i="24"/>
  <c r="G46" i="24"/>
  <c r="G20" i="24"/>
  <c r="G27" i="24"/>
  <c r="G38" i="24"/>
  <c r="G22" i="24"/>
  <c r="G39" i="24"/>
  <c r="G26" i="24"/>
  <c r="G30" i="24"/>
  <c r="G18" i="24"/>
  <c r="G31" i="24"/>
  <c r="G34" i="24"/>
  <c r="G43" i="24"/>
  <c r="G24" i="24"/>
  <c r="G35" i="24"/>
  <c r="G51" i="24"/>
  <c r="G53" i="24"/>
  <c r="G16" i="24"/>
  <c r="M16" i="24"/>
  <c r="M17" i="24"/>
  <c r="M18" i="24"/>
  <c r="M19" i="24"/>
  <c r="M20" i="24"/>
  <c r="M21" i="24"/>
  <c r="M22" i="24"/>
  <c r="M23" i="24"/>
  <c r="M24" i="24"/>
  <c r="M25" i="24"/>
  <c r="M26" i="24"/>
  <c r="M27" i="24"/>
  <c r="M28" i="24"/>
  <c r="M29" i="24"/>
  <c r="M30" i="24"/>
  <c r="M31" i="24"/>
  <c r="M32" i="24"/>
  <c r="M33" i="24"/>
  <c r="M34" i="24"/>
  <c r="M35" i="24"/>
  <c r="M36" i="24"/>
  <c r="M37" i="24"/>
  <c r="M38" i="24"/>
  <c r="M39" i="24"/>
  <c r="M40" i="24"/>
  <c r="M41" i="24"/>
  <c r="M44" i="24"/>
  <c r="M45" i="24"/>
  <c r="M46" i="24"/>
  <c r="M13" i="24"/>
  <c r="M43" i="24"/>
  <c r="M48" i="24"/>
  <c r="AE7" i="41"/>
  <c r="B13" i="41"/>
  <c r="C7" i="41" s="1"/>
  <c r="H7" i="41"/>
  <c r="AA26" i="46"/>
  <c r="AA30" i="46"/>
  <c r="AA34" i="46"/>
  <c r="AA38" i="46"/>
  <c r="AA9" i="46"/>
  <c r="AA27" i="46"/>
  <c r="AA31" i="46"/>
  <c r="AA35" i="46"/>
  <c r="AA39" i="46"/>
  <c r="AA43" i="46"/>
  <c r="AA44" i="46"/>
  <c r="AA46" i="46"/>
  <c r="AA47" i="46"/>
  <c r="AA50" i="46"/>
  <c r="AA28" i="46"/>
  <c r="AA33" i="46"/>
  <c r="AA20" i="46"/>
  <c r="AA24" i="46"/>
  <c r="AA29" i="46"/>
  <c r="AA36" i="46"/>
  <c r="AA21" i="46"/>
  <c r="AA25" i="46"/>
  <c r="AA37" i="46"/>
  <c r="AA18" i="46"/>
  <c r="AA22" i="46"/>
  <c r="AA40" i="46"/>
  <c r="AA19" i="46"/>
  <c r="AA23" i="46"/>
  <c r="AA41" i="46"/>
  <c r="AA32" i="46"/>
  <c r="H13" i="22"/>
  <c r="I7" i="22" s="1"/>
  <c r="S16" i="41"/>
  <c r="S18" i="41"/>
  <c r="S20" i="41"/>
  <c r="S22" i="41"/>
  <c r="S24" i="41"/>
  <c r="S26" i="41"/>
  <c r="S28" i="41"/>
  <c r="S30" i="41"/>
  <c r="S32" i="41"/>
  <c r="S34" i="41"/>
  <c r="S36" i="41"/>
  <c r="S38" i="41"/>
  <c r="S40" i="41"/>
  <c r="S86" i="41"/>
  <c r="S88" i="41"/>
  <c r="S124" i="41"/>
  <c r="S126" i="41"/>
  <c r="S128" i="41"/>
  <c r="S105" i="41"/>
  <c r="R3" i="41"/>
  <c r="X3" i="41" s="1"/>
  <c r="S13" i="41"/>
  <c r="S48" i="41"/>
  <c r="S101" i="41"/>
  <c r="S112" i="41"/>
  <c r="S114" i="41"/>
  <c r="S116" i="41"/>
  <c r="X13" i="41"/>
  <c r="Y7" i="41" s="1"/>
  <c r="S43" i="41"/>
  <c r="S45" i="41"/>
  <c r="S17" i="41"/>
  <c r="S19" i="41"/>
  <c r="S21" i="41"/>
  <c r="S23" i="41"/>
  <c r="S25" i="41"/>
  <c r="S27" i="41"/>
  <c r="S29" i="41"/>
  <c r="S31" i="41"/>
  <c r="S33" i="41"/>
  <c r="S35" i="41"/>
  <c r="S37" i="41"/>
  <c r="S39" i="41"/>
  <c r="S41" i="41"/>
  <c r="S104" i="41"/>
  <c r="S44" i="41"/>
  <c r="S46" i="41"/>
  <c r="S138" i="41"/>
  <c r="S142" i="41"/>
  <c r="S146" i="41"/>
  <c r="S150" i="41"/>
  <c r="V152" i="41" s="1"/>
  <c r="S102" i="41"/>
  <c r="S125" i="41"/>
  <c r="S129" i="41"/>
  <c r="S131" i="41"/>
  <c r="V133" i="41" s="1"/>
  <c r="V135" i="41" s="1"/>
  <c r="S111" i="41"/>
  <c r="S115" i="41"/>
  <c r="S139" i="41"/>
  <c r="S143" i="41"/>
  <c r="S147" i="41"/>
  <c r="S140" i="41"/>
  <c r="S144" i="41"/>
  <c r="S148" i="41"/>
  <c r="S123" i="41"/>
  <c r="S127" i="41"/>
  <c r="S130" i="41"/>
  <c r="S113" i="41"/>
  <c r="S117" i="41"/>
  <c r="S137" i="41"/>
  <c r="S141" i="41"/>
  <c r="S145" i="41"/>
  <c r="S149" i="41"/>
  <c r="B7" i="22"/>
  <c r="Z7" i="4"/>
  <c r="B13" i="4"/>
  <c r="C7" i="4" s="1"/>
  <c r="B7" i="40"/>
  <c r="L52" i="24"/>
  <c r="M52" i="24" s="1"/>
  <c r="M52" i="16"/>
  <c r="G102" i="41"/>
  <c r="G111" i="41"/>
  <c r="G113" i="41"/>
  <c r="G115" i="41"/>
  <c r="G117" i="41"/>
  <c r="G44" i="41"/>
  <c r="G46" i="41"/>
  <c r="G16" i="41"/>
  <c r="G18" i="41"/>
  <c r="G20" i="41"/>
  <c r="G22" i="41"/>
  <c r="G24" i="41"/>
  <c r="G26" i="41"/>
  <c r="G28" i="41"/>
  <c r="G30" i="41"/>
  <c r="G32" i="41"/>
  <c r="G34" i="41"/>
  <c r="G36" i="41"/>
  <c r="G38" i="41"/>
  <c r="G40" i="41"/>
  <c r="G54" i="41"/>
  <c r="G56" i="41"/>
  <c r="G58" i="41"/>
  <c r="G60" i="41"/>
  <c r="G62" i="41"/>
  <c r="G64" i="41"/>
  <c r="G66" i="41"/>
  <c r="G68" i="41"/>
  <c r="G70" i="41"/>
  <c r="G124" i="41"/>
  <c r="G126" i="41"/>
  <c r="G128" i="41"/>
  <c r="F3" i="41"/>
  <c r="G43" i="41"/>
  <c r="G45" i="41"/>
  <c r="G13" i="41"/>
  <c r="G17" i="41"/>
  <c r="G19" i="41"/>
  <c r="G21" i="41"/>
  <c r="G23" i="41"/>
  <c r="G25" i="41"/>
  <c r="G48" i="41"/>
  <c r="G76" i="41"/>
  <c r="G78" i="41"/>
  <c r="G80" i="41"/>
  <c r="G104" i="41"/>
  <c r="G41" i="41"/>
  <c r="G67" i="41"/>
  <c r="G79" i="41"/>
  <c r="G137" i="41"/>
  <c r="G141" i="41"/>
  <c r="G145" i="41"/>
  <c r="G149" i="41"/>
  <c r="G165" i="41"/>
  <c r="G167" i="41"/>
  <c r="G169" i="41"/>
  <c r="G31" i="41"/>
  <c r="G53" i="41"/>
  <c r="G69" i="41"/>
  <c r="G105" i="41"/>
  <c r="G114" i="41"/>
  <c r="G37" i="41"/>
  <c r="G55" i="41"/>
  <c r="G71" i="41"/>
  <c r="G101" i="41"/>
  <c r="G123" i="41"/>
  <c r="G127" i="41"/>
  <c r="G138" i="41"/>
  <c r="G142" i="41"/>
  <c r="G146" i="41"/>
  <c r="G150" i="41"/>
  <c r="G27" i="41"/>
  <c r="G57" i="41"/>
  <c r="G131" i="41"/>
  <c r="G158" i="41"/>
  <c r="G160" i="41"/>
  <c r="G33" i="41"/>
  <c r="G59" i="41"/>
  <c r="G82" i="41"/>
  <c r="G139" i="41"/>
  <c r="G143" i="41"/>
  <c r="G147" i="41"/>
  <c r="G166" i="41"/>
  <c r="G168" i="41"/>
  <c r="G39" i="41"/>
  <c r="G61" i="41"/>
  <c r="G72" i="41"/>
  <c r="G87" i="41"/>
  <c r="G112" i="41"/>
  <c r="G116" i="41"/>
  <c r="G29" i="41"/>
  <c r="G63" i="41"/>
  <c r="G125" i="41"/>
  <c r="G129" i="41"/>
  <c r="G140" i="41"/>
  <c r="G144" i="41"/>
  <c r="G148" i="41"/>
  <c r="G35" i="41"/>
  <c r="G65" i="41"/>
  <c r="G77" i="41"/>
  <c r="G130" i="41"/>
  <c r="G157" i="41"/>
  <c r="G159" i="41"/>
  <c r="I13" i="24"/>
  <c r="I17" i="24"/>
  <c r="I19" i="24"/>
  <c r="I21" i="24"/>
  <c r="I23" i="24"/>
  <c r="I25" i="24"/>
  <c r="I29" i="24"/>
  <c r="I33" i="24"/>
  <c r="I37" i="24"/>
  <c r="I41" i="24"/>
  <c r="I48" i="24"/>
  <c r="I28" i="24"/>
  <c r="I32" i="24"/>
  <c r="I36" i="24"/>
  <c r="I40" i="24"/>
  <c r="I16" i="24"/>
  <c r="I18" i="24"/>
  <c r="I20" i="24"/>
  <c r="I22" i="24"/>
  <c r="I24" i="24"/>
  <c r="I27" i="24"/>
  <c r="I31" i="24"/>
  <c r="I35" i="24"/>
  <c r="I39" i="24"/>
  <c r="I26" i="24"/>
  <c r="I30" i="24"/>
  <c r="I34" i="24"/>
  <c r="I38" i="24"/>
  <c r="I43" i="24"/>
  <c r="I46" i="24"/>
  <c r="I45" i="24"/>
  <c r="I44" i="24"/>
  <c r="G7" i="41"/>
  <c r="L13" i="48"/>
  <c r="M7" i="48" s="1"/>
  <c r="V13" i="48"/>
  <c r="W7" i="48" s="1"/>
  <c r="M43" i="41"/>
  <c r="M45" i="41"/>
  <c r="M48" i="41"/>
  <c r="M17" i="41"/>
  <c r="M19" i="41"/>
  <c r="M21" i="41"/>
  <c r="M23" i="41"/>
  <c r="M25" i="41"/>
  <c r="M27" i="41"/>
  <c r="M29" i="41"/>
  <c r="M31" i="41"/>
  <c r="M33" i="41"/>
  <c r="M35" i="41"/>
  <c r="M37" i="41"/>
  <c r="M39" i="41"/>
  <c r="M41" i="41"/>
  <c r="M104" i="41"/>
  <c r="M13" i="41"/>
  <c r="M44" i="41"/>
  <c r="M16" i="41"/>
  <c r="M18" i="41"/>
  <c r="M20" i="41"/>
  <c r="M22" i="41"/>
  <c r="M24" i="41"/>
  <c r="M26" i="41"/>
  <c r="M28" i="41"/>
  <c r="M30" i="41"/>
  <c r="M32" i="41"/>
  <c r="M34" i="41"/>
  <c r="M36" i="41"/>
  <c r="M38" i="41"/>
  <c r="M40" i="41"/>
  <c r="M124" i="41"/>
  <c r="M126" i="41"/>
  <c r="M128" i="41"/>
  <c r="L3" i="41"/>
  <c r="M101" i="41"/>
  <c r="M112" i="41"/>
  <c r="M114" i="41"/>
  <c r="M116" i="41"/>
  <c r="M111" i="41"/>
  <c r="M115" i="41"/>
  <c r="M140" i="41"/>
  <c r="M144" i="41"/>
  <c r="M148" i="41"/>
  <c r="M46" i="41"/>
  <c r="M130" i="41"/>
  <c r="M105" i="41"/>
  <c r="M123" i="41"/>
  <c r="M127" i="41"/>
  <c r="M137" i="41"/>
  <c r="M141" i="41"/>
  <c r="M145" i="41"/>
  <c r="M149" i="41"/>
  <c r="M113" i="41"/>
  <c r="M117" i="41"/>
  <c r="M138" i="41"/>
  <c r="M142" i="41"/>
  <c r="M146" i="41"/>
  <c r="M150" i="41"/>
  <c r="M131" i="41"/>
  <c r="M102" i="41"/>
  <c r="M125" i="41"/>
  <c r="M129" i="41"/>
  <c r="M139" i="41"/>
  <c r="M143" i="41"/>
  <c r="M147" i="41"/>
  <c r="F13" i="40"/>
  <c r="G7" i="40" s="1"/>
  <c r="N13" i="40"/>
  <c r="O7" i="40" s="1"/>
  <c r="F52" i="24"/>
  <c r="G52" i="24" s="1"/>
  <c r="G52" i="16"/>
  <c r="D13" i="40"/>
  <c r="E7" i="40" s="1"/>
  <c r="E9" i="16"/>
  <c r="U9" i="16"/>
  <c r="G9" i="16"/>
  <c r="W9" i="16"/>
  <c r="C43" i="16"/>
  <c r="C44" i="16"/>
  <c r="C45" i="16"/>
  <c r="C46" i="16"/>
  <c r="I9" i="16"/>
  <c r="Y9" i="16"/>
  <c r="O9" i="16"/>
  <c r="C13" i="16"/>
  <c r="C16" i="16"/>
  <c r="C17" i="16"/>
  <c r="C18" i="16"/>
  <c r="C19" i="16"/>
  <c r="C20" i="16"/>
  <c r="C21" i="16"/>
  <c r="C22" i="16"/>
  <c r="C23" i="16"/>
  <c r="C24" i="16"/>
  <c r="C25" i="16"/>
  <c r="C26" i="16"/>
  <c r="C27" i="16"/>
  <c r="C28" i="16"/>
  <c r="C29" i="16"/>
  <c r="C30" i="16"/>
  <c r="C31" i="16"/>
  <c r="C32" i="16"/>
  <c r="C33" i="16"/>
  <c r="C34" i="16"/>
  <c r="C35" i="16"/>
  <c r="C36" i="16"/>
  <c r="C37" i="16"/>
  <c r="C38" i="16"/>
  <c r="C39" i="16"/>
  <c r="C40" i="16"/>
  <c r="C41" i="16"/>
  <c r="C48" i="16"/>
  <c r="C9" i="16"/>
  <c r="M9" i="16"/>
  <c r="Q9" i="16"/>
  <c r="S9" i="16"/>
  <c r="K9" i="16"/>
  <c r="E48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13" i="4"/>
  <c r="E43" i="4"/>
  <c r="E45" i="4"/>
  <c r="E53" i="4"/>
  <c r="E55" i="4"/>
  <c r="E57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87" i="4"/>
  <c r="E82" i="4"/>
  <c r="E44" i="4"/>
  <c r="E46" i="4"/>
  <c r="E58" i="4"/>
  <c r="E77" i="4"/>
  <c r="E79" i="4"/>
  <c r="D3" i="4"/>
  <c r="E54" i="4"/>
  <c r="E76" i="4"/>
  <c r="E78" i="4"/>
  <c r="E80" i="4"/>
  <c r="E56" i="4"/>
  <c r="E88" i="4"/>
  <c r="P13" i="48"/>
  <c r="Q7" i="48" s="1"/>
  <c r="K26" i="24"/>
  <c r="K30" i="24"/>
  <c r="K34" i="24"/>
  <c r="K38" i="24"/>
  <c r="K43" i="24"/>
  <c r="K17" i="24"/>
  <c r="K19" i="24"/>
  <c r="K21" i="24"/>
  <c r="K23" i="24"/>
  <c r="K25" i="24"/>
  <c r="K29" i="24"/>
  <c r="K33" i="24"/>
  <c r="K37" i="24"/>
  <c r="K41" i="24"/>
  <c r="K48" i="24"/>
  <c r="K13" i="24"/>
  <c r="K44" i="24"/>
  <c r="K45" i="24"/>
  <c r="K46" i="24"/>
  <c r="K32" i="24"/>
  <c r="K20" i="24"/>
  <c r="K27" i="24"/>
  <c r="K28" i="24"/>
  <c r="K18" i="24"/>
  <c r="K31" i="24"/>
  <c r="K16" i="24"/>
  <c r="K22" i="24"/>
  <c r="K35" i="24"/>
  <c r="K36" i="24"/>
  <c r="K39" i="24"/>
  <c r="K24" i="24"/>
  <c r="K40" i="24"/>
  <c r="Z13" i="16"/>
  <c r="AA7" i="16" s="1"/>
  <c r="G48" i="4"/>
  <c r="G43" i="4"/>
  <c r="G44" i="4"/>
  <c r="G45" i="4"/>
  <c r="G46" i="4"/>
  <c r="G54" i="4"/>
  <c r="G56" i="4"/>
  <c r="G58" i="4"/>
  <c r="F3" i="4"/>
  <c r="G13" i="4"/>
  <c r="G76" i="4"/>
  <c r="G77" i="4"/>
  <c r="G78" i="4"/>
  <c r="G79" i="4"/>
  <c r="G80" i="4"/>
  <c r="G17" i="4"/>
  <c r="G19" i="4"/>
  <c r="G21" i="4"/>
  <c r="G23" i="4"/>
  <c r="G25" i="4"/>
  <c r="G27" i="4"/>
  <c r="G29" i="4"/>
  <c r="G31" i="4"/>
  <c r="G33" i="4"/>
  <c r="G35" i="4"/>
  <c r="G37" i="4"/>
  <c r="G39" i="4"/>
  <c r="G41" i="4"/>
  <c r="G53" i="4"/>
  <c r="G55" i="4"/>
  <c r="G57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87" i="4"/>
  <c r="G16" i="4"/>
  <c r="G18" i="4"/>
  <c r="G20" i="4"/>
  <c r="G22" i="4"/>
  <c r="G24" i="4"/>
  <c r="G30" i="4"/>
  <c r="G38" i="4"/>
  <c r="G32" i="4"/>
  <c r="G40" i="4"/>
  <c r="G82" i="4"/>
  <c r="G26" i="4"/>
  <c r="G34" i="4"/>
  <c r="G28" i="4"/>
  <c r="G36" i="4"/>
  <c r="H52" i="16"/>
  <c r="N13" i="48"/>
  <c r="O7" i="48" s="1"/>
  <c r="L3" i="4"/>
  <c r="M43" i="4"/>
  <c r="M44" i="4"/>
  <c r="M45" i="4"/>
  <c r="M46" i="4"/>
  <c r="M53" i="4"/>
  <c r="M54" i="4"/>
  <c r="M55" i="4"/>
  <c r="M56" i="4"/>
  <c r="M57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87" i="4"/>
  <c r="M16" i="4"/>
  <c r="M18" i="4"/>
  <c r="M20" i="4"/>
  <c r="M22" i="4"/>
  <c r="M24" i="4"/>
  <c r="M26" i="4"/>
  <c r="M28" i="4"/>
  <c r="M30" i="4"/>
  <c r="M32" i="4"/>
  <c r="M34" i="4"/>
  <c r="M36" i="4"/>
  <c r="M38" i="4"/>
  <c r="M40" i="4"/>
  <c r="M58" i="4"/>
  <c r="M13" i="4"/>
  <c r="M48" i="4"/>
  <c r="M88" i="4"/>
  <c r="M76" i="4"/>
  <c r="M77" i="4"/>
  <c r="M78" i="4"/>
  <c r="M79" i="4"/>
  <c r="M80" i="4"/>
  <c r="M17" i="4"/>
  <c r="M19" i="4"/>
  <c r="M21" i="4"/>
  <c r="M23" i="4"/>
  <c r="M25" i="4"/>
  <c r="M27" i="4"/>
  <c r="M29" i="4"/>
  <c r="M31" i="4"/>
  <c r="M33" i="4"/>
  <c r="M35" i="4"/>
  <c r="M37" i="4"/>
  <c r="M39" i="4"/>
  <c r="M41" i="4"/>
  <c r="M86" i="4"/>
  <c r="M82" i="4"/>
  <c r="D52" i="16"/>
  <c r="R13" i="48"/>
  <c r="S7" i="48" s="1"/>
  <c r="G7" i="4"/>
  <c r="L13" i="40"/>
  <c r="M7" i="4"/>
  <c r="N13" i="22"/>
  <c r="O7" i="22" s="1"/>
  <c r="C7" i="16"/>
  <c r="O16" i="24"/>
  <c r="O17" i="24"/>
  <c r="O18" i="24"/>
  <c r="O19" i="24"/>
  <c r="O20" i="24"/>
  <c r="O21" i="24"/>
  <c r="O22" i="24"/>
  <c r="O23" i="24"/>
  <c r="O24" i="24"/>
  <c r="O25" i="24"/>
  <c r="O26" i="24"/>
  <c r="O27" i="24"/>
  <c r="O28" i="24"/>
  <c r="O29" i="24"/>
  <c r="O30" i="24"/>
  <c r="O31" i="24"/>
  <c r="O32" i="24"/>
  <c r="O33" i="24"/>
  <c r="O34" i="24"/>
  <c r="O35" i="24"/>
  <c r="O36" i="24"/>
  <c r="O37" i="24"/>
  <c r="O38" i="24"/>
  <c r="O39" i="24"/>
  <c r="O40" i="24"/>
  <c r="O41" i="24"/>
  <c r="O13" i="24"/>
  <c r="O44" i="24"/>
  <c r="O45" i="24"/>
  <c r="O46" i="24"/>
  <c r="O54" i="24"/>
  <c r="O43" i="24"/>
  <c r="O50" i="24"/>
  <c r="O48" i="24"/>
  <c r="O51" i="24"/>
  <c r="O53" i="24"/>
  <c r="E43" i="24"/>
  <c r="E44" i="24"/>
  <c r="E48" i="24"/>
  <c r="E28" i="24"/>
  <c r="E32" i="24"/>
  <c r="E36" i="24"/>
  <c r="E40" i="24"/>
  <c r="E16" i="24"/>
  <c r="E18" i="24"/>
  <c r="E20" i="24"/>
  <c r="E22" i="24"/>
  <c r="E24" i="24"/>
  <c r="E27" i="24"/>
  <c r="E31" i="24"/>
  <c r="E35" i="24"/>
  <c r="E39" i="24"/>
  <c r="E13" i="24"/>
  <c r="E26" i="24"/>
  <c r="E30" i="24"/>
  <c r="E34" i="24"/>
  <c r="E38" i="24"/>
  <c r="E17" i="24"/>
  <c r="E19" i="24"/>
  <c r="E21" i="24"/>
  <c r="E23" i="24"/>
  <c r="E25" i="24"/>
  <c r="E29" i="24"/>
  <c r="E33" i="24"/>
  <c r="E37" i="24"/>
  <c r="E41" i="24"/>
  <c r="E46" i="24"/>
  <c r="E45" i="24"/>
  <c r="D13" i="22"/>
  <c r="T13" i="48"/>
  <c r="U7" i="48" s="1"/>
  <c r="M7" i="24"/>
  <c r="B13" i="24"/>
  <c r="Z7" i="24"/>
  <c r="O7" i="24"/>
  <c r="F13" i="22"/>
  <c r="G7" i="22" s="1"/>
  <c r="L13" i="22"/>
  <c r="M7" i="22" s="1"/>
  <c r="N3" i="41"/>
  <c r="O101" i="41"/>
  <c r="O112" i="41"/>
  <c r="O114" i="41"/>
  <c r="O116" i="41"/>
  <c r="O43" i="41"/>
  <c r="O45" i="41"/>
  <c r="O48" i="41"/>
  <c r="S87" i="41"/>
  <c r="O17" i="41"/>
  <c r="O19" i="41"/>
  <c r="O21" i="41"/>
  <c r="O23" i="41"/>
  <c r="O25" i="41"/>
  <c r="O27" i="41"/>
  <c r="O29" i="41"/>
  <c r="O31" i="41"/>
  <c r="O33" i="41"/>
  <c r="O35" i="41"/>
  <c r="O37" i="41"/>
  <c r="O39" i="41"/>
  <c r="O41" i="41"/>
  <c r="E87" i="41"/>
  <c r="O123" i="41"/>
  <c r="O125" i="41"/>
  <c r="O127" i="41"/>
  <c r="O129" i="41"/>
  <c r="O44" i="41"/>
  <c r="O46" i="41"/>
  <c r="K87" i="41"/>
  <c r="O13" i="41"/>
  <c r="O16" i="41"/>
  <c r="O18" i="41"/>
  <c r="O20" i="41"/>
  <c r="O22" i="41"/>
  <c r="O24" i="41"/>
  <c r="O86" i="41"/>
  <c r="O87" i="41"/>
  <c r="O88" i="41"/>
  <c r="O105" i="41"/>
  <c r="O30" i="41"/>
  <c r="O102" i="41"/>
  <c r="O139" i="41"/>
  <c r="O143" i="41"/>
  <c r="O147" i="41"/>
  <c r="O36" i="41"/>
  <c r="O111" i="41"/>
  <c r="O115" i="41"/>
  <c r="O26" i="41"/>
  <c r="O124" i="41"/>
  <c r="O128" i="41"/>
  <c r="O140" i="41"/>
  <c r="O144" i="41"/>
  <c r="O148" i="41"/>
  <c r="O32" i="41"/>
  <c r="O130" i="41"/>
  <c r="O38" i="41"/>
  <c r="O137" i="41"/>
  <c r="O141" i="41"/>
  <c r="O145" i="41"/>
  <c r="O149" i="41"/>
  <c r="O28" i="41"/>
  <c r="O113" i="41"/>
  <c r="O117" i="41"/>
  <c r="O34" i="41"/>
  <c r="O104" i="41"/>
  <c r="O126" i="41"/>
  <c r="O138" i="41"/>
  <c r="O142" i="41"/>
  <c r="O146" i="41"/>
  <c r="O150" i="41"/>
  <c r="O40" i="41"/>
  <c r="M87" i="41"/>
  <c r="O131" i="41"/>
  <c r="P7" i="40"/>
  <c r="J13" i="40"/>
  <c r="K7" i="40" s="1"/>
  <c r="E44" i="41"/>
  <c r="E46" i="41"/>
  <c r="E16" i="41"/>
  <c r="E18" i="41"/>
  <c r="E20" i="41"/>
  <c r="E22" i="41"/>
  <c r="E24" i="41"/>
  <c r="E26" i="41"/>
  <c r="E28" i="41"/>
  <c r="E30" i="41"/>
  <c r="E32" i="41"/>
  <c r="E34" i="41"/>
  <c r="E36" i="41"/>
  <c r="E38" i="41"/>
  <c r="E40" i="41"/>
  <c r="E105" i="41"/>
  <c r="D3" i="41"/>
  <c r="E13" i="41"/>
  <c r="E43" i="41"/>
  <c r="E45" i="41"/>
  <c r="E17" i="41"/>
  <c r="E19" i="41"/>
  <c r="E21" i="41"/>
  <c r="E23" i="41"/>
  <c r="E25" i="41"/>
  <c r="E27" i="41"/>
  <c r="E29" i="41"/>
  <c r="E31" i="41"/>
  <c r="E33" i="41"/>
  <c r="E35" i="41"/>
  <c r="E37" i="41"/>
  <c r="E39" i="41"/>
  <c r="E41" i="41"/>
  <c r="E123" i="41"/>
  <c r="E125" i="41"/>
  <c r="E127" i="41"/>
  <c r="E129" i="41"/>
  <c r="E102" i="41"/>
  <c r="E111" i="41"/>
  <c r="E113" i="41"/>
  <c r="E115" i="41"/>
  <c r="E117" i="41"/>
  <c r="E114" i="41"/>
  <c r="E101" i="41"/>
  <c r="E138" i="41"/>
  <c r="E142" i="41"/>
  <c r="E146" i="41"/>
  <c r="E150" i="41"/>
  <c r="E88" i="41"/>
  <c r="E131" i="41"/>
  <c r="E158" i="41"/>
  <c r="E160" i="41"/>
  <c r="E48" i="41"/>
  <c r="E126" i="41"/>
  <c r="E139" i="41"/>
  <c r="E143" i="41"/>
  <c r="E147" i="41"/>
  <c r="E166" i="41"/>
  <c r="E168" i="41"/>
  <c r="E112" i="41"/>
  <c r="E116" i="41"/>
  <c r="E104" i="41"/>
  <c r="E140" i="41"/>
  <c r="E144" i="41"/>
  <c r="E148" i="41"/>
  <c r="E130" i="41"/>
  <c r="E157" i="41"/>
  <c r="E159" i="41"/>
  <c r="E124" i="41"/>
  <c r="E128" i="41"/>
  <c r="E137" i="41"/>
  <c r="E141" i="41"/>
  <c r="E145" i="41"/>
  <c r="E149" i="41"/>
  <c r="E165" i="41"/>
  <c r="E167" i="41"/>
  <c r="E169" i="41"/>
  <c r="L6" i="60"/>
  <c r="P6" i="60"/>
  <c r="T6" i="60"/>
  <c r="V6" i="60"/>
  <c r="Z6" i="60"/>
  <c r="R6" i="60"/>
  <c r="X6" i="60"/>
  <c r="J6" i="60"/>
  <c r="N6" i="60"/>
  <c r="E7" i="24"/>
  <c r="O7" i="41"/>
  <c r="O45" i="46" l="1"/>
  <c r="Z45" i="46"/>
  <c r="AA7" i="72"/>
  <c r="E7" i="66"/>
  <c r="C63" i="65"/>
  <c r="J100" i="43"/>
  <c r="P100" i="43" s="1"/>
  <c r="K60" i="4"/>
  <c r="K29" i="4"/>
  <c r="K30" i="4"/>
  <c r="K82" i="4"/>
  <c r="K13" i="4"/>
  <c r="K71" i="4"/>
  <c r="K40" i="4"/>
  <c r="K32" i="4"/>
  <c r="K53" i="4"/>
  <c r="K78" i="4"/>
  <c r="K20" i="4"/>
  <c r="K46" i="4"/>
  <c r="K87" i="4"/>
  <c r="K23" i="4"/>
  <c r="K55" i="4"/>
  <c r="K66" i="4"/>
  <c r="K24" i="4"/>
  <c r="K41" i="4"/>
  <c r="K77" i="4"/>
  <c r="K34" i="4"/>
  <c r="K27" i="4"/>
  <c r="K26" i="4"/>
  <c r="K25" i="4"/>
  <c r="K45" i="4"/>
  <c r="K79" i="4"/>
  <c r="K36" i="4"/>
  <c r="K67" i="4"/>
  <c r="K39" i="4"/>
  <c r="K76" i="4"/>
  <c r="K37" i="4"/>
  <c r="K16" i="4"/>
  <c r="K70" i="4"/>
  <c r="K22" i="4"/>
  <c r="K61" i="4"/>
  <c r="K35" i="4"/>
  <c r="K19" i="4"/>
  <c r="K58" i="4"/>
  <c r="K43" i="4"/>
  <c r="K72" i="4"/>
  <c r="K44" i="4"/>
  <c r="K56" i="4"/>
  <c r="K28" i="4"/>
  <c r="K59" i="4"/>
  <c r="K69" i="4"/>
  <c r="K21" i="4"/>
  <c r="K48" i="4"/>
  <c r="K63" i="4"/>
  <c r="K65" i="4"/>
  <c r="K64" i="4"/>
  <c r="K18" i="4"/>
  <c r="K33" i="4"/>
  <c r="K17" i="4"/>
  <c r="J3" i="4"/>
  <c r="K68" i="4"/>
  <c r="K62" i="4"/>
  <c r="K38" i="4"/>
  <c r="K57" i="4"/>
  <c r="K31" i="4"/>
  <c r="K80" i="4"/>
  <c r="K54" i="4"/>
  <c r="K148" i="41"/>
  <c r="K144" i="41"/>
  <c r="K138" i="41"/>
  <c r="K26" i="41"/>
  <c r="K24" i="41"/>
  <c r="K104" i="41"/>
  <c r="K125" i="41"/>
  <c r="K142" i="41"/>
  <c r="K149" i="41"/>
  <c r="J3" i="41"/>
  <c r="P3" i="41" s="1"/>
  <c r="K139" i="41"/>
  <c r="K114" i="41"/>
  <c r="K105" i="41"/>
  <c r="K117" i="41"/>
  <c r="K33" i="41"/>
  <c r="K147" i="41"/>
  <c r="P13" i="41"/>
  <c r="Q7" i="41" s="1"/>
  <c r="K123" i="41"/>
  <c r="K143" i="41"/>
  <c r="K41" i="41"/>
  <c r="K116" i="41"/>
  <c r="K38" i="41"/>
  <c r="K19" i="41"/>
  <c r="K126" i="41"/>
  <c r="K128" i="41"/>
  <c r="K36" i="41"/>
  <c r="K113" i="41"/>
  <c r="K17" i="41"/>
  <c r="K101" i="41"/>
  <c r="K20" i="41"/>
  <c r="K16" i="41"/>
  <c r="K130" i="41"/>
  <c r="K115" i="41"/>
  <c r="K146" i="41"/>
  <c r="K124" i="41"/>
  <c r="K28" i="41"/>
  <c r="K13" i="41"/>
  <c r="K40" i="41"/>
  <c r="K22" i="41"/>
  <c r="K111" i="41"/>
  <c r="K37" i="41"/>
  <c r="K35" i="41"/>
  <c r="K112" i="41"/>
  <c r="K145" i="41"/>
  <c r="K140" i="41"/>
  <c r="K32" i="41"/>
  <c r="K46" i="41"/>
  <c r="K129" i="41"/>
  <c r="K31" i="41"/>
  <c r="K131" i="41"/>
  <c r="N133" i="41" s="1"/>
  <c r="N135" i="41" s="1"/>
  <c r="K141" i="41"/>
  <c r="K43" i="41"/>
  <c r="K30" i="41"/>
  <c r="K44" i="41"/>
  <c r="K127" i="41"/>
  <c r="K27" i="41"/>
  <c r="K25" i="41"/>
  <c r="K29" i="41"/>
  <c r="K150" i="41"/>
  <c r="N152" i="41" s="1"/>
  <c r="K137" i="41"/>
  <c r="K45" i="41"/>
  <c r="K34" i="41"/>
  <c r="K18" i="41"/>
  <c r="K102" i="41"/>
  <c r="K39" i="41"/>
  <c r="K23" i="41"/>
  <c r="K21" i="41"/>
  <c r="X7" i="40"/>
  <c r="X13" i="48"/>
  <c r="Y7" i="48" s="1"/>
  <c r="J52" i="24"/>
  <c r="K52" i="24" s="1"/>
  <c r="O46" i="4"/>
  <c r="O55" i="4"/>
  <c r="N52" i="16"/>
  <c r="O52" i="16" s="1"/>
  <c r="O79" i="4"/>
  <c r="O38" i="4"/>
  <c r="O18" i="4"/>
  <c r="O77" i="4"/>
  <c r="O35" i="4"/>
  <c r="O58" i="4"/>
  <c r="O61" i="4"/>
  <c r="O30" i="4"/>
  <c r="O54" i="4"/>
  <c r="O78" i="4"/>
  <c r="O66" i="4"/>
  <c r="O27" i="4"/>
  <c r="O48" i="4"/>
  <c r="O26" i="4"/>
  <c r="O68" i="4"/>
  <c r="O86" i="4"/>
  <c r="O22" i="4"/>
  <c r="O34" i="4"/>
  <c r="O70" i="4"/>
  <c r="O82" i="4"/>
  <c r="O19" i="4"/>
  <c r="AZ127" i="43"/>
  <c r="AX127" i="43"/>
  <c r="BB127" i="43"/>
  <c r="O76" i="4"/>
  <c r="O65" i="4"/>
  <c r="O71" i="4"/>
  <c r="O45" i="4"/>
  <c r="O37" i="4"/>
  <c r="O29" i="4"/>
  <c r="O21" i="4"/>
  <c r="O57" i="4"/>
  <c r="O63" i="4"/>
  <c r="O62" i="4"/>
  <c r="O69" i="4"/>
  <c r="O43" i="4"/>
  <c r="O36" i="4"/>
  <c r="O28" i="4"/>
  <c r="O20" i="4"/>
  <c r="O56" i="4"/>
  <c r="O60" i="4"/>
  <c r="O67" i="4"/>
  <c r="O44" i="4"/>
  <c r="O41" i="4"/>
  <c r="O33" i="4"/>
  <c r="O25" i="4"/>
  <c r="O17" i="4"/>
  <c r="O53" i="4"/>
  <c r="O87" i="4"/>
  <c r="O59" i="4"/>
  <c r="O13" i="4"/>
  <c r="O40" i="4"/>
  <c r="O32" i="4"/>
  <c r="O24" i="4"/>
  <c r="O16" i="4"/>
  <c r="O80" i="4"/>
  <c r="O72" i="4"/>
  <c r="O64" i="4"/>
  <c r="O88" i="4"/>
  <c r="O39" i="4"/>
  <c r="O31" i="4"/>
  <c r="O23" i="4"/>
  <c r="N3" i="4"/>
  <c r="B52" i="16"/>
  <c r="B52" i="24" s="1"/>
  <c r="O13" i="22"/>
  <c r="O43" i="22"/>
  <c r="O44" i="22"/>
  <c r="O45" i="22"/>
  <c r="O46" i="22"/>
  <c r="O22" i="22"/>
  <c r="O25" i="22"/>
  <c r="O48" i="22"/>
  <c r="O55" i="22"/>
  <c r="O75" i="22"/>
  <c r="O84" i="22"/>
  <c r="O88" i="22"/>
  <c r="O100" i="22"/>
  <c r="O16" i="22"/>
  <c r="O19" i="22"/>
  <c r="O30" i="22"/>
  <c r="O34" i="22"/>
  <c r="O38" i="22"/>
  <c r="O87" i="22"/>
  <c r="O93" i="22"/>
  <c r="O97" i="22"/>
  <c r="O107" i="22"/>
  <c r="O28" i="22"/>
  <c r="O54" i="22"/>
  <c r="O72" i="22"/>
  <c r="O74" i="22"/>
  <c r="O86" i="22"/>
  <c r="O90" i="22"/>
  <c r="O31" i="22"/>
  <c r="O35" i="22"/>
  <c r="O39" i="22"/>
  <c r="O76" i="22"/>
  <c r="O77" i="22"/>
  <c r="O78" i="22"/>
  <c r="O79" i="22"/>
  <c r="O80" i="22"/>
  <c r="O95" i="22"/>
  <c r="O101" i="22"/>
  <c r="O102" i="22"/>
  <c r="O109" i="22"/>
  <c r="O17" i="22"/>
  <c r="O57" i="22"/>
  <c r="O82" i="22"/>
  <c r="O96" i="22"/>
  <c r="N98" i="22"/>
  <c r="O98" i="22" s="1"/>
  <c r="O110" i="22"/>
  <c r="O24" i="22"/>
  <c r="O32" i="22"/>
  <c r="O40" i="22"/>
  <c r="O18" i="22"/>
  <c r="O29" i="22"/>
  <c r="O52" i="22"/>
  <c r="O20" i="22"/>
  <c r="O26" i="22"/>
  <c r="O33" i="22"/>
  <c r="O41" i="22"/>
  <c r="O58" i="22"/>
  <c r="O60" i="22"/>
  <c r="O62" i="22"/>
  <c r="O64" i="22"/>
  <c r="O66" i="22"/>
  <c r="O68" i="22"/>
  <c r="O70" i="22"/>
  <c r="O99" i="22"/>
  <c r="O104" i="22"/>
  <c r="O111" i="22"/>
  <c r="O113" i="22"/>
  <c r="O115" i="22"/>
  <c r="O117" i="22"/>
  <c r="O53" i="22"/>
  <c r="O36" i="22"/>
  <c r="O21" i="22"/>
  <c r="O27" i="22"/>
  <c r="O56" i="22"/>
  <c r="O23" i="22"/>
  <c r="O37" i="22"/>
  <c r="O59" i="22"/>
  <c r="O61" i="22"/>
  <c r="O63" i="22"/>
  <c r="O65" i="22"/>
  <c r="O67" i="22"/>
  <c r="O69" i="22"/>
  <c r="O71" i="22"/>
  <c r="O73" i="22"/>
  <c r="O112" i="22"/>
  <c r="O114" i="22"/>
  <c r="O116" i="22"/>
  <c r="N7" i="21"/>
  <c r="S10" i="51"/>
  <c r="H52" i="24"/>
  <c r="I52" i="24" s="1"/>
  <c r="I52" i="16"/>
  <c r="Z13" i="4"/>
  <c r="AA7" i="4" s="1"/>
  <c r="U13" i="48"/>
  <c r="U20" i="48"/>
  <c r="U24" i="48"/>
  <c r="U28" i="48"/>
  <c r="U75" i="48"/>
  <c r="U16" i="48"/>
  <c r="U32" i="48"/>
  <c r="U33" i="48"/>
  <c r="U34" i="48"/>
  <c r="U35" i="48"/>
  <c r="U36" i="48"/>
  <c r="U37" i="48"/>
  <c r="U38" i="48"/>
  <c r="U39" i="48"/>
  <c r="U40" i="48"/>
  <c r="U41" i="48"/>
  <c r="U52" i="48"/>
  <c r="U53" i="48"/>
  <c r="U54" i="48"/>
  <c r="U55" i="48"/>
  <c r="U57" i="48"/>
  <c r="U58" i="48"/>
  <c r="U59" i="48"/>
  <c r="U60" i="48"/>
  <c r="U61" i="48"/>
  <c r="U62" i="48"/>
  <c r="U63" i="48"/>
  <c r="U64" i="48"/>
  <c r="U65" i="48"/>
  <c r="U66" i="48"/>
  <c r="U67" i="48"/>
  <c r="U68" i="48"/>
  <c r="U69" i="48"/>
  <c r="U70" i="48"/>
  <c r="U71" i="48"/>
  <c r="U74" i="48"/>
  <c r="U19" i="48"/>
  <c r="U23" i="48"/>
  <c r="U27" i="48"/>
  <c r="U31" i="48"/>
  <c r="U43" i="48"/>
  <c r="U44" i="48"/>
  <c r="U45" i="48"/>
  <c r="U46" i="48"/>
  <c r="U73" i="48"/>
  <c r="U76" i="48"/>
  <c r="U77" i="48"/>
  <c r="U78" i="48"/>
  <c r="U79" i="48"/>
  <c r="U80" i="48"/>
  <c r="T98" i="48"/>
  <c r="U98" i="48" s="1"/>
  <c r="U21" i="48"/>
  <c r="U29" i="48"/>
  <c r="U93" i="48"/>
  <c r="U101" i="48"/>
  <c r="U102" i="48"/>
  <c r="U104" i="48"/>
  <c r="U107" i="48"/>
  <c r="U48" i="48"/>
  <c r="U100" i="48"/>
  <c r="U22" i="48"/>
  <c r="U30" i="48"/>
  <c r="U99" i="48"/>
  <c r="U90" i="48"/>
  <c r="U25" i="48"/>
  <c r="U112" i="48"/>
  <c r="U114" i="48"/>
  <c r="U84" i="48"/>
  <c r="U96" i="48"/>
  <c r="U110" i="48"/>
  <c r="U88" i="48"/>
  <c r="U115" i="48"/>
  <c r="U95" i="48"/>
  <c r="U113" i="48"/>
  <c r="U17" i="48"/>
  <c r="U18" i="48"/>
  <c r="U97" i="48"/>
  <c r="U86" i="48"/>
  <c r="U116" i="48"/>
  <c r="U26" i="48"/>
  <c r="U82" i="48"/>
  <c r="U109" i="48"/>
  <c r="AA10" i="34"/>
  <c r="G21" i="40"/>
  <c r="G29" i="40"/>
  <c r="G37" i="40"/>
  <c r="G45" i="40"/>
  <c r="G56" i="40"/>
  <c r="G64" i="40"/>
  <c r="G82" i="40"/>
  <c r="G112" i="40"/>
  <c r="G16" i="40"/>
  <c r="G24" i="40"/>
  <c r="G32" i="40"/>
  <c r="G40" i="40"/>
  <c r="G59" i="40"/>
  <c r="G67" i="40"/>
  <c r="G77" i="40"/>
  <c r="G102" i="40"/>
  <c r="G115" i="40"/>
  <c r="G19" i="40"/>
  <c r="G27" i="40"/>
  <c r="G35" i="40"/>
  <c r="G43" i="40"/>
  <c r="G54" i="40"/>
  <c r="G62" i="40"/>
  <c r="G70" i="40"/>
  <c r="G72" i="40"/>
  <c r="G80" i="40"/>
  <c r="G22" i="40"/>
  <c r="G30" i="40"/>
  <c r="G38" i="40"/>
  <c r="G46" i="40"/>
  <c r="G17" i="40"/>
  <c r="G25" i="40"/>
  <c r="G33" i="40"/>
  <c r="G41" i="40"/>
  <c r="G20" i="40"/>
  <c r="G28" i="40"/>
  <c r="G23" i="40"/>
  <c r="G31" i="40"/>
  <c r="G39" i="40"/>
  <c r="G58" i="40"/>
  <c r="G66" i="40"/>
  <c r="G76" i="40"/>
  <c r="G18" i="40"/>
  <c r="G26" i="40"/>
  <c r="G34" i="40"/>
  <c r="G53" i="40"/>
  <c r="G61" i="40"/>
  <c r="G69" i="40"/>
  <c r="G79" i="40"/>
  <c r="G117" i="40"/>
  <c r="G87" i="40"/>
  <c r="F98" i="40"/>
  <c r="G113" i="40"/>
  <c r="G60" i="40"/>
  <c r="G116" i="40"/>
  <c r="G68" i="40"/>
  <c r="G55" i="40"/>
  <c r="G65" i="40"/>
  <c r="G44" i="40"/>
  <c r="F74" i="40"/>
  <c r="G36" i="40"/>
  <c r="G63" i="40"/>
  <c r="G111" i="40"/>
  <c r="F120" i="40"/>
  <c r="G57" i="40"/>
  <c r="G101" i="40"/>
  <c r="G104" i="40"/>
  <c r="G114" i="40"/>
  <c r="G78" i="40"/>
  <c r="B13" i="22"/>
  <c r="C7" i="22" s="1"/>
  <c r="Z7" i="22"/>
  <c r="E16" i="22"/>
  <c r="E17" i="22"/>
  <c r="E18" i="22"/>
  <c r="E19" i="22"/>
  <c r="E20" i="22"/>
  <c r="E21" i="22"/>
  <c r="E22" i="22"/>
  <c r="E23" i="22"/>
  <c r="E24" i="22"/>
  <c r="E25" i="22"/>
  <c r="E26" i="22"/>
  <c r="E27" i="22"/>
  <c r="E28" i="22"/>
  <c r="E29" i="22"/>
  <c r="E30" i="22"/>
  <c r="E13" i="22"/>
  <c r="E31" i="22"/>
  <c r="E32" i="22"/>
  <c r="E33" i="22"/>
  <c r="E34" i="22"/>
  <c r="E35" i="22"/>
  <c r="E36" i="22"/>
  <c r="E37" i="22"/>
  <c r="E38" i="22"/>
  <c r="E39" i="22"/>
  <c r="E40" i="22"/>
  <c r="E41" i="22"/>
  <c r="E45" i="22"/>
  <c r="E53" i="22"/>
  <c r="E57" i="22"/>
  <c r="D120" i="22"/>
  <c r="E76" i="22"/>
  <c r="E77" i="22"/>
  <c r="E78" i="22"/>
  <c r="E79" i="22"/>
  <c r="E80" i="22"/>
  <c r="E101" i="22"/>
  <c r="E102" i="22"/>
  <c r="E46" i="22"/>
  <c r="E54" i="22"/>
  <c r="E58" i="22"/>
  <c r="E82" i="22"/>
  <c r="E48" i="22"/>
  <c r="E74" i="22"/>
  <c r="E55" i="22"/>
  <c r="E72" i="22"/>
  <c r="E60" i="22"/>
  <c r="E62" i="22"/>
  <c r="E64" i="22"/>
  <c r="E66" i="22"/>
  <c r="E68" i="22"/>
  <c r="E70" i="22"/>
  <c r="E104" i="22"/>
  <c r="E111" i="22"/>
  <c r="E113" i="22"/>
  <c r="E115" i="22"/>
  <c r="E117" i="22"/>
  <c r="E56" i="22"/>
  <c r="E75" i="22"/>
  <c r="E84" i="22"/>
  <c r="D98" i="22"/>
  <c r="E87" i="22"/>
  <c r="E43" i="22"/>
  <c r="E59" i="22"/>
  <c r="E61" i="22"/>
  <c r="E63" i="22"/>
  <c r="E65" i="22"/>
  <c r="E67" i="22"/>
  <c r="E69" i="22"/>
  <c r="E71" i="22"/>
  <c r="E73" i="22"/>
  <c r="E112" i="22"/>
  <c r="E114" i="22"/>
  <c r="E116" i="22"/>
  <c r="E44" i="22"/>
  <c r="E52" i="22"/>
  <c r="E88" i="22"/>
  <c r="E86" i="22"/>
  <c r="E10" i="51"/>
  <c r="D7" i="21"/>
  <c r="S19" i="40"/>
  <c r="S27" i="40"/>
  <c r="S35" i="40"/>
  <c r="S43" i="40"/>
  <c r="S54" i="40"/>
  <c r="S62" i="40"/>
  <c r="S70" i="40"/>
  <c r="S72" i="40"/>
  <c r="S80" i="40"/>
  <c r="S86" i="40"/>
  <c r="S22" i="40"/>
  <c r="S30" i="40"/>
  <c r="S38" i="40"/>
  <c r="S46" i="40"/>
  <c r="S57" i="40"/>
  <c r="S65" i="40"/>
  <c r="S87" i="40"/>
  <c r="R98" i="40"/>
  <c r="X98" i="40" s="1"/>
  <c r="S113" i="40"/>
  <c r="S13" i="40"/>
  <c r="S17" i="40"/>
  <c r="S25" i="40"/>
  <c r="S33" i="40"/>
  <c r="S41" i="40"/>
  <c r="S60" i="40"/>
  <c r="S68" i="40"/>
  <c r="S78" i="40"/>
  <c r="S116" i="40"/>
  <c r="X13" i="40"/>
  <c r="S20" i="40"/>
  <c r="S28" i="40"/>
  <c r="S36" i="40"/>
  <c r="S44" i="40"/>
  <c r="S23" i="40"/>
  <c r="S31" i="40"/>
  <c r="S39" i="40"/>
  <c r="S18" i="40"/>
  <c r="S26" i="40"/>
  <c r="S21" i="40"/>
  <c r="S29" i="40"/>
  <c r="S37" i="40"/>
  <c r="S45" i="40"/>
  <c r="S56" i="40"/>
  <c r="S64" i="40"/>
  <c r="S16" i="40"/>
  <c r="S24" i="40"/>
  <c r="S32" i="40"/>
  <c r="S40" i="40"/>
  <c r="S48" i="40"/>
  <c r="S59" i="40"/>
  <c r="S67" i="40"/>
  <c r="S71" i="40"/>
  <c r="S77" i="40"/>
  <c r="S102" i="40"/>
  <c r="S115" i="40"/>
  <c r="S61" i="40"/>
  <c r="S111" i="40"/>
  <c r="R120" i="40"/>
  <c r="V121" i="40" s="1"/>
  <c r="S69" i="40"/>
  <c r="S101" i="40"/>
  <c r="S104" i="40"/>
  <c r="S114" i="40"/>
  <c r="S117" i="40"/>
  <c r="S58" i="40"/>
  <c r="S82" i="40"/>
  <c r="S55" i="40"/>
  <c r="S66" i="40"/>
  <c r="S53" i="40"/>
  <c r="S63" i="40"/>
  <c r="S76" i="40"/>
  <c r="S88" i="40"/>
  <c r="S112" i="40"/>
  <c r="S34" i="40"/>
  <c r="S79" i="40"/>
  <c r="AR127" i="43"/>
  <c r="AT127" i="43"/>
  <c r="AV127" i="43"/>
  <c r="AA43" i="16"/>
  <c r="AA44" i="16"/>
  <c r="AA45" i="16"/>
  <c r="AA46" i="16"/>
  <c r="AA17" i="16"/>
  <c r="AA19" i="16"/>
  <c r="AA21" i="16"/>
  <c r="AA23" i="16"/>
  <c r="AA25" i="16"/>
  <c r="AA27" i="16"/>
  <c r="AA29" i="16"/>
  <c r="AA31" i="16"/>
  <c r="AA33" i="16"/>
  <c r="AA35" i="16"/>
  <c r="AA37" i="16"/>
  <c r="AA39" i="16"/>
  <c r="AA41" i="16"/>
  <c r="AA48" i="16"/>
  <c r="AA16" i="16"/>
  <c r="AA18" i="16"/>
  <c r="AA20" i="16"/>
  <c r="AA22" i="16"/>
  <c r="AA24" i="16"/>
  <c r="AA26" i="16"/>
  <c r="AA28" i="16"/>
  <c r="AA30" i="16"/>
  <c r="AA32" i="16"/>
  <c r="AA34" i="16"/>
  <c r="AA36" i="16"/>
  <c r="AA38" i="16"/>
  <c r="AA40" i="16"/>
  <c r="AA9" i="16"/>
  <c r="E16" i="40"/>
  <c r="E24" i="40"/>
  <c r="E32" i="40"/>
  <c r="E40" i="40"/>
  <c r="E59" i="40"/>
  <c r="E67" i="40"/>
  <c r="E77" i="40"/>
  <c r="E102" i="40"/>
  <c r="E115" i="40"/>
  <c r="E19" i="40"/>
  <c r="E27" i="40"/>
  <c r="E35" i="40"/>
  <c r="E43" i="40"/>
  <c r="E54" i="40"/>
  <c r="E62" i="40"/>
  <c r="E70" i="40"/>
  <c r="E72" i="40"/>
  <c r="E80" i="40"/>
  <c r="E22" i="40"/>
  <c r="E30" i="40"/>
  <c r="E38" i="40"/>
  <c r="E46" i="40"/>
  <c r="E57" i="40"/>
  <c r="E65" i="40"/>
  <c r="E87" i="40"/>
  <c r="D98" i="40"/>
  <c r="E113" i="40"/>
  <c r="E17" i="40"/>
  <c r="E25" i="40"/>
  <c r="E33" i="40"/>
  <c r="E41" i="40"/>
  <c r="E20" i="40"/>
  <c r="E28" i="40"/>
  <c r="E36" i="40"/>
  <c r="E44" i="40"/>
  <c r="E23" i="40"/>
  <c r="E31" i="40"/>
  <c r="E18" i="40"/>
  <c r="E26" i="40"/>
  <c r="E34" i="40"/>
  <c r="E53" i="40"/>
  <c r="E61" i="40"/>
  <c r="E69" i="40"/>
  <c r="E79" i="40"/>
  <c r="E21" i="40"/>
  <c r="E29" i="40"/>
  <c r="E37" i="40"/>
  <c r="E45" i="40"/>
  <c r="E56" i="40"/>
  <c r="E64" i="40"/>
  <c r="E82" i="40"/>
  <c r="E112" i="40"/>
  <c r="E60" i="40"/>
  <c r="E116" i="40"/>
  <c r="E58" i="40"/>
  <c r="E68" i="40"/>
  <c r="E39" i="40"/>
  <c r="E66" i="40"/>
  <c r="E76" i="40"/>
  <c r="D120" i="40"/>
  <c r="E101" i="40"/>
  <c r="E104" i="40"/>
  <c r="E114" i="40"/>
  <c r="E55" i="40"/>
  <c r="E78" i="40"/>
  <c r="E117" i="40"/>
  <c r="E63" i="40"/>
  <c r="E111" i="40"/>
  <c r="D52" i="24"/>
  <c r="E52" i="24" s="1"/>
  <c r="E52" i="16"/>
  <c r="W16" i="48"/>
  <c r="W76" i="48"/>
  <c r="W77" i="48"/>
  <c r="W78" i="48"/>
  <c r="W79" i="48"/>
  <c r="W80" i="48"/>
  <c r="W20" i="48"/>
  <c r="W24" i="48"/>
  <c r="W28" i="48"/>
  <c r="W75" i="48"/>
  <c r="W32" i="48"/>
  <c r="W33" i="48"/>
  <c r="W34" i="48"/>
  <c r="W35" i="48"/>
  <c r="W36" i="48"/>
  <c r="W37" i="48"/>
  <c r="W38" i="48"/>
  <c r="W39" i="48"/>
  <c r="W40" i="48"/>
  <c r="W41" i="48"/>
  <c r="W52" i="48"/>
  <c r="W53" i="48"/>
  <c r="W54" i="48"/>
  <c r="W55" i="48"/>
  <c r="W57" i="48"/>
  <c r="W58" i="48"/>
  <c r="W59" i="48"/>
  <c r="W60" i="48"/>
  <c r="W61" i="48"/>
  <c r="W62" i="48"/>
  <c r="W63" i="48"/>
  <c r="W64" i="48"/>
  <c r="W65" i="48"/>
  <c r="W66" i="48"/>
  <c r="W67" i="48"/>
  <c r="W68" i="48"/>
  <c r="W69" i="48"/>
  <c r="W70" i="48"/>
  <c r="W71" i="48"/>
  <c r="W74" i="48"/>
  <c r="W17" i="48"/>
  <c r="W21" i="48"/>
  <c r="W25" i="48"/>
  <c r="W29" i="48"/>
  <c r="W18" i="48"/>
  <c r="W26" i="48"/>
  <c r="W95" i="48"/>
  <c r="W109" i="48"/>
  <c r="W19" i="48"/>
  <c r="W27" i="48"/>
  <c r="W43" i="48"/>
  <c r="W45" i="48"/>
  <c r="W73" i="48"/>
  <c r="W93" i="48"/>
  <c r="V98" i="48"/>
  <c r="W98" i="48" s="1"/>
  <c r="W101" i="48"/>
  <c r="W102" i="48"/>
  <c r="W104" i="48"/>
  <c r="W107" i="48"/>
  <c r="W48" i="48"/>
  <c r="W100" i="48"/>
  <c r="W30" i="48"/>
  <c r="W99" i="48"/>
  <c r="W90" i="48"/>
  <c r="W13" i="48"/>
  <c r="W31" i="48"/>
  <c r="W46" i="48"/>
  <c r="W112" i="48"/>
  <c r="W114" i="48"/>
  <c r="W22" i="48"/>
  <c r="W116" i="48"/>
  <c r="W23" i="48"/>
  <c r="W44" i="48"/>
  <c r="W82" i="48"/>
  <c r="W86" i="48"/>
  <c r="W97" i="48"/>
  <c r="W113" i="48"/>
  <c r="W88" i="48"/>
  <c r="W84" i="48"/>
  <c r="W96" i="48"/>
  <c r="W110" i="48"/>
  <c r="W115" i="48"/>
  <c r="AC10" i="34"/>
  <c r="I27" i="22"/>
  <c r="I30" i="22"/>
  <c r="I31" i="22"/>
  <c r="I32" i="22"/>
  <c r="I33" i="22"/>
  <c r="I34" i="22"/>
  <c r="I35" i="22"/>
  <c r="I36" i="22"/>
  <c r="I37" i="22"/>
  <c r="I38" i="22"/>
  <c r="I39" i="22"/>
  <c r="I40" i="22"/>
  <c r="I41" i="22"/>
  <c r="I29" i="22"/>
  <c r="I16" i="22"/>
  <c r="I19" i="22"/>
  <c r="I28" i="22"/>
  <c r="I54" i="22"/>
  <c r="I59" i="22"/>
  <c r="I60" i="22"/>
  <c r="I61" i="22"/>
  <c r="I62" i="22"/>
  <c r="I63" i="22"/>
  <c r="I64" i="22"/>
  <c r="I65" i="22"/>
  <c r="I66" i="22"/>
  <c r="I67" i="22"/>
  <c r="I68" i="22"/>
  <c r="I69" i="22"/>
  <c r="I70" i="22"/>
  <c r="I71" i="22"/>
  <c r="I73" i="22"/>
  <c r="I99" i="22"/>
  <c r="I104" i="22"/>
  <c r="I111" i="22"/>
  <c r="I112" i="22"/>
  <c r="I113" i="22"/>
  <c r="I114" i="22"/>
  <c r="I115" i="22"/>
  <c r="I116" i="22"/>
  <c r="I117" i="22"/>
  <c r="I26" i="22"/>
  <c r="I46" i="22"/>
  <c r="I58" i="22"/>
  <c r="I82" i="22"/>
  <c r="I96" i="22"/>
  <c r="I110" i="22"/>
  <c r="I20" i="22"/>
  <c r="I23" i="22"/>
  <c r="I53" i="22"/>
  <c r="I57" i="22"/>
  <c r="I22" i="22"/>
  <c r="I25" i="22"/>
  <c r="I43" i="22"/>
  <c r="I72" i="22"/>
  <c r="I74" i="22"/>
  <c r="I86" i="22"/>
  <c r="I90" i="22"/>
  <c r="I24" i="22"/>
  <c r="I52" i="22"/>
  <c r="I76" i="22"/>
  <c r="I78" i="22"/>
  <c r="I80" i="22"/>
  <c r="I101" i="22"/>
  <c r="I18" i="22"/>
  <c r="I44" i="22"/>
  <c r="I48" i="22"/>
  <c r="I55" i="22"/>
  <c r="I93" i="22"/>
  <c r="I97" i="22"/>
  <c r="I107" i="22"/>
  <c r="I45" i="22"/>
  <c r="I13" i="22"/>
  <c r="I56" i="22"/>
  <c r="I77" i="22"/>
  <c r="I79" i="22"/>
  <c r="I95" i="22"/>
  <c r="I102" i="22"/>
  <c r="I109" i="22"/>
  <c r="I21" i="22"/>
  <c r="I75" i="22"/>
  <c r="I84" i="22"/>
  <c r="I100" i="22"/>
  <c r="I118" i="22"/>
  <c r="I87" i="22"/>
  <c r="H98" i="22"/>
  <c r="I98" i="22" s="1"/>
  <c r="I119" i="22"/>
  <c r="I17" i="22"/>
  <c r="I88" i="22"/>
  <c r="K10" i="51"/>
  <c r="H7" i="21"/>
  <c r="M20" i="40"/>
  <c r="M28" i="40"/>
  <c r="M36" i="40"/>
  <c r="M44" i="40"/>
  <c r="M55" i="40"/>
  <c r="M63" i="40"/>
  <c r="M111" i="40"/>
  <c r="L120" i="40"/>
  <c r="M23" i="40"/>
  <c r="M31" i="40"/>
  <c r="M39" i="40"/>
  <c r="M58" i="40"/>
  <c r="M66" i="40"/>
  <c r="M76" i="40"/>
  <c r="M101" i="40"/>
  <c r="M104" i="40"/>
  <c r="M114" i="40"/>
  <c r="M18" i="40"/>
  <c r="M26" i="40"/>
  <c r="M34" i="40"/>
  <c r="M53" i="40"/>
  <c r="M61" i="40"/>
  <c r="M69" i="40"/>
  <c r="M79" i="40"/>
  <c r="M117" i="40"/>
  <c r="M21" i="40"/>
  <c r="M29" i="40"/>
  <c r="M37" i="40"/>
  <c r="M45" i="40"/>
  <c r="M16" i="40"/>
  <c r="M24" i="40"/>
  <c r="M32" i="40"/>
  <c r="M40" i="40"/>
  <c r="M19" i="40"/>
  <c r="M27" i="40"/>
  <c r="M22" i="40"/>
  <c r="M30" i="40"/>
  <c r="M38" i="40"/>
  <c r="M46" i="40"/>
  <c r="M57" i="40"/>
  <c r="M65" i="40"/>
  <c r="M17" i="40"/>
  <c r="M25" i="40"/>
  <c r="M33" i="40"/>
  <c r="M41" i="40"/>
  <c r="M60" i="40"/>
  <c r="M68" i="40"/>
  <c r="M78" i="40"/>
  <c r="M116" i="40"/>
  <c r="M82" i="40"/>
  <c r="M112" i="40"/>
  <c r="M56" i="40"/>
  <c r="M35" i="40"/>
  <c r="M88" i="40"/>
  <c r="M43" i="40"/>
  <c r="M48" i="40"/>
  <c r="M54" i="40"/>
  <c r="M64" i="40"/>
  <c r="M72" i="40"/>
  <c r="M77" i="40"/>
  <c r="M102" i="40"/>
  <c r="M62" i="40"/>
  <c r="M87" i="40"/>
  <c r="L98" i="40"/>
  <c r="M113" i="40"/>
  <c r="M59" i="40"/>
  <c r="M70" i="40"/>
  <c r="M115" i="40"/>
  <c r="M67" i="40"/>
  <c r="M71" i="40"/>
  <c r="M80" i="40"/>
  <c r="M86" i="40"/>
  <c r="E7" i="22"/>
  <c r="M7" i="40"/>
  <c r="P13" i="40"/>
  <c r="Q7" i="40" s="1"/>
  <c r="K23" i="40"/>
  <c r="K31" i="40"/>
  <c r="K39" i="40"/>
  <c r="K58" i="40"/>
  <c r="K66" i="40"/>
  <c r="K76" i="40"/>
  <c r="K101" i="40"/>
  <c r="K104" i="40"/>
  <c r="K114" i="40"/>
  <c r="K18" i="40"/>
  <c r="K26" i="40"/>
  <c r="K34" i="40"/>
  <c r="K53" i="40"/>
  <c r="K61" i="40"/>
  <c r="K69" i="40"/>
  <c r="K79" i="40"/>
  <c r="K117" i="40"/>
  <c r="K21" i="40"/>
  <c r="K29" i="40"/>
  <c r="K37" i="40"/>
  <c r="K45" i="40"/>
  <c r="K56" i="40"/>
  <c r="K64" i="40"/>
  <c r="K82" i="40"/>
  <c r="K112" i="40"/>
  <c r="K16" i="40"/>
  <c r="K24" i="40"/>
  <c r="K32" i="40"/>
  <c r="K40" i="40"/>
  <c r="K19" i="40"/>
  <c r="K27" i="40"/>
  <c r="K35" i="40"/>
  <c r="K43" i="40"/>
  <c r="K22" i="40"/>
  <c r="K30" i="40"/>
  <c r="K17" i="40"/>
  <c r="K25" i="40"/>
  <c r="K33" i="40"/>
  <c r="K41" i="40"/>
  <c r="K60" i="40"/>
  <c r="K68" i="40"/>
  <c r="K78" i="40"/>
  <c r="K20" i="40"/>
  <c r="K28" i="40"/>
  <c r="K36" i="40"/>
  <c r="K44" i="40"/>
  <c r="K55" i="40"/>
  <c r="K63" i="40"/>
  <c r="K111" i="40"/>
  <c r="J120" i="40"/>
  <c r="K38" i="40"/>
  <c r="K54" i="40"/>
  <c r="K72" i="40"/>
  <c r="K77" i="40"/>
  <c r="K62" i="40"/>
  <c r="K87" i="40"/>
  <c r="J98" i="40"/>
  <c r="K113" i="40"/>
  <c r="K59" i="40"/>
  <c r="K70" i="40"/>
  <c r="K46" i="40"/>
  <c r="K57" i="40"/>
  <c r="K67" i="40"/>
  <c r="K71" i="40"/>
  <c r="K80" i="40"/>
  <c r="K116" i="40"/>
  <c r="K102" i="40"/>
  <c r="K115" i="40"/>
  <c r="K65" i="40"/>
  <c r="M13" i="22"/>
  <c r="M16" i="22"/>
  <c r="M17" i="22"/>
  <c r="M18" i="22"/>
  <c r="M19" i="22"/>
  <c r="M20" i="22"/>
  <c r="M21" i="22"/>
  <c r="M22" i="22"/>
  <c r="M23" i="22"/>
  <c r="M24" i="22"/>
  <c r="M25" i="22"/>
  <c r="M28" i="22"/>
  <c r="M27" i="22"/>
  <c r="M30" i="22"/>
  <c r="M34" i="22"/>
  <c r="M38" i="22"/>
  <c r="M43" i="22"/>
  <c r="M87" i="22"/>
  <c r="M93" i="22"/>
  <c r="M97" i="22"/>
  <c r="M107" i="22"/>
  <c r="M54" i="22"/>
  <c r="M72" i="22"/>
  <c r="M74" i="22"/>
  <c r="M86" i="22"/>
  <c r="M90" i="22"/>
  <c r="M26" i="22"/>
  <c r="M33" i="22"/>
  <c r="M37" i="22"/>
  <c r="M41" i="22"/>
  <c r="M46" i="22"/>
  <c r="M58" i="22"/>
  <c r="M59" i="22"/>
  <c r="M60" i="22"/>
  <c r="M61" i="22"/>
  <c r="M62" i="22"/>
  <c r="M63" i="22"/>
  <c r="M64" i="22"/>
  <c r="M65" i="22"/>
  <c r="M66" i="22"/>
  <c r="M67" i="22"/>
  <c r="M68" i="22"/>
  <c r="M69" i="22"/>
  <c r="M70" i="22"/>
  <c r="M71" i="22"/>
  <c r="M73" i="22"/>
  <c r="L98" i="22"/>
  <c r="M98" i="22" s="1"/>
  <c r="M99" i="22"/>
  <c r="M104" i="22"/>
  <c r="M111" i="22"/>
  <c r="M112" i="22"/>
  <c r="M113" i="22"/>
  <c r="M114" i="22"/>
  <c r="M115" i="22"/>
  <c r="M116" i="22"/>
  <c r="M117" i="22"/>
  <c r="M48" i="22"/>
  <c r="M55" i="22"/>
  <c r="M75" i="22"/>
  <c r="M84" i="22"/>
  <c r="M88" i="22"/>
  <c r="M100" i="22"/>
  <c r="M32" i="22"/>
  <c r="M40" i="22"/>
  <c r="M29" i="22"/>
  <c r="M52" i="22"/>
  <c r="M35" i="22"/>
  <c r="M44" i="22"/>
  <c r="M76" i="22"/>
  <c r="M78" i="22"/>
  <c r="M80" i="22"/>
  <c r="M101" i="22"/>
  <c r="M53" i="22"/>
  <c r="M36" i="22"/>
  <c r="M45" i="22"/>
  <c r="M56" i="22"/>
  <c r="M31" i="22"/>
  <c r="M39" i="22"/>
  <c r="M77" i="22"/>
  <c r="M79" i="22"/>
  <c r="M95" i="22"/>
  <c r="M102" i="22"/>
  <c r="M109" i="22"/>
  <c r="M57" i="22"/>
  <c r="M82" i="22"/>
  <c r="M96" i="22"/>
  <c r="M110" i="22"/>
  <c r="O10" i="51"/>
  <c r="L7" i="21"/>
  <c r="Z13" i="24"/>
  <c r="AA7" i="24" s="1"/>
  <c r="Q19" i="48"/>
  <c r="Q23" i="48"/>
  <c r="Q27" i="48"/>
  <c r="Q31" i="48"/>
  <c r="Q43" i="48"/>
  <c r="Q44" i="48"/>
  <c r="Q45" i="48"/>
  <c r="Q46" i="48"/>
  <c r="Q73" i="48"/>
  <c r="Q13" i="48"/>
  <c r="Q48" i="48"/>
  <c r="Q18" i="48"/>
  <c r="Q22" i="48"/>
  <c r="Q26" i="48"/>
  <c r="Q30" i="48"/>
  <c r="Q16" i="48"/>
  <c r="Q32" i="48"/>
  <c r="Q33" i="48"/>
  <c r="Q34" i="48"/>
  <c r="Q35" i="48"/>
  <c r="Q36" i="48"/>
  <c r="Q37" i="48"/>
  <c r="Q38" i="48"/>
  <c r="Q39" i="48"/>
  <c r="Q40" i="48"/>
  <c r="Q41" i="48"/>
  <c r="Q52" i="48"/>
  <c r="Q53" i="48"/>
  <c r="Q54" i="48"/>
  <c r="Q55" i="48"/>
  <c r="Q57" i="48"/>
  <c r="Q58" i="48"/>
  <c r="Q59" i="48"/>
  <c r="Q60" i="48"/>
  <c r="Q61" i="48"/>
  <c r="Q62" i="48"/>
  <c r="Q63" i="48"/>
  <c r="Q64" i="48"/>
  <c r="Q65" i="48"/>
  <c r="Q66" i="48"/>
  <c r="Q67" i="48"/>
  <c r="Q68" i="48"/>
  <c r="Q69" i="48"/>
  <c r="Q70" i="48"/>
  <c r="Q71" i="48"/>
  <c r="Q74" i="48"/>
  <c r="Q77" i="48"/>
  <c r="Q79" i="48"/>
  <c r="Q100" i="48"/>
  <c r="Q24" i="48"/>
  <c r="Q75" i="48"/>
  <c r="Q99" i="48"/>
  <c r="Q88" i="48"/>
  <c r="Q90" i="48"/>
  <c r="Q17" i="48"/>
  <c r="Q25" i="48"/>
  <c r="Q86" i="48"/>
  <c r="Q97" i="48"/>
  <c r="Q112" i="48"/>
  <c r="Q113" i="48"/>
  <c r="Q114" i="48"/>
  <c r="Q78" i="48"/>
  <c r="Q84" i="48"/>
  <c r="Q96" i="48"/>
  <c r="P98" i="48"/>
  <c r="Q98" i="48" s="1"/>
  <c r="Q110" i="48"/>
  <c r="Q20" i="48"/>
  <c r="Q116" i="48"/>
  <c r="Q76" i="48"/>
  <c r="Q80" i="48"/>
  <c r="Q82" i="48"/>
  <c r="Q115" i="48"/>
  <c r="Q29" i="48"/>
  <c r="Q101" i="48"/>
  <c r="Q102" i="48"/>
  <c r="Q109" i="48"/>
  <c r="Q21" i="48"/>
  <c r="Q95" i="48"/>
  <c r="Q104" i="48"/>
  <c r="Q28" i="48"/>
  <c r="Q107" i="48"/>
  <c r="Q93" i="48"/>
  <c r="U10" i="34"/>
  <c r="M13" i="48"/>
  <c r="M16" i="48"/>
  <c r="M17" i="48"/>
  <c r="M18" i="48"/>
  <c r="M19" i="48"/>
  <c r="M20" i="48"/>
  <c r="M21" i="48"/>
  <c r="M22" i="48"/>
  <c r="M23" i="48"/>
  <c r="M24" i="48"/>
  <c r="M25" i="48"/>
  <c r="M26" i="48"/>
  <c r="M27" i="48"/>
  <c r="M28" i="48"/>
  <c r="M29" i="48"/>
  <c r="M30" i="48"/>
  <c r="M31" i="48"/>
  <c r="M32" i="48"/>
  <c r="M48" i="48"/>
  <c r="M34" i="48"/>
  <c r="M36" i="48"/>
  <c r="M38" i="48"/>
  <c r="M40" i="48"/>
  <c r="M53" i="48"/>
  <c r="M55" i="48"/>
  <c r="M57" i="48"/>
  <c r="M59" i="48"/>
  <c r="M61" i="48"/>
  <c r="M63" i="48"/>
  <c r="M65" i="48"/>
  <c r="M67" i="48"/>
  <c r="M69" i="48"/>
  <c r="M71" i="48"/>
  <c r="M88" i="48"/>
  <c r="M90" i="48"/>
  <c r="L98" i="48"/>
  <c r="M98" i="48" s="1"/>
  <c r="M43" i="48"/>
  <c r="M45" i="48"/>
  <c r="M73" i="48"/>
  <c r="M86" i="48"/>
  <c r="M97" i="48"/>
  <c r="M112" i="48"/>
  <c r="M113" i="48"/>
  <c r="M114" i="48"/>
  <c r="M115" i="48"/>
  <c r="M116" i="48"/>
  <c r="M76" i="48"/>
  <c r="M78" i="48"/>
  <c r="M80" i="48"/>
  <c r="M82" i="48"/>
  <c r="M84" i="48"/>
  <c r="M96" i="48"/>
  <c r="M110" i="48"/>
  <c r="M95" i="48"/>
  <c r="M109" i="48"/>
  <c r="M35" i="48"/>
  <c r="M39" i="48"/>
  <c r="M54" i="48"/>
  <c r="M58" i="48"/>
  <c r="M62" i="48"/>
  <c r="M66" i="48"/>
  <c r="M70" i="48"/>
  <c r="M74" i="48"/>
  <c r="M46" i="48"/>
  <c r="M93" i="48"/>
  <c r="M102" i="48"/>
  <c r="M107" i="48"/>
  <c r="M79" i="48"/>
  <c r="M100" i="48"/>
  <c r="M33" i="48"/>
  <c r="M37" i="48"/>
  <c r="M41" i="48"/>
  <c r="M52" i="48"/>
  <c r="M60" i="48"/>
  <c r="M64" i="48"/>
  <c r="M68" i="48"/>
  <c r="M77" i="48"/>
  <c r="M101" i="48"/>
  <c r="M44" i="48"/>
  <c r="M75" i="48"/>
  <c r="M104" i="48"/>
  <c r="M99" i="48"/>
  <c r="O10" i="34"/>
  <c r="O47" i="34" s="1"/>
  <c r="O258" i="34" s="1"/>
  <c r="H7" i="40"/>
  <c r="B13" i="40"/>
  <c r="C7" i="40" s="1"/>
  <c r="AC7" i="40"/>
  <c r="O9" i="40"/>
  <c r="O17" i="40"/>
  <c r="O25" i="40"/>
  <c r="O33" i="40"/>
  <c r="O41" i="40"/>
  <c r="O60" i="40"/>
  <c r="O68" i="40"/>
  <c r="O78" i="40"/>
  <c r="O116" i="40"/>
  <c r="O20" i="40"/>
  <c r="O28" i="40"/>
  <c r="O36" i="40"/>
  <c r="O44" i="40"/>
  <c r="O55" i="40"/>
  <c r="O63" i="40"/>
  <c r="O111" i="40"/>
  <c r="N120" i="40"/>
  <c r="O8" i="40"/>
  <c r="O23" i="40"/>
  <c r="O31" i="40"/>
  <c r="O39" i="40"/>
  <c r="O58" i="40"/>
  <c r="O66" i="40"/>
  <c r="O76" i="40"/>
  <c r="O101" i="40"/>
  <c r="O104" i="40"/>
  <c r="O114" i="40"/>
  <c r="O11" i="40"/>
  <c r="O18" i="40"/>
  <c r="O26" i="40"/>
  <c r="O34" i="40"/>
  <c r="O53" i="40"/>
  <c r="O21" i="40"/>
  <c r="O29" i="40"/>
  <c r="O37" i="40"/>
  <c r="O45" i="40"/>
  <c r="O16" i="40"/>
  <c r="O24" i="40"/>
  <c r="O32" i="40"/>
  <c r="O10" i="40"/>
  <c r="O19" i="40"/>
  <c r="O27" i="40"/>
  <c r="O35" i="40"/>
  <c r="O43" i="40"/>
  <c r="O48" i="40"/>
  <c r="O54" i="40"/>
  <c r="O62" i="40"/>
  <c r="O70" i="40"/>
  <c r="O71" i="40"/>
  <c r="O72" i="40"/>
  <c r="O80" i="40"/>
  <c r="O12" i="40"/>
  <c r="O13" i="40"/>
  <c r="O22" i="40"/>
  <c r="O30" i="40"/>
  <c r="O38" i="40"/>
  <c r="O46" i="40"/>
  <c r="O57" i="40"/>
  <c r="O65" i="40"/>
  <c r="O86" i="40"/>
  <c r="O87" i="40"/>
  <c r="N98" i="40"/>
  <c r="O113" i="40"/>
  <c r="O67" i="40"/>
  <c r="O117" i="40"/>
  <c r="O82" i="40"/>
  <c r="O56" i="40"/>
  <c r="O79" i="40"/>
  <c r="O112" i="40"/>
  <c r="O64" i="40"/>
  <c r="O77" i="40"/>
  <c r="O61" i="40"/>
  <c r="O88" i="40"/>
  <c r="O102" i="40"/>
  <c r="O115" i="40"/>
  <c r="O40" i="40"/>
  <c r="O59" i="40"/>
  <c r="O69" i="40"/>
  <c r="AD7" i="48"/>
  <c r="Z13" i="48"/>
  <c r="AA7" i="48" s="1"/>
  <c r="AF9" i="48"/>
  <c r="C9" i="41"/>
  <c r="C16" i="41"/>
  <c r="C18" i="41"/>
  <c r="C20" i="41"/>
  <c r="C22" i="41"/>
  <c r="C24" i="41"/>
  <c r="C26" i="41"/>
  <c r="C28" i="41"/>
  <c r="C30" i="41"/>
  <c r="C32" i="41"/>
  <c r="C34" i="41"/>
  <c r="C36" i="41"/>
  <c r="C38" i="41"/>
  <c r="C40" i="41"/>
  <c r="K53" i="41"/>
  <c r="C54" i="41"/>
  <c r="S54" i="41"/>
  <c r="K55" i="41"/>
  <c r="C56" i="41"/>
  <c r="S56" i="41"/>
  <c r="K57" i="41"/>
  <c r="C58" i="41"/>
  <c r="S58" i="41"/>
  <c r="K59" i="41"/>
  <c r="C60" i="41"/>
  <c r="S60" i="41"/>
  <c r="K61" i="41"/>
  <c r="C62" i="41"/>
  <c r="S62" i="41"/>
  <c r="K63" i="41"/>
  <c r="C64" i="41"/>
  <c r="S64" i="41"/>
  <c r="K65" i="41"/>
  <c r="C66" i="41"/>
  <c r="S66" i="41"/>
  <c r="K67" i="41"/>
  <c r="C68" i="41"/>
  <c r="S68" i="41"/>
  <c r="K69" i="41"/>
  <c r="C70" i="41"/>
  <c r="S70" i="41"/>
  <c r="M71" i="41"/>
  <c r="K72" i="41"/>
  <c r="K82" i="41"/>
  <c r="C124" i="41"/>
  <c r="C126" i="41"/>
  <c r="C128" i="41"/>
  <c r="M53" i="41"/>
  <c r="E54" i="41"/>
  <c r="M55" i="41"/>
  <c r="E56" i="41"/>
  <c r="M57" i="41"/>
  <c r="E58" i="41"/>
  <c r="M59" i="41"/>
  <c r="E60" i="41"/>
  <c r="M61" i="41"/>
  <c r="E62" i="41"/>
  <c r="M63" i="41"/>
  <c r="E64" i="41"/>
  <c r="M65" i="41"/>
  <c r="E66" i="41"/>
  <c r="M67" i="41"/>
  <c r="E68" i="41"/>
  <c r="M69" i="41"/>
  <c r="E70" i="41"/>
  <c r="O71" i="41"/>
  <c r="M72" i="41"/>
  <c r="K76" i="41"/>
  <c r="C77" i="41"/>
  <c r="S77" i="41"/>
  <c r="K78" i="41"/>
  <c r="C79" i="41"/>
  <c r="S79" i="41"/>
  <c r="K80" i="41"/>
  <c r="M82" i="41"/>
  <c r="C87" i="41"/>
  <c r="C105" i="41"/>
  <c r="B3" i="41"/>
  <c r="H3" i="41" s="1"/>
  <c r="C13" i="41"/>
  <c r="O53" i="41"/>
  <c r="O55" i="41"/>
  <c r="O57" i="41"/>
  <c r="O59" i="41"/>
  <c r="O61" i="41"/>
  <c r="O63" i="41"/>
  <c r="O65" i="41"/>
  <c r="O67" i="41"/>
  <c r="O69" i="41"/>
  <c r="S71" i="41"/>
  <c r="O72" i="41"/>
  <c r="M76" i="41"/>
  <c r="E77" i="41"/>
  <c r="M78" i="41"/>
  <c r="E79" i="41"/>
  <c r="M80" i="41"/>
  <c r="O82" i="41"/>
  <c r="C101" i="41"/>
  <c r="C112" i="41"/>
  <c r="C114" i="41"/>
  <c r="C116" i="41"/>
  <c r="C43" i="41"/>
  <c r="C45" i="41"/>
  <c r="C17" i="41"/>
  <c r="C19" i="41"/>
  <c r="C21" i="41"/>
  <c r="C23" i="41"/>
  <c r="C25" i="41"/>
  <c r="C27" i="41"/>
  <c r="C29" i="41"/>
  <c r="C31" i="41"/>
  <c r="C33" i="41"/>
  <c r="C35" i="41"/>
  <c r="C37" i="41"/>
  <c r="C39" i="41"/>
  <c r="C41" i="41"/>
  <c r="E53" i="41"/>
  <c r="M54" i="41"/>
  <c r="E55" i="41"/>
  <c r="M56" i="41"/>
  <c r="E57" i="41"/>
  <c r="M58" i="41"/>
  <c r="E59" i="41"/>
  <c r="M60" i="41"/>
  <c r="E61" i="41"/>
  <c r="M62" i="41"/>
  <c r="E63" i="41"/>
  <c r="M64" i="41"/>
  <c r="E65" i="41"/>
  <c r="M66" i="41"/>
  <c r="E67" i="41"/>
  <c r="M68" i="41"/>
  <c r="E69" i="41"/>
  <c r="M70" i="41"/>
  <c r="E71" i="41"/>
  <c r="E72" i="41"/>
  <c r="C76" i="41"/>
  <c r="S76" i="41"/>
  <c r="K77" i="41"/>
  <c r="C78" i="41"/>
  <c r="S78" i="41"/>
  <c r="K79" i="41"/>
  <c r="C80" i="41"/>
  <c r="S80" i="41"/>
  <c r="E82" i="41"/>
  <c r="C104" i="41"/>
  <c r="H13" i="41"/>
  <c r="I7" i="41" s="1"/>
  <c r="C44" i="41"/>
  <c r="C46" i="41"/>
  <c r="K71" i="41"/>
  <c r="O77" i="41"/>
  <c r="O79" i="41"/>
  <c r="C53" i="41"/>
  <c r="O56" i="41"/>
  <c r="K58" i="41"/>
  <c r="S63" i="41"/>
  <c r="C69" i="41"/>
  <c r="C138" i="41"/>
  <c r="C142" i="41"/>
  <c r="C146" i="41"/>
  <c r="C150" i="41"/>
  <c r="F152" i="41" s="1"/>
  <c r="C55" i="41"/>
  <c r="O58" i="41"/>
  <c r="K60" i="41"/>
  <c r="S65" i="41"/>
  <c r="C71" i="41"/>
  <c r="M77" i="41"/>
  <c r="C123" i="41"/>
  <c r="C127" i="41"/>
  <c r="C131" i="41"/>
  <c r="F133" i="41" s="1"/>
  <c r="F135" i="41" s="1"/>
  <c r="C158" i="41"/>
  <c r="C160" i="41"/>
  <c r="C57" i="41"/>
  <c r="O60" i="41"/>
  <c r="K62" i="41"/>
  <c r="S67" i="41"/>
  <c r="M79" i="41"/>
  <c r="C113" i="41"/>
  <c r="C117" i="41"/>
  <c r="C139" i="41"/>
  <c r="C143" i="41"/>
  <c r="C147" i="41"/>
  <c r="C166" i="41"/>
  <c r="C168" i="41"/>
  <c r="S53" i="41"/>
  <c r="C59" i="41"/>
  <c r="O62" i="41"/>
  <c r="K64" i="41"/>
  <c r="S69" i="41"/>
  <c r="E76" i="41"/>
  <c r="C82" i="41"/>
  <c r="S55" i="41"/>
  <c r="C61" i="41"/>
  <c r="O64" i="41"/>
  <c r="K66" i="41"/>
  <c r="C72" i="41"/>
  <c r="O76" i="41"/>
  <c r="E78" i="41"/>
  <c r="C140" i="41"/>
  <c r="C144" i="41"/>
  <c r="C148" i="41"/>
  <c r="S57" i="41"/>
  <c r="C63" i="41"/>
  <c r="O66" i="41"/>
  <c r="K68" i="41"/>
  <c r="O78" i="41"/>
  <c r="E80" i="41"/>
  <c r="C125" i="41"/>
  <c r="C129" i="41"/>
  <c r="C130" i="41"/>
  <c r="C157" i="41"/>
  <c r="C159" i="41"/>
  <c r="K54" i="41"/>
  <c r="S59" i="41"/>
  <c r="C65" i="41"/>
  <c r="O68" i="41"/>
  <c r="K70" i="41"/>
  <c r="O80" i="41"/>
  <c r="S82" i="41"/>
  <c r="C102" i="41"/>
  <c r="C111" i="41"/>
  <c r="C115" i="41"/>
  <c r="C137" i="41"/>
  <c r="C141" i="41"/>
  <c r="C145" i="41"/>
  <c r="C149" i="41"/>
  <c r="C165" i="41"/>
  <c r="C167" i="41"/>
  <c r="C169" i="41"/>
  <c r="O54" i="41"/>
  <c r="K56" i="41"/>
  <c r="S61" i="41"/>
  <c r="C67" i="41"/>
  <c r="O70" i="41"/>
  <c r="S72" i="41"/>
  <c r="C9" i="24"/>
  <c r="C16" i="24"/>
  <c r="C17" i="24"/>
  <c r="C18" i="24"/>
  <c r="C19" i="24"/>
  <c r="C20" i="24"/>
  <c r="C21" i="24"/>
  <c r="C22" i="24"/>
  <c r="C23" i="24"/>
  <c r="C24" i="24"/>
  <c r="C25" i="24"/>
  <c r="C28" i="24"/>
  <c r="C32" i="24"/>
  <c r="C36" i="24"/>
  <c r="C40" i="24"/>
  <c r="C27" i="24"/>
  <c r="C31" i="24"/>
  <c r="C35" i="24"/>
  <c r="C39" i="24"/>
  <c r="C13" i="24"/>
  <c r="C45" i="24"/>
  <c r="C46" i="24"/>
  <c r="C43" i="24"/>
  <c r="C48" i="24"/>
  <c r="C38" i="24"/>
  <c r="C33" i="24"/>
  <c r="C34" i="24"/>
  <c r="C37" i="24"/>
  <c r="C41" i="24"/>
  <c r="C44" i="24"/>
  <c r="C30" i="24"/>
  <c r="C26" i="24"/>
  <c r="C29" i="24"/>
  <c r="G16" i="22"/>
  <c r="G17" i="22"/>
  <c r="G18" i="22"/>
  <c r="G19" i="22"/>
  <c r="G20" i="22"/>
  <c r="G21" i="22"/>
  <c r="G22" i="22"/>
  <c r="G23" i="22"/>
  <c r="G24" i="22"/>
  <c r="G25" i="22"/>
  <c r="G26" i="22"/>
  <c r="G27" i="22"/>
  <c r="G28" i="22"/>
  <c r="G29" i="22"/>
  <c r="G30" i="22"/>
  <c r="G52" i="22"/>
  <c r="G53" i="22"/>
  <c r="G54" i="22"/>
  <c r="G55" i="22"/>
  <c r="G56" i="22"/>
  <c r="G57" i="22"/>
  <c r="G48" i="22"/>
  <c r="G13" i="22"/>
  <c r="G33" i="22"/>
  <c r="G37" i="22"/>
  <c r="G41" i="22"/>
  <c r="G46" i="22"/>
  <c r="G58" i="22"/>
  <c r="G82" i="22"/>
  <c r="G96" i="22"/>
  <c r="G110" i="22"/>
  <c r="G32" i="22"/>
  <c r="G36" i="22"/>
  <c r="G40" i="22"/>
  <c r="G45" i="22"/>
  <c r="F120" i="22"/>
  <c r="G59" i="22"/>
  <c r="G60" i="22"/>
  <c r="G61" i="22"/>
  <c r="G62" i="22"/>
  <c r="G63" i="22"/>
  <c r="G64" i="22"/>
  <c r="G65" i="22"/>
  <c r="G66" i="22"/>
  <c r="G67" i="22"/>
  <c r="G68" i="22"/>
  <c r="G69" i="22"/>
  <c r="G70" i="22"/>
  <c r="G71" i="22"/>
  <c r="G73" i="22"/>
  <c r="G99" i="22"/>
  <c r="G104" i="22"/>
  <c r="G111" i="22"/>
  <c r="G112" i="22"/>
  <c r="G113" i="22"/>
  <c r="G114" i="22"/>
  <c r="G115" i="22"/>
  <c r="G116" i="22"/>
  <c r="G117" i="22"/>
  <c r="G35" i="22"/>
  <c r="G44" i="22"/>
  <c r="G88" i="22"/>
  <c r="F74" i="22"/>
  <c r="G74" i="22" s="1"/>
  <c r="G38" i="22"/>
  <c r="G72" i="22"/>
  <c r="G86" i="22"/>
  <c r="G77" i="22"/>
  <c r="G79" i="22"/>
  <c r="G95" i="22"/>
  <c r="G102" i="22"/>
  <c r="G109" i="22"/>
  <c r="G31" i="22"/>
  <c r="G39" i="22"/>
  <c r="G75" i="22"/>
  <c r="G84" i="22"/>
  <c r="F98" i="22"/>
  <c r="G98" i="22" s="1"/>
  <c r="G100" i="22"/>
  <c r="G87" i="22"/>
  <c r="G34" i="22"/>
  <c r="G43" i="22"/>
  <c r="G90" i="22"/>
  <c r="G76" i="22"/>
  <c r="G78" i="22"/>
  <c r="G80" i="22"/>
  <c r="G101" i="22"/>
  <c r="G10" i="51"/>
  <c r="G93" i="22"/>
  <c r="G107" i="22"/>
  <c r="G97" i="22"/>
  <c r="F7" i="21"/>
  <c r="C7" i="24"/>
  <c r="S13" i="48"/>
  <c r="S16" i="48"/>
  <c r="S32" i="48"/>
  <c r="S33" i="48"/>
  <c r="S34" i="48"/>
  <c r="S35" i="48"/>
  <c r="S36" i="48"/>
  <c r="S37" i="48"/>
  <c r="S38" i="48"/>
  <c r="S39" i="48"/>
  <c r="S40" i="48"/>
  <c r="S41" i="48"/>
  <c r="S52" i="48"/>
  <c r="S53" i="48"/>
  <c r="S54" i="48"/>
  <c r="S55" i="48"/>
  <c r="S57" i="48"/>
  <c r="S58" i="48"/>
  <c r="S59" i="48"/>
  <c r="S60" i="48"/>
  <c r="S61" i="48"/>
  <c r="S62" i="48"/>
  <c r="S63" i="48"/>
  <c r="S64" i="48"/>
  <c r="S65" i="48"/>
  <c r="S66" i="48"/>
  <c r="S67" i="48"/>
  <c r="S68" i="48"/>
  <c r="S69" i="48"/>
  <c r="S70" i="48"/>
  <c r="S71" i="48"/>
  <c r="S74" i="48"/>
  <c r="S19" i="48"/>
  <c r="S23" i="48"/>
  <c r="S27" i="48"/>
  <c r="S31" i="48"/>
  <c r="S43" i="48"/>
  <c r="S44" i="48"/>
  <c r="S45" i="48"/>
  <c r="S46" i="48"/>
  <c r="S73" i="48"/>
  <c r="S48" i="48"/>
  <c r="S20" i="48"/>
  <c r="S24" i="48"/>
  <c r="S28" i="48"/>
  <c r="S75" i="48"/>
  <c r="S82" i="48"/>
  <c r="S21" i="48"/>
  <c r="S29" i="48"/>
  <c r="S93" i="48"/>
  <c r="S101" i="48"/>
  <c r="S102" i="48"/>
  <c r="S104" i="48"/>
  <c r="S107" i="48"/>
  <c r="S77" i="48"/>
  <c r="S79" i="48"/>
  <c r="S100" i="48"/>
  <c r="S22" i="48"/>
  <c r="S30" i="48"/>
  <c r="S99" i="48"/>
  <c r="S88" i="48"/>
  <c r="S90" i="48"/>
  <c r="S25" i="48"/>
  <c r="S112" i="48"/>
  <c r="S114" i="48"/>
  <c r="S78" i="48"/>
  <c r="S84" i="48"/>
  <c r="S96" i="48"/>
  <c r="S110" i="48"/>
  <c r="S26" i="48"/>
  <c r="R98" i="48"/>
  <c r="S98" i="48" s="1"/>
  <c r="S116" i="48"/>
  <c r="S17" i="48"/>
  <c r="S86" i="48"/>
  <c r="S97" i="48"/>
  <c r="S113" i="48"/>
  <c r="S18" i="48"/>
  <c r="S95" i="48"/>
  <c r="S109" i="48"/>
  <c r="S80" i="48"/>
  <c r="S76" i="48"/>
  <c r="S115" i="48"/>
  <c r="W10" i="34"/>
  <c r="O16" i="48"/>
  <c r="O48" i="48"/>
  <c r="O18" i="48"/>
  <c r="O22" i="48"/>
  <c r="O26" i="48"/>
  <c r="O30" i="48"/>
  <c r="O13" i="48"/>
  <c r="O19" i="48"/>
  <c r="O23" i="48"/>
  <c r="O27" i="48"/>
  <c r="O31" i="48"/>
  <c r="O43" i="48"/>
  <c r="O44" i="48"/>
  <c r="O45" i="48"/>
  <c r="O46" i="48"/>
  <c r="O73" i="48"/>
  <c r="O24" i="48"/>
  <c r="O75" i="48"/>
  <c r="O99" i="48"/>
  <c r="O32" i="48"/>
  <c r="O34" i="48"/>
  <c r="O36" i="48"/>
  <c r="O38" i="48"/>
  <c r="O40" i="48"/>
  <c r="O53" i="48"/>
  <c r="O55" i="48"/>
  <c r="O57" i="48"/>
  <c r="O59" i="48"/>
  <c r="O61" i="48"/>
  <c r="O63" i="48"/>
  <c r="O65" i="48"/>
  <c r="O67" i="48"/>
  <c r="O69" i="48"/>
  <c r="O71" i="48"/>
  <c r="O88" i="48"/>
  <c r="O90" i="48"/>
  <c r="O17" i="48"/>
  <c r="O25" i="48"/>
  <c r="O86" i="48"/>
  <c r="O97" i="48"/>
  <c r="N98" i="48"/>
  <c r="O98" i="48" s="1"/>
  <c r="O112" i="48"/>
  <c r="O113" i="48"/>
  <c r="O114" i="48"/>
  <c r="O115" i="48"/>
  <c r="O116" i="48"/>
  <c r="O76" i="48"/>
  <c r="O78" i="48"/>
  <c r="O80" i="48"/>
  <c r="O82" i="48"/>
  <c r="O84" i="48"/>
  <c r="O96" i="48"/>
  <c r="O110" i="48"/>
  <c r="O20" i="48"/>
  <c r="O35" i="48"/>
  <c r="O39" i="48"/>
  <c r="O54" i="48"/>
  <c r="O58" i="48"/>
  <c r="O62" i="48"/>
  <c r="O66" i="48"/>
  <c r="O70" i="48"/>
  <c r="O74" i="48"/>
  <c r="O21" i="48"/>
  <c r="O93" i="48"/>
  <c r="O102" i="48"/>
  <c r="O107" i="48"/>
  <c r="O28" i="48"/>
  <c r="O95" i="48"/>
  <c r="O109" i="48"/>
  <c r="O29" i="48"/>
  <c r="O101" i="48"/>
  <c r="O104" i="48"/>
  <c r="O41" i="48"/>
  <c r="O68" i="48"/>
  <c r="O79" i="48"/>
  <c r="O33" i="48"/>
  <c r="O60" i="48"/>
  <c r="O37" i="48"/>
  <c r="O64" i="48"/>
  <c r="O52" i="48"/>
  <c r="O77" i="48"/>
  <c r="O100" i="48"/>
  <c r="S10" i="3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13" i="4"/>
  <c r="C53" i="4"/>
  <c r="C54" i="4"/>
  <c r="C55" i="4"/>
  <c r="C56" i="4"/>
  <c r="C57" i="4"/>
  <c r="C58" i="4"/>
  <c r="C59" i="4"/>
  <c r="B3" i="4"/>
  <c r="C76" i="4"/>
  <c r="C77" i="4"/>
  <c r="C78" i="4"/>
  <c r="C79" i="4"/>
  <c r="C80" i="4"/>
  <c r="C60" i="4"/>
  <c r="C61" i="4"/>
  <c r="C62" i="4"/>
  <c r="C63" i="4"/>
  <c r="C64" i="4"/>
  <c r="C65" i="4"/>
  <c r="C66" i="4"/>
  <c r="C67" i="4"/>
  <c r="C68" i="4"/>
  <c r="C69" i="4"/>
  <c r="C9" i="4"/>
  <c r="C82" i="4"/>
  <c r="C44" i="4"/>
  <c r="C46" i="4"/>
  <c r="C45" i="4"/>
  <c r="C70" i="4"/>
  <c r="C72" i="4"/>
  <c r="C87" i="4"/>
  <c r="C71" i="4"/>
  <c r="C43" i="4"/>
  <c r="AD7" i="41"/>
  <c r="Y10" i="41"/>
  <c r="Y44" i="41"/>
  <c r="Y46" i="41"/>
  <c r="AD83" i="41"/>
  <c r="AD10" i="41"/>
  <c r="Y16" i="41"/>
  <c r="Y18" i="41"/>
  <c r="Y20" i="41"/>
  <c r="Y22" i="41"/>
  <c r="Y24" i="41"/>
  <c r="Y26" i="41"/>
  <c r="Y28" i="41"/>
  <c r="Y30" i="41"/>
  <c r="Y32" i="41"/>
  <c r="Y34" i="41"/>
  <c r="Y36" i="41"/>
  <c r="Y38" i="41"/>
  <c r="Y40" i="41"/>
  <c r="AD44" i="41"/>
  <c r="AD46" i="41"/>
  <c r="Y54" i="41"/>
  <c r="Y56" i="41"/>
  <c r="Y58" i="41"/>
  <c r="Y60" i="41"/>
  <c r="Y62" i="41"/>
  <c r="Y64" i="41"/>
  <c r="Y66" i="41"/>
  <c r="Y68" i="41"/>
  <c r="Y70" i="41"/>
  <c r="AD81" i="41"/>
  <c r="AD16" i="41"/>
  <c r="AD18" i="41"/>
  <c r="AD20" i="41"/>
  <c r="AD22" i="41"/>
  <c r="AD24" i="41"/>
  <c r="AD26" i="41"/>
  <c r="AD28" i="41"/>
  <c r="AD30" i="41"/>
  <c r="AD32" i="41"/>
  <c r="AD34" i="41"/>
  <c r="AD36" i="41"/>
  <c r="AD38" i="41"/>
  <c r="AD40" i="41"/>
  <c r="AD54" i="41"/>
  <c r="AD56" i="41"/>
  <c r="AD58" i="41"/>
  <c r="AD60" i="41"/>
  <c r="AD62" i="41"/>
  <c r="AD64" i="41"/>
  <c r="AD66" i="41"/>
  <c r="AD68" i="41"/>
  <c r="AD70" i="41"/>
  <c r="Y77" i="41"/>
  <c r="Y79" i="41"/>
  <c r="Y87" i="41"/>
  <c r="Y105" i="41"/>
  <c r="AC105" i="41" s="1"/>
  <c r="AD105" i="41" s="1"/>
  <c r="Y9" i="41"/>
  <c r="AD9" i="41"/>
  <c r="Y13" i="41"/>
  <c r="Y43" i="41"/>
  <c r="Y45" i="41"/>
  <c r="Y8" i="41"/>
  <c r="Y11" i="41"/>
  <c r="AD13" i="41"/>
  <c r="Y17" i="41"/>
  <c r="Y19" i="41"/>
  <c r="Y21" i="41"/>
  <c r="Y23" i="41"/>
  <c r="Y25" i="41"/>
  <c r="Y27" i="41"/>
  <c r="Y29" i="41"/>
  <c r="Y31" i="41"/>
  <c r="Y33" i="41"/>
  <c r="Y35" i="41"/>
  <c r="Y37" i="41"/>
  <c r="Y39" i="41"/>
  <c r="Y41" i="41"/>
  <c r="AD43" i="41"/>
  <c r="AD45" i="41"/>
  <c r="Y53" i="41"/>
  <c r="Y55" i="41"/>
  <c r="Y57" i="41"/>
  <c r="Y59" i="41"/>
  <c r="Y61" i="41"/>
  <c r="Y63" i="41"/>
  <c r="Y65" i="41"/>
  <c r="Y67" i="41"/>
  <c r="Y69" i="41"/>
  <c r="Y72" i="41"/>
  <c r="Y82" i="41"/>
  <c r="Y123" i="41"/>
  <c r="AC123" i="41" s="1"/>
  <c r="Y125" i="41"/>
  <c r="AC125" i="41" s="1"/>
  <c r="AD125" i="41" s="1"/>
  <c r="Y127" i="41"/>
  <c r="AC127" i="41" s="1"/>
  <c r="AD127" i="41" s="1"/>
  <c r="AD8" i="41"/>
  <c r="AD11" i="41"/>
  <c r="AD17" i="41"/>
  <c r="AD19" i="41"/>
  <c r="AD21" i="41"/>
  <c r="AD23" i="41"/>
  <c r="AD25" i="41"/>
  <c r="AD76" i="41"/>
  <c r="AD78" i="41"/>
  <c r="AD80" i="41"/>
  <c r="Y102" i="41"/>
  <c r="AC102" i="41" s="1"/>
  <c r="AD102" i="41" s="1"/>
  <c r="Y111" i="41"/>
  <c r="AC111" i="41" s="1"/>
  <c r="Y113" i="41"/>
  <c r="AC113" i="41" s="1"/>
  <c r="AD113" i="41" s="1"/>
  <c r="Y115" i="41"/>
  <c r="AC115" i="41" s="1"/>
  <c r="AD115" i="41" s="1"/>
  <c r="Y117" i="41"/>
  <c r="AD35" i="41"/>
  <c r="AD61" i="41"/>
  <c r="AD72" i="41"/>
  <c r="Y80" i="41"/>
  <c r="AD87" i="41"/>
  <c r="Y104" i="41"/>
  <c r="AC104" i="41" s="1"/>
  <c r="AD104" i="41" s="1"/>
  <c r="Y112" i="41"/>
  <c r="AC112" i="41" s="1"/>
  <c r="AD112" i="41" s="1"/>
  <c r="Y116" i="41"/>
  <c r="AC116" i="41" s="1"/>
  <c r="AD116" i="41" s="1"/>
  <c r="AD41" i="41"/>
  <c r="AD63" i="41"/>
  <c r="Y138" i="41"/>
  <c r="Y142" i="41"/>
  <c r="Y146" i="41"/>
  <c r="Y150" i="41"/>
  <c r="AD31" i="41"/>
  <c r="AD65" i="41"/>
  <c r="AD77" i="41"/>
  <c r="Y129" i="41"/>
  <c r="AC129" i="41" s="1"/>
  <c r="AD129" i="41" s="1"/>
  <c r="Y131" i="41"/>
  <c r="AD37" i="41"/>
  <c r="AD67" i="41"/>
  <c r="AD79" i="41"/>
  <c r="Y124" i="41"/>
  <c r="AC124" i="41" s="1"/>
  <c r="AD124" i="41" s="1"/>
  <c r="Y128" i="41"/>
  <c r="AC128" i="41" s="1"/>
  <c r="Y139" i="41"/>
  <c r="Y143" i="41"/>
  <c r="Y147" i="41"/>
  <c r="AD27" i="41"/>
  <c r="AD53" i="41"/>
  <c r="AD69" i="41"/>
  <c r="Y101" i="41"/>
  <c r="AC101" i="41" s="1"/>
  <c r="Y114" i="41"/>
  <c r="AC114" i="41" s="1"/>
  <c r="AD114" i="41" s="1"/>
  <c r="AD33" i="41"/>
  <c r="AD55" i="41"/>
  <c r="Y140" i="41"/>
  <c r="Y144" i="41"/>
  <c r="Y148" i="41"/>
  <c r="AD39" i="41"/>
  <c r="AD57" i="41"/>
  <c r="Y76" i="41"/>
  <c r="Y130" i="41"/>
  <c r="AC130" i="41" s="1"/>
  <c r="AD130" i="41" s="1"/>
  <c r="AD29" i="41"/>
  <c r="AD59" i="41"/>
  <c r="Y78" i="41"/>
  <c r="AD82" i="41"/>
  <c r="Y126" i="41"/>
  <c r="AC126" i="41" s="1"/>
  <c r="AD126" i="41" s="1"/>
  <c r="Y137" i="41"/>
  <c r="Y141" i="41"/>
  <c r="Y145" i="41"/>
  <c r="Y149" i="41"/>
  <c r="K13" i="22"/>
  <c r="K17" i="22"/>
  <c r="K19" i="22"/>
  <c r="K21" i="22"/>
  <c r="K23" i="22"/>
  <c r="K25" i="22"/>
  <c r="K43" i="22"/>
  <c r="K44" i="22"/>
  <c r="K45" i="22"/>
  <c r="K46" i="22"/>
  <c r="K52" i="22"/>
  <c r="K53" i="22"/>
  <c r="K54" i="22"/>
  <c r="K55" i="22"/>
  <c r="K56" i="22"/>
  <c r="K57" i="22"/>
  <c r="K58" i="22"/>
  <c r="K16" i="22"/>
  <c r="K18" i="22"/>
  <c r="K20" i="22"/>
  <c r="K22" i="22"/>
  <c r="K24" i="22"/>
  <c r="K26" i="22"/>
  <c r="K30" i="22"/>
  <c r="K72" i="22"/>
  <c r="K74" i="22"/>
  <c r="K86" i="22"/>
  <c r="K90" i="22"/>
  <c r="J98" i="22"/>
  <c r="K98" i="22" s="1"/>
  <c r="K28" i="22"/>
  <c r="K33" i="22"/>
  <c r="K37" i="22"/>
  <c r="K41" i="22"/>
  <c r="K59" i="22"/>
  <c r="K60" i="22"/>
  <c r="K61" i="22"/>
  <c r="K62" i="22"/>
  <c r="K63" i="22"/>
  <c r="K64" i="22"/>
  <c r="K65" i="22"/>
  <c r="K66" i="22"/>
  <c r="K67" i="22"/>
  <c r="K68" i="22"/>
  <c r="K69" i="22"/>
  <c r="K70" i="22"/>
  <c r="K71" i="22"/>
  <c r="K73" i="22"/>
  <c r="K99" i="22"/>
  <c r="K104" i="22"/>
  <c r="K111" i="22"/>
  <c r="K112" i="22"/>
  <c r="K113" i="22"/>
  <c r="K114" i="22"/>
  <c r="K115" i="22"/>
  <c r="K116" i="22"/>
  <c r="K117" i="22"/>
  <c r="K82" i="22"/>
  <c r="K96" i="22"/>
  <c r="K110" i="22"/>
  <c r="K34" i="22"/>
  <c r="K38" i="22"/>
  <c r="K87" i="22"/>
  <c r="K93" i="22"/>
  <c r="K97" i="22"/>
  <c r="K107" i="22"/>
  <c r="K29" i="22"/>
  <c r="K35" i="22"/>
  <c r="K76" i="22"/>
  <c r="K48" i="22"/>
  <c r="K88" i="22"/>
  <c r="K36" i="22"/>
  <c r="K27" i="22"/>
  <c r="K31" i="22"/>
  <c r="K39" i="22"/>
  <c r="K77" i="22"/>
  <c r="K79" i="22"/>
  <c r="K95" i="22"/>
  <c r="K102" i="22"/>
  <c r="K109" i="22"/>
  <c r="K75" i="22"/>
  <c r="K84" i="22"/>
  <c r="K100" i="22"/>
  <c r="K32" i="22"/>
  <c r="K40" i="22"/>
  <c r="K101" i="22"/>
  <c r="K78" i="22"/>
  <c r="K80" i="22"/>
  <c r="M10" i="51"/>
  <c r="J7" i="21"/>
  <c r="AE13" i="41"/>
  <c r="AF7" i="41" s="1"/>
  <c r="O7" i="66" l="1"/>
  <c r="AA45" i="46"/>
  <c r="B53" i="65"/>
  <c r="Y55" i="46"/>
  <c r="N52" i="24"/>
  <c r="O52" i="24" s="1"/>
  <c r="B56" i="48"/>
  <c r="B42" i="46"/>
  <c r="D42" i="46"/>
  <c r="E42" i="46" s="1"/>
  <c r="Q77" i="41"/>
  <c r="Q46" i="41"/>
  <c r="Q66" i="41"/>
  <c r="Q38" i="41"/>
  <c r="Q22" i="41"/>
  <c r="Q112" i="41"/>
  <c r="Q111" i="41"/>
  <c r="Q129" i="41"/>
  <c r="Q149" i="41"/>
  <c r="Q33" i="41"/>
  <c r="Q127" i="41"/>
  <c r="Q17" i="41"/>
  <c r="Q145" i="41"/>
  <c r="Q125" i="41"/>
  <c r="Q36" i="41"/>
  <c r="Q31" i="41"/>
  <c r="Q141" i="41"/>
  <c r="Q65" i="41"/>
  <c r="Q34" i="41"/>
  <c r="Q29" i="41"/>
  <c r="Q150" i="41"/>
  <c r="Q63" i="41"/>
  <c r="Q137" i="41"/>
  <c r="Q148" i="41"/>
  <c r="Q147" i="41"/>
  <c r="Q128" i="41"/>
  <c r="Q60" i="41"/>
  <c r="Q32" i="41"/>
  <c r="Q16" i="41"/>
  <c r="Q8" i="41"/>
  <c r="Q27" i="41"/>
  <c r="Q9" i="41"/>
  <c r="Q146" i="41"/>
  <c r="Q44" i="41"/>
  <c r="Q82" i="41"/>
  <c r="Q144" i="41"/>
  <c r="Q143" i="41"/>
  <c r="Q126" i="41"/>
  <c r="Q58" i="41"/>
  <c r="Q30" i="41"/>
  <c r="Q10" i="41"/>
  <c r="Q41" i="41"/>
  <c r="Q25" i="41"/>
  <c r="Q101" i="41"/>
  <c r="Q142" i="41"/>
  <c r="Q78" i="41"/>
  <c r="Q76" i="41"/>
  <c r="Q140" i="41"/>
  <c r="Q139" i="41"/>
  <c r="Q124" i="41"/>
  <c r="Q56" i="41"/>
  <c r="Q28" i="41"/>
  <c r="Q117" i="41"/>
  <c r="Q39" i="41"/>
  <c r="Q23" i="41"/>
  <c r="Q105" i="41"/>
  <c r="Q53" i="41"/>
  <c r="Q11" i="41"/>
  <c r="Q138" i="41"/>
  <c r="Q72" i="41"/>
  <c r="Q59" i="41"/>
  <c r="Q114" i="41"/>
  <c r="Q67" i="41"/>
  <c r="Q70" i="41"/>
  <c r="Q54" i="41"/>
  <c r="Q26" i="41"/>
  <c r="Q115" i="41"/>
  <c r="Q37" i="41"/>
  <c r="Q21" i="41"/>
  <c r="Q87" i="41"/>
  <c r="Q104" i="41"/>
  <c r="Q123" i="41"/>
  <c r="Q69" i="41"/>
  <c r="Q64" i="41"/>
  <c r="Q20" i="41"/>
  <c r="Q102" i="41"/>
  <c r="Q45" i="41"/>
  <c r="Q80" i="41"/>
  <c r="Q57" i="41"/>
  <c r="Q62" i="41"/>
  <c r="Q18" i="41"/>
  <c r="Q43" i="41"/>
  <c r="Q116" i="41"/>
  <c r="Q61" i="41"/>
  <c r="Q130" i="41"/>
  <c r="Q55" i="41"/>
  <c r="Q131" i="41"/>
  <c r="Q68" i="41"/>
  <c r="Q40" i="41"/>
  <c r="Q24" i="41"/>
  <c r="Q113" i="41"/>
  <c r="Q35" i="41"/>
  <c r="Q19" i="41"/>
  <c r="Q79" i="41"/>
  <c r="V42" i="46"/>
  <c r="W42" i="46" s="1"/>
  <c r="R42" i="46"/>
  <c r="H42" i="46"/>
  <c r="P42" i="46"/>
  <c r="F42" i="46"/>
  <c r="T42" i="46"/>
  <c r="U42" i="46" s="1"/>
  <c r="N42" i="46"/>
  <c r="O42" i="46" s="1"/>
  <c r="Y116" i="48"/>
  <c r="Y35" i="48"/>
  <c r="Y13" i="48"/>
  <c r="Y7" i="40"/>
  <c r="Y97" i="48"/>
  <c r="Y99" i="48"/>
  <c r="Y75" i="48"/>
  <c r="Y114" i="48"/>
  <c r="Y93" i="48"/>
  <c r="Y30" i="48"/>
  <c r="Y113" i="48"/>
  <c r="Y73" i="48"/>
  <c r="Y29" i="48"/>
  <c r="Y52" i="48"/>
  <c r="Y63" i="48"/>
  <c r="Y22" i="48"/>
  <c r="Y41" i="48"/>
  <c r="Y61" i="48"/>
  <c r="Y21" i="48"/>
  <c r="Y87" i="48"/>
  <c r="Y36" i="48"/>
  <c r="Y74" i="48"/>
  <c r="Y34" i="48"/>
  <c r="Y112" i="48"/>
  <c r="Y31" i="48"/>
  <c r="Y37" i="48"/>
  <c r="Y70" i="48"/>
  <c r="Y115" i="48"/>
  <c r="Y45" i="48"/>
  <c r="Y59" i="48"/>
  <c r="Y32" i="48"/>
  <c r="Y72" i="48"/>
  <c r="Y28" i="48"/>
  <c r="Y20" i="48"/>
  <c r="Y111" i="48"/>
  <c r="Y88" i="48"/>
  <c r="Y33" i="48"/>
  <c r="Y66" i="48"/>
  <c r="Y48" i="48"/>
  <c r="Y43" i="48"/>
  <c r="Y57" i="48"/>
  <c r="Y109" i="48"/>
  <c r="Y80" i="48"/>
  <c r="Y27" i="48"/>
  <c r="Y19" i="48"/>
  <c r="Y86" i="48"/>
  <c r="Y68" i="48"/>
  <c r="Y100" i="48"/>
  <c r="Y62" i="48"/>
  <c r="Y107" i="48"/>
  <c r="Y71" i="48"/>
  <c r="Y55" i="48"/>
  <c r="Y95" i="48"/>
  <c r="Y79" i="48"/>
  <c r="Y26" i="48"/>
  <c r="Y18" i="48"/>
  <c r="Y82" i="48"/>
  <c r="Y64" i="48"/>
  <c r="X98" i="48"/>
  <c r="Y98" i="48" s="1"/>
  <c r="Y58" i="48"/>
  <c r="Y104" i="48"/>
  <c r="Y69" i="48"/>
  <c r="Y53" i="48"/>
  <c r="Y110" i="48"/>
  <c r="Y78" i="48"/>
  <c r="Y25" i="48"/>
  <c r="Y17" i="48"/>
  <c r="Y46" i="48"/>
  <c r="Y60" i="48"/>
  <c r="Y117" i="48"/>
  <c r="Y54" i="48"/>
  <c r="Y102" i="48"/>
  <c r="Y67" i="48"/>
  <c r="Y40" i="48"/>
  <c r="Y96" i="48"/>
  <c r="Y77" i="48"/>
  <c r="Y24" i="48"/>
  <c r="Y16" i="48"/>
  <c r="AE10" i="34"/>
  <c r="AE38" i="34" s="1"/>
  <c r="Y44" i="48"/>
  <c r="Y56" i="48"/>
  <c r="Y90" i="48"/>
  <c r="Y39" i="48"/>
  <c r="Y101" i="48"/>
  <c r="Y65" i="48"/>
  <c r="Y38" i="48"/>
  <c r="Y84" i="48"/>
  <c r="Y76" i="48"/>
  <c r="Y23" i="48"/>
  <c r="C52" i="16"/>
  <c r="X42" i="16"/>
  <c r="BB128" i="43"/>
  <c r="BB129" i="43" s="1"/>
  <c r="T42" i="16"/>
  <c r="AX128" i="43"/>
  <c r="V42" i="16"/>
  <c r="AZ128" i="43"/>
  <c r="Z52" i="16"/>
  <c r="AA52" i="16" s="1"/>
  <c r="N121" i="40"/>
  <c r="K11" i="21"/>
  <c r="K17" i="21"/>
  <c r="K18" i="21"/>
  <c r="K29" i="21"/>
  <c r="K30" i="21"/>
  <c r="K31" i="21"/>
  <c r="K20" i="21"/>
  <c r="K21" i="21"/>
  <c r="K22" i="21"/>
  <c r="K23" i="21"/>
  <c r="K24" i="21"/>
  <c r="K25" i="21"/>
  <c r="K33" i="21"/>
  <c r="K38" i="21"/>
  <c r="K19" i="21"/>
  <c r="AD123" i="41"/>
  <c r="AC131" i="41"/>
  <c r="T24" i="34"/>
  <c r="S54" i="34"/>
  <c r="T13" i="34"/>
  <c r="Y10" i="34"/>
  <c r="T22" i="34"/>
  <c r="T26" i="34"/>
  <c r="S47" i="34"/>
  <c r="S258" i="34" s="1"/>
  <c r="T23" i="34"/>
  <c r="T14" i="34"/>
  <c r="T16" i="34"/>
  <c r="T10" i="34"/>
  <c r="T25" i="34"/>
  <c r="H10" i="51"/>
  <c r="H21" i="51"/>
  <c r="H37" i="51"/>
  <c r="H24" i="51"/>
  <c r="G47" i="51"/>
  <c r="H27" i="51"/>
  <c r="H13" i="51"/>
  <c r="H22" i="51"/>
  <c r="H25" i="51"/>
  <c r="H14" i="51"/>
  <c r="H16" i="51"/>
  <c r="H23" i="51"/>
  <c r="G54" i="51"/>
  <c r="H26" i="51"/>
  <c r="I13" i="41"/>
  <c r="I76" i="41"/>
  <c r="I78" i="41"/>
  <c r="I80" i="41"/>
  <c r="I104" i="41"/>
  <c r="I9" i="41"/>
  <c r="I102" i="41"/>
  <c r="I44" i="41"/>
  <c r="I46" i="41"/>
  <c r="I8" i="41"/>
  <c r="I11" i="41"/>
  <c r="I16" i="41"/>
  <c r="I18" i="41"/>
  <c r="I20" i="41"/>
  <c r="I22" i="41"/>
  <c r="I24" i="41"/>
  <c r="I26" i="41"/>
  <c r="I28" i="41"/>
  <c r="I30" i="41"/>
  <c r="I32" i="41"/>
  <c r="I34" i="41"/>
  <c r="I36" i="41"/>
  <c r="I38" i="41"/>
  <c r="I40" i="41"/>
  <c r="I101" i="41"/>
  <c r="I112" i="41"/>
  <c r="I114" i="41"/>
  <c r="I116" i="41"/>
  <c r="I10" i="41"/>
  <c r="I17" i="41"/>
  <c r="I19" i="41"/>
  <c r="I21" i="41"/>
  <c r="I23" i="41"/>
  <c r="I25" i="41"/>
  <c r="I27" i="41"/>
  <c r="I29" i="41"/>
  <c r="I31" i="41"/>
  <c r="I33" i="41"/>
  <c r="I35" i="41"/>
  <c r="I37" i="41"/>
  <c r="I39" i="41"/>
  <c r="I41" i="41"/>
  <c r="I53" i="41"/>
  <c r="I55" i="41"/>
  <c r="I57" i="41"/>
  <c r="I59" i="41"/>
  <c r="I61" i="41"/>
  <c r="I63" i="41"/>
  <c r="I65" i="41"/>
  <c r="I67" i="41"/>
  <c r="I69" i="41"/>
  <c r="I72" i="41"/>
  <c r="I82" i="41"/>
  <c r="I123" i="41"/>
  <c r="I125" i="41"/>
  <c r="I127" i="41"/>
  <c r="I129" i="41"/>
  <c r="I45" i="41"/>
  <c r="I60" i="41"/>
  <c r="I77" i="41"/>
  <c r="I124" i="41"/>
  <c r="I128" i="41"/>
  <c r="I130" i="41"/>
  <c r="I157" i="41"/>
  <c r="I159" i="41"/>
  <c r="I62" i="41"/>
  <c r="I79" i="41"/>
  <c r="I137" i="41"/>
  <c r="I141" i="41"/>
  <c r="I145" i="41"/>
  <c r="I149" i="41"/>
  <c r="I165" i="41"/>
  <c r="I167" i="41"/>
  <c r="I169" i="41"/>
  <c r="I64" i="41"/>
  <c r="I105" i="41"/>
  <c r="I66" i="41"/>
  <c r="I113" i="41"/>
  <c r="I117" i="41"/>
  <c r="I138" i="41"/>
  <c r="I142" i="41"/>
  <c r="I146" i="41"/>
  <c r="I150" i="41"/>
  <c r="I68" i="41"/>
  <c r="I126" i="41"/>
  <c r="I131" i="41"/>
  <c r="I158" i="41"/>
  <c r="I160" i="41"/>
  <c r="I43" i="41"/>
  <c r="I54" i="41"/>
  <c r="I70" i="41"/>
  <c r="I139" i="41"/>
  <c r="I143" i="41"/>
  <c r="I147" i="41"/>
  <c r="I161" i="41"/>
  <c r="I166" i="41"/>
  <c r="I168" i="41"/>
  <c r="I56" i="41"/>
  <c r="I87" i="41"/>
  <c r="I58" i="41"/>
  <c r="I111" i="41"/>
  <c r="I115" i="41"/>
  <c r="I140" i="41"/>
  <c r="I144" i="41"/>
  <c r="I148" i="41"/>
  <c r="C19" i="40"/>
  <c r="C27" i="40"/>
  <c r="C35" i="40"/>
  <c r="C43" i="40"/>
  <c r="C54" i="40"/>
  <c r="C62" i="40"/>
  <c r="C70" i="40"/>
  <c r="C72" i="40"/>
  <c r="C80" i="40"/>
  <c r="C22" i="40"/>
  <c r="C30" i="40"/>
  <c r="C38" i="40"/>
  <c r="C46" i="40"/>
  <c r="C57" i="40"/>
  <c r="C65" i="40"/>
  <c r="C87" i="40"/>
  <c r="B98" i="40"/>
  <c r="H98" i="40" s="1"/>
  <c r="C113" i="40"/>
  <c r="C17" i="40"/>
  <c r="C25" i="40"/>
  <c r="C33" i="40"/>
  <c r="C41" i="40"/>
  <c r="C60" i="40"/>
  <c r="C68" i="40"/>
  <c r="C78" i="40"/>
  <c r="C116" i="40"/>
  <c r="H13" i="40"/>
  <c r="I7" i="40" s="1"/>
  <c r="C20" i="40"/>
  <c r="C28" i="40"/>
  <c r="C36" i="40"/>
  <c r="C44" i="40"/>
  <c r="C23" i="40"/>
  <c r="C31" i="40"/>
  <c r="C39" i="40"/>
  <c r="C18" i="40"/>
  <c r="C26" i="40"/>
  <c r="C9" i="40"/>
  <c r="C21" i="40"/>
  <c r="C29" i="40"/>
  <c r="C37" i="40"/>
  <c r="C45" i="40"/>
  <c r="C56" i="40"/>
  <c r="C64" i="40"/>
  <c r="C16" i="40"/>
  <c r="C24" i="40"/>
  <c r="C32" i="40"/>
  <c r="C40" i="40"/>
  <c r="C59" i="40"/>
  <c r="C67" i="40"/>
  <c r="C77" i="40"/>
  <c r="C102" i="40"/>
  <c r="C115" i="40"/>
  <c r="C58" i="40"/>
  <c r="B120" i="40"/>
  <c r="F121" i="40" s="1"/>
  <c r="C66" i="40"/>
  <c r="C79" i="40"/>
  <c r="C61" i="40"/>
  <c r="C71" i="40"/>
  <c r="C114" i="40"/>
  <c r="C111" i="40"/>
  <c r="C53" i="40"/>
  <c r="C34" i="40"/>
  <c r="C55" i="40"/>
  <c r="C112" i="40"/>
  <c r="C69" i="40"/>
  <c r="C117" i="40"/>
  <c r="C63" i="40"/>
  <c r="C104" i="40"/>
  <c r="C82" i="40"/>
  <c r="C76" i="40"/>
  <c r="C101" i="40"/>
  <c r="R42" i="16"/>
  <c r="AV128" i="43"/>
  <c r="AA12" i="4"/>
  <c r="AA13" i="4"/>
  <c r="AA16" i="4"/>
  <c r="AA17" i="4"/>
  <c r="AA18" i="4"/>
  <c r="AA19" i="4"/>
  <c r="AA20" i="4"/>
  <c r="AA21" i="4"/>
  <c r="AA22" i="4"/>
  <c r="AA23" i="4"/>
  <c r="AA24" i="4"/>
  <c r="AA25" i="4"/>
  <c r="AA26" i="4"/>
  <c r="AA27" i="4"/>
  <c r="AA28" i="4"/>
  <c r="AA29" i="4"/>
  <c r="AA30" i="4"/>
  <c r="AA31" i="4"/>
  <c r="AA32" i="4"/>
  <c r="AA33" i="4"/>
  <c r="AA34" i="4"/>
  <c r="AA35" i="4"/>
  <c r="AA36" i="4"/>
  <c r="AA37" i="4"/>
  <c r="AA38" i="4"/>
  <c r="AA39" i="4"/>
  <c r="AA40" i="4"/>
  <c r="AA41" i="4"/>
  <c r="AA52" i="4"/>
  <c r="AA53" i="4"/>
  <c r="AA54" i="4"/>
  <c r="AA55" i="4"/>
  <c r="AA56" i="4"/>
  <c r="AA57" i="4"/>
  <c r="AA58" i="4"/>
  <c r="AA11" i="4"/>
  <c r="AA44" i="4"/>
  <c r="AA46" i="4"/>
  <c r="AA84" i="4"/>
  <c r="AA59" i="4"/>
  <c r="AA60" i="4"/>
  <c r="AA61" i="4"/>
  <c r="AA62" i="4"/>
  <c r="AA63" i="4"/>
  <c r="AA64" i="4"/>
  <c r="AA65" i="4"/>
  <c r="AA66" i="4"/>
  <c r="AA67" i="4"/>
  <c r="AA68" i="4"/>
  <c r="AA69" i="4"/>
  <c r="AA70" i="4"/>
  <c r="AA71" i="4"/>
  <c r="AA72" i="4"/>
  <c r="AA87" i="4"/>
  <c r="AA8" i="4"/>
  <c r="AA43" i="4"/>
  <c r="AA45" i="4"/>
  <c r="AA9" i="4"/>
  <c r="AA10" i="4"/>
  <c r="AA48" i="4"/>
  <c r="AA76" i="4"/>
  <c r="AA78" i="4"/>
  <c r="AA80" i="4"/>
  <c r="AA75" i="4"/>
  <c r="AA77" i="4"/>
  <c r="AA79" i="4"/>
  <c r="AA73" i="4"/>
  <c r="AA82" i="4"/>
  <c r="AA88" i="4"/>
  <c r="O11" i="21"/>
  <c r="O18" i="21"/>
  <c r="O29" i="21"/>
  <c r="O30" i="21"/>
  <c r="O31" i="21"/>
  <c r="O17" i="21"/>
  <c r="O20" i="21"/>
  <c r="O21" i="21"/>
  <c r="O22" i="21"/>
  <c r="O23" i="21"/>
  <c r="O24" i="21"/>
  <c r="O25" i="21"/>
  <c r="O33" i="21"/>
  <c r="O38" i="21"/>
  <c r="O19" i="21"/>
  <c r="I11" i="21"/>
  <c r="I17" i="21"/>
  <c r="I18" i="21"/>
  <c r="I20" i="21"/>
  <c r="I21" i="21"/>
  <c r="I22" i="21"/>
  <c r="I23" i="21"/>
  <c r="I24" i="21"/>
  <c r="I25" i="21"/>
  <c r="I33" i="21"/>
  <c r="I38" i="21"/>
  <c r="I19" i="21"/>
  <c r="I29" i="21"/>
  <c r="I30" i="21"/>
  <c r="I31" i="21"/>
  <c r="F42" i="16"/>
  <c r="B42" i="16"/>
  <c r="L23" i="51"/>
  <c r="K54" i="51"/>
  <c r="L14" i="51"/>
  <c r="L26" i="51"/>
  <c r="L37" i="51"/>
  <c r="K38" i="51"/>
  <c r="L21" i="51"/>
  <c r="Q10" i="51"/>
  <c r="L22" i="51"/>
  <c r="L10" i="51"/>
  <c r="L25" i="51"/>
  <c r="L24" i="51"/>
  <c r="K47" i="51"/>
  <c r="L27" i="51"/>
  <c r="L16" i="51"/>
  <c r="L13" i="51"/>
  <c r="Q13" i="41"/>
  <c r="P42" i="16"/>
  <c r="AT128" i="43"/>
  <c r="E20" i="21"/>
  <c r="E21" i="21"/>
  <c r="E22" i="21"/>
  <c r="E23" i="21"/>
  <c r="E24" i="21"/>
  <c r="E25" i="21"/>
  <c r="E33" i="21"/>
  <c r="E38" i="21"/>
  <c r="E17" i="21"/>
  <c r="E19" i="21"/>
  <c r="E29" i="21"/>
  <c r="E30" i="21"/>
  <c r="E31" i="21"/>
  <c r="E11" i="21"/>
  <c r="E18" i="21"/>
  <c r="C52" i="24"/>
  <c r="Z52" i="24"/>
  <c r="AA52" i="24" s="1"/>
  <c r="P22" i="34"/>
  <c r="P10" i="34"/>
  <c r="P25" i="34"/>
  <c r="Q10" i="34"/>
  <c r="P14" i="34"/>
  <c r="P24" i="34"/>
  <c r="O54" i="34"/>
  <c r="P13" i="34"/>
  <c r="P26" i="34"/>
  <c r="P16" i="34"/>
  <c r="P23" i="34"/>
  <c r="AA9" i="24"/>
  <c r="AA13" i="24"/>
  <c r="AA16" i="24"/>
  <c r="AA17" i="24"/>
  <c r="AA18" i="24"/>
  <c r="AA19" i="24"/>
  <c r="AA20" i="24"/>
  <c r="AA21" i="24"/>
  <c r="AA22" i="24"/>
  <c r="AA23" i="24"/>
  <c r="AA24" i="24"/>
  <c r="AA26" i="24"/>
  <c r="AA30" i="24"/>
  <c r="AA34" i="24"/>
  <c r="AA38" i="24"/>
  <c r="AA44" i="24"/>
  <c r="AA45" i="24"/>
  <c r="AA46" i="24"/>
  <c r="AA25" i="24"/>
  <c r="AA29" i="24"/>
  <c r="AA33" i="24"/>
  <c r="AA37" i="24"/>
  <c r="AA41" i="24"/>
  <c r="AA43" i="24"/>
  <c r="AA28" i="24"/>
  <c r="AA32" i="24"/>
  <c r="AA36" i="24"/>
  <c r="AA40" i="24"/>
  <c r="AA27" i="24"/>
  <c r="AA31" i="24"/>
  <c r="AA35" i="24"/>
  <c r="AA39" i="24"/>
  <c r="AA48" i="24"/>
  <c r="P98" i="40"/>
  <c r="F10" i="51"/>
  <c r="F24" i="51"/>
  <c r="E47" i="51"/>
  <c r="F27" i="51"/>
  <c r="F22" i="51"/>
  <c r="F23" i="51"/>
  <c r="E54" i="51"/>
  <c r="F25" i="51"/>
  <c r="F14" i="51"/>
  <c r="F21" i="51"/>
  <c r="F16" i="51"/>
  <c r="F13" i="51"/>
  <c r="F26" i="51"/>
  <c r="F37" i="51"/>
  <c r="X26" i="34"/>
  <c r="X10" i="34"/>
  <c r="W47" i="34"/>
  <c r="W258" i="34" s="1"/>
  <c r="X24" i="34"/>
  <c r="W54" i="34"/>
  <c r="X14" i="34"/>
  <c r="X16" i="34"/>
  <c r="X23" i="34"/>
  <c r="X25" i="34"/>
  <c r="X22" i="34"/>
  <c r="X13" i="34"/>
  <c r="AC117" i="41"/>
  <c r="AD111" i="41"/>
  <c r="G20" i="21"/>
  <c r="G21" i="21"/>
  <c r="G22" i="21"/>
  <c r="G23" i="21"/>
  <c r="G24" i="21"/>
  <c r="G25" i="21"/>
  <c r="G33" i="21"/>
  <c r="G38" i="21"/>
  <c r="G17" i="21"/>
  <c r="G19" i="21"/>
  <c r="G29" i="21"/>
  <c r="G30" i="21"/>
  <c r="G31" i="21"/>
  <c r="G11" i="21"/>
  <c r="G18" i="21"/>
  <c r="AA11" i="48"/>
  <c r="AA13" i="48"/>
  <c r="AA10" i="48"/>
  <c r="AA17" i="48"/>
  <c r="AA21" i="48"/>
  <c r="AA25" i="48"/>
  <c r="AA29" i="48"/>
  <c r="AA16" i="48"/>
  <c r="AA20" i="48"/>
  <c r="AA24" i="48"/>
  <c r="AA28" i="48"/>
  <c r="AA76" i="48"/>
  <c r="AA77" i="48"/>
  <c r="AA78" i="48"/>
  <c r="AA79" i="48"/>
  <c r="AA31" i="48"/>
  <c r="AA44" i="48"/>
  <c r="AA46" i="48"/>
  <c r="AA82" i="48"/>
  <c r="AA112" i="48"/>
  <c r="AA113" i="48"/>
  <c r="AA114" i="48"/>
  <c r="AA115" i="48"/>
  <c r="AA116" i="48"/>
  <c r="AD13" i="48"/>
  <c r="AA18" i="48"/>
  <c r="AA26" i="48"/>
  <c r="AA8" i="48"/>
  <c r="AA19" i="48"/>
  <c r="AA27" i="48"/>
  <c r="AA32" i="48"/>
  <c r="AA34" i="48"/>
  <c r="AA36" i="48"/>
  <c r="AA38" i="48"/>
  <c r="AA40" i="48"/>
  <c r="AA55" i="48"/>
  <c r="AA57" i="48"/>
  <c r="AA59" i="48"/>
  <c r="AA61" i="48"/>
  <c r="AA63" i="48"/>
  <c r="AA65" i="48"/>
  <c r="AA67" i="48"/>
  <c r="AA69" i="48"/>
  <c r="AA9" i="48"/>
  <c r="AA45" i="48"/>
  <c r="AA101" i="48"/>
  <c r="AA104" i="48"/>
  <c r="AA30" i="48"/>
  <c r="AA43" i="48"/>
  <c r="AA102" i="48"/>
  <c r="AA80" i="48"/>
  <c r="Z98" i="48"/>
  <c r="AA41" i="48"/>
  <c r="AA58" i="48"/>
  <c r="AA68" i="48"/>
  <c r="AA70" i="48"/>
  <c r="AA33" i="48"/>
  <c r="AA22" i="48"/>
  <c r="AA35" i="48"/>
  <c r="AA23" i="48"/>
  <c r="AA37" i="48"/>
  <c r="AA60" i="48"/>
  <c r="AA39" i="48"/>
  <c r="AA62" i="48"/>
  <c r="AA64" i="48"/>
  <c r="AA66" i="48"/>
  <c r="M11" i="21"/>
  <c r="M17" i="21"/>
  <c r="M18" i="21"/>
  <c r="M29" i="21"/>
  <c r="M30" i="21"/>
  <c r="M31" i="21"/>
  <c r="M20" i="21"/>
  <c r="M21" i="21"/>
  <c r="M22" i="21"/>
  <c r="M23" i="21"/>
  <c r="M24" i="21"/>
  <c r="M25" i="21"/>
  <c r="M33" i="21"/>
  <c r="M38" i="21"/>
  <c r="M19" i="21"/>
  <c r="D42" i="16"/>
  <c r="N42" i="16"/>
  <c r="AR128" i="43"/>
  <c r="AF9" i="22"/>
  <c r="AD7" i="22"/>
  <c r="Z13" i="22"/>
  <c r="AA7" i="22" s="1"/>
  <c r="P13" i="51"/>
  <c r="P10" i="51"/>
  <c r="P16" i="51"/>
  <c r="P25" i="51"/>
  <c r="P23" i="51"/>
  <c r="O54" i="51"/>
  <c r="P24" i="51"/>
  <c r="O47" i="51"/>
  <c r="P26" i="51"/>
  <c r="P37" i="51"/>
  <c r="P22" i="51"/>
  <c r="P14" i="51"/>
  <c r="O38" i="51"/>
  <c r="P21" i="51"/>
  <c r="P27" i="51"/>
  <c r="Y10" i="40"/>
  <c r="Y16" i="40"/>
  <c r="Y24" i="40"/>
  <c r="Y32" i="40"/>
  <c r="Y40" i="40"/>
  <c r="Y59" i="40"/>
  <c r="Y67" i="40"/>
  <c r="Y77" i="40"/>
  <c r="Y102" i="40"/>
  <c r="Y115" i="40"/>
  <c r="Y19" i="40"/>
  <c r="Y27" i="40"/>
  <c r="Y35" i="40"/>
  <c r="Y43" i="40"/>
  <c r="Y54" i="40"/>
  <c r="Y62" i="40"/>
  <c r="Y70" i="40"/>
  <c r="Y72" i="40"/>
  <c r="Y80" i="40"/>
  <c r="Y9" i="40"/>
  <c r="Y22" i="40"/>
  <c r="Y30" i="40"/>
  <c r="Y38" i="40"/>
  <c r="Y46" i="40"/>
  <c r="Y57" i="40"/>
  <c r="Y65" i="40"/>
  <c r="Y87" i="40"/>
  <c r="Y113" i="40"/>
  <c r="Y17" i="40"/>
  <c r="Y25" i="40"/>
  <c r="Y33" i="40"/>
  <c r="Y41" i="40"/>
  <c r="Y8" i="40"/>
  <c r="Y20" i="40"/>
  <c r="Y28" i="40"/>
  <c r="Y36" i="40"/>
  <c r="Y44" i="40"/>
  <c r="Y11" i="40"/>
  <c r="Y23" i="40"/>
  <c r="Y31" i="40"/>
  <c r="Y18" i="40"/>
  <c r="Y26" i="40"/>
  <c r="Y34" i="40"/>
  <c r="Y53" i="40"/>
  <c r="Y61" i="40"/>
  <c r="Y69" i="40"/>
  <c r="Y79" i="40"/>
  <c r="Y21" i="40"/>
  <c r="Y29" i="40"/>
  <c r="Y37" i="40"/>
  <c r="Y45" i="40"/>
  <c r="Y56" i="40"/>
  <c r="Y64" i="40"/>
  <c r="Y82" i="40"/>
  <c r="Y112" i="40"/>
  <c r="Y63" i="40"/>
  <c r="Y76" i="40"/>
  <c r="Y111" i="40"/>
  <c r="X120" i="40"/>
  <c r="X121" i="40" s="1"/>
  <c r="Y101" i="40"/>
  <c r="Y104" i="40"/>
  <c r="Y114" i="40"/>
  <c r="Y116" i="40"/>
  <c r="Y66" i="40"/>
  <c r="Y39" i="40"/>
  <c r="Y60" i="40"/>
  <c r="Y117" i="40"/>
  <c r="Y55" i="40"/>
  <c r="Y78" i="40"/>
  <c r="Y58" i="40"/>
  <c r="Y68" i="40"/>
  <c r="AD101" i="41"/>
  <c r="AC134" i="41"/>
  <c r="AD128" i="41"/>
  <c r="AG7" i="40"/>
  <c r="AI9" i="40"/>
  <c r="AC13" i="40"/>
  <c r="AD7" i="40" s="1"/>
  <c r="U47" i="34"/>
  <c r="U258" i="34" s="1"/>
  <c r="V24" i="34"/>
  <c r="U54" i="34"/>
  <c r="V13" i="34"/>
  <c r="V16" i="34"/>
  <c r="V23" i="34"/>
  <c r="V10" i="34"/>
  <c r="V26" i="34"/>
  <c r="V25" i="34"/>
  <c r="V14" i="34"/>
  <c r="V22" i="34"/>
  <c r="Q22" i="40"/>
  <c r="Q30" i="40"/>
  <c r="Q38" i="40"/>
  <c r="Q46" i="40"/>
  <c r="Q57" i="40"/>
  <c r="Q65" i="40"/>
  <c r="Q87" i="40"/>
  <c r="Q113" i="40"/>
  <c r="Q9" i="40"/>
  <c r="Q17" i="40"/>
  <c r="Q25" i="40"/>
  <c r="Q33" i="40"/>
  <c r="Q41" i="40"/>
  <c r="Q60" i="40"/>
  <c r="Q68" i="40"/>
  <c r="Q78" i="40"/>
  <c r="Q116" i="40"/>
  <c r="Q20" i="40"/>
  <c r="Q28" i="40"/>
  <c r="Q36" i="40"/>
  <c r="Q44" i="40"/>
  <c r="Q55" i="40"/>
  <c r="Q63" i="40"/>
  <c r="Q111" i="40"/>
  <c r="P120" i="40"/>
  <c r="Q8" i="40"/>
  <c r="Q23" i="40"/>
  <c r="Q31" i="40"/>
  <c r="Q39" i="40"/>
  <c r="Q11" i="40"/>
  <c r="Q18" i="40"/>
  <c r="Q26" i="40"/>
  <c r="Q34" i="40"/>
  <c r="Q21" i="40"/>
  <c r="Q29" i="40"/>
  <c r="Q16" i="40"/>
  <c r="Q24" i="40"/>
  <c r="Q32" i="40"/>
  <c r="Q40" i="40"/>
  <c r="Q59" i="40"/>
  <c r="Q67" i="40"/>
  <c r="Q77" i="40"/>
  <c r="Q10" i="40"/>
  <c r="Q19" i="40"/>
  <c r="Q27" i="40"/>
  <c r="Q35" i="40"/>
  <c r="Q43" i="40"/>
  <c r="Q54" i="40"/>
  <c r="Q62" i="40"/>
  <c r="Q70" i="40"/>
  <c r="Q72" i="40"/>
  <c r="Q80" i="40"/>
  <c r="Q37" i="40"/>
  <c r="Q69" i="40"/>
  <c r="Q101" i="40"/>
  <c r="Q104" i="40"/>
  <c r="Q114" i="40"/>
  <c r="Q117" i="40"/>
  <c r="Q58" i="40"/>
  <c r="Q82" i="40"/>
  <c r="Q56" i="40"/>
  <c r="Q66" i="40"/>
  <c r="Q79" i="40"/>
  <c r="Q53" i="40"/>
  <c r="Q76" i="40"/>
  <c r="Q112" i="40"/>
  <c r="Q61" i="40"/>
  <c r="Q102" i="40"/>
  <c r="Q115" i="40"/>
  <c r="Q64" i="40"/>
  <c r="Q45" i="40"/>
  <c r="J42" i="16"/>
  <c r="AN128" i="43"/>
  <c r="L42" i="16"/>
  <c r="AP128" i="43"/>
  <c r="Z52" i="22"/>
  <c r="Z72" i="22" s="1"/>
  <c r="C9" i="22"/>
  <c r="C13" i="22"/>
  <c r="C16" i="22"/>
  <c r="C17" i="22"/>
  <c r="C18" i="22"/>
  <c r="C19" i="22"/>
  <c r="C20" i="22"/>
  <c r="C21" i="22"/>
  <c r="C22" i="22"/>
  <c r="C23" i="22"/>
  <c r="C24" i="22"/>
  <c r="C25" i="22"/>
  <c r="C26" i="22"/>
  <c r="C27" i="22"/>
  <c r="C11" i="22"/>
  <c r="C45" i="22"/>
  <c r="C53" i="22"/>
  <c r="C57" i="22"/>
  <c r="B120" i="22"/>
  <c r="F121" i="22" s="1"/>
  <c r="C10" i="22"/>
  <c r="C32" i="22"/>
  <c r="C36" i="22"/>
  <c r="C40" i="22"/>
  <c r="C76" i="22"/>
  <c r="C77" i="22"/>
  <c r="C78" i="22"/>
  <c r="C79" i="22"/>
  <c r="C80" i="22"/>
  <c r="C101" i="22"/>
  <c r="C102" i="22"/>
  <c r="C44" i="22"/>
  <c r="C56" i="22"/>
  <c r="B98" i="22"/>
  <c r="C8" i="22"/>
  <c r="C28" i="22"/>
  <c r="C30" i="22"/>
  <c r="C33" i="22"/>
  <c r="C37" i="22"/>
  <c r="C41" i="22"/>
  <c r="C55" i="22"/>
  <c r="C72" i="22"/>
  <c r="C38" i="22"/>
  <c r="C60" i="22"/>
  <c r="C62" i="22"/>
  <c r="C64" i="22"/>
  <c r="C66" i="22"/>
  <c r="C68" i="22"/>
  <c r="C70" i="22"/>
  <c r="C58" i="22"/>
  <c r="C31" i="22"/>
  <c r="C39" i="22"/>
  <c r="C87" i="22"/>
  <c r="C43" i="22"/>
  <c r="C34" i="22"/>
  <c r="C59" i="22"/>
  <c r="C61" i="22"/>
  <c r="C63" i="22"/>
  <c r="C65" i="22"/>
  <c r="C67" i="22"/>
  <c r="C69" i="22"/>
  <c r="C71" i="22"/>
  <c r="C112" i="22"/>
  <c r="C114" i="22"/>
  <c r="C116" i="22"/>
  <c r="C46" i="22"/>
  <c r="C54" i="22"/>
  <c r="C82" i="22"/>
  <c r="C29" i="22"/>
  <c r="C35" i="22"/>
  <c r="C111" i="22"/>
  <c r="C113" i="22"/>
  <c r="C115" i="22"/>
  <c r="C104" i="22"/>
  <c r="C117" i="22"/>
  <c r="B7" i="21"/>
  <c r="C10" i="51"/>
  <c r="AB14" i="34"/>
  <c r="AB16" i="34"/>
  <c r="AB23" i="34"/>
  <c r="AB26" i="34"/>
  <c r="AB22" i="34"/>
  <c r="AB25" i="34"/>
  <c r="AB13" i="34"/>
  <c r="AB10" i="34"/>
  <c r="AB24" i="34"/>
  <c r="AA47" i="34"/>
  <c r="AA258" i="34" s="1"/>
  <c r="AA54" i="34"/>
  <c r="N13" i="51"/>
  <c r="N23" i="51"/>
  <c r="M54" i="51"/>
  <c r="N14" i="51"/>
  <c r="N26" i="51"/>
  <c r="N37" i="51"/>
  <c r="M38" i="51"/>
  <c r="N27" i="51"/>
  <c r="N10" i="51"/>
  <c r="N22" i="51"/>
  <c r="N25" i="51"/>
  <c r="N21" i="51"/>
  <c r="N24" i="51"/>
  <c r="M47" i="51"/>
  <c r="N16" i="51"/>
  <c r="AF12" i="41"/>
  <c r="AF73" i="41"/>
  <c r="AF76" i="41"/>
  <c r="AF78" i="41"/>
  <c r="AF80" i="41"/>
  <c r="AF88" i="41"/>
  <c r="AF10" i="41"/>
  <c r="AF44" i="41"/>
  <c r="AF46" i="41"/>
  <c r="AF16" i="41"/>
  <c r="AF18" i="41"/>
  <c r="AF20" i="41"/>
  <c r="AF22" i="41"/>
  <c r="AF24" i="41"/>
  <c r="AF26" i="41"/>
  <c r="AF28" i="41"/>
  <c r="AF30" i="41"/>
  <c r="AF32" i="41"/>
  <c r="AF34" i="41"/>
  <c r="AF36" i="41"/>
  <c r="AF38" i="41"/>
  <c r="AF40" i="41"/>
  <c r="AF48" i="41"/>
  <c r="AF9" i="41"/>
  <c r="AF8" i="41"/>
  <c r="AF11" i="41"/>
  <c r="AF13" i="41"/>
  <c r="AF17" i="41"/>
  <c r="AF19" i="41"/>
  <c r="AF21" i="41"/>
  <c r="AF23" i="41"/>
  <c r="AF25" i="41"/>
  <c r="AF27" i="41"/>
  <c r="AF29" i="41"/>
  <c r="AF31" i="41"/>
  <c r="AF33" i="41"/>
  <c r="AF35" i="41"/>
  <c r="AF37" i="41"/>
  <c r="AF39" i="41"/>
  <c r="AF41" i="41"/>
  <c r="AF53" i="41"/>
  <c r="AF55" i="41"/>
  <c r="AF57" i="41"/>
  <c r="AF59" i="41"/>
  <c r="AF61" i="41"/>
  <c r="AF63" i="41"/>
  <c r="AF65" i="41"/>
  <c r="AF67" i="41"/>
  <c r="AF69" i="41"/>
  <c r="AF72" i="41"/>
  <c r="AF82" i="41"/>
  <c r="AF54" i="41"/>
  <c r="AF70" i="41"/>
  <c r="AF45" i="41"/>
  <c r="AF56" i="41"/>
  <c r="AF84" i="41"/>
  <c r="AF87" i="41"/>
  <c r="AF58" i="41"/>
  <c r="AF75" i="41"/>
  <c r="AF60" i="41"/>
  <c r="AF71" i="41"/>
  <c r="AF77" i="41"/>
  <c r="AF62" i="41"/>
  <c r="AF79" i="41"/>
  <c r="AF64" i="41"/>
  <c r="AF43" i="41"/>
  <c r="AF66" i="41"/>
  <c r="AF52" i="41"/>
  <c r="AF68" i="41"/>
  <c r="Z52" i="48"/>
  <c r="AD25" i="34"/>
  <c r="AD14" i="34"/>
  <c r="AD16" i="34"/>
  <c r="AD23" i="34"/>
  <c r="AD11" i="34"/>
  <c r="AD13" i="34"/>
  <c r="AD10" i="34"/>
  <c r="AD22" i="34"/>
  <c r="AD26" i="34"/>
  <c r="AD24" i="34"/>
  <c r="AC54" i="34"/>
  <c r="AC47" i="34"/>
  <c r="AC258" i="34" s="1"/>
  <c r="AC262" i="34" s="1"/>
  <c r="H42" i="16"/>
  <c r="T10" i="51"/>
  <c r="T27" i="51"/>
  <c r="Y10" i="51"/>
  <c r="T22" i="51"/>
  <c r="T13" i="51"/>
  <c r="T16" i="51"/>
  <c r="T25" i="51"/>
  <c r="T14" i="51"/>
  <c r="T26" i="51"/>
  <c r="T37" i="51"/>
  <c r="S38" i="51"/>
  <c r="T23" i="51"/>
  <c r="S54" i="51"/>
  <c r="T21" i="51"/>
  <c r="T24" i="51"/>
  <c r="S47" i="51"/>
  <c r="L47" i="16" l="1"/>
  <c r="AP129" i="43"/>
  <c r="V47" i="16"/>
  <c r="AZ129" i="43"/>
  <c r="N47" i="16"/>
  <c r="AR129" i="43"/>
  <c r="P47" i="16"/>
  <c r="AT129" i="43"/>
  <c r="R47" i="16"/>
  <c r="AV129" i="43"/>
  <c r="J47" i="16"/>
  <c r="AN129" i="43"/>
  <c r="T47" i="16"/>
  <c r="AX129" i="43"/>
  <c r="E53" i="65"/>
  <c r="C53" i="65"/>
  <c r="AF23" i="34"/>
  <c r="C56" i="48"/>
  <c r="D56" i="48"/>
  <c r="B47" i="48"/>
  <c r="B105" i="48" s="1"/>
  <c r="J42" i="46"/>
  <c r="C42" i="46"/>
  <c r="L42" i="46"/>
  <c r="M42" i="46" s="1"/>
  <c r="AI261" i="34"/>
  <c r="I42" i="46"/>
  <c r="G42" i="46"/>
  <c r="AF27" i="34"/>
  <c r="AF14" i="34"/>
  <c r="AF25" i="34"/>
  <c r="AE47" i="34"/>
  <c r="AG10" i="34"/>
  <c r="AI10" i="34" s="1"/>
  <c r="AF16" i="34"/>
  <c r="AF10" i="34"/>
  <c r="AF13" i="34"/>
  <c r="AF22" i="34"/>
  <c r="AE54" i="34"/>
  <c r="AF26" i="34"/>
  <c r="AF37" i="34"/>
  <c r="AF21" i="34"/>
  <c r="AF24" i="34"/>
  <c r="P121" i="40"/>
  <c r="S258" i="51"/>
  <c r="S260" i="51"/>
  <c r="K260" i="51"/>
  <c r="K258" i="51"/>
  <c r="M260" i="51"/>
  <c r="M258" i="51"/>
  <c r="O258" i="51"/>
  <c r="O260" i="51"/>
  <c r="E258" i="51"/>
  <c r="E260" i="51"/>
  <c r="G258" i="51"/>
  <c r="G260" i="51"/>
  <c r="X47" i="16"/>
  <c r="X47" i="24" s="1"/>
  <c r="Y47" i="24" s="1"/>
  <c r="W47" i="16"/>
  <c r="V47" i="4"/>
  <c r="V47" i="24"/>
  <c r="W47" i="24" s="1"/>
  <c r="AA47" i="41"/>
  <c r="W42" i="16"/>
  <c r="AA42" i="41"/>
  <c r="V42" i="4"/>
  <c r="V42" i="24"/>
  <c r="V65" i="16"/>
  <c r="V66" i="16" s="1"/>
  <c r="V49" i="16"/>
  <c r="U47" i="16"/>
  <c r="T47" i="4"/>
  <c r="Z47" i="41"/>
  <c r="T47" i="24"/>
  <c r="U47" i="24" s="1"/>
  <c r="U42" i="16"/>
  <c r="T65" i="16"/>
  <c r="T66" i="16" s="1"/>
  <c r="T49" i="16"/>
  <c r="T42" i="4"/>
  <c r="T42" i="24"/>
  <c r="Z42" i="41"/>
  <c r="Y42" i="16"/>
  <c r="AB42" i="41"/>
  <c r="X42" i="4"/>
  <c r="X65" i="16"/>
  <c r="X66" i="16" s="1"/>
  <c r="X42" i="24"/>
  <c r="F42" i="24"/>
  <c r="G42" i="16"/>
  <c r="F42" i="4"/>
  <c r="F42" i="41"/>
  <c r="F65" i="16"/>
  <c r="F66" i="16" s="1"/>
  <c r="AC119" i="41"/>
  <c r="AD117" i="41"/>
  <c r="J47" i="24"/>
  <c r="K47" i="24" s="1"/>
  <c r="K47" i="16"/>
  <c r="J47" i="4"/>
  <c r="L47" i="41"/>
  <c r="M47" i="41" s="1"/>
  <c r="Q119" i="40"/>
  <c r="D42" i="24"/>
  <c r="E42" i="16"/>
  <c r="D42" i="4"/>
  <c r="D42" i="41"/>
  <c r="D65" i="16"/>
  <c r="D66" i="16" s="1"/>
  <c r="S42" i="46"/>
  <c r="Y42" i="46"/>
  <c r="R13" i="34"/>
  <c r="R22" i="34"/>
  <c r="R25" i="34"/>
  <c r="Q47" i="34"/>
  <c r="Q258" i="34" s="1"/>
  <c r="R24" i="34"/>
  <c r="Q54" i="34"/>
  <c r="R14" i="34"/>
  <c r="R26" i="34"/>
  <c r="R10" i="34"/>
  <c r="R16" i="34"/>
  <c r="R23" i="34"/>
  <c r="P47" i="24"/>
  <c r="Q47" i="24" s="1"/>
  <c r="Q47" i="16"/>
  <c r="P47" i="4"/>
  <c r="T47" i="41"/>
  <c r="U47" i="41" s="1"/>
  <c r="Y119" i="40"/>
  <c r="AA9" i="22"/>
  <c r="AA10" i="22"/>
  <c r="AA29" i="22"/>
  <c r="AD13" i="22"/>
  <c r="AA17" i="22"/>
  <c r="AA19" i="22"/>
  <c r="AA21" i="22"/>
  <c r="AA23" i="22"/>
  <c r="AA25" i="22"/>
  <c r="AA28" i="22"/>
  <c r="AA27" i="22"/>
  <c r="AA8" i="22"/>
  <c r="AA31" i="22"/>
  <c r="AA35" i="22"/>
  <c r="AA39" i="22"/>
  <c r="AA76" i="22"/>
  <c r="AA77" i="22"/>
  <c r="AA78" i="22"/>
  <c r="AA79" i="22"/>
  <c r="AA80" i="22"/>
  <c r="AA101" i="22"/>
  <c r="AA102" i="22"/>
  <c r="AA22" i="22"/>
  <c r="AA43" i="22"/>
  <c r="AA55" i="22"/>
  <c r="AA11" i="22"/>
  <c r="AA16" i="22"/>
  <c r="AA30" i="22"/>
  <c r="AA34" i="22"/>
  <c r="AA38" i="22"/>
  <c r="AA87" i="22"/>
  <c r="AA13" i="22"/>
  <c r="AA18" i="22"/>
  <c r="AA44" i="22"/>
  <c r="AA56" i="22"/>
  <c r="AA37" i="22"/>
  <c r="AA59" i="22"/>
  <c r="AA61" i="22"/>
  <c r="AA63" i="22"/>
  <c r="AA65" i="22"/>
  <c r="AA67" i="22"/>
  <c r="AA69" i="22"/>
  <c r="AA112" i="22"/>
  <c r="AA114" i="22"/>
  <c r="AA116" i="22"/>
  <c r="AA57" i="22"/>
  <c r="AA24" i="22"/>
  <c r="AA32" i="22"/>
  <c r="AA40" i="22"/>
  <c r="Z98" i="22"/>
  <c r="AA20" i="22"/>
  <c r="AA26" i="22"/>
  <c r="AA33" i="22"/>
  <c r="AA41" i="22"/>
  <c r="AA58" i="22"/>
  <c r="AA60" i="22"/>
  <c r="AA62" i="22"/>
  <c r="AA64" i="22"/>
  <c r="AA66" i="22"/>
  <c r="AA68" i="22"/>
  <c r="AA70" i="22"/>
  <c r="AA104" i="22"/>
  <c r="AA111" i="22"/>
  <c r="AA113" i="22"/>
  <c r="AA115" i="22"/>
  <c r="AA117" i="22"/>
  <c r="AA45" i="22"/>
  <c r="AA53" i="22"/>
  <c r="AA36" i="22"/>
  <c r="AA46" i="22"/>
  <c r="AA54" i="22"/>
  <c r="AA82" i="22"/>
  <c r="H42" i="24"/>
  <c r="I42" i="16"/>
  <c r="H42" i="4"/>
  <c r="J42" i="41"/>
  <c r="H65" i="16"/>
  <c r="H66" i="16" s="1"/>
  <c r="P42" i="24"/>
  <c r="Q42" i="16"/>
  <c r="P65" i="16"/>
  <c r="P66" i="16" s="1"/>
  <c r="P49" i="16"/>
  <c r="P42" i="4"/>
  <c r="T42" i="41"/>
  <c r="J42" i="24"/>
  <c r="J49" i="16"/>
  <c r="K42" i="16"/>
  <c r="J42" i="4"/>
  <c r="L42" i="41"/>
  <c r="J65" i="16"/>
  <c r="J66" i="16" s="1"/>
  <c r="Z119" i="22"/>
  <c r="AA72" i="22"/>
  <c r="AD72" i="22"/>
  <c r="R22" i="51"/>
  <c r="R13" i="51"/>
  <c r="R16" i="51"/>
  <c r="R25" i="51"/>
  <c r="R21" i="51"/>
  <c r="R23" i="51"/>
  <c r="Q54" i="51"/>
  <c r="R26" i="51"/>
  <c r="R37" i="51"/>
  <c r="R10" i="51"/>
  <c r="R14" i="51"/>
  <c r="Q38" i="51"/>
  <c r="R24" i="51"/>
  <c r="Q47" i="51"/>
  <c r="R27" i="51"/>
  <c r="I18" i="40"/>
  <c r="I26" i="40"/>
  <c r="I34" i="40"/>
  <c r="I53" i="40"/>
  <c r="I61" i="40"/>
  <c r="I69" i="40"/>
  <c r="I79" i="40"/>
  <c r="I117" i="40"/>
  <c r="I8" i="40"/>
  <c r="I21" i="40"/>
  <c r="I29" i="40"/>
  <c r="I37" i="40"/>
  <c r="I45" i="40"/>
  <c r="I56" i="40"/>
  <c r="I64" i="40"/>
  <c r="I82" i="40"/>
  <c r="I112" i="40"/>
  <c r="I11" i="40"/>
  <c r="I16" i="40"/>
  <c r="I24" i="40"/>
  <c r="I32" i="40"/>
  <c r="I40" i="40"/>
  <c r="I59" i="40"/>
  <c r="I67" i="40"/>
  <c r="I77" i="40"/>
  <c r="I102" i="40"/>
  <c r="I115" i="40"/>
  <c r="I19" i="40"/>
  <c r="I27" i="40"/>
  <c r="I35" i="40"/>
  <c r="I43" i="40"/>
  <c r="I22" i="40"/>
  <c r="I30" i="40"/>
  <c r="I38" i="40"/>
  <c r="I46" i="40"/>
  <c r="I10" i="40"/>
  <c r="I17" i="40"/>
  <c r="I25" i="40"/>
  <c r="I20" i="40"/>
  <c r="I28" i="40"/>
  <c r="I36" i="40"/>
  <c r="I44" i="40"/>
  <c r="I55" i="40"/>
  <c r="I63" i="40"/>
  <c r="I9" i="40"/>
  <c r="I23" i="40"/>
  <c r="I31" i="40"/>
  <c r="I39" i="40"/>
  <c r="I58" i="40"/>
  <c r="I66" i="40"/>
  <c r="I76" i="40"/>
  <c r="I101" i="40"/>
  <c r="I104" i="40"/>
  <c r="I114" i="40"/>
  <c r="I54" i="40"/>
  <c r="I72" i="40"/>
  <c r="I62" i="40"/>
  <c r="I87" i="40"/>
  <c r="I113" i="40"/>
  <c r="I80" i="40"/>
  <c r="I33" i="40"/>
  <c r="I60" i="40"/>
  <c r="I70" i="40"/>
  <c r="I116" i="40"/>
  <c r="I41" i="40"/>
  <c r="I68" i="40"/>
  <c r="I65" i="40"/>
  <c r="I78" i="40"/>
  <c r="I111" i="40"/>
  <c r="H120" i="40"/>
  <c r="H121" i="40" s="1"/>
  <c r="I57" i="40"/>
  <c r="I119" i="41"/>
  <c r="AC133" i="41"/>
  <c r="AC135" i="41" s="1"/>
  <c r="AD131" i="41"/>
  <c r="AD21" i="40"/>
  <c r="AD29" i="40"/>
  <c r="AD37" i="40"/>
  <c r="AD45" i="40"/>
  <c r="AD56" i="40"/>
  <c r="AD64" i="40"/>
  <c r="AD82" i="40"/>
  <c r="AD112" i="40"/>
  <c r="AD10" i="40"/>
  <c r="AD16" i="40"/>
  <c r="AD24" i="40"/>
  <c r="AD32" i="40"/>
  <c r="AD40" i="40"/>
  <c r="AD59" i="40"/>
  <c r="AD67" i="40"/>
  <c r="AD77" i="40"/>
  <c r="AD102" i="40"/>
  <c r="AD115" i="40"/>
  <c r="AD19" i="40"/>
  <c r="AD27" i="40"/>
  <c r="AD35" i="40"/>
  <c r="AD43" i="40"/>
  <c r="AD54" i="40"/>
  <c r="AD62" i="40"/>
  <c r="AD70" i="40"/>
  <c r="AD72" i="40"/>
  <c r="AD80" i="40"/>
  <c r="AD9" i="40"/>
  <c r="AD22" i="40"/>
  <c r="AD30" i="40"/>
  <c r="AD38" i="40"/>
  <c r="AD46" i="40"/>
  <c r="AD17" i="40"/>
  <c r="AD25" i="40"/>
  <c r="AD33" i="40"/>
  <c r="AD41" i="40"/>
  <c r="AD8" i="40"/>
  <c r="AD13" i="40"/>
  <c r="AD20" i="40"/>
  <c r="AD28" i="40"/>
  <c r="AD11" i="40"/>
  <c r="AG13" i="40"/>
  <c r="AD23" i="40"/>
  <c r="AD31" i="40"/>
  <c r="AD39" i="40"/>
  <c r="AD58" i="40"/>
  <c r="AD66" i="40"/>
  <c r="AD76" i="40"/>
  <c r="AD18" i="40"/>
  <c r="AD26" i="40"/>
  <c r="AD34" i="40"/>
  <c r="AD53" i="40"/>
  <c r="AD61" i="40"/>
  <c r="AD69" i="40"/>
  <c r="AD79" i="40"/>
  <c r="AD117" i="40"/>
  <c r="AD55" i="40"/>
  <c r="AD65" i="40"/>
  <c r="AD78" i="40"/>
  <c r="AD63" i="40"/>
  <c r="AD111" i="40"/>
  <c r="AD44" i="40"/>
  <c r="AC98" i="40"/>
  <c r="AD101" i="40"/>
  <c r="AD104" i="40"/>
  <c r="AD114" i="40"/>
  <c r="AD60" i="40"/>
  <c r="AD87" i="40"/>
  <c r="AD36" i="40"/>
  <c r="AD57" i="40"/>
  <c r="AD113" i="40"/>
  <c r="AD68" i="40"/>
  <c r="AD116" i="40"/>
  <c r="Z24" i="51"/>
  <c r="Y47" i="51"/>
  <c r="Z27" i="51"/>
  <c r="Z10" i="51"/>
  <c r="Z22" i="51"/>
  <c r="Z23" i="51"/>
  <c r="Y54" i="51"/>
  <c r="Z13" i="51"/>
  <c r="Z16" i="51"/>
  <c r="Z26" i="51"/>
  <c r="Z37" i="51"/>
  <c r="Z25" i="51"/>
  <c r="Z14" i="51"/>
  <c r="Y38" i="51"/>
  <c r="Z21" i="51"/>
  <c r="N47" i="24"/>
  <c r="O47" i="24" s="1"/>
  <c r="O47" i="16"/>
  <c r="N47" i="4"/>
  <c r="R47" i="41"/>
  <c r="Q42" i="46"/>
  <c r="B42" i="24"/>
  <c r="C42" i="16"/>
  <c r="Z42" i="16"/>
  <c r="B42" i="4"/>
  <c r="B42" i="41"/>
  <c r="B65" i="16"/>
  <c r="B66" i="16" s="1"/>
  <c r="R47" i="24"/>
  <c r="S47" i="24" s="1"/>
  <c r="S47" i="16"/>
  <c r="R47" i="4"/>
  <c r="V47" i="41"/>
  <c r="W47" i="41" s="1"/>
  <c r="C11" i="21"/>
  <c r="C17" i="21"/>
  <c r="C18" i="21"/>
  <c r="C19" i="21"/>
  <c r="C20" i="21"/>
  <c r="C21" i="21"/>
  <c r="C22" i="21"/>
  <c r="C23" i="21"/>
  <c r="C24" i="21"/>
  <c r="C25" i="21"/>
  <c r="C33" i="21"/>
  <c r="C38" i="21"/>
  <c r="Z7" i="21"/>
  <c r="C29" i="21"/>
  <c r="C30" i="21"/>
  <c r="C31" i="21"/>
  <c r="L42" i="24"/>
  <c r="M42" i="16"/>
  <c r="L49" i="16"/>
  <c r="L42" i="4"/>
  <c r="N42" i="41"/>
  <c r="L65" i="16"/>
  <c r="L66" i="16" s="1"/>
  <c r="D10" i="51"/>
  <c r="I10" i="51"/>
  <c r="D27" i="51"/>
  <c r="D22" i="51"/>
  <c r="D16" i="51"/>
  <c r="D25" i="51"/>
  <c r="D14" i="51"/>
  <c r="D26" i="51"/>
  <c r="D21" i="51"/>
  <c r="D24" i="51"/>
  <c r="C47" i="51"/>
  <c r="D13" i="51"/>
  <c r="D23" i="51"/>
  <c r="C54" i="51"/>
  <c r="D37" i="51"/>
  <c r="L47" i="24"/>
  <c r="M47" i="24" s="1"/>
  <c r="M47" i="16"/>
  <c r="L47" i="4"/>
  <c r="N47" i="41"/>
  <c r="O47" i="41" s="1"/>
  <c r="N42" i="24"/>
  <c r="N49" i="16"/>
  <c r="O42" i="16"/>
  <c r="N42" i="4"/>
  <c r="R42" i="41"/>
  <c r="N65" i="16"/>
  <c r="N66" i="16" s="1"/>
  <c r="R42" i="24"/>
  <c r="R49" i="16"/>
  <c r="S42" i="16"/>
  <c r="R65" i="16"/>
  <c r="R66" i="16" s="1"/>
  <c r="R42" i="4"/>
  <c r="V42" i="41"/>
  <c r="Z16" i="34"/>
  <c r="Z23" i="34"/>
  <c r="Z26" i="34"/>
  <c r="Y47" i="34"/>
  <c r="Y258" i="34" s="1"/>
  <c r="Z25" i="34"/>
  <c r="Z14" i="34"/>
  <c r="Z10" i="34"/>
  <c r="Y54" i="34"/>
  <c r="Z24" i="34"/>
  <c r="Z22" i="34"/>
  <c r="Z13" i="34"/>
  <c r="I53" i="65" l="1"/>
  <c r="G53" i="65"/>
  <c r="K42" i="46"/>
  <c r="B42" i="48"/>
  <c r="B49" i="48" s="1"/>
  <c r="B50" i="48" s="1"/>
  <c r="B51" i="48" s="1"/>
  <c r="Q259" i="34"/>
  <c r="E260" i="34"/>
  <c r="I260" i="34"/>
  <c r="E56" i="48"/>
  <c r="D111" i="48"/>
  <c r="D72" i="48"/>
  <c r="F56" i="48"/>
  <c r="AE258" i="34"/>
  <c r="AI258" i="34" s="1"/>
  <c r="AE260" i="34"/>
  <c r="Z42" i="46"/>
  <c r="B50" i="65" s="1"/>
  <c r="D42" i="48"/>
  <c r="E42" i="48" s="1"/>
  <c r="E259" i="34"/>
  <c r="C47" i="48"/>
  <c r="O260" i="34"/>
  <c r="AE259" i="34"/>
  <c r="Y260" i="34"/>
  <c r="U260" i="34"/>
  <c r="K259" i="34"/>
  <c r="G259" i="34"/>
  <c r="G260" i="34"/>
  <c r="Q260" i="34"/>
  <c r="Q262" i="34" s="1"/>
  <c r="W260" i="34"/>
  <c r="S260" i="34"/>
  <c r="M259" i="34"/>
  <c r="K260" i="34"/>
  <c r="V47" i="48"/>
  <c r="R47" i="48"/>
  <c r="B103" i="48"/>
  <c r="B106" i="48" s="1"/>
  <c r="C42" i="48"/>
  <c r="F42" i="48"/>
  <c r="J42" i="48"/>
  <c r="H42" i="48"/>
  <c r="D47" i="48"/>
  <c r="C17" i="34"/>
  <c r="C105" i="48"/>
  <c r="H47" i="48"/>
  <c r="F47" i="48"/>
  <c r="J47" i="48"/>
  <c r="AH23" i="34"/>
  <c r="AH25" i="34"/>
  <c r="AH22" i="34"/>
  <c r="AH14" i="34"/>
  <c r="AH16" i="34"/>
  <c r="AG54" i="34"/>
  <c r="AH13" i="34"/>
  <c r="AH24" i="34"/>
  <c r="AH26" i="34"/>
  <c r="AG47" i="34"/>
  <c r="AH10" i="34"/>
  <c r="N104" i="4"/>
  <c r="S259" i="51" s="1"/>
  <c r="S262" i="51" s="1"/>
  <c r="N81" i="4" s="1"/>
  <c r="T104" i="4"/>
  <c r="AA259" i="51" s="1"/>
  <c r="AA262" i="51" s="1"/>
  <c r="R104" i="4"/>
  <c r="W259" i="51" s="1"/>
  <c r="W262" i="51" s="1"/>
  <c r="V104" i="4"/>
  <c r="AC259" i="51" s="1"/>
  <c r="AC262" i="51" s="1"/>
  <c r="P104" i="4"/>
  <c r="U259" i="51" s="1"/>
  <c r="U262" i="51" s="1"/>
  <c r="J104" i="4"/>
  <c r="M259" i="51" s="1"/>
  <c r="M262" i="51" s="1"/>
  <c r="L104" i="4"/>
  <c r="O259" i="51" s="1"/>
  <c r="O262" i="51" s="1"/>
  <c r="AB47" i="41"/>
  <c r="C258" i="51"/>
  <c r="AI258" i="51" s="1"/>
  <c r="C260" i="51"/>
  <c r="AI260" i="51" s="1"/>
  <c r="X47" i="4"/>
  <c r="X49" i="16"/>
  <c r="X55" i="16" s="1"/>
  <c r="Y47" i="16"/>
  <c r="W42" i="24"/>
  <c r="V49" i="24"/>
  <c r="V65" i="24"/>
  <c r="V66" i="24" s="1"/>
  <c r="V49" i="4"/>
  <c r="V109" i="4"/>
  <c r="W42" i="4"/>
  <c r="AA42" i="40"/>
  <c r="V42" i="22"/>
  <c r="X65" i="24"/>
  <c r="X66" i="24" s="1"/>
  <c r="Y42" i="24"/>
  <c r="X49" i="24"/>
  <c r="AA103" i="41"/>
  <c r="AA106" i="41" s="1"/>
  <c r="AA49" i="41"/>
  <c r="Z103" i="41"/>
  <c r="Z106" i="41" s="1"/>
  <c r="AC42" i="41"/>
  <c r="AD42" i="41" s="1"/>
  <c r="Z49" i="41"/>
  <c r="T47" i="22"/>
  <c r="Z47" i="40"/>
  <c r="Z105" i="40" s="1"/>
  <c r="T111" i="4"/>
  <c r="U47" i="4"/>
  <c r="X109" i="4"/>
  <c r="AB42" i="40"/>
  <c r="Y42" i="4"/>
  <c r="X42" i="22"/>
  <c r="T65" i="24"/>
  <c r="T66" i="24" s="1"/>
  <c r="U42" i="24"/>
  <c r="T49" i="24"/>
  <c r="AB103" i="41"/>
  <c r="AB106" i="41" s="1"/>
  <c r="U42" i="4"/>
  <c r="T49" i="4"/>
  <c r="T109" i="4"/>
  <c r="T42" i="22"/>
  <c r="Z42" i="40"/>
  <c r="W49" i="16"/>
  <c r="V62" i="16"/>
  <c r="V63" i="16" s="1"/>
  <c r="V55" i="16"/>
  <c r="V111" i="4"/>
  <c r="AA47" i="40"/>
  <c r="AA105" i="40" s="1"/>
  <c r="W47" i="4"/>
  <c r="V47" i="22"/>
  <c r="U49" i="16"/>
  <c r="T55" i="16"/>
  <c r="T62" i="16"/>
  <c r="T63" i="16" s="1"/>
  <c r="L47" i="48"/>
  <c r="N49" i="41"/>
  <c r="O42" i="41"/>
  <c r="N103" i="41"/>
  <c r="AE7" i="21"/>
  <c r="AA19" i="21"/>
  <c r="AA11" i="21"/>
  <c r="AA18" i="21"/>
  <c r="AA29" i="21"/>
  <c r="AA30" i="21"/>
  <c r="AA31" i="21"/>
  <c r="AA17" i="21"/>
  <c r="AA20" i="21"/>
  <c r="AA21" i="21"/>
  <c r="AA22" i="21"/>
  <c r="AA23" i="21"/>
  <c r="AA24" i="21"/>
  <c r="AA25" i="21"/>
  <c r="AA33" i="21"/>
  <c r="AA38" i="21"/>
  <c r="R47" i="22"/>
  <c r="S47" i="4"/>
  <c r="R111" i="4"/>
  <c r="V47" i="40"/>
  <c r="R55" i="16"/>
  <c r="R2" i="16"/>
  <c r="S49" i="16"/>
  <c r="R62" i="16"/>
  <c r="R63" i="16" s="1"/>
  <c r="L49" i="4"/>
  <c r="L42" i="22"/>
  <c r="L109" i="4"/>
  <c r="M42" i="4"/>
  <c r="N42" i="40"/>
  <c r="Z42" i="24"/>
  <c r="C42" i="24"/>
  <c r="B65" i="24"/>
  <c r="B66" i="24" s="1"/>
  <c r="I119" i="40"/>
  <c r="N42" i="48"/>
  <c r="J47" i="22"/>
  <c r="K47" i="4"/>
  <c r="J111" i="4"/>
  <c r="L47" i="40"/>
  <c r="S42" i="41"/>
  <c r="R103" i="41"/>
  <c r="R49" i="41"/>
  <c r="X42" i="41"/>
  <c r="Y42" i="41" s="1"/>
  <c r="V49" i="41"/>
  <c r="W42" i="41"/>
  <c r="V103" i="41"/>
  <c r="M47" i="4"/>
  <c r="L47" i="22"/>
  <c r="L111" i="4"/>
  <c r="N47" i="40"/>
  <c r="T42" i="48"/>
  <c r="S42" i="24"/>
  <c r="R65" i="24"/>
  <c r="R66" i="24" s="1"/>
  <c r="R49" i="24"/>
  <c r="M49" i="16"/>
  <c r="L2" i="16"/>
  <c r="L3" i="16" s="1"/>
  <c r="L55" i="16"/>
  <c r="L62" i="16"/>
  <c r="L63" i="16" s="1"/>
  <c r="U42" i="41"/>
  <c r="T103" i="41"/>
  <c r="T49" i="41"/>
  <c r="K42" i="41"/>
  <c r="J103" i="41"/>
  <c r="P42" i="41"/>
  <c r="Q42" i="41" s="1"/>
  <c r="E42" i="41"/>
  <c r="D103" i="41"/>
  <c r="Q42" i="4"/>
  <c r="P42" i="22"/>
  <c r="P109" i="4"/>
  <c r="P49" i="4"/>
  <c r="T42" i="40"/>
  <c r="R42" i="48"/>
  <c r="E42" i="4"/>
  <c r="D42" i="22"/>
  <c r="D109" i="4"/>
  <c r="D42" i="40"/>
  <c r="G42" i="24"/>
  <c r="F65" i="24"/>
  <c r="F66" i="24" s="1"/>
  <c r="N42" i="22"/>
  <c r="N49" i="4"/>
  <c r="O42" i="4"/>
  <c r="N109" i="4"/>
  <c r="R42" i="40"/>
  <c r="L49" i="24"/>
  <c r="M42" i="24"/>
  <c r="L65" i="24"/>
  <c r="L66" i="24" s="1"/>
  <c r="C42" i="41"/>
  <c r="AE42" i="41"/>
  <c r="B103" i="41"/>
  <c r="H42" i="41"/>
  <c r="I42" i="41" s="1"/>
  <c r="V42" i="48"/>
  <c r="P47" i="48"/>
  <c r="M42" i="41"/>
  <c r="L103" i="41"/>
  <c r="L49" i="41"/>
  <c r="P62" i="16"/>
  <c r="P63" i="16" s="1"/>
  <c r="Q49" i="16"/>
  <c r="P2" i="16"/>
  <c r="P55" i="16"/>
  <c r="I42" i="4"/>
  <c r="H42" i="22"/>
  <c r="H109" i="4"/>
  <c r="J42" i="40"/>
  <c r="T47" i="48"/>
  <c r="P42" i="48"/>
  <c r="L42" i="48"/>
  <c r="K42" i="4"/>
  <c r="J49" i="4"/>
  <c r="J42" i="22"/>
  <c r="J109" i="4"/>
  <c r="L42" i="40"/>
  <c r="AJ24" i="34"/>
  <c r="AI54" i="34"/>
  <c r="AJ13" i="34"/>
  <c r="AJ22" i="34"/>
  <c r="AJ26" i="34"/>
  <c r="AI47" i="34"/>
  <c r="AJ16" i="34"/>
  <c r="AJ25" i="34"/>
  <c r="AJ23" i="34"/>
  <c r="AJ10" i="34"/>
  <c r="AJ14" i="34"/>
  <c r="R42" i="22"/>
  <c r="S42" i="4"/>
  <c r="R49" i="4"/>
  <c r="R109" i="4"/>
  <c r="V42" i="40"/>
  <c r="F11" i="33"/>
  <c r="F27" i="33"/>
  <c r="F29" i="33"/>
  <c r="F25" i="33"/>
  <c r="N2" i="16"/>
  <c r="O49" i="16"/>
  <c r="N62" i="16"/>
  <c r="N63" i="16" s="1"/>
  <c r="N55" i="16"/>
  <c r="AA42" i="16"/>
  <c r="Z65" i="16"/>
  <c r="Z66" i="16" s="1"/>
  <c r="I42" i="24"/>
  <c r="H65" i="24"/>
  <c r="H66" i="24" s="1"/>
  <c r="E42" i="24"/>
  <c r="D65" i="24"/>
  <c r="D66" i="24" s="1"/>
  <c r="AI10" i="51"/>
  <c r="J14" i="51"/>
  <c r="J26" i="51"/>
  <c r="I38" i="51"/>
  <c r="J10" i="51"/>
  <c r="J21" i="51"/>
  <c r="J24" i="51"/>
  <c r="I47" i="51"/>
  <c r="J16" i="51"/>
  <c r="J25" i="51"/>
  <c r="J22" i="51"/>
  <c r="J27" i="51"/>
  <c r="J13" i="51"/>
  <c r="J23" i="51"/>
  <c r="I54" i="51"/>
  <c r="C42" i="4"/>
  <c r="B42" i="22"/>
  <c r="B109" i="4"/>
  <c r="Z42" i="4"/>
  <c r="B42" i="40"/>
  <c r="O42" i="24"/>
  <c r="N49" i="24"/>
  <c r="N65" i="24"/>
  <c r="N66" i="24" s="1"/>
  <c r="X47" i="41"/>
  <c r="Y47" i="41" s="1"/>
  <c r="S47" i="41"/>
  <c r="J2" i="16"/>
  <c r="J3" i="16" s="1"/>
  <c r="K49" i="16"/>
  <c r="J62" i="16"/>
  <c r="J63" i="16" s="1"/>
  <c r="J55" i="16"/>
  <c r="Q42" i="24"/>
  <c r="P49" i="24"/>
  <c r="P65" i="24"/>
  <c r="P66" i="24" s="1"/>
  <c r="N47" i="48"/>
  <c r="X42" i="48"/>
  <c r="G42" i="41"/>
  <c r="F103" i="41"/>
  <c r="N47" i="22"/>
  <c r="O47" i="4"/>
  <c r="N111" i="4"/>
  <c r="R47" i="40"/>
  <c r="K42" i="24"/>
  <c r="J49" i="24"/>
  <c r="J65" i="24"/>
  <c r="J66" i="24" s="1"/>
  <c r="P47" i="22"/>
  <c r="Q47" i="4"/>
  <c r="P111" i="4"/>
  <c r="T47" i="40"/>
  <c r="F42" i="22"/>
  <c r="G42" i="4"/>
  <c r="F109" i="4"/>
  <c r="F42" i="40"/>
  <c r="L53" i="65" l="1"/>
  <c r="M53" i="65" s="1"/>
  <c r="AA42" i="46"/>
  <c r="D50" i="65"/>
  <c r="E50" i="65" s="1"/>
  <c r="F50" i="65"/>
  <c r="G50" i="65" s="1"/>
  <c r="H50" i="65"/>
  <c r="I50" i="65" s="1"/>
  <c r="J50" i="65"/>
  <c r="K50" i="65" s="1"/>
  <c r="C50" i="65"/>
  <c r="E55" i="46"/>
  <c r="E262" i="34"/>
  <c r="S259" i="34"/>
  <c r="S262" i="34" s="1"/>
  <c r="H30" i="45" s="1"/>
  <c r="H35" i="45" s="1"/>
  <c r="H36" i="45" s="1"/>
  <c r="O259" i="34"/>
  <c r="O262" i="34" s="1"/>
  <c r="Y259" i="34"/>
  <c r="Y262" i="34" s="1"/>
  <c r="I259" i="34"/>
  <c r="I262" i="34" s="1"/>
  <c r="W259" i="34"/>
  <c r="W262" i="34" s="1"/>
  <c r="U259" i="34"/>
  <c r="U262" i="34" s="1"/>
  <c r="G262" i="34"/>
  <c r="F81" i="48" s="1"/>
  <c r="K262" i="34"/>
  <c r="H81" i="48" s="1"/>
  <c r="H56" i="48"/>
  <c r="F111" i="48"/>
  <c r="F72" i="48"/>
  <c r="G56" i="48"/>
  <c r="E72" i="48"/>
  <c r="D117" i="48"/>
  <c r="E117" i="48" s="1"/>
  <c r="E21" i="34"/>
  <c r="E111" i="48"/>
  <c r="X47" i="48"/>
  <c r="X49" i="48" s="1"/>
  <c r="M260" i="34"/>
  <c r="D103" i="48"/>
  <c r="E15" i="34" s="1"/>
  <c r="F15" i="34" s="1"/>
  <c r="B81" i="48"/>
  <c r="H103" i="48"/>
  <c r="I42" i="48"/>
  <c r="G42" i="48"/>
  <c r="F103" i="48"/>
  <c r="K42" i="48"/>
  <c r="J103" i="48"/>
  <c r="C15" i="34"/>
  <c r="C18" i="34" s="1"/>
  <c r="C103" i="48"/>
  <c r="D17" i="34"/>
  <c r="F105" i="48"/>
  <c r="G47" i="48"/>
  <c r="F49" i="48"/>
  <c r="J105" i="48"/>
  <c r="K47" i="48"/>
  <c r="J49" i="48"/>
  <c r="D105" i="48"/>
  <c r="E47" i="48"/>
  <c r="D49" i="48"/>
  <c r="H105" i="48"/>
  <c r="I47" i="48"/>
  <c r="H49" i="48"/>
  <c r="C106" i="48"/>
  <c r="B108" i="48"/>
  <c r="AE262" i="34"/>
  <c r="AB49" i="41"/>
  <c r="AB50" i="41" s="1"/>
  <c r="AB51" i="41" s="1"/>
  <c r="AC47" i="41"/>
  <c r="AD47" i="41" s="1"/>
  <c r="X104" i="4"/>
  <c r="AE259" i="51" s="1"/>
  <c r="AE262" i="51" s="1"/>
  <c r="X49" i="4"/>
  <c r="Y49" i="4" s="1"/>
  <c r="X111" i="4"/>
  <c r="X47" i="22"/>
  <c r="X105" i="22" s="1"/>
  <c r="Z108" i="41"/>
  <c r="AB47" i="40"/>
  <c r="AB105" i="40" s="1"/>
  <c r="X62" i="16"/>
  <c r="X63" i="16" s="1"/>
  <c r="Y49" i="16"/>
  <c r="Y47" i="4"/>
  <c r="T81" i="4"/>
  <c r="U81" i="4" s="1"/>
  <c r="V30" i="45"/>
  <c r="V35" i="45" s="1"/>
  <c r="V36" i="45" s="1"/>
  <c r="V81" i="4"/>
  <c r="V81" i="22" s="1"/>
  <c r="W30" i="45"/>
  <c r="W35" i="45" s="1"/>
  <c r="W36" i="45" s="1"/>
  <c r="AB103" i="40"/>
  <c r="AA49" i="40"/>
  <c r="AA103" i="40"/>
  <c r="AA106" i="40" s="1"/>
  <c r="U55" i="16"/>
  <c r="T56" i="16"/>
  <c r="T75" i="16"/>
  <c r="Z103" i="40"/>
  <c r="Z106" i="40" s="1"/>
  <c r="Z49" i="40"/>
  <c r="T62" i="24"/>
  <c r="T63" i="24" s="1"/>
  <c r="U49" i="24"/>
  <c r="T55" i="24"/>
  <c r="V105" i="22"/>
  <c r="W47" i="22"/>
  <c r="T49" i="22"/>
  <c r="T103" i="22"/>
  <c r="U42" i="22"/>
  <c r="Y55" i="16"/>
  <c r="X75" i="16"/>
  <c r="X56" i="16"/>
  <c r="V112" i="4"/>
  <c r="V114" i="4" s="1"/>
  <c r="Y49" i="24"/>
  <c r="X55" i="24"/>
  <c r="X62" i="24"/>
  <c r="X63" i="24" s="1"/>
  <c r="W49" i="4"/>
  <c r="V50" i="4"/>
  <c r="T112" i="4"/>
  <c r="T114" i="4" s="1"/>
  <c r="T50" i="4"/>
  <c r="U49" i="4"/>
  <c r="X103" i="22"/>
  <c r="Y42" i="22"/>
  <c r="T105" i="22"/>
  <c r="U47" i="22"/>
  <c r="AA85" i="41"/>
  <c r="AA50" i="41"/>
  <c r="AA51" i="41" s="1"/>
  <c r="AA89" i="41"/>
  <c r="V55" i="24"/>
  <c r="W49" i="24"/>
  <c r="V62" i="24"/>
  <c r="V63" i="24" s="1"/>
  <c r="V75" i="16"/>
  <c r="W55" i="16"/>
  <c r="V56" i="16"/>
  <c r="Z50" i="41"/>
  <c r="Z51" i="41" s="1"/>
  <c r="Z85" i="41"/>
  <c r="Z89" i="41"/>
  <c r="AA108" i="41"/>
  <c r="V49" i="22"/>
  <c r="V103" i="22"/>
  <c r="W42" i="22"/>
  <c r="G42" i="40"/>
  <c r="F103" i="40"/>
  <c r="M49" i="24"/>
  <c r="L55" i="24"/>
  <c r="L62" i="24"/>
  <c r="L63" i="24" s="1"/>
  <c r="N49" i="22"/>
  <c r="O42" i="22"/>
  <c r="N103" i="22"/>
  <c r="T105" i="40"/>
  <c r="U105" i="40" s="1"/>
  <c r="U47" i="40"/>
  <c r="G42" i="22"/>
  <c r="F103" i="22"/>
  <c r="AA42" i="4"/>
  <c r="Z109" i="4"/>
  <c r="Z112" i="4" s="1"/>
  <c r="R112" i="4"/>
  <c r="R114" i="4" s="1"/>
  <c r="Q42" i="48"/>
  <c r="P49" i="48"/>
  <c r="P103" i="48"/>
  <c r="I42" i="22"/>
  <c r="H103" i="22"/>
  <c r="K49" i="24"/>
  <c r="J62" i="24"/>
  <c r="J63" i="24" s="1"/>
  <c r="J55" i="24"/>
  <c r="Y42" i="48"/>
  <c r="X103" i="48"/>
  <c r="S49" i="4"/>
  <c r="R50" i="4"/>
  <c r="T50" i="41"/>
  <c r="U49" i="41"/>
  <c r="M55" i="16"/>
  <c r="L75" i="16"/>
  <c r="L56" i="16"/>
  <c r="W49" i="41"/>
  <c r="V50" i="41"/>
  <c r="V51" i="41" s="1"/>
  <c r="O42" i="48"/>
  <c r="N49" i="48"/>
  <c r="N103" i="48"/>
  <c r="L112" i="4"/>
  <c r="L114" i="4" s="1"/>
  <c r="O49" i="24"/>
  <c r="N55" i="24"/>
  <c r="N62" i="24"/>
  <c r="N63" i="24" s="1"/>
  <c r="AJ10" i="51"/>
  <c r="AJ21" i="51"/>
  <c r="AJ24" i="51"/>
  <c r="AI47" i="51"/>
  <c r="AJ27" i="51"/>
  <c r="AJ13" i="51"/>
  <c r="AJ16" i="51"/>
  <c r="AJ23" i="51"/>
  <c r="AI54" i="51"/>
  <c r="AJ26" i="51"/>
  <c r="AJ37" i="51"/>
  <c r="AJ22" i="51"/>
  <c r="AJ25" i="51"/>
  <c r="AJ14" i="51"/>
  <c r="AI38" i="51"/>
  <c r="R105" i="48"/>
  <c r="S47" i="48"/>
  <c r="O49" i="4"/>
  <c r="N50" i="4"/>
  <c r="U103" i="41"/>
  <c r="T106" i="41"/>
  <c r="T49" i="48"/>
  <c r="U42" i="48"/>
  <c r="T103" i="48"/>
  <c r="L105" i="40"/>
  <c r="M105" i="40" s="1"/>
  <c r="M47" i="40"/>
  <c r="L81" i="4"/>
  <c r="S30" i="45"/>
  <c r="X47" i="40"/>
  <c r="S47" i="40"/>
  <c r="R105" i="40"/>
  <c r="S105" i="40" s="1"/>
  <c r="W47" i="48"/>
  <c r="V105" i="48"/>
  <c r="J81" i="4"/>
  <c r="R30" i="45"/>
  <c r="R35" i="45" s="1"/>
  <c r="R36" i="45" s="1"/>
  <c r="P105" i="48"/>
  <c r="Q47" i="48"/>
  <c r="O47" i="40"/>
  <c r="N105" i="40"/>
  <c r="O105" i="40" s="1"/>
  <c r="X49" i="41"/>
  <c r="S49" i="41"/>
  <c r="R50" i="41"/>
  <c r="R51" i="41" s="1"/>
  <c r="L49" i="22"/>
  <c r="M42" i="22"/>
  <c r="L103" i="22"/>
  <c r="N106" i="41"/>
  <c r="O103" i="41"/>
  <c r="J112" i="4"/>
  <c r="J114" i="4" s="1"/>
  <c r="M42" i="48"/>
  <c r="L49" i="48"/>
  <c r="Z42" i="48"/>
  <c r="L103" i="48"/>
  <c r="J103" i="40"/>
  <c r="P42" i="40"/>
  <c r="K42" i="40"/>
  <c r="L30" i="45"/>
  <c r="L35" i="45" s="1"/>
  <c r="L36" i="45" s="1"/>
  <c r="S42" i="48"/>
  <c r="R103" i="48"/>
  <c r="R49" i="48"/>
  <c r="U42" i="40"/>
  <c r="T49" i="40"/>
  <c r="T103" i="40"/>
  <c r="S49" i="24"/>
  <c r="R62" i="24"/>
  <c r="R63" i="24" s="1"/>
  <c r="R55" i="24"/>
  <c r="X103" i="41"/>
  <c r="R106" i="41"/>
  <c r="S103" i="41"/>
  <c r="M49" i="4"/>
  <c r="L50" i="4"/>
  <c r="W47" i="40"/>
  <c r="V105" i="40"/>
  <c r="W105" i="40" s="1"/>
  <c r="M42" i="40"/>
  <c r="L49" i="40"/>
  <c r="L103" i="40"/>
  <c r="S42" i="22"/>
  <c r="R103" i="22"/>
  <c r="R49" i="22"/>
  <c r="E42" i="40"/>
  <c r="D103" i="40"/>
  <c r="K42" i="22"/>
  <c r="J103" i="22"/>
  <c r="J49" i="22"/>
  <c r="E42" i="22"/>
  <c r="D103" i="22"/>
  <c r="P50" i="4"/>
  <c r="Q49" i="4"/>
  <c r="L105" i="22"/>
  <c r="M47" i="22"/>
  <c r="K47" i="22"/>
  <c r="J105" i="22"/>
  <c r="O49" i="41"/>
  <c r="N50" i="41"/>
  <c r="N51" i="41" s="1"/>
  <c r="O47" i="48"/>
  <c r="N105" i="48"/>
  <c r="N105" i="22"/>
  <c r="O47" i="22"/>
  <c r="N75" i="16"/>
  <c r="O55" i="16"/>
  <c r="N56" i="16"/>
  <c r="W42" i="40"/>
  <c r="V49" i="40"/>
  <c r="V103" i="40"/>
  <c r="K49" i="4"/>
  <c r="J50" i="4"/>
  <c r="H103" i="41"/>
  <c r="B106" i="41"/>
  <c r="C103" i="41"/>
  <c r="R49" i="40"/>
  <c r="R103" i="40"/>
  <c r="X42" i="40"/>
  <c r="S42" i="40"/>
  <c r="P112" i="4"/>
  <c r="P114" i="4" s="1"/>
  <c r="AA42" i="24"/>
  <c r="Z65" i="24"/>
  <c r="Z66" i="24" s="1"/>
  <c r="P56" i="16"/>
  <c r="P75" i="16"/>
  <c r="Q55" i="16"/>
  <c r="P55" i="24"/>
  <c r="P62" i="24"/>
  <c r="P63" i="24" s="1"/>
  <c r="Q49" i="24"/>
  <c r="Q47" i="22"/>
  <c r="P105" i="22"/>
  <c r="J56" i="16"/>
  <c r="K55" i="16"/>
  <c r="J75" i="16"/>
  <c r="B103" i="40"/>
  <c r="H42" i="40"/>
  <c r="C42" i="40"/>
  <c r="AC42" i="40"/>
  <c r="R81" i="4"/>
  <c r="U30" i="45"/>
  <c r="U35" i="45" s="1"/>
  <c r="U36" i="45" s="1"/>
  <c r="M49" i="41"/>
  <c r="L50" i="41"/>
  <c r="L51" i="41" s="1"/>
  <c r="W42" i="48"/>
  <c r="V49" i="48"/>
  <c r="V103" i="48"/>
  <c r="AF42" i="41"/>
  <c r="AE103" i="41"/>
  <c r="AE106" i="41" s="1"/>
  <c r="N83" i="4"/>
  <c r="N89" i="4" s="1"/>
  <c r="O81" i="4"/>
  <c r="N81" i="22"/>
  <c r="R81" i="41"/>
  <c r="R81" i="40"/>
  <c r="T30" i="45"/>
  <c r="T35" i="45" s="1"/>
  <c r="T36" i="45" s="1"/>
  <c r="P81" i="4"/>
  <c r="P103" i="41"/>
  <c r="J106" i="41"/>
  <c r="K103" i="41"/>
  <c r="V106" i="41"/>
  <c r="W103" i="41"/>
  <c r="O42" i="40"/>
  <c r="N49" i="40"/>
  <c r="N103" i="40"/>
  <c r="S47" i="22"/>
  <c r="R105" i="22"/>
  <c r="F106" i="41"/>
  <c r="G103" i="41"/>
  <c r="C42" i="22"/>
  <c r="B103" i="22"/>
  <c r="Z42" i="22"/>
  <c r="U47" i="48"/>
  <c r="T105" i="48"/>
  <c r="E103" i="41"/>
  <c r="D106" i="41"/>
  <c r="M103" i="41"/>
  <c r="L106" i="41"/>
  <c r="N112" i="4"/>
  <c r="N114" i="4" s="1"/>
  <c r="Q42" i="22"/>
  <c r="P49" i="22"/>
  <c r="P103" i="22"/>
  <c r="R56" i="16"/>
  <c r="S55" i="16"/>
  <c r="R75" i="16"/>
  <c r="D11" i="33"/>
  <c r="D27" i="33"/>
  <c r="D18" i="33"/>
  <c r="D29" i="33"/>
  <c r="D25" i="33"/>
  <c r="M47" i="48"/>
  <c r="L105" i="48"/>
  <c r="L50" i="65" l="1"/>
  <c r="M50" i="65" s="1"/>
  <c r="I30" i="45"/>
  <c r="I35" i="45" s="1"/>
  <c r="I36" i="45" s="1"/>
  <c r="R81" i="48"/>
  <c r="J30" i="45"/>
  <c r="J35" i="45" s="1"/>
  <c r="J36" i="45" s="1"/>
  <c r="Z47" i="48"/>
  <c r="Z49" i="48" s="1"/>
  <c r="Y47" i="48"/>
  <c r="X105" i="48"/>
  <c r="E103" i="48"/>
  <c r="G55" i="46"/>
  <c r="AA260" i="34"/>
  <c r="AI260" i="34" s="1"/>
  <c r="AA259" i="34"/>
  <c r="AI259" i="34" s="1"/>
  <c r="M262" i="34"/>
  <c r="D119" i="48"/>
  <c r="E27" i="34"/>
  <c r="F27" i="34" s="1"/>
  <c r="F21" i="34"/>
  <c r="F74" i="48"/>
  <c r="G74" i="48" s="1"/>
  <c r="G72" i="48"/>
  <c r="G111" i="48"/>
  <c r="F117" i="48"/>
  <c r="G117" i="48" s="1"/>
  <c r="G21" i="34"/>
  <c r="J56" i="48"/>
  <c r="I56" i="48"/>
  <c r="H111" i="48"/>
  <c r="H72" i="48"/>
  <c r="F83" i="48"/>
  <c r="G81" i="48"/>
  <c r="C81" i="48"/>
  <c r="B83" i="48"/>
  <c r="I81" i="48"/>
  <c r="H83" i="48"/>
  <c r="M30" i="45"/>
  <c r="M35" i="45" s="1"/>
  <c r="M36" i="45" s="1"/>
  <c r="G15" i="34"/>
  <c r="H15" i="34" s="1"/>
  <c r="G103" i="48"/>
  <c r="M15" i="34"/>
  <c r="N15" i="34" s="1"/>
  <c r="K103" i="48"/>
  <c r="K15" i="34"/>
  <c r="L15" i="34" s="1"/>
  <c r="I103" i="48"/>
  <c r="D15" i="34"/>
  <c r="D18" i="34"/>
  <c r="C51" i="34"/>
  <c r="C19" i="34"/>
  <c r="J50" i="48"/>
  <c r="K49" i="48"/>
  <c r="E49" i="48"/>
  <c r="D50" i="48"/>
  <c r="M17" i="34"/>
  <c r="K105" i="48"/>
  <c r="J106" i="48"/>
  <c r="F50" i="48"/>
  <c r="G49" i="48"/>
  <c r="I49" i="48"/>
  <c r="H50" i="48"/>
  <c r="E17" i="34"/>
  <c r="E105" i="48"/>
  <c r="D106" i="48"/>
  <c r="G17" i="34"/>
  <c r="G105" i="48"/>
  <c r="F106" i="48"/>
  <c r="K17" i="34"/>
  <c r="I105" i="48"/>
  <c r="H106" i="48"/>
  <c r="AC49" i="41"/>
  <c r="AC89" i="41" s="1"/>
  <c r="AB89" i="41"/>
  <c r="AB94" i="41" s="1"/>
  <c r="AB108" i="41"/>
  <c r="Y47" i="22"/>
  <c r="X49" i="22"/>
  <c r="Y49" i="22" s="1"/>
  <c r="X81" i="4"/>
  <c r="X83" i="4" s="1"/>
  <c r="X89" i="4" s="1"/>
  <c r="Y89" i="4" s="1"/>
  <c r="X30" i="45"/>
  <c r="X35" i="45" s="1"/>
  <c r="X36" i="45" s="1"/>
  <c r="X112" i="4"/>
  <c r="X114" i="4" s="1"/>
  <c r="X50" i="4"/>
  <c r="X74" i="4" s="1"/>
  <c r="AB106" i="40"/>
  <c r="AA81" i="40"/>
  <c r="AA83" i="40" s="1"/>
  <c r="AA89" i="40" s="1"/>
  <c r="W81" i="4"/>
  <c r="AB49" i="40"/>
  <c r="AB50" i="40" s="1"/>
  <c r="AB51" i="40" s="1"/>
  <c r="T81" i="22"/>
  <c r="U81" i="22" s="1"/>
  <c r="T83" i="4"/>
  <c r="T89" i="4" s="1"/>
  <c r="U89" i="4" s="1"/>
  <c r="V83" i="4"/>
  <c r="V89" i="4" s="1"/>
  <c r="V92" i="4" s="1"/>
  <c r="Z81" i="40"/>
  <c r="Z83" i="40" s="1"/>
  <c r="Z89" i="40" s="1"/>
  <c r="Z108" i="40"/>
  <c r="AC85" i="41"/>
  <c r="AD85" i="41" s="1"/>
  <c r="V32" i="21"/>
  <c r="V83" i="22"/>
  <c r="V89" i="22" s="1"/>
  <c r="W81" i="22"/>
  <c r="AC15" i="51"/>
  <c r="W103" i="22"/>
  <c r="V106" i="22"/>
  <c r="T51" i="4"/>
  <c r="T74" i="4"/>
  <c r="V74" i="4"/>
  <c r="V51" i="4"/>
  <c r="V10" i="21"/>
  <c r="V50" i="22"/>
  <c r="W49" i="22"/>
  <c r="AA17" i="51"/>
  <c r="AB17" i="51" s="1"/>
  <c r="U105" i="22"/>
  <c r="AA15" i="51"/>
  <c r="T106" i="22"/>
  <c r="U103" i="22"/>
  <c r="T56" i="24"/>
  <c r="T75" i="24"/>
  <c r="U55" i="24"/>
  <c r="AA108" i="40"/>
  <c r="U49" i="22"/>
  <c r="T50" i="22"/>
  <c r="T10" i="21"/>
  <c r="AA50" i="40"/>
  <c r="AA51" i="40" s="1"/>
  <c r="X56" i="24"/>
  <c r="Y55" i="24"/>
  <c r="X75" i="24"/>
  <c r="Z91" i="41"/>
  <c r="Z96" i="41"/>
  <c r="Z92" i="41"/>
  <c r="Z94" i="41"/>
  <c r="W55" i="24"/>
  <c r="V56" i="24"/>
  <c r="V75" i="24"/>
  <c r="AE15" i="51"/>
  <c r="Y103" i="22"/>
  <c r="X106" i="22"/>
  <c r="AC17" i="51"/>
  <c r="W105" i="22"/>
  <c r="Z50" i="40"/>
  <c r="Z51" i="40" s="1"/>
  <c r="AA91" i="41"/>
  <c r="AA94" i="41"/>
  <c r="AA96" i="41"/>
  <c r="AA92" i="41"/>
  <c r="AE17" i="51"/>
  <c r="AF17" i="51" s="1"/>
  <c r="Y105" i="22"/>
  <c r="O89" i="4"/>
  <c r="N92" i="4"/>
  <c r="N91" i="4"/>
  <c r="W49" i="48"/>
  <c r="V50" i="48"/>
  <c r="I103" i="41"/>
  <c r="H106" i="41"/>
  <c r="V50" i="40"/>
  <c r="V51" i="40" s="1"/>
  <c r="W49" i="40"/>
  <c r="M106" i="41"/>
  <c r="L108" i="41"/>
  <c r="K106" i="41"/>
  <c r="N83" i="22"/>
  <c r="N89" i="22" s="1"/>
  <c r="O81" i="22"/>
  <c r="N32" i="21"/>
  <c r="M105" i="22"/>
  <c r="O17" i="51"/>
  <c r="P17" i="51" s="1"/>
  <c r="E103" i="22"/>
  <c r="E15" i="51"/>
  <c r="R106" i="22"/>
  <c r="S103" i="22"/>
  <c r="W15" i="51"/>
  <c r="Y103" i="41"/>
  <c r="AC103" i="41" s="1"/>
  <c r="X106" i="41"/>
  <c r="AD42" i="48"/>
  <c r="Z103" i="48"/>
  <c r="AA42" i="48"/>
  <c r="J81" i="22"/>
  <c r="J83" i="4"/>
  <c r="K81" i="4"/>
  <c r="L81" i="41"/>
  <c r="L81" i="40"/>
  <c r="U106" i="41"/>
  <c r="T108" i="41"/>
  <c r="Q49" i="48"/>
  <c r="P50" i="48"/>
  <c r="Q103" i="22"/>
  <c r="P106" i="22"/>
  <c r="U15" i="51"/>
  <c r="R83" i="40"/>
  <c r="R89" i="40" s="1"/>
  <c r="S81" i="40"/>
  <c r="R83" i="41"/>
  <c r="S81" i="41"/>
  <c r="O105" i="48"/>
  <c r="S17" i="34"/>
  <c r="AC103" i="40"/>
  <c r="AD42" i="40"/>
  <c r="AG42" i="40"/>
  <c r="L74" i="4"/>
  <c r="L51" i="4"/>
  <c r="R106" i="48"/>
  <c r="S103" i="48"/>
  <c r="W15" i="34"/>
  <c r="G106" i="41"/>
  <c r="Q103" i="41"/>
  <c r="P106" i="41"/>
  <c r="K49" i="22"/>
  <c r="J10" i="21"/>
  <c r="J50" i="22"/>
  <c r="R75" i="24"/>
  <c r="S55" i="24"/>
  <c r="R56" i="24"/>
  <c r="M49" i="48"/>
  <c r="L50" i="48"/>
  <c r="W105" i="48"/>
  <c r="AC17" i="34"/>
  <c r="AD17" i="34" s="1"/>
  <c r="S35" i="45"/>
  <c r="S36" i="45" s="1"/>
  <c r="M69" i="45"/>
  <c r="M74" i="45" s="1"/>
  <c r="O49" i="22"/>
  <c r="N10" i="21"/>
  <c r="N50" i="22"/>
  <c r="E106" i="41"/>
  <c r="W106" i="41"/>
  <c r="V108" i="41"/>
  <c r="U105" i="48"/>
  <c r="AA17" i="34"/>
  <c r="S105" i="22"/>
  <c r="W17" i="51"/>
  <c r="X17" i="51" s="1"/>
  <c r="P81" i="22"/>
  <c r="P83" i="4"/>
  <c r="Q81" i="4"/>
  <c r="T81" i="41"/>
  <c r="T81" i="40"/>
  <c r="O83" i="4"/>
  <c r="H103" i="40"/>
  <c r="I42" i="40"/>
  <c r="X103" i="40"/>
  <c r="Y42" i="40"/>
  <c r="J106" i="22"/>
  <c r="K103" i="22"/>
  <c r="M15" i="51"/>
  <c r="L106" i="40"/>
  <c r="M103" i="40"/>
  <c r="V81" i="48"/>
  <c r="O106" i="41"/>
  <c r="N108" i="41"/>
  <c r="Y49" i="41"/>
  <c r="X50" i="41"/>
  <c r="X51" i="41" s="1"/>
  <c r="L81" i="22"/>
  <c r="L83" i="4"/>
  <c r="M81" i="4"/>
  <c r="N81" i="41"/>
  <c r="N81" i="40"/>
  <c r="N81" i="48"/>
  <c r="W103" i="48"/>
  <c r="V106" i="48"/>
  <c r="AC15" i="34"/>
  <c r="C103" i="40"/>
  <c r="X81" i="48"/>
  <c r="R106" i="40"/>
  <c r="S103" i="40"/>
  <c r="M49" i="40"/>
  <c r="L50" i="40"/>
  <c r="L51" i="40" s="1"/>
  <c r="L106" i="22"/>
  <c r="M103" i="22"/>
  <c r="O15" i="51"/>
  <c r="S105" i="48"/>
  <c r="W17" i="34"/>
  <c r="X17" i="34" s="1"/>
  <c r="O103" i="48"/>
  <c r="N106" i="48"/>
  <c r="S15" i="34"/>
  <c r="X106" i="48"/>
  <c r="Y103" i="48"/>
  <c r="AE15" i="34"/>
  <c r="M55" i="24"/>
  <c r="L56" i="24"/>
  <c r="L75" i="24"/>
  <c r="Q105" i="22"/>
  <c r="U17" i="51"/>
  <c r="V17" i="51" s="1"/>
  <c r="S49" i="40"/>
  <c r="X49" i="40"/>
  <c r="R50" i="40"/>
  <c r="R51" i="40" s="1"/>
  <c r="J51" i="4"/>
  <c r="J74" i="4"/>
  <c r="O105" i="22"/>
  <c r="S17" i="51"/>
  <c r="P74" i="4"/>
  <c r="P51" i="4"/>
  <c r="E103" i="40"/>
  <c r="R51" i="4"/>
  <c r="R74" i="4"/>
  <c r="Y49" i="48"/>
  <c r="X50" i="48"/>
  <c r="G103" i="22"/>
  <c r="G15" i="51"/>
  <c r="AA42" i="22"/>
  <c r="AD42" i="22"/>
  <c r="Z103" i="22"/>
  <c r="O103" i="40"/>
  <c r="N106" i="40"/>
  <c r="R81" i="22"/>
  <c r="R83" i="4"/>
  <c r="S81" i="4"/>
  <c r="V81" i="41"/>
  <c r="V81" i="40"/>
  <c r="T106" i="40"/>
  <c r="U103" i="40"/>
  <c r="P103" i="40"/>
  <c r="Q42" i="40"/>
  <c r="N56" i="24"/>
  <c r="O55" i="24"/>
  <c r="N75" i="24"/>
  <c r="O49" i="48"/>
  <c r="N50" i="48"/>
  <c r="T74" i="41"/>
  <c r="T51" i="41"/>
  <c r="M105" i="48"/>
  <c r="O17" i="34"/>
  <c r="P50" i="22"/>
  <c r="Q49" i="22"/>
  <c r="P10" i="21"/>
  <c r="C103" i="22"/>
  <c r="C15" i="51"/>
  <c r="O49" i="40"/>
  <c r="N50" i="40"/>
  <c r="N51" i="40" s="1"/>
  <c r="K105" i="22"/>
  <c r="M17" i="51"/>
  <c r="N17" i="51" s="1"/>
  <c r="U49" i="40"/>
  <c r="T50" i="40"/>
  <c r="T51" i="40" s="1"/>
  <c r="K103" i="40"/>
  <c r="M49" i="22"/>
  <c r="L10" i="21"/>
  <c r="L50" i="22"/>
  <c r="Y47" i="40"/>
  <c r="X105" i="40"/>
  <c r="Y105" i="40" s="1"/>
  <c r="U103" i="48"/>
  <c r="T106" i="48"/>
  <c r="AA15" i="34"/>
  <c r="I103" i="22"/>
  <c r="K15" i="51"/>
  <c r="G103" i="40"/>
  <c r="P75" i="24"/>
  <c r="Q55" i="24"/>
  <c r="P56" i="24"/>
  <c r="C106" i="41"/>
  <c r="W103" i="40"/>
  <c r="V106" i="40"/>
  <c r="Y105" i="48"/>
  <c r="AE17" i="34"/>
  <c r="AF17" i="34" s="1"/>
  <c r="Q105" i="48"/>
  <c r="U17" i="34"/>
  <c r="V17" i="34" s="1"/>
  <c r="N85" i="4"/>
  <c r="K55" i="24"/>
  <c r="J56" i="24"/>
  <c r="J75" i="24"/>
  <c r="R50" i="22"/>
  <c r="S49" i="22"/>
  <c r="R10" i="21"/>
  <c r="R108" i="41"/>
  <c r="S106" i="41"/>
  <c r="S49" i="48"/>
  <c r="R50" i="48"/>
  <c r="L106" i="48"/>
  <c r="M103" i="48"/>
  <c r="O15" i="34"/>
  <c r="U49" i="48"/>
  <c r="T50" i="48"/>
  <c r="N51" i="4"/>
  <c r="N74" i="4"/>
  <c r="P106" i="48"/>
  <c r="Q103" i="48"/>
  <c r="U15" i="34"/>
  <c r="N106" i="22"/>
  <c r="O103" i="22"/>
  <c r="S15" i="51"/>
  <c r="P81" i="48" l="1"/>
  <c r="P83" i="48" s="1"/>
  <c r="D81" i="48"/>
  <c r="Z105" i="48"/>
  <c r="AA105" i="48" s="1"/>
  <c r="AD47" i="48"/>
  <c r="AA47" i="48"/>
  <c r="I55" i="46"/>
  <c r="AI262" i="34"/>
  <c r="J81" i="48"/>
  <c r="AA262" i="34"/>
  <c r="F119" i="48"/>
  <c r="L56" i="48"/>
  <c r="J111" i="48"/>
  <c r="K56" i="48"/>
  <c r="J72" i="48"/>
  <c r="I72" i="48"/>
  <c r="H21" i="34"/>
  <c r="G27" i="34"/>
  <c r="H27" i="34" s="1"/>
  <c r="K21" i="34"/>
  <c r="H117" i="48"/>
  <c r="I117" i="48" s="1"/>
  <c r="I111" i="48"/>
  <c r="K33" i="34"/>
  <c r="L33" i="34" s="1"/>
  <c r="I83" i="48"/>
  <c r="G33" i="34"/>
  <c r="H33" i="34" s="1"/>
  <c r="G83" i="48"/>
  <c r="C33" i="34"/>
  <c r="C83" i="48"/>
  <c r="I15" i="34"/>
  <c r="J15" i="34" s="1"/>
  <c r="D108" i="48"/>
  <c r="E106" i="48"/>
  <c r="L17" i="34"/>
  <c r="K18" i="34"/>
  <c r="H17" i="34"/>
  <c r="G18" i="34"/>
  <c r="D51" i="48"/>
  <c r="E51" i="48" s="1"/>
  <c r="E50" i="48"/>
  <c r="F17" i="34"/>
  <c r="E18" i="34"/>
  <c r="I17" i="34"/>
  <c r="H51" i="48"/>
  <c r="I51" i="48" s="1"/>
  <c r="I50" i="48"/>
  <c r="C64" i="34"/>
  <c r="C52" i="34"/>
  <c r="K106" i="48"/>
  <c r="J108" i="48"/>
  <c r="K108" i="48" s="1"/>
  <c r="H108" i="48"/>
  <c r="I108" i="48" s="1"/>
  <c r="I106" i="48"/>
  <c r="G106" i="48"/>
  <c r="F108" i="48"/>
  <c r="G108" i="48" s="1"/>
  <c r="G50" i="48"/>
  <c r="F51" i="48"/>
  <c r="G51" i="48" s="1"/>
  <c r="N17" i="34"/>
  <c r="M18" i="34"/>
  <c r="K50" i="48"/>
  <c r="J51" i="48"/>
  <c r="K51" i="48" s="1"/>
  <c r="AD49" i="41"/>
  <c r="AC50" i="41"/>
  <c r="AC51" i="41" s="1"/>
  <c r="AB91" i="41"/>
  <c r="AB96" i="41"/>
  <c r="AB92" i="41"/>
  <c r="Y81" i="4"/>
  <c r="Y83" i="4"/>
  <c r="X50" i="22"/>
  <c r="Y50" i="22" s="1"/>
  <c r="X10" i="21"/>
  <c r="X12" i="21" s="1"/>
  <c r="AB81" i="40"/>
  <c r="AB83" i="40" s="1"/>
  <c r="AB89" i="40" s="1"/>
  <c r="AB91" i="40" s="1"/>
  <c r="X85" i="4"/>
  <c r="Y85" i="4" s="1"/>
  <c r="X81" i="22"/>
  <c r="X32" i="21" s="1"/>
  <c r="X34" i="21" s="1"/>
  <c r="Y34" i="21" s="1"/>
  <c r="X51" i="4"/>
  <c r="T91" i="4"/>
  <c r="T85" i="4"/>
  <c r="T94" i="4" s="1"/>
  <c r="T97" i="4" s="1"/>
  <c r="AB108" i="40"/>
  <c r="T99" i="4"/>
  <c r="U83" i="4"/>
  <c r="T92" i="4"/>
  <c r="V85" i="4"/>
  <c r="V85" i="22" s="1"/>
  <c r="W85" i="22" s="1"/>
  <c r="T32" i="21"/>
  <c r="T34" i="21" s="1"/>
  <c r="U34" i="21" s="1"/>
  <c r="T83" i="22"/>
  <c r="T89" i="22" s="1"/>
  <c r="T92" i="22" s="1"/>
  <c r="W83" i="4"/>
  <c r="W89" i="4"/>
  <c r="X92" i="4"/>
  <c r="V91" i="4"/>
  <c r="X91" i="4"/>
  <c r="V99" i="4"/>
  <c r="U106" i="22"/>
  <c r="T108" i="22"/>
  <c r="U108" i="22" s="1"/>
  <c r="AC33" i="51"/>
  <c r="AD33" i="51" s="1"/>
  <c r="W83" i="22"/>
  <c r="AG17" i="51"/>
  <c r="AH17" i="51" s="1"/>
  <c r="AD17" i="51"/>
  <c r="AG15" i="51"/>
  <c r="AA18" i="51"/>
  <c r="AB15" i="51"/>
  <c r="V34" i="21"/>
  <c r="W34" i="21" s="1"/>
  <c r="W32" i="21"/>
  <c r="W89" i="22"/>
  <c r="V92" i="22"/>
  <c r="V94" i="22"/>
  <c r="W94" i="22" s="1"/>
  <c r="V91" i="22"/>
  <c r="W91" i="22" s="1"/>
  <c r="AC92" i="41"/>
  <c r="AC91" i="41"/>
  <c r="AC96" i="41"/>
  <c r="AC94" i="41"/>
  <c r="AD89" i="41"/>
  <c r="T12" i="21"/>
  <c r="U10" i="21"/>
  <c r="Y106" i="22"/>
  <c r="X108" i="22"/>
  <c r="Y108" i="22" s="1"/>
  <c r="T51" i="22"/>
  <c r="U51" i="22" s="1"/>
  <c r="U50" i="22"/>
  <c r="W50" i="22"/>
  <c r="V51" i="22"/>
  <c r="W51" i="22" s="1"/>
  <c r="W106" i="22"/>
  <c r="V108" i="22"/>
  <c r="W108" i="22" s="1"/>
  <c r="AA92" i="40"/>
  <c r="AA91" i="40"/>
  <c r="AA94" i="40"/>
  <c r="V12" i="21"/>
  <c r="W10" i="21"/>
  <c r="Z92" i="40"/>
  <c r="Z91" i="40"/>
  <c r="Z94" i="40"/>
  <c r="AE18" i="51"/>
  <c r="AF15" i="51"/>
  <c r="AC18" i="51"/>
  <c r="AD15" i="51"/>
  <c r="X81" i="40"/>
  <c r="Y81" i="40" s="1"/>
  <c r="Q103" i="40"/>
  <c r="H15" i="51"/>
  <c r="X108" i="48"/>
  <c r="Y108" i="48" s="1"/>
  <c r="Y106" i="48"/>
  <c r="U50" i="48"/>
  <c r="T51" i="48"/>
  <c r="U51" i="48" s="1"/>
  <c r="S50" i="48"/>
  <c r="R51" i="48"/>
  <c r="S51" i="48" s="1"/>
  <c r="R51" i="22"/>
  <c r="S51" i="22" s="1"/>
  <c r="S50" i="22"/>
  <c r="L15" i="51"/>
  <c r="Q15" i="51"/>
  <c r="T17" i="51"/>
  <c r="Y17" i="51"/>
  <c r="Z17" i="51" s="1"/>
  <c r="S81" i="48"/>
  <c r="R83" i="48"/>
  <c r="U106" i="40"/>
  <c r="T108" i="40"/>
  <c r="Y49" i="40"/>
  <c r="X50" i="40"/>
  <c r="X51" i="40" s="1"/>
  <c r="D15" i="51"/>
  <c r="I15" i="51"/>
  <c r="S81" i="22"/>
  <c r="R83" i="22"/>
  <c r="R32" i="21"/>
  <c r="U18" i="34"/>
  <c r="V15" i="34"/>
  <c r="AA103" i="22"/>
  <c r="T83" i="41"/>
  <c r="U81" i="41"/>
  <c r="N12" i="21"/>
  <c r="O10" i="21"/>
  <c r="Y17" i="34"/>
  <c r="Z17" i="34" s="1"/>
  <c r="T17" i="34"/>
  <c r="Q106" i="22"/>
  <c r="P108" i="22"/>
  <c r="Q108" i="22" s="1"/>
  <c r="K83" i="4"/>
  <c r="J85" i="4"/>
  <c r="J89" i="4"/>
  <c r="F15" i="51"/>
  <c r="V108" i="40"/>
  <c r="W106" i="40"/>
  <c r="T108" i="48"/>
  <c r="U108" i="48" s="1"/>
  <c r="U106" i="48"/>
  <c r="P51" i="22"/>
  <c r="Q51" i="22" s="1"/>
  <c r="Q50" i="22"/>
  <c r="S106" i="40"/>
  <c r="R108" i="40"/>
  <c r="AC18" i="34"/>
  <c r="AD15" i="34"/>
  <c r="O81" i="48"/>
  <c r="N83" i="48"/>
  <c r="M83" i="4"/>
  <c r="L89" i="4"/>
  <c r="L85" i="4"/>
  <c r="J108" i="22"/>
  <c r="K108" i="22" s="1"/>
  <c r="K106" i="22"/>
  <c r="J51" i="22"/>
  <c r="K51" i="22" s="1"/>
  <c r="K50" i="22"/>
  <c r="Q106" i="41"/>
  <c r="R108" i="48"/>
  <c r="S108" i="48" s="1"/>
  <c r="S106" i="48"/>
  <c r="AD103" i="40"/>
  <c r="K81" i="22"/>
  <c r="J83" i="22"/>
  <c r="J32" i="21"/>
  <c r="V51" i="48"/>
  <c r="W51" i="48" s="1"/>
  <c r="W50" i="48"/>
  <c r="W81" i="41"/>
  <c r="V83" i="41"/>
  <c r="I103" i="40"/>
  <c r="S89" i="40"/>
  <c r="R91" i="40"/>
  <c r="R92" i="40"/>
  <c r="R94" i="40"/>
  <c r="S18" i="34"/>
  <c r="T15" i="34"/>
  <c r="Y15" i="34"/>
  <c r="O81" i="40"/>
  <c r="N83" i="40"/>
  <c r="O85" i="4"/>
  <c r="N85" i="22"/>
  <c r="O85" i="22" s="1"/>
  <c r="N94" i="4"/>
  <c r="N96" i="4" s="1"/>
  <c r="R85" i="40"/>
  <c r="T15" i="51"/>
  <c r="Y15" i="51"/>
  <c r="S18" i="51"/>
  <c r="P15" i="34"/>
  <c r="Q15" i="34"/>
  <c r="O18" i="34"/>
  <c r="M50" i="22"/>
  <c r="L51" i="22"/>
  <c r="M51" i="22" s="1"/>
  <c r="P108" i="48"/>
  <c r="Q108" i="48" s="1"/>
  <c r="Q106" i="48"/>
  <c r="S10" i="21"/>
  <c r="R12" i="21"/>
  <c r="M10" i="21"/>
  <c r="L12" i="21"/>
  <c r="Q10" i="21"/>
  <c r="P12" i="21"/>
  <c r="AF15" i="34"/>
  <c r="AE18" i="34"/>
  <c r="P15" i="51"/>
  <c r="O18" i="51"/>
  <c r="W106" i="48"/>
  <c r="V108" i="48"/>
  <c r="W108" i="48" s="1"/>
  <c r="L83" i="22"/>
  <c r="M81" i="22"/>
  <c r="L32" i="21"/>
  <c r="V83" i="48"/>
  <c r="W81" i="48"/>
  <c r="Q83" i="4"/>
  <c r="P89" i="4"/>
  <c r="P85" i="4"/>
  <c r="G30" i="45"/>
  <c r="N51" i="48"/>
  <c r="O51" i="48" s="1"/>
  <c r="O50" i="48"/>
  <c r="N108" i="22"/>
  <c r="O108" i="22" s="1"/>
  <c r="O106" i="22"/>
  <c r="M106" i="48"/>
  <c r="L108" i="48"/>
  <c r="M108" i="48" s="1"/>
  <c r="AA18" i="34"/>
  <c r="AB15" i="34"/>
  <c r="AG15" i="34"/>
  <c r="AD103" i="41"/>
  <c r="AC106" i="41"/>
  <c r="W81" i="40"/>
  <c r="V83" i="40"/>
  <c r="X51" i="48"/>
  <c r="Y51" i="48" s="1"/>
  <c r="Y50" i="48"/>
  <c r="Y81" i="48"/>
  <c r="X83" i="48"/>
  <c r="Q81" i="22"/>
  <c r="P83" i="22"/>
  <c r="P32" i="21"/>
  <c r="M50" i="48"/>
  <c r="L51" i="48"/>
  <c r="M51" i="48" s="1"/>
  <c r="K10" i="21"/>
  <c r="J12" i="21"/>
  <c r="S83" i="40"/>
  <c r="X108" i="41"/>
  <c r="Y106" i="41"/>
  <c r="X81" i="41"/>
  <c r="O32" i="21"/>
  <c r="N34" i="21"/>
  <c r="O34" i="21" s="1"/>
  <c r="P51" i="48"/>
  <c r="Q51" i="48" s="1"/>
  <c r="Q50" i="48"/>
  <c r="L83" i="40"/>
  <c r="M81" i="40"/>
  <c r="AA103" i="48"/>
  <c r="X15" i="51"/>
  <c r="W18" i="51"/>
  <c r="L108" i="22"/>
  <c r="M108" i="22" s="1"/>
  <c r="M106" i="22"/>
  <c r="Q17" i="34"/>
  <c r="P17" i="34"/>
  <c r="N108" i="40"/>
  <c r="O106" i="40"/>
  <c r="O106" i="48"/>
  <c r="N108" i="48"/>
  <c r="O108" i="48" s="1"/>
  <c r="L108" i="40"/>
  <c r="M106" i="40"/>
  <c r="AG17" i="34"/>
  <c r="AH17" i="34" s="1"/>
  <c r="AB17" i="34"/>
  <c r="N94" i="22"/>
  <c r="O94" i="22" s="1"/>
  <c r="O89" i="22"/>
  <c r="N91" i="22"/>
  <c r="O91" i="22" s="1"/>
  <c r="N92" i="22"/>
  <c r="S83" i="41"/>
  <c r="R85" i="41"/>
  <c r="R89" i="41"/>
  <c r="L83" i="41"/>
  <c r="M81" i="41"/>
  <c r="AA49" i="48"/>
  <c r="AD49" i="48"/>
  <c r="Z50" i="48"/>
  <c r="Z51" i="48" s="1"/>
  <c r="O83" i="22"/>
  <c r="S33" i="51"/>
  <c r="I106" i="41"/>
  <c r="S83" i="4"/>
  <c r="R85" i="4"/>
  <c r="R89" i="4"/>
  <c r="N83" i="41"/>
  <c r="O81" i="41"/>
  <c r="M18" i="51"/>
  <c r="N15" i="51"/>
  <c r="Y103" i="40"/>
  <c r="X106" i="40"/>
  <c r="T83" i="40"/>
  <c r="U81" i="40"/>
  <c r="N51" i="22"/>
  <c r="O51" i="22" s="1"/>
  <c r="O50" i="22"/>
  <c r="X15" i="34"/>
  <c r="W18" i="34"/>
  <c r="U18" i="51"/>
  <c r="V15" i="51"/>
  <c r="R108" i="22"/>
  <c r="S108" i="22" s="1"/>
  <c r="S106" i="22"/>
  <c r="Q81" i="48" l="1"/>
  <c r="E81" i="48"/>
  <c r="D83" i="48"/>
  <c r="D85" i="48"/>
  <c r="E85" i="48" s="1"/>
  <c r="Z106" i="48"/>
  <c r="Z108" i="48" s="1"/>
  <c r="M55" i="46"/>
  <c r="K55" i="46"/>
  <c r="F85" i="48"/>
  <c r="G85" i="48" s="1"/>
  <c r="H85" i="48"/>
  <c r="I85" i="48" s="1"/>
  <c r="K30" i="45"/>
  <c r="K81" i="48"/>
  <c r="J83" i="48"/>
  <c r="B53" i="48"/>
  <c r="H119" i="48"/>
  <c r="I119" i="48" s="1"/>
  <c r="L111" i="48"/>
  <c r="L72" i="48"/>
  <c r="M72" i="48" s="1"/>
  <c r="M56" i="48"/>
  <c r="K72" i="48"/>
  <c r="N56" i="48"/>
  <c r="K27" i="34"/>
  <c r="L27" i="34" s="1"/>
  <c r="L21" i="34"/>
  <c r="K111" i="48"/>
  <c r="M21" i="34"/>
  <c r="J117" i="48"/>
  <c r="K117" i="48" s="1"/>
  <c r="D33" i="34"/>
  <c r="M19" i="34"/>
  <c r="N18" i="34"/>
  <c r="M51" i="34"/>
  <c r="J17" i="34"/>
  <c r="I18" i="34"/>
  <c r="E29" i="34"/>
  <c r="E55" i="34"/>
  <c r="E19" i="34"/>
  <c r="E51" i="34"/>
  <c r="F18" i="34"/>
  <c r="H18" i="34"/>
  <c r="G19" i="34"/>
  <c r="G29" i="34"/>
  <c r="G55" i="34"/>
  <c r="G51" i="34"/>
  <c r="L18" i="34"/>
  <c r="K51" i="34"/>
  <c r="K19" i="34"/>
  <c r="Y32" i="21"/>
  <c r="X83" i="22"/>
  <c r="X89" i="22" s="1"/>
  <c r="X94" i="22" s="1"/>
  <c r="Y94" i="22" s="1"/>
  <c r="Y81" i="22"/>
  <c r="X94" i="4"/>
  <c r="X97" i="4" s="1"/>
  <c r="X98" i="4" s="1"/>
  <c r="Y10" i="21"/>
  <c r="X51" i="22"/>
  <c r="Y51" i="22" s="1"/>
  <c r="AB94" i="40"/>
  <c r="AB92" i="40"/>
  <c r="T85" i="22"/>
  <c r="U85" i="22" s="1"/>
  <c r="T96" i="4"/>
  <c r="Z85" i="40"/>
  <c r="U85" i="4"/>
  <c r="U83" i="22"/>
  <c r="AA33" i="51"/>
  <c r="AB33" i="51" s="1"/>
  <c r="V94" i="4"/>
  <c r="V97" i="4" s="1"/>
  <c r="U89" i="22"/>
  <c r="W85" i="4"/>
  <c r="T91" i="22"/>
  <c r="U91" i="22" s="1"/>
  <c r="U32" i="21"/>
  <c r="T94" i="22"/>
  <c r="U94" i="22" s="1"/>
  <c r="W92" i="22"/>
  <c r="V44" i="21"/>
  <c r="AA19" i="51"/>
  <c r="AA55" i="51"/>
  <c r="AA51" i="51"/>
  <c r="AA29" i="51"/>
  <c r="AB18" i="51"/>
  <c r="V27" i="21"/>
  <c r="V14" i="21"/>
  <c r="W12" i="21"/>
  <c r="AH15" i="51"/>
  <c r="AG18" i="51"/>
  <c r="AC19" i="51"/>
  <c r="AC51" i="51"/>
  <c r="AC55" i="51"/>
  <c r="AD18" i="51"/>
  <c r="AC29" i="51"/>
  <c r="AC39" i="51"/>
  <c r="AE19" i="51"/>
  <c r="AE55" i="51"/>
  <c r="AE29" i="51"/>
  <c r="AF18" i="51"/>
  <c r="AE51" i="51"/>
  <c r="U12" i="21"/>
  <c r="T14" i="21"/>
  <c r="T27" i="21"/>
  <c r="T44" i="21"/>
  <c r="U92" i="22"/>
  <c r="X27" i="21"/>
  <c r="X14" i="21"/>
  <c r="Y12" i="21"/>
  <c r="X83" i="40"/>
  <c r="Y83" i="40" s="1"/>
  <c r="N100" i="4"/>
  <c r="N102" i="4" s="1"/>
  <c r="U55" i="51"/>
  <c r="V18" i="51"/>
  <c r="U19" i="51"/>
  <c r="U51" i="51"/>
  <c r="U29" i="51"/>
  <c r="Y106" i="40"/>
  <c r="Y108" i="40" s="1"/>
  <c r="X108" i="40"/>
  <c r="AC108" i="41"/>
  <c r="AD106" i="41"/>
  <c r="P91" i="4"/>
  <c r="P92" i="4"/>
  <c r="Q89" i="4"/>
  <c r="L34" i="21"/>
  <c r="M34" i="21" s="1"/>
  <c r="M32" i="21"/>
  <c r="M12" i="21"/>
  <c r="L27" i="21"/>
  <c r="L14" i="21"/>
  <c r="O51" i="34"/>
  <c r="P18" i="34"/>
  <c r="O19" i="34"/>
  <c r="S85" i="40"/>
  <c r="M85" i="4"/>
  <c r="L85" i="22"/>
  <c r="M85" i="22" s="1"/>
  <c r="L94" i="4"/>
  <c r="L96" i="4" s="1"/>
  <c r="N85" i="40"/>
  <c r="O85" i="40" s="1"/>
  <c r="AC51" i="34"/>
  <c r="AD18" i="34"/>
  <c r="AC19" i="34"/>
  <c r="R15" i="34"/>
  <c r="AI15" i="34"/>
  <c r="Q18" i="34"/>
  <c r="T18" i="34"/>
  <c r="S51" i="34"/>
  <c r="S19" i="34"/>
  <c r="L91" i="4"/>
  <c r="M89" i="4"/>
  <c r="L92" i="4"/>
  <c r="X85" i="48"/>
  <c r="Y85" i="48" s="1"/>
  <c r="S83" i="48"/>
  <c r="W33" i="34"/>
  <c r="X33" i="34" s="1"/>
  <c r="T33" i="51"/>
  <c r="M83" i="22"/>
  <c r="O33" i="51"/>
  <c r="P33" i="51" s="1"/>
  <c r="L89" i="22"/>
  <c r="N97" i="4"/>
  <c r="N98" i="4" s="1"/>
  <c r="W83" i="41"/>
  <c r="V89" i="41"/>
  <c r="V85" i="41"/>
  <c r="W85" i="41" s="1"/>
  <c r="U51" i="34"/>
  <c r="V18" i="34"/>
  <c r="U19" i="34"/>
  <c r="N18" i="51"/>
  <c r="M51" i="51"/>
  <c r="M55" i="51"/>
  <c r="M29" i="51"/>
  <c r="M19" i="51"/>
  <c r="R17" i="34"/>
  <c r="AI17" i="34"/>
  <c r="AJ17" i="34" s="1"/>
  <c r="Y81" i="41"/>
  <c r="X83" i="41"/>
  <c r="AH15" i="34"/>
  <c r="AG18" i="34"/>
  <c r="W51" i="34"/>
  <c r="X18" i="34"/>
  <c r="W19" i="34"/>
  <c r="S89" i="4"/>
  <c r="R92" i="4"/>
  <c r="R91" i="4"/>
  <c r="M83" i="41"/>
  <c r="L85" i="41"/>
  <c r="M85" i="41" s="1"/>
  <c r="L89" i="41"/>
  <c r="Q83" i="48"/>
  <c r="U33" i="34"/>
  <c r="V33" i="34" s="1"/>
  <c r="Q32" i="21"/>
  <c r="P34" i="21"/>
  <c r="Q34" i="21" s="1"/>
  <c r="E69" i="45"/>
  <c r="G35" i="45"/>
  <c r="O51" i="51"/>
  <c r="O55" i="51"/>
  <c r="P18" i="51"/>
  <c r="O19" i="51"/>
  <c r="O29" i="51"/>
  <c r="T18" i="51"/>
  <c r="S51" i="51"/>
  <c r="S55" i="51"/>
  <c r="S19" i="51"/>
  <c r="S29" i="51"/>
  <c r="S39" i="51"/>
  <c r="R34" i="21"/>
  <c r="S34" i="21" s="1"/>
  <c r="S32" i="21"/>
  <c r="Y18" i="51"/>
  <c r="Z15" i="51"/>
  <c r="S83" i="22"/>
  <c r="W33" i="51"/>
  <c r="X33" i="51" s="1"/>
  <c r="R89" i="22"/>
  <c r="R15" i="51"/>
  <c r="U83" i="40"/>
  <c r="T89" i="40"/>
  <c r="O83" i="41"/>
  <c r="N85" i="41"/>
  <c r="O85" i="41" s="1"/>
  <c r="N89" i="41"/>
  <c r="R85" i="22"/>
  <c r="S85" i="22" s="1"/>
  <c r="R94" i="4"/>
  <c r="R96" i="4" s="1"/>
  <c r="S85" i="4"/>
  <c r="V85" i="40"/>
  <c r="W85" i="40" s="1"/>
  <c r="R94" i="41"/>
  <c r="R96" i="41"/>
  <c r="S89" i="41"/>
  <c r="R91" i="41"/>
  <c r="R92" i="41"/>
  <c r="M83" i="40"/>
  <c r="L89" i="40"/>
  <c r="K12" i="21"/>
  <c r="J14" i="21"/>
  <c r="J27" i="21"/>
  <c r="Q83" i="22"/>
  <c r="U33" i="51"/>
  <c r="V33" i="51" s="1"/>
  <c r="P89" i="22"/>
  <c r="AB18" i="34"/>
  <c r="AA51" i="34"/>
  <c r="AA19" i="34"/>
  <c r="L81" i="48"/>
  <c r="P14" i="21"/>
  <c r="Q14" i="21" s="1"/>
  <c r="Q12" i="21"/>
  <c r="P27" i="21"/>
  <c r="S85" i="41"/>
  <c r="O92" i="22"/>
  <c r="N44" i="21"/>
  <c r="Y83" i="48"/>
  <c r="AE33" i="34"/>
  <c r="AF33" i="34" s="1"/>
  <c r="X89" i="48"/>
  <c r="AE51" i="34"/>
  <c r="AE55" i="34"/>
  <c r="AF18" i="34"/>
  <c r="AE19" i="34"/>
  <c r="AE29" i="34"/>
  <c r="O83" i="48"/>
  <c r="S33" i="34"/>
  <c r="O12" i="21"/>
  <c r="N27" i="21"/>
  <c r="N14" i="21"/>
  <c r="W83" i="40"/>
  <c r="V89" i="40"/>
  <c r="J34" i="21"/>
  <c r="K34" i="21" s="1"/>
  <c r="K32" i="21"/>
  <c r="K89" i="4"/>
  <c r="J92" i="4"/>
  <c r="J91" i="4"/>
  <c r="W55" i="51"/>
  <c r="W29" i="51"/>
  <c r="W19" i="51"/>
  <c r="X18" i="51"/>
  <c r="W51" i="51"/>
  <c r="P85" i="22"/>
  <c r="Q85" i="22" s="1"/>
  <c r="Q85" i="4"/>
  <c r="P94" i="4"/>
  <c r="T85" i="40"/>
  <c r="U85" i="40" s="1"/>
  <c r="W83" i="48"/>
  <c r="AC33" i="34"/>
  <c r="AD33" i="34" s="1"/>
  <c r="R14" i="21"/>
  <c r="R27" i="21"/>
  <c r="S12" i="21"/>
  <c r="O83" i="40"/>
  <c r="N89" i="40"/>
  <c r="Z15" i="34"/>
  <c r="Y18" i="34"/>
  <c r="K83" i="22"/>
  <c r="M33" i="51"/>
  <c r="N33" i="51" s="1"/>
  <c r="J89" i="22"/>
  <c r="J85" i="22"/>
  <c r="K85" i="22" s="1"/>
  <c r="K85" i="4"/>
  <c r="J94" i="4"/>
  <c r="J96" i="4" s="1"/>
  <c r="L85" i="40"/>
  <c r="M85" i="40" s="1"/>
  <c r="U83" i="41"/>
  <c r="T85" i="41"/>
  <c r="U85" i="41" s="1"/>
  <c r="T89" i="41"/>
  <c r="AI15" i="51"/>
  <c r="J15" i="51"/>
  <c r="E33" i="34" l="1"/>
  <c r="E35" i="34" s="1"/>
  <c r="E83" i="48"/>
  <c r="F87" i="48"/>
  <c r="D87" i="48"/>
  <c r="AA106" i="48"/>
  <c r="O55" i="46"/>
  <c r="H87" i="48"/>
  <c r="K37" i="34" s="1"/>
  <c r="K39" i="34" s="1"/>
  <c r="L39" i="34" s="1"/>
  <c r="J85" i="48"/>
  <c r="K85" i="48" s="1"/>
  <c r="K83" i="48"/>
  <c r="M33" i="34"/>
  <c r="N33" i="34" s="1"/>
  <c r="K35" i="45"/>
  <c r="K36" i="45" s="1"/>
  <c r="J69" i="45"/>
  <c r="J74" i="45" s="1"/>
  <c r="F69" i="45"/>
  <c r="F74" i="45" s="1"/>
  <c r="T81" i="48"/>
  <c r="Z81" i="48" s="1"/>
  <c r="K55" i="34"/>
  <c r="K56" i="34" s="1"/>
  <c r="K29" i="34"/>
  <c r="K35" i="34" s="1"/>
  <c r="C53" i="48"/>
  <c r="Z53" i="48"/>
  <c r="B54" i="48"/>
  <c r="B111" i="48" s="1"/>
  <c r="M27" i="34"/>
  <c r="N21" i="34"/>
  <c r="P56" i="48"/>
  <c r="L117" i="48"/>
  <c r="O21" i="34"/>
  <c r="Q21" i="34" s="1"/>
  <c r="M111" i="48"/>
  <c r="N111" i="48"/>
  <c r="N72" i="48"/>
  <c r="O72" i="48" s="1"/>
  <c r="O56" i="48"/>
  <c r="J119" i="48"/>
  <c r="G30" i="34"/>
  <c r="G35" i="34"/>
  <c r="E30" i="34"/>
  <c r="M52" i="34"/>
  <c r="M64" i="34"/>
  <c r="K64" i="34"/>
  <c r="K52" i="34"/>
  <c r="E52" i="34"/>
  <c r="E64" i="34"/>
  <c r="G64" i="34"/>
  <c r="G52" i="34"/>
  <c r="I51" i="34"/>
  <c r="J18" i="34"/>
  <c r="I19" i="34"/>
  <c r="G65" i="34"/>
  <c r="G56" i="34"/>
  <c r="E56" i="34"/>
  <c r="E65" i="34"/>
  <c r="AE33" i="51"/>
  <c r="AF33" i="51" s="1"/>
  <c r="Y83" i="22"/>
  <c r="X92" i="22"/>
  <c r="X44" i="21" s="1"/>
  <c r="X91" i="22"/>
  <c r="Y91" i="22" s="1"/>
  <c r="Y89" i="22"/>
  <c r="X96" i="4"/>
  <c r="X100" i="4" s="1"/>
  <c r="X102" i="4" s="1"/>
  <c r="V96" i="4"/>
  <c r="AA39" i="51"/>
  <c r="AB39" i="51" s="1"/>
  <c r="AA35" i="51"/>
  <c r="AA30" i="51"/>
  <c r="Y27" i="21"/>
  <c r="X36" i="21"/>
  <c r="AD39" i="51"/>
  <c r="AC40" i="51"/>
  <c r="AG51" i="51"/>
  <c r="AA64" i="51"/>
  <c r="AA52" i="51"/>
  <c r="AE64" i="51"/>
  <c r="AE52" i="51"/>
  <c r="AC35" i="51"/>
  <c r="AC30" i="51"/>
  <c r="AG55" i="51"/>
  <c r="AA65" i="51"/>
  <c r="AA56" i="51"/>
  <c r="AG19" i="51"/>
  <c r="AG29" i="51"/>
  <c r="AH18" i="51"/>
  <c r="W27" i="21"/>
  <c r="V36" i="21"/>
  <c r="T36" i="21"/>
  <c r="U27" i="21"/>
  <c r="AE30" i="51"/>
  <c r="AC65" i="51"/>
  <c r="AC56" i="51"/>
  <c r="AE65" i="51"/>
  <c r="AE56" i="51"/>
  <c r="AC64" i="51"/>
  <c r="AC52" i="51"/>
  <c r="X89" i="40"/>
  <c r="X94" i="40" s="1"/>
  <c r="W39" i="51"/>
  <c r="X39" i="51" s="1"/>
  <c r="O39" i="51"/>
  <c r="O40" i="51" s="1"/>
  <c r="M39" i="51"/>
  <c r="N39" i="51" s="1"/>
  <c r="AE39" i="34"/>
  <c r="AF39" i="34" s="1"/>
  <c r="L100" i="4"/>
  <c r="L102" i="4" s="1"/>
  <c r="O35" i="51"/>
  <c r="O30" i="51"/>
  <c r="V91" i="41"/>
  <c r="V94" i="41"/>
  <c r="V92" i="41"/>
  <c r="W89" i="41"/>
  <c r="V96" i="41"/>
  <c r="Q51" i="34"/>
  <c r="O64" i="34"/>
  <c r="O52" i="34"/>
  <c r="U30" i="51"/>
  <c r="U35" i="51"/>
  <c r="V92" i="40"/>
  <c r="W89" i="40"/>
  <c r="V91" i="40"/>
  <c r="V94" i="40"/>
  <c r="Q89" i="22"/>
  <c r="P92" i="22"/>
  <c r="P91" i="22"/>
  <c r="Q91" i="22" s="1"/>
  <c r="P94" i="22"/>
  <c r="Q94" i="22" s="1"/>
  <c r="M35" i="51"/>
  <c r="M30" i="51"/>
  <c r="L97" i="4"/>
  <c r="L98" i="4" s="1"/>
  <c r="U52" i="51"/>
  <c r="U64" i="51"/>
  <c r="Z18" i="34"/>
  <c r="Y19" i="34"/>
  <c r="W52" i="51"/>
  <c r="W64" i="51"/>
  <c r="Y33" i="34"/>
  <c r="Z33" i="34" s="1"/>
  <c r="T33" i="34"/>
  <c r="AE65" i="34"/>
  <c r="AE56" i="34"/>
  <c r="X94" i="48"/>
  <c r="Y94" i="48" s="1"/>
  <c r="X92" i="48"/>
  <c r="Y92" i="48" s="1"/>
  <c r="X91" i="48"/>
  <c r="Y91" i="48" s="1"/>
  <c r="Y89" i="48"/>
  <c r="T39" i="51"/>
  <c r="S40" i="51"/>
  <c r="W52" i="34"/>
  <c r="W64" i="34"/>
  <c r="M56" i="51"/>
  <c r="M65" i="51"/>
  <c r="X85" i="40"/>
  <c r="Y85" i="40" s="1"/>
  <c r="M27" i="21"/>
  <c r="L36" i="21"/>
  <c r="U39" i="51"/>
  <c r="J100" i="4"/>
  <c r="J102" i="4" s="1"/>
  <c r="AH18" i="34"/>
  <c r="AG19" i="34"/>
  <c r="Y83" i="41"/>
  <c r="X89" i="41"/>
  <c r="M52" i="51"/>
  <c r="M64" i="51"/>
  <c r="Z14" i="21"/>
  <c r="K27" i="21"/>
  <c r="J36" i="21"/>
  <c r="R100" i="4"/>
  <c r="R102" i="4" s="1"/>
  <c r="R94" i="22"/>
  <c r="S94" i="22" s="1"/>
  <c r="R91" i="22"/>
  <c r="S91" i="22" s="1"/>
  <c r="S89" i="22"/>
  <c r="R92" i="22"/>
  <c r="Z18" i="51"/>
  <c r="Y19" i="51"/>
  <c r="Y29" i="51"/>
  <c r="O56" i="51"/>
  <c r="O65" i="51"/>
  <c r="L92" i="41"/>
  <c r="L96" i="41"/>
  <c r="M89" i="41"/>
  <c r="L94" i="41"/>
  <c r="L91" i="41"/>
  <c r="Y33" i="51"/>
  <c r="Z33" i="51" s="1"/>
  <c r="R18" i="34"/>
  <c r="Q19" i="34"/>
  <c r="W30" i="51"/>
  <c r="W35" i="51"/>
  <c r="AG51" i="34"/>
  <c r="AA52" i="34"/>
  <c r="AA64" i="34"/>
  <c r="R97" i="4"/>
  <c r="R98" i="4" s="1"/>
  <c r="Y55" i="51"/>
  <c r="S65" i="51"/>
  <c r="S56" i="51"/>
  <c r="O52" i="51"/>
  <c r="O64" i="51"/>
  <c r="U64" i="34"/>
  <c r="U52" i="34"/>
  <c r="AI18" i="34"/>
  <c r="AJ15" i="34"/>
  <c r="AC52" i="34"/>
  <c r="AC64" i="34"/>
  <c r="U56" i="51"/>
  <c r="U65" i="51"/>
  <c r="N91" i="40"/>
  <c r="N94" i="40"/>
  <c r="N92" i="40"/>
  <c r="O89" i="40"/>
  <c r="AE64" i="34"/>
  <c r="AE52" i="34"/>
  <c r="X85" i="41"/>
  <c r="Y85" i="41" s="1"/>
  <c r="M81" i="48"/>
  <c r="L83" i="48"/>
  <c r="Q19" i="51"/>
  <c r="AJ15" i="51"/>
  <c r="J97" i="4"/>
  <c r="J98" i="4" s="1"/>
  <c r="S27" i="21"/>
  <c r="R36" i="21"/>
  <c r="W65" i="51"/>
  <c r="W56" i="51"/>
  <c r="N36" i="21"/>
  <c r="O27" i="21"/>
  <c r="AE35" i="34"/>
  <c r="AE36" i="34" s="1"/>
  <c r="AE30" i="34"/>
  <c r="T92" i="40"/>
  <c r="U89" i="40"/>
  <c r="T91" i="40"/>
  <c r="T94" i="40"/>
  <c r="S64" i="51"/>
  <c r="Y51" i="51"/>
  <c r="S52" i="51"/>
  <c r="G36" i="45"/>
  <c r="L94" i="22"/>
  <c r="M94" i="22" s="1"/>
  <c r="M89" i="22"/>
  <c r="L91" i="22"/>
  <c r="M91" i="22" s="1"/>
  <c r="L92" i="22"/>
  <c r="J94" i="22"/>
  <c r="K94" i="22" s="1"/>
  <c r="J91" i="22"/>
  <c r="K91" i="22" s="1"/>
  <c r="K89" i="22"/>
  <c r="J92" i="22"/>
  <c r="P36" i="21"/>
  <c r="Q27" i="21"/>
  <c r="S35" i="51"/>
  <c r="S30" i="51"/>
  <c r="P97" i="4"/>
  <c r="P98" i="4" s="1"/>
  <c r="L94" i="40"/>
  <c r="M89" i="40"/>
  <c r="L91" i="40"/>
  <c r="L92" i="40"/>
  <c r="T94" i="41"/>
  <c r="U89" i="41"/>
  <c r="T91" i="41"/>
  <c r="T96" i="41"/>
  <c r="T92" i="41"/>
  <c r="P96" i="4"/>
  <c r="N92" i="41"/>
  <c r="O89" i="41"/>
  <c r="N91" i="41"/>
  <c r="N94" i="41"/>
  <c r="N96" i="41"/>
  <c r="E74" i="45"/>
  <c r="S64" i="34"/>
  <c r="Y51" i="34"/>
  <c r="S52" i="34"/>
  <c r="G87" i="48" l="1"/>
  <c r="F89" i="48"/>
  <c r="F94" i="48" s="1"/>
  <c r="G94" i="48" s="1"/>
  <c r="F33" i="34"/>
  <c r="I33" i="34"/>
  <c r="J33" i="34" s="1"/>
  <c r="G37" i="34"/>
  <c r="H37" i="34" s="1"/>
  <c r="E37" i="34"/>
  <c r="E87" i="48"/>
  <c r="D89" i="48"/>
  <c r="K30" i="34"/>
  <c r="K40" i="34"/>
  <c r="K38" i="34"/>
  <c r="H69" i="45"/>
  <c r="H74" i="45" s="1"/>
  <c r="Q55" i="46"/>
  <c r="I87" i="48"/>
  <c r="N69" i="45"/>
  <c r="N74" i="45" s="1"/>
  <c r="L37" i="34"/>
  <c r="H89" i="48"/>
  <c r="H91" i="48" s="1"/>
  <c r="I91" i="48" s="1"/>
  <c r="J87" i="48"/>
  <c r="U81" i="48"/>
  <c r="T83" i="48"/>
  <c r="Z83" i="48" s="1"/>
  <c r="K65" i="34"/>
  <c r="C111" i="48"/>
  <c r="B117" i="48"/>
  <c r="C117" i="48" s="1"/>
  <c r="C21" i="34"/>
  <c r="AD53" i="48"/>
  <c r="AA53" i="48"/>
  <c r="B85" i="48"/>
  <c r="C85" i="48" s="1"/>
  <c r="Z54" i="48"/>
  <c r="C54" i="48"/>
  <c r="B72" i="48"/>
  <c r="Q27" i="34"/>
  <c r="R21" i="34"/>
  <c r="P72" i="48"/>
  <c r="P111" i="48"/>
  <c r="Q56" i="48"/>
  <c r="L119" i="48"/>
  <c r="M117" i="48"/>
  <c r="R56" i="48"/>
  <c r="N27" i="34"/>
  <c r="M55" i="34"/>
  <c r="M29" i="34"/>
  <c r="N85" i="48"/>
  <c r="O85" i="48" s="1"/>
  <c r="S21" i="34"/>
  <c r="N117" i="48"/>
  <c r="O111" i="48"/>
  <c r="O27" i="34"/>
  <c r="P21" i="34"/>
  <c r="AG33" i="51"/>
  <c r="AH33" i="51" s="1"/>
  <c r="AE39" i="51"/>
  <c r="AF39" i="51" s="1"/>
  <c r="F35" i="34"/>
  <c r="E36" i="34"/>
  <c r="H35" i="34"/>
  <c r="G36" i="34"/>
  <c r="I52" i="34"/>
  <c r="I64" i="34"/>
  <c r="L35" i="34"/>
  <c r="K36" i="34"/>
  <c r="AE35" i="51"/>
  <c r="AE36" i="51" s="1"/>
  <c r="Y92" i="22"/>
  <c r="AE40" i="51"/>
  <c r="AA40" i="51"/>
  <c r="U36" i="21"/>
  <c r="T40" i="21"/>
  <c r="U40" i="21" s="1"/>
  <c r="AD35" i="51"/>
  <c r="AC36" i="51"/>
  <c r="AG64" i="51"/>
  <c r="AG52" i="51"/>
  <c r="AB35" i="51"/>
  <c r="AA36" i="51"/>
  <c r="V40" i="21"/>
  <c r="W40" i="21" s="1"/>
  <c r="W36" i="21"/>
  <c r="AG65" i="51"/>
  <c r="AG56" i="51"/>
  <c r="X40" i="21"/>
  <c r="Y40" i="21" s="1"/>
  <c r="Y36" i="21"/>
  <c r="AG30" i="51"/>
  <c r="W40" i="51"/>
  <c r="Y89" i="40"/>
  <c r="X92" i="40"/>
  <c r="X91" i="40"/>
  <c r="P39" i="51"/>
  <c r="AE40" i="34"/>
  <c r="M40" i="51"/>
  <c r="Q36" i="21"/>
  <c r="P40" i="21"/>
  <c r="Q40" i="21" s="1"/>
  <c r="M92" i="22"/>
  <c r="L44" i="21"/>
  <c r="Y65" i="51"/>
  <c r="Y56" i="51"/>
  <c r="W36" i="51"/>
  <c r="X35" i="51"/>
  <c r="S92" i="22"/>
  <c r="R44" i="21"/>
  <c r="Q64" i="34"/>
  <c r="Q52" i="34"/>
  <c r="AI19" i="51"/>
  <c r="AA81" i="48"/>
  <c r="AD81" i="48"/>
  <c r="P100" i="4"/>
  <c r="P102" i="4" s="1"/>
  <c r="O36" i="21"/>
  <c r="N40" i="21"/>
  <c r="O40" i="21" s="1"/>
  <c r="Q30" i="51"/>
  <c r="V39" i="51"/>
  <c r="U40" i="51"/>
  <c r="Q92" i="22"/>
  <c r="P44" i="21"/>
  <c r="V35" i="51"/>
  <c r="U36" i="51"/>
  <c r="P35" i="51"/>
  <c r="O36" i="51"/>
  <c r="R40" i="21"/>
  <c r="S40" i="21" s="1"/>
  <c r="S36" i="21"/>
  <c r="L40" i="21"/>
  <c r="M40" i="21" s="1"/>
  <c r="M36" i="21"/>
  <c r="Y52" i="34"/>
  <c r="Y64" i="34"/>
  <c r="Y39" i="51"/>
  <c r="AJ18" i="34"/>
  <c r="AI51" i="34"/>
  <c r="AI19" i="34"/>
  <c r="AG64" i="34"/>
  <c r="AG52" i="34"/>
  <c r="Y35" i="51"/>
  <c r="Y30" i="51"/>
  <c r="X96" i="41"/>
  <c r="Y89" i="41"/>
  <c r="X91" i="41"/>
  <c r="X94" i="41"/>
  <c r="X92" i="41"/>
  <c r="N35" i="51"/>
  <c r="M36" i="51"/>
  <c r="T35" i="51"/>
  <c r="S36" i="51"/>
  <c r="Y52" i="51"/>
  <c r="Y64" i="51"/>
  <c r="J40" i="21"/>
  <c r="K40" i="21" s="1"/>
  <c r="K36" i="21"/>
  <c r="K92" i="22"/>
  <c r="J44" i="21"/>
  <c r="M83" i="48"/>
  <c r="O33" i="34"/>
  <c r="L85" i="48"/>
  <c r="M85" i="48" s="1"/>
  <c r="G89" i="48" l="1"/>
  <c r="F92" i="48"/>
  <c r="G92" i="48" s="1"/>
  <c r="L87" i="48"/>
  <c r="L89" i="48" s="1"/>
  <c r="L92" i="48" s="1"/>
  <c r="M92" i="48" s="1"/>
  <c r="G39" i="34"/>
  <c r="H39" i="34" s="1"/>
  <c r="F91" i="48"/>
  <c r="G91" i="48" s="1"/>
  <c r="D92" i="48"/>
  <c r="D91" i="48"/>
  <c r="E89" i="48"/>
  <c r="D94" i="48"/>
  <c r="F37" i="34"/>
  <c r="E39" i="34"/>
  <c r="S55" i="46"/>
  <c r="M35" i="34"/>
  <c r="M30" i="34"/>
  <c r="H94" i="48"/>
  <c r="I94" i="48" s="1"/>
  <c r="H92" i="48"/>
  <c r="I92" i="48" s="1"/>
  <c r="I89" i="48"/>
  <c r="J89" i="48"/>
  <c r="M37" i="34"/>
  <c r="M38" i="34" s="1"/>
  <c r="K87" i="48"/>
  <c r="U83" i="48"/>
  <c r="AA33" i="34"/>
  <c r="AD54" i="48"/>
  <c r="AA54" i="48"/>
  <c r="B87" i="48"/>
  <c r="C27" i="34"/>
  <c r="D21" i="34"/>
  <c r="I21" i="34"/>
  <c r="C72" i="48"/>
  <c r="B119" i="48"/>
  <c r="P27" i="34"/>
  <c r="O29" i="34"/>
  <c r="O55" i="34"/>
  <c r="Q55" i="34" s="1"/>
  <c r="N87" i="48"/>
  <c r="R111" i="48"/>
  <c r="R72" i="48"/>
  <c r="S56" i="48"/>
  <c r="P85" i="48"/>
  <c r="Q85" i="48" s="1"/>
  <c r="Q72" i="48"/>
  <c r="T56" i="48"/>
  <c r="N119" i="48"/>
  <c r="O117" i="48"/>
  <c r="S27" i="34"/>
  <c r="T21" i="34"/>
  <c r="M56" i="34"/>
  <c r="M65" i="34"/>
  <c r="U21" i="34"/>
  <c r="P117" i="48"/>
  <c r="Q111" i="48"/>
  <c r="R27" i="34"/>
  <c r="Q29" i="34"/>
  <c r="Q30" i="34" s="1"/>
  <c r="AG35" i="51"/>
  <c r="AH35" i="51" s="1"/>
  <c r="AG39" i="51"/>
  <c r="AH39" i="51" s="1"/>
  <c r="AG40" i="51"/>
  <c r="AG36" i="51"/>
  <c r="Z39" i="51"/>
  <c r="Y40" i="51"/>
  <c r="AI30" i="51"/>
  <c r="Z35" i="51"/>
  <c r="Y36" i="51"/>
  <c r="P33" i="34"/>
  <c r="Q33" i="34"/>
  <c r="AA83" i="48"/>
  <c r="AD83" i="48"/>
  <c r="Q36" i="51"/>
  <c r="Q40" i="51"/>
  <c r="AI64" i="34"/>
  <c r="AI52" i="34"/>
  <c r="O37" i="34" l="1"/>
  <c r="O39" i="34" s="1"/>
  <c r="O40" i="34" s="1"/>
  <c r="M89" i="48"/>
  <c r="L91" i="48"/>
  <c r="M91" i="48" s="1"/>
  <c r="L94" i="48"/>
  <c r="M94" i="48" s="1"/>
  <c r="M87" i="48"/>
  <c r="G40" i="34"/>
  <c r="E40" i="34"/>
  <c r="F39" i="34"/>
  <c r="U55" i="46"/>
  <c r="O35" i="34"/>
  <c r="P35" i="34" s="1"/>
  <c r="O30" i="34"/>
  <c r="N35" i="34"/>
  <c r="M36" i="34"/>
  <c r="N37" i="34"/>
  <c r="M39" i="34"/>
  <c r="J94" i="48"/>
  <c r="K94" i="48" s="1"/>
  <c r="J91" i="48"/>
  <c r="K91" i="48" s="1"/>
  <c r="J92" i="48"/>
  <c r="K92" i="48" s="1"/>
  <c r="K89" i="48"/>
  <c r="AG33" i="34"/>
  <c r="AH33" i="34" s="1"/>
  <c r="AB33" i="34"/>
  <c r="C37" i="34"/>
  <c r="C39" i="34" s="1"/>
  <c r="C87" i="48"/>
  <c r="F18" i="33"/>
  <c r="J21" i="34"/>
  <c r="I27" i="34"/>
  <c r="B89" i="48"/>
  <c r="D27" i="34"/>
  <c r="C55" i="34"/>
  <c r="C29" i="34"/>
  <c r="Q65" i="34"/>
  <c r="Q56" i="34"/>
  <c r="N89" i="48"/>
  <c r="S37" i="34"/>
  <c r="O87" i="48"/>
  <c r="W21" i="34"/>
  <c r="R117" i="48"/>
  <c r="S111" i="48"/>
  <c r="P87" i="48"/>
  <c r="O65" i="34"/>
  <c r="O56" i="34"/>
  <c r="U27" i="34"/>
  <c r="V21" i="34"/>
  <c r="T27" i="34"/>
  <c r="S55" i="34"/>
  <c r="S29" i="34"/>
  <c r="V56" i="48"/>
  <c r="R85" i="48"/>
  <c r="S85" i="48" s="1"/>
  <c r="P119" i="48"/>
  <c r="Q117" i="48"/>
  <c r="T72" i="48"/>
  <c r="U72" i="48" s="1"/>
  <c r="T111" i="48"/>
  <c r="U56" i="48"/>
  <c r="S72" i="48"/>
  <c r="F28" i="33"/>
  <c r="R33" i="34"/>
  <c r="Q35" i="34"/>
  <c r="D28" i="33"/>
  <c r="P39" i="34" l="1"/>
  <c r="P37" i="34"/>
  <c r="O38" i="34"/>
  <c r="Q37" i="34"/>
  <c r="R37" i="34" s="1"/>
  <c r="W55" i="46"/>
  <c r="O36" i="34"/>
  <c r="S39" i="34"/>
  <c r="S38" i="34"/>
  <c r="S35" i="34"/>
  <c r="S30" i="34"/>
  <c r="N39" i="34"/>
  <c r="M40" i="34"/>
  <c r="AI33" i="34"/>
  <c r="AJ33" i="34" s="1"/>
  <c r="C40" i="34"/>
  <c r="D39" i="34"/>
  <c r="C30" i="34"/>
  <c r="C35" i="34"/>
  <c r="C65" i="34"/>
  <c r="C56" i="34"/>
  <c r="B94" i="48"/>
  <c r="B92" i="48"/>
  <c r="C89" i="48"/>
  <c r="B91" i="48"/>
  <c r="J27" i="34"/>
  <c r="I29" i="34"/>
  <c r="I55" i="34"/>
  <c r="D37" i="34"/>
  <c r="I37" i="34"/>
  <c r="V27" i="34"/>
  <c r="U55" i="34"/>
  <c r="U29" i="34"/>
  <c r="Z56" i="48"/>
  <c r="V72" i="48"/>
  <c r="W72" i="48" s="1"/>
  <c r="V111" i="48"/>
  <c r="W56" i="48"/>
  <c r="T117" i="48"/>
  <c r="AA21" i="34"/>
  <c r="U111" i="48"/>
  <c r="S56" i="34"/>
  <c r="S65" i="34"/>
  <c r="T85" i="48"/>
  <c r="U85" i="48" s="1"/>
  <c r="R87" i="48"/>
  <c r="Q87" i="48"/>
  <c r="U37" i="34"/>
  <c r="U38" i="34" s="1"/>
  <c r="P89" i="48"/>
  <c r="R119" i="48"/>
  <c r="S117" i="48"/>
  <c r="W27" i="34"/>
  <c r="X21" i="34"/>
  <c r="T37" i="34"/>
  <c r="N94" i="48"/>
  <c r="O94" i="48" s="1"/>
  <c r="N92" i="48"/>
  <c r="O92" i="48" s="1"/>
  <c r="O89" i="48"/>
  <c r="N91" i="48"/>
  <c r="O91" i="48" s="1"/>
  <c r="Y21" i="34"/>
  <c r="R35" i="34"/>
  <c r="Q36" i="34"/>
  <c r="Q39" i="34" l="1"/>
  <c r="R39" i="34" s="1"/>
  <c r="Q38" i="34"/>
  <c r="T35" i="34"/>
  <c r="S36" i="34"/>
  <c r="T39" i="34"/>
  <c r="S40" i="34"/>
  <c r="U35" i="34"/>
  <c r="U30" i="34"/>
  <c r="I65" i="34"/>
  <c r="I56" i="34"/>
  <c r="I35" i="34"/>
  <c r="I30" i="34"/>
  <c r="C36" i="34"/>
  <c r="D35" i="34"/>
  <c r="I39" i="34"/>
  <c r="I38" i="34"/>
  <c r="X27" i="34"/>
  <c r="W29" i="34"/>
  <c r="W55" i="34"/>
  <c r="AA55" i="46"/>
  <c r="T119" i="48"/>
  <c r="U117" i="48"/>
  <c r="U56" i="34"/>
  <c r="U65" i="34"/>
  <c r="T87" i="48"/>
  <c r="Z111" i="48"/>
  <c r="AD56" i="48"/>
  <c r="AA56" i="48"/>
  <c r="Z72" i="48"/>
  <c r="U39" i="34"/>
  <c r="V37" i="34"/>
  <c r="AA27" i="34"/>
  <c r="AB21" i="34"/>
  <c r="Y27" i="34"/>
  <c r="Z21" i="34"/>
  <c r="V85" i="48"/>
  <c r="W85" i="48" s="1"/>
  <c r="W37" i="34"/>
  <c r="W38" i="34" s="1"/>
  <c r="S87" i="48"/>
  <c r="R89" i="48"/>
  <c r="AC21" i="34"/>
  <c r="AG21" i="34" s="1"/>
  <c r="V117" i="48"/>
  <c r="W111" i="48"/>
  <c r="P94" i="48"/>
  <c r="Q94" i="48" s="1"/>
  <c r="P92" i="48"/>
  <c r="Q92" i="48" s="1"/>
  <c r="P91" i="48"/>
  <c r="Q91" i="48" s="1"/>
  <c r="Q89" i="48"/>
  <c r="AI36" i="51"/>
  <c r="AI40" i="51"/>
  <c r="Q40" i="34" l="1"/>
  <c r="W35" i="34"/>
  <c r="W30" i="34"/>
  <c r="V39" i="34"/>
  <c r="U40" i="34"/>
  <c r="V35" i="34"/>
  <c r="U36" i="34"/>
  <c r="J39" i="34"/>
  <c r="I40" i="34"/>
  <c r="J35" i="34"/>
  <c r="I36" i="34"/>
  <c r="AG27" i="34"/>
  <c r="AH21" i="34"/>
  <c r="AI21" i="34"/>
  <c r="R94" i="48"/>
  <c r="S94" i="48" s="1"/>
  <c r="S89" i="48"/>
  <c r="R92" i="48"/>
  <c r="S92" i="48" s="1"/>
  <c r="R91" i="48"/>
  <c r="S91" i="48" s="1"/>
  <c r="AB27" i="34"/>
  <c r="AA55" i="34"/>
  <c r="AA29" i="34"/>
  <c r="Z117" i="48"/>
  <c r="AA117" i="48" s="1"/>
  <c r="AA111" i="48"/>
  <c r="V87" i="48"/>
  <c r="Z87" i="48" s="1"/>
  <c r="W39" i="34"/>
  <c r="X37" i="34"/>
  <c r="Y37" i="34"/>
  <c r="Y38" i="34" s="1"/>
  <c r="W65" i="34"/>
  <c r="W56" i="34"/>
  <c r="Y55" i="34"/>
  <c r="AC27" i="34"/>
  <c r="AD21" i="34"/>
  <c r="V119" i="48"/>
  <c r="W117" i="48"/>
  <c r="Z27" i="34"/>
  <c r="Y29" i="34"/>
  <c r="AD72" i="48"/>
  <c r="AA72" i="48"/>
  <c r="Z85" i="48"/>
  <c r="AA85" i="48" s="1"/>
  <c r="T89" i="48"/>
  <c r="AA37" i="34"/>
  <c r="AA38" i="34" s="1"/>
  <c r="U87" i="48"/>
  <c r="F21" i="33" l="1"/>
  <c r="AA35" i="34"/>
  <c r="AA30" i="34"/>
  <c r="X39" i="34"/>
  <c r="W40" i="34"/>
  <c r="X35" i="34"/>
  <c r="W36" i="34"/>
  <c r="Y35" i="34"/>
  <c r="Y30" i="34"/>
  <c r="Z119" i="48"/>
  <c r="AA39" i="34"/>
  <c r="AB37" i="34"/>
  <c r="Z89" i="48"/>
  <c r="AD87" i="48"/>
  <c r="AA87" i="48"/>
  <c r="T94" i="48"/>
  <c r="U94" i="48" s="1"/>
  <c r="U89" i="48"/>
  <c r="T92" i="48"/>
  <c r="U92" i="48" s="1"/>
  <c r="T91" i="48"/>
  <c r="U91" i="48" s="1"/>
  <c r="AD27" i="34"/>
  <c r="AC29" i="34"/>
  <c r="AC55" i="34"/>
  <c r="AG55" i="34" s="1"/>
  <c r="V89" i="48"/>
  <c r="AC37" i="34"/>
  <c r="AC38" i="34" s="1"/>
  <c r="W87" i="48"/>
  <c r="AI27" i="34"/>
  <c r="AJ21" i="34"/>
  <c r="Y56" i="34"/>
  <c r="Y65" i="34"/>
  <c r="AA56" i="34"/>
  <c r="AA65" i="34"/>
  <c r="Y39" i="34"/>
  <c r="Z37" i="34"/>
  <c r="AH27" i="34"/>
  <c r="AG29" i="34"/>
  <c r="AC35" i="34" l="1"/>
  <c r="AC30" i="34"/>
  <c r="AB39" i="34"/>
  <c r="AA40" i="34"/>
  <c r="AG35" i="34"/>
  <c r="AG30" i="34"/>
  <c r="AB35" i="34"/>
  <c r="AA36" i="34"/>
  <c r="Z39" i="34"/>
  <c r="Y40" i="34"/>
  <c r="Z35" i="34"/>
  <c r="Y36" i="34"/>
  <c r="Z92" i="48"/>
  <c r="Z94" i="48"/>
  <c r="Z91" i="48"/>
  <c r="AA89" i="48"/>
  <c r="AD89" i="48"/>
  <c r="AJ27" i="34"/>
  <c r="AI29" i="34"/>
  <c r="AI55" i="34"/>
  <c r="AG56" i="34"/>
  <c r="AG65" i="34"/>
  <c r="AC39" i="34"/>
  <c r="AD37" i="34"/>
  <c r="V94" i="48"/>
  <c r="W94" i="48" s="1"/>
  <c r="V92" i="48"/>
  <c r="W92" i="48" s="1"/>
  <c r="V91" i="48"/>
  <c r="W91" i="48" s="1"/>
  <c r="W89" i="48"/>
  <c r="AG37" i="34"/>
  <c r="AG38" i="34" s="1"/>
  <c r="AC65" i="34"/>
  <c r="AC56" i="34"/>
  <c r="AD39" i="34" l="1"/>
  <c r="AC40" i="34"/>
  <c r="AD35" i="34"/>
  <c r="AC36" i="34"/>
  <c r="AH35" i="34"/>
  <c r="AG36" i="34"/>
  <c r="AI65" i="34"/>
  <c r="AI56" i="34"/>
  <c r="AI30" i="34"/>
  <c r="AI35" i="34"/>
  <c r="AG39" i="34"/>
  <c r="AH37" i="34"/>
  <c r="AI37" i="34"/>
  <c r="AH39" i="34" l="1"/>
  <c r="AG40" i="34"/>
  <c r="AJ35" i="34"/>
  <c r="AI36" i="34"/>
  <c r="AI39" i="34"/>
  <c r="AI38" i="34"/>
  <c r="AJ37" i="34"/>
  <c r="AJ39" i="34" l="1"/>
  <c r="AI40" i="34"/>
  <c r="C19" i="68" l="1"/>
  <c r="G19" i="68" l="1"/>
  <c r="C17" i="68"/>
  <c r="G17" i="68" s="1"/>
  <c r="H119" i="43" l="1"/>
  <c r="P121" i="43" s="1"/>
  <c r="R121" i="43" l="1"/>
  <c r="R127" i="43" s="1"/>
  <c r="R128" i="43" s="1"/>
  <c r="P127" i="43"/>
  <c r="P128" i="43" s="1"/>
  <c r="P129" i="43" s="1"/>
  <c r="B48" i="46"/>
  <c r="C48" i="46" s="1"/>
  <c r="T121" i="43" l="1"/>
  <c r="T127" i="43" s="1"/>
  <c r="T128" i="43" s="1"/>
  <c r="F49" i="46" s="1"/>
  <c r="G49" i="46" s="1"/>
  <c r="D48" i="46"/>
  <c r="E12" i="72" s="1"/>
  <c r="R129" i="43"/>
  <c r="D49" i="46"/>
  <c r="E49" i="46" s="1"/>
  <c r="C12" i="72"/>
  <c r="F48" i="46" l="1"/>
  <c r="G48" i="46" s="1"/>
  <c r="E48" i="46"/>
  <c r="V121" i="43"/>
  <c r="V127" i="43" s="1"/>
  <c r="V128" i="43" s="1"/>
  <c r="H49" i="46" s="1"/>
  <c r="I49" i="46" s="1"/>
  <c r="T129" i="43"/>
  <c r="D51" i="46"/>
  <c r="D52" i="46" s="1"/>
  <c r="D53" i="46" s="1"/>
  <c r="G12" i="72"/>
  <c r="F51" i="46" l="1"/>
  <c r="F52" i="46" s="1"/>
  <c r="F53" i="46" s="1"/>
  <c r="H48" i="46"/>
  <c r="I12" i="72" s="1"/>
  <c r="X121" i="43"/>
  <c r="X127" i="43" s="1"/>
  <c r="X128" i="43" s="1"/>
  <c r="J49" i="46" s="1"/>
  <c r="K49" i="46" s="1"/>
  <c r="V129" i="43"/>
  <c r="E5" i="72"/>
  <c r="E6" i="72" s="1"/>
  <c r="F6" i="72" s="1"/>
  <c r="E51" i="46"/>
  <c r="I48" i="46"/>
  <c r="G5" i="72" l="1"/>
  <c r="G8" i="72" s="1"/>
  <c r="G51" i="46"/>
  <c r="H51" i="46"/>
  <c r="H52" i="46" s="1"/>
  <c r="H53" i="46" s="1"/>
  <c r="J48" i="46"/>
  <c r="K48" i="46" s="1"/>
  <c r="X129" i="43"/>
  <c r="Z121" i="43"/>
  <c r="Z127" i="43" s="1"/>
  <c r="Z128" i="43" s="1"/>
  <c r="L49" i="46" s="1"/>
  <c r="M49" i="46" s="1"/>
  <c r="E8" i="72"/>
  <c r="F8" i="72" s="1"/>
  <c r="G6" i="72"/>
  <c r="K12" i="72" l="1"/>
  <c r="I5" i="72"/>
  <c r="I6" i="72" s="1"/>
  <c r="J6" i="72" s="1"/>
  <c r="J51" i="46"/>
  <c r="J52" i="46" s="1"/>
  <c r="J53" i="46" s="1"/>
  <c r="I51" i="46"/>
  <c r="L48" i="46"/>
  <c r="L51" i="46" s="1"/>
  <c r="Z129" i="43"/>
  <c r="AB121" i="43"/>
  <c r="AB127" i="43" s="1"/>
  <c r="AB128" i="43" s="1"/>
  <c r="N49" i="46" s="1"/>
  <c r="O49" i="46" s="1"/>
  <c r="H8" i="72"/>
  <c r="H6" i="72"/>
  <c r="N48" i="46" l="1"/>
  <c r="O12" i="72" s="1"/>
  <c r="M12" i="72"/>
  <c r="M48" i="46"/>
  <c r="I8" i="72"/>
  <c r="J8" i="72" s="1"/>
  <c r="K5" i="72"/>
  <c r="K8" i="72" s="1"/>
  <c r="K51" i="46"/>
  <c r="AD121" i="43"/>
  <c r="AD127" i="43" s="1"/>
  <c r="AD128" i="43" s="1"/>
  <c r="AD129" i="43" s="1"/>
  <c r="AB129" i="43"/>
  <c r="N51" i="46"/>
  <c r="M5" i="72"/>
  <c r="M51" i="46"/>
  <c r="L52" i="46"/>
  <c r="L53" i="46" s="1"/>
  <c r="P48" i="46"/>
  <c r="O48" i="46"/>
  <c r="K6" i="72" l="1"/>
  <c r="L6" i="72" s="1"/>
  <c r="AF121" i="43"/>
  <c r="AF127" i="43" s="1"/>
  <c r="AF128" i="43" s="1"/>
  <c r="B47" i="16" s="1"/>
  <c r="P49" i="46"/>
  <c r="Q49" i="46" s="1"/>
  <c r="O51" i="46"/>
  <c r="N52" i="46"/>
  <c r="N53" i="46" s="1"/>
  <c r="O5" i="72"/>
  <c r="M6" i="72"/>
  <c r="M8" i="72"/>
  <c r="L8" i="72"/>
  <c r="Q48" i="46"/>
  <c r="Q12" i="72"/>
  <c r="P51" i="46" l="1"/>
  <c r="Q51" i="46" s="1"/>
  <c r="AH121" i="43"/>
  <c r="AH127" i="43" s="1"/>
  <c r="AH128" i="43" s="1"/>
  <c r="D47" i="16" s="1"/>
  <c r="R49" i="46"/>
  <c r="S49" i="46" s="1"/>
  <c r="AF129" i="43"/>
  <c r="R48" i="46"/>
  <c r="S48" i="46" s="1"/>
  <c r="B47" i="41"/>
  <c r="B47" i="4"/>
  <c r="B47" i="24"/>
  <c r="C47" i="16"/>
  <c r="B49" i="16"/>
  <c r="R51" i="46"/>
  <c r="S12" i="72"/>
  <c r="T48" i="46"/>
  <c r="AJ121" i="43"/>
  <c r="AJ127" i="43" s="1"/>
  <c r="AJ128" i="43" s="1"/>
  <c r="O8" i="72"/>
  <c r="O6" i="72"/>
  <c r="P6" i="72" s="1"/>
  <c r="N8" i="72"/>
  <c r="N6" i="72"/>
  <c r="Q5" i="72" l="1"/>
  <c r="Q6" i="72" s="1"/>
  <c r="R6" i="72" s="1"/>
  <c r="P52" i="46"/>
  <c r="P53" i="46" s="1"/>
  <c r="AH129" i="43"/>
  <c r="T49" i="46"/>
  <c r="U49" i="46" s="1"/>
  <c r="C47" i="41"/>
  <c r="B49" i="41"/>
  <c r="B49" i="24"/>
  <c r="C47" i="24"/>
  <c r="AJ129" i="43"/>
  <c r="F47" i="16"/>
  <c r="V49" i="46"/>
  <c r="W49" i="46" s="1"/>
  <c r="B47" i="22"/>
  <c r="B104" i="4"/>
  <c r="C47" i="4"/>
  <c r="B47" i="40"/>
  <c r="B49" i="4"/>
  <c r="B111" i="4"/>
  <c r="B112" i="4" s="1"/>
  <c r="D47" i="24"/>
  <c r="D49" i="16"/>
  <c r="D47" i="4"/>
  <c r="D47" i="41"/>
  <c r="E47" i="16"/>
  <c r="B55" i="16"/>
  <c r="B62" i="16"/>
  <c r="B63" i="16" s="1"/>
  <c r="C49" i="16"/>
  <c r="S51" i="46"/>
  <c r="S5" i="72"/>
  <c r="R52" i="46"/>
  <c r="R53" i="46" s="1"/>
  <c r="P8" i="72"/>
  <c r="AL121" i="43"/>
  <c r="V48" i="46"/>
  <c r="U48" i="46"/>
  <c r="U12" i="72"/>
  <c r="T51" i="46" l="1"/>
  <c r="T52" i="46" s="1"/>
  <c r="T53" i="46" s="1"/>
  <c r="Q8" i="72"/>
  <c r="R8" i="72" s="1"/>
  <c r="D47" i="22"/>
  <c r="E47" i="4"/>
  <c r="D47" i="40"/>
  <c r="D111" i="4"/>
  <c r="D112" i="4" s="1"/>
  <c r="D49" i="4"/>
  <c r="D104" i="4"/>
  <c r="E259" i="51" s="1"/>
  <c r="E262" i="51" s="1"/>
  <c r="C49" i="4"/>
  <c r="B50" i="4"/>
  <c r="C259" i="51"/>
  <c r="B75" i="16"/>
  <c r="B56" i="16"/>
  <c r="C55" i="16"/>
  <c r="D55" i="16"/>
  <c r="D62" i="16"/>
  <c r="D63" i="16" s="1"/>
  <c r="E49" i="16"/>
  <c r="B105" i="22"/>
  <c r="B49" i="22"/>
  <c r="C47" i="22"/>
  <c r="E47" i="24"/>
  <c r="D49" i="24"/>
  <c r="C47" i="40"/>
  <c r="B49" i="40"/>
  <c r="B105" i="40"/>
  <c r="C49" i="41"/>
  <c r="B50" i="41"/>
  <c r="B51" i="41" s="1"/>
  <c r="B108" i="41"/>
  <c r="X48" i="46"/>
  <c r="Y12" i="72" s="1"/>
  <c r="AL127" i="43"/>
  <c r="AL128" i="43" s="1"/>
  <c r="E47" i="41"/>
  <c r="D49" i="41"/>
  <c r="B114" i="4"/>
  <c r="F47" i="4"/>
  <c r="G47" i="16"/>
  <c r="F47" i="24"/>
  <c r="F49" i="16"/>
  <c r="F47" i="41"/>
  <c r="B55" i="24"/>
  <c r="C49" i="24"/>
  <c r="B62" i="24"/>
  <c r="B63" i="24" s="1"/>
  <c r="W12" i="72"/>
  <c r="W48" i="46"/>
  <c r="V51" i="46"/>
  <c r="S8" i="72"/>
  <c r="S6" i="72"/>
  <c r="T6" i="72" s="1"/>
  <c r="Y48" i="46"/>
  <c r="U51" i="46" l="1"/>
  <c r="U5" i="72"/>
  <c r="U6" i="72" s="1"/>
  <c r="V6" i="72" s="1"/>
  <c r="Z48" i="46"/>
  <c r="B56" i="65" s="1"/>
  <c r="C19" i="33" s="1"/>
  <c r="G49" i="16"/>
  <c r="F62" i="16"/>
  <c r="F63" i="16" s="1"/>
  <c r="F55" i="16"/>
  <c r="C105" i="40"/>
  <c r="B106" i="40"/>
  <c r="C262" i="51"/>
  <c r="D105" i="40"/>
  <c r="D49" i="40"/>
  <c r="G47" i="24"/>
  <c r="F49" i="24"/>
  <c r="E49" i="24"/>
  <c r="D62" i="24"/>
  <c r="D63" i="24" s="1"/>
  <c r="D55" i="24"/>
  <c r="B50" i="22"/>
  <c r="B51" i="22" s="1"/>
  <c r="B10" i="21"/>
  <c r="D81" i="4"/>
  <c r="O30" i="45"/>
  <c r="O35" i="45" s="1"/>
  <c r="O36" i="45" s="1"/>
  <c r="E49" i="41"/>
  <c r="D50" i="41"/>
  <c r="D51" i="41" s="1"/>
  <c r="D108" i="41"/>
  <c r="B75" i="24"/>
  <c r="C55" i="24"/>
  <c r="B56" i="24"/>
  <c r="C105" i="22"/>
  <c r="B106" i="22"/>
  <c r="C17" i="51"/>
  <c r="E55" i="16"/>
  <c r="D56" i="16"/>
  <c r="D75" i="16"/>
  <c r="E49" i="4"/>
  <c r="D50" i="4"/>
  <c r="E47" i="22"/>
  <c r="D105" i="22"/>
  <c r="D49" i="22"/>
  <c r="G47" i="41"/>
  <c r="F49" i="41"/>
  <c r="H49" i="41" s="1"/>
  <c r="G47" i="4"/>
  <c r="F49" i="4"/>
  <c r="F111" i="4"/>
  <c r="F112" i="4" s="1"/>
  <c r="F47" i="40"/>
  <c r="F104" i="4"/>
  <c r="G259" i="51" s="1"/>
  <c r="G262" i="51" s="1"/>
  <c r="F47" i="22"/>
  <c r="AL129" i="43"/>
  <c r="H47" i="16"/>
  <c r="X49" i="46"/>
  <c r="C49" i="40"/>
  <c r="B50" i="40"/>
  <c r="B51" i="40" s="1"/>
  <c r="B74" i="4"/>
  <c r="B51" i="4"/>
  <c r="D114" i="4"/>
  <c r="H47" i="41"/>
  <c r="I47" i="41" s="1"/>
  <c r="AA48" i="46"/>
  <c r="AA12" i="72"/>
  <c r="W5" i="72"/>
  <c r="V52" i="46"/>
  <c r="V53" i="46" s="1"/>
  <c r="W51" i="46"/>
  <c r="T8" i="72"/>
  <c r="U8" i="72" l="1"/>
  <c r="V8" i="72" s="1"/>
  <c r="F114" i="4"/>
  <c r="Y49" i="46"/>
  <c r="X51" i="46"/>
  <c r="F81" i="4"/>
  <c r="P30" i="45"/>
  <c r="D106" i="22"/>
  <c r="E105" i="22"/>
  <c r="E17" i="51"/>
  <c r="D51" i="4"/>
  <c r="D74" i="4"/>
  <c r="F55" i="24"/>
  <c r="F62" i="24"/>
  <c r="F63" i="24" s="1"/>
  <c r="G49" i="24"/>
  <c r="N30" i="45"/>
  <c r="B81" i="4"/>
  <c r="F75" i="16"/>
  <c r="G55" i="16"/>
  <c r="F56" i="16"/>
  <c r="H49" i="16"/>
  <c r="J47" i="41"/>
  <c r="H47" i="24"/>
  <c r="H47" i="4"/>
  <c r="I47" i="16"/>
  <c r="Z47" i="16"/>
  <c r="F105" i="40"/>
  <c r="F49" i="40"/>
  <c r="H47" i="40"/>
  <c r="G49" i="41"/>
  <c r="F108" i="41"/>
  <c r="F50" i="41"/>
  <c r="F51" i="41" s="1"/>
  <c r="D17" i="51"/>
  <c r="C18" i="51"/>
  <c r="D81" i="22"/>
  <c r="D81" i="40"/>
  <c r="E81" i="4"/>
  <c r="D83" i="4"/>
  <c r="D81" i="41"/>
  <c r="D75" i="24"/>
  <c r="E55" i="24"/>
  <c r="D56" i="24"/>
  <c r="C106" i="22"/>
  <c r="B108" i="22"/>
  <c r="D50" i="40"/>
  <c r="D51" i="40" s="1"/>
  <c r="E49" i="40"/>
  <c r="B108" i="40"/>
  <c r="C106" i="40"/>
  <c r="H50" i="41"/>
  <c r="H51" i="41" s="1"/>
  <c r="I49" i="41"/>
  <c r="H108" i="41"/>
  <c r="F105" i="22"/>
  <c r="F49" i="22"/>
  <c r="G47" i="22"/>
  <c r="G49" i="4"/>
  <c r="F50" i="4"/>
  <c r="E49" i="22"/>
  <c r="D10" i="21"/>
  <c r="D50" i="22"/>
  <c r="B12" i="21"/>
  <c r="C10" i="21"/>
  <c r="E105" i="40"/>
  <c r="D106" i="40"/>
  <c r="C21" i="33"/>
  <c r="D21" i="33" s="1"/>
  <c r="D19" i="33"/>
  <c r="E12" i="66"/>
  <c r="D12" i="33"/>
  <c r="D56" i="65"/>
  <c r="C56" i="65"/>
  <c r="W8" i="72"/>
  <c r="W6" i="72"/>
  <c r="X6" i="72" s="1"/>
  <c r="D108" i="40" l="1"/>
  <c r="E106" i="40"/>
  <c r="C12" i="21"/>
  <c r="B14" i="21"/>
  <c r="B27" i="21"/>
  <c r="F106" i="22"/>
  <c r="G17" i="51"/>
  <c r="G105" i="22"/>
  <c r="D83" i="41"/>
  <c r="E81" i="41"/>
  <c r="D32" i="21"/>
  <c r="D83" i="22"/>
  <c r="E81" i="22"/>
  <c r="G105" i="40"/>
  <c r="F106" i="40"/>
  <c r="I47" i="24"/>
  <c r="H49" i="24"/>
  <c r="Z47" i="24"/>
  <c r="P35" i="45"/>
  <c r="P36" i="45" s="1"/>
  <c r="E83" i="4"/>
  <c r="D85" i="4"/>
  <c r="D89" i="4"/>
  <c r="C51" i="51"/>
  <c r="C55" i="51"/>
  <c r="C19" i="51"/>
  <c r="D18" i="51"/>
  <c r="C29" i="51"/>
  <c r="AA47" i="16"/>
  <c r="Z49" i="16"/>
  <c r="J49" i="41"/>
  <c r="K47" i="41"/>
  <c r="P47" i="41"/>
  <c r="Q47" i="41" s="1"/>
  <c r="AE47" i="41"/>
  <c r="F17" i="51"/>
  <c r="E18" i="51"/>
  <c r="F83" i="4"/>
  <c r="F81" i="40"/>
  <c r="F81" i="22"/>
  <c r="G81" i="4"/>
  <c r="F81" i="41"/>
  <c r="E50" i="22"/>
  <c r="D51" i="22"/>
  <c r="E51" i="22" s="1"/>
  <c r="I47" i="40"/>
  <c r="H105" i="40"/>
  <c r="I49" i="16"/>
  <c r="H62" i="16"/>
  <c r="H63" i="16" s="1"/>
  <c r="H55" i="16"/>
  <c r="B81" i="40"/>
  <c r="B83" i="4"/>
  <c r="C81" i="4"/>
  <c r="B81" i="22"/>
  <c r="B81" i="41"/>
  <c r="F56" i="24"/>
  <c r="G56" i="24" s="1"/>
  <c r="F75" i="24"/>
  <c r="G55" i="24"/>
  <c r="X52" i="46"/>
  <c r="X53" i="46" s="1"/>
  <c r="Y5" i="72"/>
  <c r="Y51" i="46"/>
  <c r="D12" i="21"/>
  <c r="E10" i="21"/>
  <c r="F51" i="4"/>
  <c r="F74" i="4"/>
  <c r="F50" i="22"/>
  <c r="G49" i="22"/>
  <c r="F10" i="21"/>
  <c r="E81" i="40"/>
  <c r="D83" i="40"/>
  <c r="G49" i="40"/>
  <c r="F50" i="40"/>
  <c r="F51" i="40" s="1"/>
  <c r="H49" i="40"/>
  <c r="H47" i="22"/>
  <c r="I47" i="4"/>
  <c r="H104" i="4"/>
  <c r="H49" i="4"/>
  <c r="H111" i="4"/>
  <c r="H112" i="4" s="1"/>
  <c r="J47" i="40"/>
  <c r="Z47" i="4"/>
  <c r="N35" i="45"/>
  <c r="N36" i="45" s="1"/>
  <c r="G69" i="45"/>
  <c r="G74" i="45" s="1"/>
  <c r="K69" i="45"/>
  <c r="K74" i="45" s="1"/>
  <c r="E106" i="22"/>
  <c r="D108" i="22"/>
  <c r="E56" i="65"/>
  <c r="E19" i="33"/>
  <c r="F19" i="33" s="1"/>
  <c r="G12" i="66"/>
  <c r="F12" i="33"/>
  <c r="F56" i="65"/>
  <c r="X8" i="72"/>
  <c r="H50" i="4" l="1"/>
  <c r="I49" i="4"/>
  <c r="H50" i="40"/>
  <c r="H51" i="40" s="1"/>
  <c r="I49" i="40"/>
  <c r="E83" i="40"/>
  <c r="D89" i="40"/>
  <c r="H81" i="41"/>
  <c r="B83" i="41"/>
  <c r="C81" i="41"/>
  <c r="B83" i="40"/>
  <c r="C81" i="40"/>
  <c r="H81" i="40"/>
  <c r="I81" i="40" s="1"/>
  <c r="G81" i="40"/>
  <c r="F83" i="40"/>
  <c r="AF47" i="41"/>
  <c r="AE49" i="41"/>
  <c r="AA49" i="16"/>
  <c r="Z62" i="16"/>
  <c r="Z63" i="16" s="1"/>
  <c r="Z55" i="16"/>
  <c r="E89" i="4"/>
  <c r="D91" i="4"/>
  <c r="D92" i="4"/>
  <c r="G106" i="40"/>
  <c r="F108" i="40"/>
  <c r="D34" i="21"/>
  <c r="E34" i="21" s="1"/>
  <c r="E32" i="21"/>
  <c r="H17" i="51"/>
  <c r="G18" i="51"/>
  <c r="I17" i="51"/>
  <c r="AA47" i="4"/>
  <c r="Z49" i="4"/>
  <c r="K259" i="51"/>
  <c r="Z104" i="4"/>
  <c r="G50" i="22"/>
  <c r="F51" i="22"/>
  <c r="G51" i="22" s="1"/>
  <c r="D27" i="21"/>
  <c r="E12" i="21"/>
  <c r="D14" i="21"/>
  <c r="B83" i="22"/>
  <c r="B32" i="21"/>
  <c r="C81" i="22"/>
  <c r="I105" i="40"/>
  <c r="H106" i="40"/>
  <c r="F83" i="41"/>
  <c r="G81" i="41"/>
  <c r="G83" i="4"/>
  <c r="F85" i="4"/>
  <c r="F89" i="4"/>
  <c r="D94" i="4"/>
  <c r="D85" i="22"/>
  <c r="E85" i="22" s="1"/>
  <c r="D85" i="40"/>
  <c r="E85" i="40" s="1"/>
  <c r="AA47" i="24"/>
  <c r="Z49" i="24"/>
  <c r="G106" i="22"/>
  <c r="F108" i="22"/>
  <c r="G108" i="22" s="1"/>
  <c r="K47" i="40"/>
  <c r="J49" i="40"/>
  <c r="P47" i="40"/>
  <c r="J105" i="40"/>
  <c r="AC47" i="40"/>
  <c r="H75" i="16"/>
  <c r="I55" i="16"/>
  <c r="H56" i="16"/>
  <c r="F18" i="51"/>
  <c r="E51" i="51"/>
  <c r="E19" i="51"/>
  <c r="E55" i="51"/>
  <c r="E29" i="51"/>
  <c r="C56" i="51"/>
  <c r="C65" i="51"/>
  <c r="I49" i="24"/>
  <c r="H62" i="24"/>
  <c r="H63" i="24" s="1"/>
  <c r="H55" i="24"/>
  <c r="E83" i="41"/>
  <c r="D85" i="41"/>
  <c r="E85" i="41" s="1"/>
  <c r="D89" i="41"/>
  <c r="C27" i="21"/>
  <c r="H114" i="4"/>
  <c r="H49" i="22"/>
  <c r="I47" i="22"/>
  <c r="H105" i="22"/>
  <c r="Z47" i="22"/>
  <c r="G10" i="21"/>
  <c r="F12" i="21"/>
  <c r="Y6" i="72"/>
  <c r="Z6" i="72" s="1"/>
  <c r="Y8" i="72"/>
  <c r="Z8" i="72" s="1"/>
  <c r="C83" i="4"/>
  <c r="B85" i="4"/>
  <c r="B89" i="4"/>
  <c r="F83" i="22"/>
  <c r="G81" i="22"/>
  <c r="F32" i="21"/>
  <c r="P49" i="41"/>
  <c r="K49" i="41"/>
  <c r="J50" i="41"/>
  <c r="J51" i="41" s="1"/>
  <c r="J108" i="41"/>
  <c r="C30" i="51"/>
  <c r="C64" i="51"/>
  <c r="C52" i="51"/>
  <c r="E83" i="22"/>
  <c r="E33" i="51"/>
  <c r="F33" i="51" s="1"/>
  <c r="D89" i="22"/>
  <c r="G56" i="65"/>
  <c r="G19" i="33"/>
  <c r="H19" i="33" s="1"/>
  <c r="I12" i="66"/>
  <c r="H56" i="65"/>
  <c r="H12" i="33"/>
  <c r="E89" i="22" l="1"/>
  <c r="D92" i="22"/>
  <c r="D44" i="21" s="1"/>
  <c r="D91" i="22"/>
  <c r="D94" i="22"/>
  <c r="P50" i="41"/>
  <c r="P51" i="41" s="1"/>
  <c r="Q49" i="41"/>
  <c r="P108" i="41"/>
  <c r="B92" i="4"/>
  <c r="C89" i="4"/>
  <c r="B91" i="4"/>
  <c r="I49" i="22"/>
  <c r="H10" i="21"/>
  <c r="H50" i="22"/>
  <c r="E89" i="41"/>
  <c r="D91" i="41"/>
  <c r="D92" i="41"/>
  <c r="D94" i="41"/>
  <c r="D96" i="41"/>
  <c r="E39" i="51"/>
  <c r="E52" i="51"/>
  <c r="E64" i="51"/>
  <c r="K49" i="40"/>
  <c r="J50" i="40"/>
  <c r="J51" i="40" s="1"/>
  <c r="P49" i="40"/>
  <c r="AA49" i="24"/>
  <c r="Z62" i="24"/>
  <c r="Z63" i="24" s="1"/>
  <c r="Z55" i="24"/>
  <c r="D96" i="4"/>
  <c r="D100" i="4" s="1"/>
  <c r="D102" i="4" s="1"/>
  <c r="D97" i="4"/>
  <c r="D98" i="4" s="1"/>
  <c r="G83" i="40"/>
  <c r="F89" i="40"/>
  <c r="C83" i="41"/>
  <c r="B89" i="41"/>
  <c r="B85" i="41"/>
  <c r="G32" i="21"/>
  <c r="F34" i="21"/>
  <c r="G34" i="21" s="1"/>
  <c r="B94" i="4"/>
  <c r="B85" i="40"/>
  <c r="B85" i="22"/>
  <c r="C85" i="22" s="1"/>
  <c r="AD47" i="22"/>
  <c r="Z49" i="22"/>
  <c r="Z105" i="22"/>
  <c r="AA47" i="22"/>
  <c r="E35" i="51"/>
  <c r="E30" i="51"/>
  <c r="AC49" i="40"/>
  <c r="AC105" i="40"/>
  <c r="AD47" i="40"/>
  <c r="AG47" i="40"/>
  <c r="F92" i="4"/>
  <c r="G89" i="4"/>
  <c r="F91" i="4"/>
  <c r="G83" i="41"/>
  <c r="F85" i="41"/>
  <c r="G85" i="41" s="1"/>
  <c r="F89" i="41"/>
  <c r="C32" i="21"/>
  <c r="B34" i="21"/>
  <c r="I18" i="51"/>
  <c r="J17" i="51"/>
  <c r="C83" i="40"/>
  <c r="H83" i="40"/>
  <c r="B89" i="40"/>
  <c r="I81" i="41"/>
  <c r="H83" i="41"/>
  <c r="H106" i="22"/>
  <c r="K17" i="51"/>
  <c r="I105" i="22"/>
  <c r="E56" i="51"/>
  <c r="E65" i="51"/>
  <c r="K105" i="40"/>
  <c r="J106" i="40"/>
  <c r="F85" i="40"/>
  <c r="G85" i="40" s="1"/>
  <c r="F94" i="4"/>
  <c r="F85" i="22"/>
  <c r="G85" i="22" s="1"/>
  <c r="H108" i="40"/>
  <c r="I106" i="40"/>
  <c r="I108" i="40" s="1"/>
  <c r="D36" i="21"/>
  <c r="E27" i="21"/>
  <c r="K262" i="51"/>
  <c r="AI259" i="51"/>
  <c r="AI262" i="51" s="1"/>
  <c r="H18" i="51"/>
  <c r="G51" i="51"/>
  <c r="G29" i="51"/>
  <c r="G55" i="51"/>
  <c r="G19" i="51"/>
  <c r="AE50" i="41"/>
  <c r="AE108" i="41"/>
  <c r="AF49" i="41"/>
  <c r="D94" i="40"/>
  <c r="D91" i="40"/>
  <c r="D92" i="40"/>
  <c r="E89" i="40"/>
  <c r="H74" i="4"/>
  <c r="H51" i="4"/>
  <c r="G83" i="22"/>
  <c r="G33" i="51"/>
  <c r="H33" i="51" s="1"/>
  <c r="F89" i="22"/>
  <c r="F14" i="21"/>
  <c r="G12" i="21"/>
  <c r="F27" i="21"/>
  <c r="I55" i="24"/>
  <c r="H75" i="24"/>
  <c r="H56" i="24"/>
  <c r="Q47" i="40"/>
  <c r="P105" i="40"/>
  <c r="C83" i="22"/>
  <c r="C33" i="51"/>
  <c r="B89" i="22"/>
  <c r="Z114" i="4"/>
  <c r="AA49" i="4"/>
  <c r="Z50" i="4"/>
  <c r="AA55" i="16"/>
  <c r="Z75" i="16"/>
  <c r="Z56" i="16"/>
  <c r="J12" i="33"/>
  <c r="I19" i="33"/>
  <c r="J19" i="33" s="1"/>
  <c r="J56" i="65"/>
  <c r="K56" i="65" s="1"/>
  <c r="K12" i="66"/>
  <c r="I56" i="65"/>
  <c r="D40" i="21" l="1"/>
  <c r="E40" i="21" s="1"/>
  <c r="E36" i="21"/>
  <c r="F96" i="4"/>
  <c r="F100" i="4" s="1"/>
  <c r="F102" i="4" s="1"/>
  <c r="F97" i="4"/>
  <c r="F98" i="4" s="1"/>
  <c r="H108" i="22"/>
  <c r="I108" i="22" s="1"/>
  <c r="I106" i="22"/>
  <c r="F35" i="51"/>
  <c r="E36" i="51"/>
  <c r="B92" i="22"/>
  <c r="B44" i="21" s="1"/>
  <c r="C89" i="22"/>
  <c r="B94" i="22"/>
  <c r="B91" i="22"/>
  <c r="Q105" i="40"/>
  <c r="P106" i="40"/>
  <c r="F91" i="22"/>
  <c r="G91" i="22" s="1"/>
  <c r="F92" i="22"/>
  <c r="F94" i="22"/>
  <c r="G94" i="22" s="1"/>
  <c r="G89" i="22"/>
  <c r="G65" i="51"/>
  <c r="G56" i="51"/>
  <c r="I83" i="41"/>
  <c r="H89" i="41"/>
  <c r="I83" i="40"/>
  <c r="H89" i="40"/>
  <c r="I29" i="51"/>
  <c r="I55" i="51"/>
  <c r="I19" i="51"/>
  <c r="I51" i="51"/>
  <c r="J18" i="51"/>
  <c r="F92" i="41"/>
  <c r="G89" i="41"/>
  <c r="F91" i="41"/>
  <c r="F96" i="41"/>
  <c r="F94" i="41"/>
  <c r="AD105" i="40"/>
  <c r="AC106" i="40"/>
  <c r="Z74" i="4"/>
  <c r="AA74" i="4" s="1"/>
  <c r="Z51" i="4"/>
  <c r="AA51" i="4" s="1"/>
  <c r="AA50" i="4"/>
  <c r="I33" i="51"/>
  <c r="I39" i="51" s="1"/>
  <c r="D33" i="51"/>
  <c r="C39" i="51"/>
  <c r="C35" i="51"/>
  <c r="F36" i="21"/>
  <c r="G27" i="21"/>
  <c r="AE51" i="41"/>
  <c r="AF51" i="41" s="1"/>
  <c r="AE74" i="41"/>
  <c r="AF74" i="41" s="1"/>
  <c r="AF50" i="41"/>
  <c r="G35" i="51"/>
  <c r="G30" i="51"/>
  <c r="Q30" i="45"/>
  <c r="H81" i="4"/>
  <c r="J108" i="40"/>
  <c r="K106" i="40"/>
  <c r="C34" i="21"/>
  <c r="B36" i="21"/>
  <c r="AD49" i="40"/>
  <c r="AG49" i="40"/>
  <c r="AC50" i="40"/>
  <c r="AC51" i="40" s="1"/>
  <c r="AA105" i="22"/>
  <c r="Z106" i="22"/>
  <c r="H85" i="40"/>
  <c r="I85" i="40" s="1"/>
  <c r="C85" i="40"/>
  <c r="H85" i="41"/>
  <c r="I85" i="41" s="1"/>
  <c r="C85" i="41"/>
  <c r="F94" i="40"/>
  <c r="F91" i="40"/>
  <c r="F92" i="40"/>
  <c r="G89" i="40"/>
  <c r="AA55" i="24"/>
  <c r="Z75" i="24"/>
  <c r="Z56" i="24"/>
  <c r="Q49" i="40"/>
  <c r="P50" i="40"/>
  <c r="P51" i="40" s="1"/>
  <c r="H51" i="22"/>
  <c r="I51" i="22" s="1"/>
  <c r="I50" i="22"/>
  <c r="G39" i="51"/>
  <c r="G52" i="51"/>
  <c r="G64" i="51"/>
  <c r="Q17" i="51"/>
  <c r="L17" i="51"/>
  <c r="K18" i="51"/>
  <c r="B92" i="40"/>
  <c r="C89" i="40"/>
  <c r="B91" i="40"/>
  <c r="B94" i="40"/>
  <c r="AD49" i="22"/>
  <c r="Z50" i="22"/>
  <c r="Z51" i="22" s="1"/>
  <c r="AA49" i="22"/>
  <c r="B96" i="4"/>
  <c r="B100" i="4" s="1"/>
  <c r="B102" i="4" s="1"/>
  <c r="B97" i="4"/>
  <c r="B98" i="4" s="1"/>
  <c r="B92" i="41"/>
  <c r="B94" i="41"/>
  <c r="B91" i="41"/>
  <c r="B96" i="41"/>
  <c r="C89" i="41"/>
  <c r="F39" i="51"/>
  <c r="E40" i="51"/>
  <c r="H12" i="21"/>
  <c r="I10" i="21"/>
  <c r="Z10" i="21"/>
  <c r="AA10" i="21" s="1"/>
  <c r="L56" i="65"/>
  <c r="M56" i="65" s="1"/>
  <c r="M12" i="66"/>
  <c r="O12" i="66" s="1"/>
  <c r="L12" i="33"/>
  <c r="K19" i="33"/>
  <c r="L19" i="33" s="1"/>
  <c r="J39" i="51" l="1"/>
  <c r="I40" i="51"/>
  <c r="R17" i="51"/>
  <c r="Q18" i="51"/>
  <c r="AI17" i="51"/>
  <c r="Q35" i="45"/>
  <c r="Q36" i="45" s="1"/>
  <c r="L69" i="45"/>
  <c r="L74" i="45" s="1"/>
  <c r="D35" i="51"/>
  <c r="C36" i="51"/>
  <c r="I64" i="51"/>
  <c r="I52" i="51"/>
  <c r="H92" i="40"/>
  <c r="H94" i="40"/>
  <c r="I89" i="40"/>
  <c r="H91" i="40"/>
  <c r="F44" i="21"/>
  <c r="G92" i="22"/>
  <c r="Z108" i="22"/>
  <c r="AA106" i="22"/>
  <c r="D39" i="51"/>
  <c r="C40" i="51"/>
  <c r="K51" i="51"/>
  <c r="K55" i="51"/>
  <c r="K29" i="51"/>
  <c r="L18" i="51"/>
  <c r="K19" i="51"/>
  <c r="H35" i="51"/>
  <c r="G36" i="51"/>
  <c r="I65" i="51"/>
  <c r="I56" i="51"/>
  <c r="H91" i="41"/>
  <c r="H94" i="41"/>
  <c r="H96" i="41"/>
  <c r="H92" i="41"/>
  <c r="I89" i="41"/>
  <c r="P108" i="40"/>
  <c r="Q106" i="40"/>
  <c r="Q108" i="40" s="1"/>
  <c r="I12" i="21"/>
  <c r="H14" i="21"/>
  <c r="H27" i="21"/>
  <c r="Z12" i="21"/>
  <c r="H39" i="51"/>
  <c r="G40" i="51"/>
  <c r="B40" i="21"/>
  <c r="C40" i="21" s="1"/>
  <c r="C36" i="21"/>
  <c r="H81" i="22"/>
  <c r="J81" i="40"/>
  <c r="J81" i="41"/>
  <c r="I81" i="4"/>
  <c r="H83" i="4"/>
  <c r="Z81" i="4"/>
  <c r="AA81" i="4" s="1"/>
  <c r="G36" i="21"/>
  <c r="F40" i="21"/>
  <c r="G40" i="21" s="1"/>
  <c r="J33" i="51"/>
  <c r="AD106" i="40"/>
  <c r="AC108" i="40"/>
  <c r="I30" i="51"/>
  <c r="I35" i="51"/>
  <c r="B53" i="27"/>
  <c r="C53" i="27" s="1"/>
  <c r="B49" i="46"/>
  <c r="C27" i="45"/>
  <c r="D53" i="27" l="1"/>
  <c r="J83" i="41"/>
  <c r="K81" i="41"/>
  <c r="P81" i="41"/>
  <c r="AE81" i="41"/>
  <c r="AF81" i="41" s="1"/>
  <c r="I27" i="21"/>
  <c r="K30" i="51"/>
  <c r="R18" i="51"/>
  <c r="Q29" i="51"/>
  <c r="J35" i="51"/>
  <c r="I36" i="51"/>
  <c r="J83" i="40"/>
  <c r="P81" i="40"/>
  <c r="Q81" i="40" s="1"/>
  <c r="K81" i="40"/>
  <c r="AC81" i="40"/>
  <c r="Q55" i="51"/>
  <c r="K56" i="51"/>
  <c r="K65" i="51"/>
  <c r="I83" i="4"/>
  <c r="H89" i="4"/>
  <c r="Z83" i="4"/>
  <c r="H85" i="4"/>
  <c r="I81" i="22"/>
  <c r="H83" i="22"/>
  <c r="H32" i="21"/>
  <c r="Z81" i="22"/>
  <c r="K52" i="51"/>
  <c r="Q51" i="51"/>
  <c r="K64" i="51"/>
  <c r="Z27" i="21"/>
  <c r="AA12" i="21"/>
  <c r="AE12" i="21"/>
  <c r="AJ17" i="51"/>
  <c r="AI18" i="51"/>
  <c r="BD128" i="43"/>
  <c r="Z49" i="46"/>
  <c r="B16" i="46"/>
  <c r="BD127" i="43"/>
  <c r="H123" i="43"/>
  <c r="H125" i="43" s="1"/>
  <c r="C29" i="45" s="1"/>
  <c r="C35" i="45" s="1"/>
  <c r="I32" i="21" l="1"/>
  <c r="H34" i="21"/>
  <c r="Z32" i="21"/>
  <c r="AA83" i="4"/>
  <c r="Z85" i="4"/>
  <c r="Z89" i="4"/>
  <c r="Q81" i="41"/>
  <c r="P83" i="41"/>
  <c r="Q64" i="51"/>
  <c r="Q52" i="51"/>
  <c r="I83" i="22"/>
  <c r="K33" i="51"/>
  <c r="H89" i="22"/>
  <c r="Z83" i="22"/>
  <c r="H92" i="4"/>
  <c r="H91" i="4"/>
  <c r="I89" i="4"/>
  <c r="Q65" i="51"/>
  <c r="Q56" i="51"/>
  <c r="K83" i="40"/>
  <c r="P83" i="40"/>
  <c r="J89" i="40"/>
  <c r="AC83" i="40"/>
  <c r="AG81" i="40"/>
  <c r="AD81" i="40"/>
  <c r="K83" i="41"/>
  <c r="J89" i="41"/>
  <c r="J85" i="41"/>
  <c r="AE83" i="41"/>
  <c r="AI55" i="51"/>
  <c r="AI51" i="51"/>
  <c r="AI29" i="51"/>
  <c r="AJ18" i="51"/>
  <c r="AA27" i="21"/>
  <c r="AA81" i="22"/>
  <c r="AD81" i="22"/>
  <c r="J85" i="40"/>
  <c r="H85" i="22"/>
  <c r="I85" i="22" s="1"/>
  <c r="H94" i="4"/>
  <c r="BD129" i="43"/>
  <c r="AC15" i="42" s="1"/>
  <c r="C37" i="45"/>
  <c r="D7" i="45" s="1"/>
  <c r="D8" i="45" s="1"/>
  <c r="C36" i="45"/>
  <c r="Z16" i="46"/>
  <c r="B24" i="65" s="1"/>
  <c r="B17" i="46"/>
  <c r="B51" i="46" s="1"/>
  <c r="C16" i="46"/>
  <c r="C49" i="46"/>
  <c r="D24" i="65" l="1"/>
  <c r="F24" i="65" s="1"/>
  <c r="H24" i="65" s="1"/>
  <c r="J24" i="65" s="1"/>
  <c r="P85" i="40"/>
  <c r="Q85" i="40" s="1"/>
  <c r="K85" i="40"/>
  <c r="AC85" i="40"/>
  <c r="AD85" i="40" s="1"/>
  <c r="AI64" i="51"/>
  <c r="AI52" i="51"/>
  <c r="J91" i="41"/>
  <c r="J92" i="41"/>
  <c r="J94" i="41"/>
  <c r="J96" i="41"/>
  <c r="K89" i="41"/>
  <c r="K39" i="51"/>
  <c r="L33" i="51"/>
  <c r="Q33" i="51"/>
  <c r="K35" i="51"/>
  <c r="Q83" i="41"/>
  <c r="P89" i="41"/>
  <c r="AG83" i="40"/>
  <c r="AD83" i="40"/>
  <c r="AC89" i="40"/>
  <c r="Z34" i="21"/>
  <c r="AA32" i="21"/>
  <c r="AI56" i="51"/>
  <c r="AI65" i="51"/>
  <c r="H96" i="4"/>
  <c r="H100" i="4" s="1"/>
  <c r="H102" i="4" s="1"/>
  <c r="H97" i="4"/>
  <c r="H98" i="4" s="1"/>
  <c r="AF83" i="41"/>
  <c r="AE85" i="41"/>
  <c r="AE89" i="41"/>
  <c r="J94" i="40"/>
  <c r="J92" i="40"/>
  <c r="J91" i="40"/>
  <c r="K89" i="40"/>
  <c r="AA83" i="22"/>
  <c r="AD83" i="22"/>
  <c r="Z85" i="22"/>
  <c r="AA85" i="22" s="1"/>
  <c r="Z89" i="22"/>
  <c r="Z91" i="4"/>
  <c r="Z92" i="4"/>
  <c r="AB13" i="16"/>
  <c r="AB14" i="16" s="1"/>
  <c r="AA89" i="4"/>
  <c r="I34" i="21"/>
  <c r="H36" i="21"/>
  <c r="P85" i="41"/>
  <c r="Q85" i="41" s="1"/>
  <c r="K85" i="41"/>
  <c r="Q83" i="40"/>
  <c r="P89" i="40"/>
  <c r="H92" i="22"/>
  <c r="H91" i="22"/>
  <c r="I91" i="22" s="1"/>
  <c r="H94" i="22"/>
  <c r="I94" i="22" s="1"/>
  <c r="I89" i="22"/>
  <c r="AA85" i="4"/>
  <c r="Z94" i="4"/>
  <c r="AA49" i="46"/>
  <c r="B57" i="65"/>
  <c r="D57" i="65" s="1"/>
  <c r="C17" i="46"/>
  <c r="Z17" i="46"/>
  <c r="Z51" i="46" s="1"/>
  <c r="AA16" i="46"/>
  <c r="C39" i="45"/>
  <c r="C40" i="45"/>
  <c r="D47" i="45"/>
  <c r="D37" i="45"/>
  <c r="E7" i="45" s="1"/>
  <c r="E8" i="45" s="1"/>
  <c r="E37" i="45" s="1"/>
  <c r="F7" i="45" s="1"/>
  <c r="F8" i="45" s="1"/>
  <c r="F37" i="45" s="1"/>
  <c r="G7" i="45" s="1"/>
  <c r="G8" i="45" s="1"/>
  <c r="G37" i="45" s="1"/>
  <c r="H7" i="45" s="1"/>
  <c r="H8" i="45" s="1"/>
  <c r="H37" i="45" s="1"/>
  <c r="I7" i="45" s="1"/>
  <c r="I8" i="45" s="1"/>
  <c r="I37" i="45" s="1"/>
  <c r="J7" i="45" s="1"/>
  <c r="J8" i="45" s="1"/>
  <c r="J37" i="45" s="1"/>
  <c r="K7" i="45" s="1"/>
  <c r="K8" i="45" s="1"/>
  <c r="K37" i="45" s="1"/>
  <c r="L7" i="45" s="1"/>
  <c r="L8" i="45" s="1"/>
  <c r="L37" i="45" s="1"/>
  <c r="M7" i="45" s="1"/>
  <c r="M8" i="45" s="1"/>
  <c r="M37" i="45" s="1"/>
  <c r="N7" i="45" s="1"/>
  <c r="N8" i="45" s="1"/>
  <c r="N37" i="45" s="1"/>
  <c r="O7" i="45" s="1"/>
  <c r="O8" i="45" s="1"/>
  <c r="O37" i="45" s="1"/>
  <c r="Z92" i="22" l="1"/>
  <c r="AA89" i="22"/>
  <c r="AD89" i="22"/>
  <c r="Z94" i="22"/>
  <c r="Z91" i="22"/>
  <c r="AF85" i="41"/>
  <c r="AG87" i="41"/>
  <c r="AC92" i="40"/>
  <c r="AD89" i="40"/>
  <c r="AC91" i="40"/>
  <c r="AC94" i="40"/>
  <c r="AG89" i="40"/>
  <c r="K40" i="51"/>
  <c r="L39" i="51"/>
  <c r="H40" i="21"/>
  <c r="I40" i="21" s="1"/>
  <c r="I36" i="21"/>
  <c r="L35" i="51"/>
  <c r="K36" i="51"/>
  <c r="I92" i="22"/>
  <c r="H44" i="21"/>
  <c r="AH89" i="41"/>
  <c r="AE92" i="41"/>
  <c r="AE96" i="41"/>
  <c r="AE94" i="41"/>
  <c r="AE91" i="41"/>
  <c r="AF89" i="41"/>
  <c r="AA34" i="21"/>
  <c r="Z36" i="21"/>
  <c r="Q89" i="41"/>
  <c r="P96" i="41"/>
  <c r="P91" i="41"/>
  <c r="P92" i="41"/>
  <c r="P94" i="41"/>
  <c r="P91" i="40"/>
  <c r="P94" i="40"/>
  <c r="Q89" i="40"/>
  <c r="P92" i="40"/>
  <c r="Z96" i="4"/>
  <c r="Z100" i="4" s="1"/>
  <c r="Z102" i="4" s="1"/>
  <c r="Z97" i="4"/>
  <c r="Z98" i="4" s="1"/>
  <c r="R33" i="51"/>
  <c r="AI33" i="51"/>
  <c r="Q39" i="51"/>
  <c r="R39" i="51" s="1"/>
  <c r="Q35" i="51"/>
  <c r="R35" i="51" s="1"/>
  <c r="C51" i="46"/>
  <c r="B52" i="46"/>
  <c r="C5" i="72"/>
  <c r="C24" i="65"/>
  <c r="P8" i="45"/>
  <c r="P37" i="45" s="1"/>
  <c r="Q7" i="45" s="1"/>
  <c r="Q8" i="45" s="1"/>
  <c r="Q37" i="45" s="1"/>
  <c r="R7" i="45" s="1"/>
  <c r="R8" i="45" s="1"/>
  <c r="R37" i="45" s="1"/>
  <c r="S7" i="45" s="1"/>
  <c r="S8" i="45" s="1"/>
  <c r="S37" i="45" s="1"/>
  <c r="T7" i="45" s="1"/>
  <c r="T8" i="45" s="1"/>
  <c r="T37" i="45" s="1"/>
  <c r="U7" i="45" s="1"/>
  <c r="U8" i="45" s="1"/>
  <c r="U37" i="45" s="1"/>
  <c r="V7" i="45" s="1"/>
  <c r="V8" i="45" s="1"/>
  <c r="V37" i="45" s="1"/>
  <c r="W7" i="45" s="1"/>
  <c r="W8" i="45" s="1"/>
  <c r="W37" i="45" s="1"/>
  <c r="X7" i="45" s="1"/>
  <c r="X8" i="45" s="1"/>
  <c r="X37" i="45" s="1"/>
  <c r="P7" i="45"/>
  <c r="AA17" i="46"/>
  <c r="B25" i="65"/>
  <c r="D25" i="65" s="1"/>
  <c r="Z52" i="46"/>
  <c r="AA51" i="46"/>
  <c r="B59" i="65"/>
  <c r="H47" i="45"/>
  <c r="H76" i="45" s="1"/>
  <c r="J47" i="45" s="1"/>
  <c r="D87" i="45"/>
  <c r="D76" i="45"/>
  <c r="E47" i="45" s="1"/>
  <c r="E76" i="45" s="1"/>
  <c r="F47" i="45" s="1"/>
  <c r="F76" i="45" s="1"/>
  <c r="G47" i="45" s="1"/>
  <c r="G76" i="45" s="1"/>
  <c r="F57" i="65"/>
  <c r="G57" i="65" s="1"/>
  <c r="J57" i="65"/>
  <c r="K57" i="65" s="1"/>
  <c r="C57" i="65"/>
  <c r="E57" i="65"/>
  <c r="H57" i="65"/>
  <c r="I57" i="65" s="1"/>
  <c r="Z40" i="21" l="1"/>
  <c r="AA36" i="21"/>
  <c r="AB38" i="21"/>
  <c r="Z44" i="21"/>
  <c r="F53" i="27"/>
  <c r="G53" i="27" s="1"/>
  <c r="H53" i="27" s="1"/>
  <c r="J53" i="27" s="1"/>
  <c r="K53" i="27" s="1"/>
  <c r="L53" i="27" s="1"/>
  <c r="N53" i="27" s="1"/>
  <c r="AJ33" i="51"/>
  <c r="AI39" i="51"/>
  <c r="AJ39" i="51" s="1"/>
  <c r="AI35" i="51"/>
  <c r="AJ35" i="51" s="1"/>
  <c r="J25" i="65"/>
  <c r="K25" i="65" s="1"/>
  <c r="F25" i="65"/>
  <c r="H25" i="65" s="1"/>
  <c r="I25" i="65" s="1"/>
  <c r="C10" i="33"/>
  <c r="C13" i="33" s="1"/>
  <c r="C15" i="33" s="1"/>
  <c r="C23" i="33" s="1"/>
  <c r="E5" i="66"/>
  <c r="E8" i="66" s="1"/>
  <c r="F8" i="66" s="1"/>
  <c r="B53" i="46"/>
  <c r="L24" i="65"/>
  <c r="M24" i="65" s="1"/>
  <c r="AA52" i="46"/>
  <c r="B60" i="65"/>
  <c r="Z53" i="46"/>
  <c r="B61" i="65" s="1"/>
  <c r="I24" i="65"/>
  <c r="C25" i="65"/>
  <c r="H87" i="45"/>
  <c r="H109" i="45" s="1"/>
  <c r="D109" i="45"/>
  <c r="E87" i="45" s="1"/>
  <c r="E109" i="45" s="1"/>
  <c r="F87" i="45" s="1"/>
  <c r="F109" i="45" s="1"/>
  <c r="G87" i="45" s="1"/>
  <c r="G109" i="45" s="1"/>
  <c r="K24" i="65"/>
  <c r="J76" i="45"/>
  <c r="K47" i="45" s="1"/>
  <c r="K76" i="45" s="1"/>
  <c r="L47" i="45" s="1"/>
  <c r="L76" i="45" s="1"/>
  <c r="M47" i="45" s="1"/>
  <c r="M76" i="45" s="1"/>
  <c r="N47" i="45"/>
  <c r="N76" i="45" s="1"/>
  <c r="J87" i="45"/>
  <c r="C6" i="72"/>
  <c r="D6" i="72" s="1"/>
  <c r="C8" i="72"/>
  <c r="AA5" i="72"/>
  <c r="G24" i="65"/>
  <c r="C59" i="65"/>
  <c r="L57" i="65"/>
  <c r="M57" i="65" s="1"/>
  <c r="E24" i="65"/>
  <c r="AA40" i="21" l="1"/>
  <c r="Z42" i="21"/>
  <c r="E25" i="65"/>
  <c r="G25" i="65"/>
  <c r="E6" i="66"/>
  <c r="L25" i="65"/>
  <c r="D8" i="72"/>
  <c r="AA8" i="72"/>
  <c r="AB8" i="72" s="1"/>
  <c r="AA53" i="46"/>
  <c r="N87" i="45"/>
  <c r="N109" i="45" s="1"/>
  <c r="J109" i="45"/>
  <c r="K87" i="45" s="1"/>
  <c r="K109" i="45" s="1"/>
  <c r="L87" i="45" s="1"/>
  <c r="L109" i="45" s="1"/>
  <c r="M87" i="45" s="1"/>
  <c r="M109" i="45" s="1"/>
  <c r="D10" i="33"/>
  <c r="AA6" i="72"/>
  <c r="AB6" i="72" s="1"/>
  <c r="D13" i="33" l="1"/>
  <c r="M25" i="65"/>
  <c r="F6" i="66"/>
  <c r="D15" i="33" l="1"/>
  <c r="D23" i="33" l="1"/>
  <c r="I46" i="68" l="1"/>
  <c r="C45" i="68"/>
  <c r="C47" i="68" s="1"/>
  <c r="B45" i="68" l="1"/>
  <c r="I45" i="68" s="1"/>
  <c r="F46" i="68"/>
  <c r="G46" i="68" s="1"/>
  <c r="C15" i="66" l="1"/>
  <c r="C18" i="66" s="1"/>
  <c r="F45" i="68"/>
  <c r="G45" i="68" s="1"/>
  <c r="B47" i="68"/>
  <c r="B59" i="68" s="1"/>
  <c r="B60" i="68" s="1"/>
  <c r="B61" i="68" s="1"/>
  <c r="D40" i="68" l="1"/>
  <c r="D41" i="68"/>
  <c r="D13" i="68"/>
  <c r="D14" i="68"/>
  <c r="D23" i="68"/>
  <c r="D26" i="68"/>
  <c r="D6" i="68"/>
  <c r="D22" i="68"/>
  <c r="B49" i="68"/>
  <c r="B50" i="68" s="1"/>
  <c r="D4" i="68"/>
  <c r="D45" i="68"/>
  <c r="I47" i="68"/>
  <c r="D33" i="68"/>
  <c r="D7" i="68"/>
  <c r="D9" i="68"/>
  <c r="D10" i="68"/>
  <c r="D42" i="68"/>
  <c r="D31" i="68"/>
  <c r="D32" i="68"/>
  <c r="D11" i="68"/>
  <c r="D12" i="68"/>
  <c r="D37" i="68"/>
  <c r="D30" i="68"/>
  <c r="D36" i="68"/>
  <c r="D21" i="68"/>
  <c r="D17" i="68"/>
  <c r="D43" i="68"/>
  <c r="D18" i="68"/>
  <c r="D47" i="68"/>
  <c r="D19" i="68"/>
  <c r="D5" i="68"/>
  <c r="D20" i="68"/>
  <c r="D25" i="68"/>
  <c r="D38" i="68"/>
  <c r="D29" i="68"/>
  <c r="D24" i="68"/>
  <c r="D39" i="68"/>
  <c r="D44" i="68"/>
  <c r="D35" i="68"/>
  <c r="D28" i="68"/>
  <c r="D8" i="68"/>
  <c r="D34" i="68"/>
  <c r="C2" i="73"/>
  <c r="C29" i="66" s="1"/>
  <c r="D3" i="68"/>
  <c r="F47" i="68"/>
  <c r="G47" i="68" s="1"/>
  <c r="D27" i="68"/>
  <c r="D46" i="68"/>
  <c r="C28" i="66"/>
  <c r="C24" i="66"/>
  <c r="E61" i="73" l="1"/>
  <c r="E51" i="73"/>
  <c r="E41" i="73"/>
  <c r="E33" i="73"/>
  <c r="E31" i="73"/>
  <c r="E23" i="73"/>
  <c r="E21" i="73"/>
  <c r="E67" i="73"/>
  <c r="E64" i="73"/>
  <c r="E54" i="73"/>
  <c r="E46" i="73"/>
  <c r="E36" i="73"/>
  <c r="E26" i="73"/>
  <c r="E18" i="73"/>
  <c r="E59" i="73"/>
  <c r="E49" i="73"/>
  <c r="E39" i="73"/>
  <c r="E29" i="73"/>
  <c r="E62" i="73"/>
  <c r="E52" i="73"/>
  <c r="E42" i="73"/>
  <c r="E34" i="73"/>
  <c r="E24" i="73"/>
  <c r="E65" i="73"/>
  <c r="E57" i="73"/>
  <c r="E55" i="73"/>
  <c r="E47" i="73"/>
  <c r="E37" i="73"/>
  <c r="E27" i="73"/>
  <c r="E14" i="73"/>
  <c r="E11" i="73"/>
  <c r="E8" i="73"/>
  <c r="E60" i="73"/>
  <c r="E50" i="73"/>
  <c r="E40" i="73"/>
  <c r="E30" i="73"/>
  <c r="E22" i="73"/>
  <c r="E63" i="73"/>
  <c r="E53" i="73"/>
  <c r="E45" i="73"/>
  <c r="E43" i="73"/>
  <c r="E35" i="73"/>
  <c r="E25" i="73"/>
  <c r="E16" i="73"/>
  <c r="E13" i="73"/>
  <c r="E10" i="73"/>
  <c r="E44" i="73"/>
  <c r="E20" i="73"/>
  <c r="E38" i="73"/>
  <c r="E66" i="73"/>
  <c r="E28" i="73"/>
  <c r="E9" i="73"/>
  <c r="I19" i="73"/>
  <c r="C30" i="66"/>
  <c r="E17" i="73"/>
  <c r="B7" i="73"/>
  <c r="F7" i="73" s="1"/>
  <c r="B8" i="73" s="1"/>
  <c r="E56" i="73"/>
  <c r="E19" i="73"/>
  <c r="E58" i="73"/>
  <c r="E15" i="73"/>
  <c r="E12" i="73"/>
  <c r="E32" i="73"/>
  <c r="E48" i="73"/>
  <c r="M10" i="73" l="1"/>
  <c r="L10" i="73"/>
  <c r="N10" i="73"/>
  <c r="J7" i="73"/>
  <c r="D8" i="73"/>
  <c r="K10" i="73"/>
  <c r="J10" i="73"/>
  <c r="B58" i="46" l="1"/>
  <c r="C8" i="73"/>
  <c r="F8" i="73" l="1"/>
  <c r="B9" i="73" s="1"/>
  <c r="D9" i="73" l="1"/>
  <c r="D58" i="46" l="1"/>
  <c r="B59" i="46"/>
  <c r="B61" i="46" s="1"/>
  <c r="C9" i="73"/>
  <c r="B64" i="46" l="1"/>
  <c r="B66" i="46" s="1"/>
  <c r="B62" i="46"/>
  <c r="C61" i="46"/>
  <c r="E58" i="46"/>
  <c r="D59" i="46"/>
  <c r="D61" i="46" s="1"/>
  <c r="F9" i="73"/>
  <c r="B10" i="73" s="1"/>
  <c r="C58" i="46"/>
  <c r="B67" i="46" l="1"/>
  <c r="B90" i="46" s="1"/>
  <c r="C66" i="46"/>
  <c r="D62" i="46"/>
  <c r="E61" i="46"/>
  <c r="D64" i="46"/>
  <c r="D66" i="46" s="1"/>
  <c r="C64" i="46"/>
  <c r="C9" i="72"/>
  <c r="C10" i="72" s="1"/>
  <c r="D10" i="73"/>
  <c r="C13" i="72" l="1"/>
  <c r="D10" i="72"/>
  <c r="C19" i="72"/>
  <c r="E64" i="46"/>
  <c r="E9" i="72"/>
  <c r="E10" i="72" s="1"/>
  <c r="F58" i="46"/>
  <c r="C10" i="73"/>
  <c r="F59" i="46" l="1"/>
  <c r="F61" i="46" s="1"/>
  <c r="F62" i="46" s="1"/>
  <c r="E66" i="46"/>
  <c r="D67" i="46"/>
  <c r="D90" i="46" s="1"/>
  <c r="E13" i="72"/>
  <c r="F10" i="72"/>
  <c r="E19" i="72"/>
  <c r="F10" i="73"/>
  <c r="B11" i="73" s="1"/>
  <c r="G61" i="46" l="1"/>
  <c r="F64" i="46"/>
  <c r="F66" i="46" s="1"/>
  <c r="D11" i="73"/>
  <c r="G64" i="46" l="1"/>
  <c r="G9" i="72"/>
  <c r="G10" i="72" s="1"/>
  <c r="G19" i="72" s="1"/>
  <c r="G66" i="46"/>
  <c r="F67" i="46"/>
  <c r="F90" i="46" s="1"/>
  <c r="H58" i="46"/>
  <c r="C11" i="73"/>
  <c r="G13" i="72" l="1"/>
  <c r="H10" i="72"/>
  <c r="H59" i="46"/>
  <c r="H61" i="46" s="1"/>
  <c r="F11" i="73"/>
  <c r="B12" i="73" s="1"/>
  <c r="H62" i="46" l="1"/>
  <c r="I61" i="46"/>
  <c r="H64" i="46"/>
  <c r="H66" i="46" s="1"/>
  <c r="D12" i="73"/>
  <c r="J58" i="46" l="1"/>
  <c r="C12" i="73"/>
  <c r="I64" i="46"/>
  <c r="I9" i="72"/>
  <c r="J59" i="46" l="1"/>
  <c r="J61" i="46" s="1"/>
  <c r="H67" i="46"/>
  <c r="I66" i="46"/>
  <c r="I10" i="72"/>
  <c r="F12" i="73"/>
  <c r="B13" i="73" s="1"/>
  <c r="D13" i="73" l="1"/>
  <c r="I19" i="72"/>
  <c r="J10" i="72"/>
  <c r="I13" i="72"/>
  <c r="B15" i="72" s="1"/>
  <c r="B17" i="72" s="1"/>
  <c r="B19" i="72" s="1"/>
  <c r="K61" i="46"/>
  <c r="J62" i="46"/>
  <c r="J64" i="46"/>
  <c r="J66" i="46" s="1"/>
  <c r="L58" i="46" l="1"/>
  <c r="C13" i="73"/>
  <c r="F13" i="73" s="1"/>
  <c r="B14" i="73" s="1"/>
  <c r="K64" i="46"/>
  <c r="K9" i="72"/>
  <c r="L59" i="46" l="1"/>
  <c r="L61" i="46" s="1"/>
  <c r="K10" i="72"/>
  <c r="D14" i="73"/>
  <c r="K66" i="46"/>
  <c r="J67" i="46"/>
  <c r="L62" i="46" l="1"/>
  <c r="M61" i="46"/>
  <c r="L64" i="46"/>
  <c r="L66" i="46" s="1"/>
  <c r="N58" i="46"/>
  <c r="C14" i="73"/>
  <c r="F14" i="73" s="1"/>
  <c r="B15" i="73" s="1"/>
  <c r="L10" i="72"/>
  <c r="K19" i="72"/>
  <c r="K13" i="72"/>
  <c r="N59" i="46" l="1"/>
  <c r="N61" i="46" s="1"/>
  <c r="D15" i="73"/>
  <c r="M9" i="72"/>
  <c r="M64" i="46"/>
  <c r="M66" i="46" l="1"/>
  <c r="L67" i="46"/>
  <c r="M10" i="72"/>
  <c r="N64" i="46"/>
  <c r="N66" i="46" s="1"/>
  <c r="O61" i="46"/>
  <c r="N62" i="46"/>
  <c r="P58" i="46"/>
  <c r="C15" i="73"/>
  <c r="F15" i="73" s="1"/>
  <c r="B16" i="73" s="1"/>
  <c r="P59" i="46" l="1"/>
  <c r="P61" i="46" s="1"/>
  <c r="O64" i="46"/>
  <c r="O9" i="72"/>
  <c r="M13" i="72"/>
  <c r="M19" i="72"/>
  <c r="N10" i="72"/>
  <c r="D16" i="73"/>
  <c r="R58" i="46" l="1"/>
  <c r="C16" i="73"/>
  <c r="F16" i="73" s="1"/>
  <c r="B17" i="73" s="1"/>
  <c r="N67" i="46"/>
  <c r="O66" i="46"/>
  <c r="O10" i="72"/>
  <c r="P64" i="46"/>
  <c r="P66" i="46" s="1"/>
  <c r="Q61" i="46"/>
  <c r="P62" i="46"/>
  <c r="R59" i="46" l="1"/>
  <c r="R61" i="46" s="1"/>
  <c r="Q64" i="46"/>
  <c r="Q9" i="72"/>
  <c r="D17" i="73"/>
  <c r="P10" i="72"/>
  <c r="O13" i="72"/>
  <c r="O19" i="72"/>
  <c r="T58" i="46" l="1"/>
  <c r="C17" i="73"/>
  <c r="F17" i="73" s="1"/>
  <c r="B18" i="73" s="1"/>
  <c r="R64" i="46"/>
  <c r="R66" i="46" s="1"/>
  <c r="S61" i="46"/>
  <c r="R62" i="46"/>
  <c r="P67" i="46"/>
  <c r="Q66" i="46"/>
  <c r="Q10" i="72"/>
  <c r="T59" i="46" l="1"/>
  <c r="T61" i="46" s="1"/>
  <c r="S9" i="72"/>
  <c r="S64" i="46"/>
  <c r="D18" i="73"/>
  <c r="Q13" i="72"/>
  <c r="Q19" i="72"/>
  <c r="R10" i="72"/>
  <c r="T62" i="46" l="1"/>
  <c r="U61" i="46"/>
  <c r="T64" i="46"/>
  <c r="T66" i="46" s="1"/>
  <c r="V58" i="46"/>
  <c r="C18" i="73"/>
  <c r="F18" i="73" s="1"/>
  <c r="B19" i="73" s="1"/>
  <c r="R67" i="46"/>
  <c r="S66" i="46"/>
  <c r="S10" i="72"/>
  <c r="V59" i="46" l="1"/>
  <c r="V61" i="46" s="1"/>
  <c r="D19" i="73"/>
  <c r="J9" i="73" s="1"/>
  <c r="B66" i="65" s="1"/>
  <c r="U9" i="72"/>
  <c r="U66" i="46"/>
  <c r="U64" i="46"/>
  <c r="S13" i="72"/>
  <c r="S19" i="72"/>
  <c r="T10" i="72"/>
  <c r="B67" i="65" l="1"/>
  <c r="C26" i="33"/>
  <c r="U10" i="72"/>
  <c r="T67" i="46"/>
  <c r="V62" i="46"/>
  <c r="W61" i="46"/>
  <c r="V64" i="46"/>
  <c r="V66" i="46" s="1"/>
  <c r="X58" i="46"/>
  <c r="C19" i="73"/>
  <c r="X59" i="46" l="1"/>
  <c r="X61" i="46" s="1"/>
  <c r="Z58" i="46"/>
  <c r="Z59" i="46" s="1"/>
  <c r="Z61" i="46" s="1"/>
  <c r="B69" i="65" s="1"/>
  <c r="C67" i="65"/>
  <c r="W9" i="72"/>
  <c r="W64" i="46"/>
  <c r="J8" i="73"/>
  <c r="F19" i="73"/>
  <c r="B20" i="73" s="1"/>
  <c r="J18" i="73"/>
  <c r="U19" i="72"/>
  <c r="V10" i="72"/>
  <c r="U13" i="72"/>
  <c r="J11" i="73" l="1"/>
  <c r="K7" i="73" s="1"/>
  <c r="D20" i="73"/>
  <c r="AA61" i="46"/>
  <c r="Z62" i="46"/>
  <c r="B70" i="65" s="1"/>
  <c r="C69" i="65"/>
  <c r="Y61" i="46"/>
  <c r="X64" i="46"/>
  <c r="X66" i="46" s="1"/>
  <c r="X62" i="46"/>
  <c r="V67" i="46"/>
  <c r="W66" i="46"/>
  <c r="D26" i="33"/>
  <c r="C31" i="33"/>
  <c r="C33" i="33" s="1"/>
  <c r="C40" i="33" s="1"/>
  <c r="J19" i="73"/>
  <c r="E29" i="66" s="1"/>
  <c r="W10" i="72"/>
  <c r="C20" i="73" l="1"/>
  <c r="Y9" i="72"/>
  <c r="Y64" i="46"/>
  <c r="Z64" i="46"/>
  <c r="Z66" i="46" s="1"/>
  <c r="W13" i="72"/>
  <c r="W19" i="72"/>
  <c r="X10" i="72"/>
  <c r="D31" i="33"/>
  <c r="B72" i="65" l="1"/>
  <c r="C35" i="33" s="1"/>
  <c r="C37" i="33" s="1"/>
  <c r="B74" i="65"/>
  <c r="AA64" i="46"/>
  <c r="Y66" i="46"/>
  <c r="X67" i="46"/>
  <c r="D33" i="33"/>
  <c r="Y10" i="72"/>
  <c r="AA9" i="72"/>
  <c r="F20" i="73"/>
  <c r="B21" i="73" s="1"/>
  <c r="C42" i="33" l="1"/>
  <c r="D42" i="33" s="1"/>
  <c r="D40" i="33"/>
  <c r="C45" i="33"/>
  <c r="AA66" i="46"/>
  <c r="Z67" i="46"/>
  <c r="B75" i="65" s="1"/>
  <c r="C74" i="65"/>
  <c r="D21" i="73"/>
  <c r="Z10" i="72"/>
  <c r="Y13" i="72"/>
  <c r="AA13" i="72" s="1"/>
  <c r="Y19" i="72"/>
  <c r="B21" i="72" s="1"/>
  <c r="AA10" i="72"/>
  <c r="AB10" i="72" s="1"/>
  <c r="E9" i="66"/>
  <c r="C72" i="65"/>
  <c r="C21" i="73" l="1"/>
  <c r="E10" i="66"/>
  <c r="E26" i="66" s="1"/>
  <c r="D35" i="33"/>
  <c r="D37" i="33"/>
  <c r="B20" i="72"/>
  <c r="F10" i="66" l="1"/>
  <c r="E18" i="66"/>
  <c r="E13" i="66"/>
  <c r="F21" i="73"/>
  <c r="B22" i="73" s="1"/>
  <c r="E28" i="66" l="1"/>
  <c r="D22" i="73"/>
  <c r="E23" i="66"/>
  <c r="E24" i="66" s="1"/>
  <c r="E30" i="66" l="1"/>
  <c r="C22" i="73"/>
  <c r="F22" i="73" l="1"/>
  <c r="B23" i="73" s="1"/>
  <c r="D23" i="73" l="1"/>
  <c r="C23" i="73" l="1"/>
  <c r="F23" i="73" l="1"/>
  <c r="B24" i="73" s="1"/>
  <c r="D24" i="73" l="1"/>
  <c r="C24" i="73" l="1"/>
  <c r="F24" i="73" l="1"/>
  <c r="B25" i="73" s="1"/>
  <c r="D25" i="73" l="1"/>
  <c r="C25" i="73" s="1"/>
  <c r="F25" i="73" s="1"/>
  <c r="B26" i="73" s="1"/>
  <c r="D26" i="73" l="1"/>
  <c r="C26" i="73" s="1"/>
  <c r="F26" i="73" s="1"/>
  <c r="B27" i="73" s="1"/>
  <c r="D27" i="73" l="1"/>
  <c r="C27" i="73" s="1"/>
  <c r="F27" i="73" s="1"/>
  <c r="B28" i="73" s="1"/>
  <c r="D28" i="73" l="1"/>
  <c r="C28" i="73" s="1"/>
  <c r="F28" i="73" s="1"/>
  <c r="B29" i="73" s="1"/>
  <c r="D29" i="73" l="1"/>
  <c r="C29" i="73" s="1"/>
  <c r="F29" i="73" s="1"/>
  <c r="B30" i="73" s="1"/>
  <c r="D30" i="73" l="1"/>
  <c r="C30" i="73" s="1"/>
  <c r="F30" i="73" s="1"/>
  <c r="B31" i="73" s="1"/>
  <c r="D31" i="73" l="1"/>
  <c r="C31" i="73" l="1"/>
  <c r="K9" i="73"/>
  <c r="K18" i="73" l="1"/>
  <c r="E26" i="33"/>
  <c r="D66" i="65"/>
  <c r="D67" i="65" s="1"/>
  <c r="K8" i="73"/>
  <c r="F31" i="73"/>
  <c r="B32" i="73" s="1"/>
  <c r="E67" i="65" l="1"/>
  <c r="D32" i="73"/>
  <c r="K11" i="73"/>
  <c r="L7" i="73" s="1"/>
  <c r="F26" i="33"/>
  <c r="E31" i="33"/>
  <c r="K19" i="73"/>
  <c r="G29" i="66" s="1"/>
  <c r="C32" i="73" l="1"/>
  <c r="F31" i="33"/>
  <c r="F32" i="73" l="1"/>
  <c r="B33" i="73" s="1"/>
  <c r="D33" i="73" l="1"/>
  <c r="C33" i="73" l="1"/>
  <c r="F33" i="73" l="1"/>
  <c r="B34" i="73" s="1"/>
  <c r="D34" i="73" l="1"/>
  <c r="C34" i="73" l="1"/>
  <c r="F34" i="73" l="1"/>
  <c r="B35" i="73" s="1"/>
  <c r="D35" i="73" l="1"/>
  <c r="C35" i="73" l="1"/>
  <c r="F35" i="73" l="1"/>
  <c r="B36" i="73" s="1"/>
  <c r="D36" i="73" l="1"/>
  <c r="C36" i="73" l="1"/>
  <c r="F36" i="73" l="1"/>
  <c r="B37" i="73" s="1"/>
  <c r="D37" i="73" l="1"/>
  <c r="C37" i="73" s="1"/>
  <c r="F37" i="73" s="1"/>
  <c r="B38" i="73" s="1"/>
  <c r="D38" i="73" l="1"/>
  <c r="C38" i="73" s="1"/>
  <c r="F38" i="73" s="1"/>
  <c r="B39" i="73" s="1"/>
  <c r="D39" i="73" l="1"/>
  <c r="C39" i="73" s="1"/>
  <c r="F39" i="73" s="1"/>
  <c r="B40" i="73" s="1"/>
  <c r="D40" i="73" l="1"/>
  <c r="C40" i="73" s="1"/>
  <c r="F40" i="73" s="1"/>
  <c r="B41" i="73" s="1"/>
  <c r="D41" i="73" l="1"/>
  <c r="C41" i="73" s="1"/>
  <c r="F41" i="73" s="1"/>
  <c r="B42" i="73" s="1"/>
  <c r="D42" i="73" l="1"/>
  <c r="C42" i="73" s="1"/>
  <c r="F42" i="73" s="1"/>
  <c r="B43" i="73" s="1"/>
  <c r="D43" i="73" l="1"/>
  <c r="C43" i="73" l="1"/>
  <c r="L9" i="73"/>
  <c r="F66" i="65" l="1"/>
  <c r="F67" i="65" s="1"/>
  <c r="L18" i="73"/>
  <c r="G26" i="33"/>
  <c r="L8" i="73"/>
  <c r="F43" i="73"/>
  <c r="B44" i="73" s="1"/>
  <c r="G67" i="65" l="1"/>
  <c r="D44" i="73"/>
  <c r="L11" i="73"/>
  <c r="M7" i="73" s="1"/>
  <c r="H26" i="33"/>
  <c r="G31" i="33"/>
  <c r="L19" i="73"/>
  <c r="I29" i="66" s="1"/>
  <c r="H31" i="33" l="1"/>
  <c r="C44" i="73"/>
  <c r="F44" i="73" l="1"/>
  <c r="B45" i="73" s="1"/>
  <c r="D45" i="73" l="1"/>
  <c r="C45" i="73" l="1"/>
  <c r="F45" i="73" l="1"/>
  <c r="B46" i="73" s="1"/>
  <c r="D46" i="73" l="1"/>
  <c r="C46" i="73" l="1"/>
  <c r="F46" i="73" l="1"/>
  <c r="B47" i="73" s="1"/>
  <c r="D47" i="73" l="1"/>
  <c r="C47" i="73" l="1"/>
  <c r="F47" i="73" l="1"/>
  <c r="B48" i="73" s="1"/>
  <c r="D48" i="73" l="1"/>
  <c r="C48" i="73" l="1"/>
  <c r="F48" i="73" l="1"/>
  <c r="B49" i="73" s="1"/>
  <c r="D49" i="73" l="1"/>
  <c r="C49" i="73" s="1"/>
  <c r="F49" i="73" s="1"/>
  <c r="B50" i="73" s="1"/>
  <c r="D50" i="73" l="1"/>
  <c r="C50" i="73" s="1"/>
  <c r="F50" i="73" s="1"/>
  <c r="B51" i="73" s="1"/>
  <c r="D51" i="73" l="1"/>
  <c r="C51" i="73" s="1"/>
  <c r="F51" i="73" s="1"/>
  <c r="B52" i="73" s="1"/>
  <c r="D52" i="73" l="1"/>
  <c r="C52" i="73" s="1"/>
  <c r="F52" i="73" s="1"/>
  <c r="B53" i="73" s="1"/>
  <c r="D53" i="73" l="1"/>
  <c r="C53" i="73" s="1"/>
  <c r="F53" i="73" s="1"/>
  <c r="B54" i="73" s="1"/>
  <c r="D54" i="73" l="1"/>
  <c r="C54" i="73" s="1"/>
  <c r="F54" i="73" s="1"/>
  <c r="B55" i="73" s="1"/>
  <c r="D55" i="73" l="1"/>
  <c r="C55" i="73" l="1"/>
  <c r="M9" i="73"/>
  <c r="M18" i="73" l="1"/>
  <c r="I26" i="33"/>
  <c r="H66" i="65"/>
  <c r="H67" i="65" s="1"/>
  <c r="M8" i="73"/>
  <c r="F55" i="73"/>
  <c r="B56" i="73" s="1"/>
  <c r="I67" i="65" l="1"/>
  <c r="M11" i="73"/>
  <c r="N7" i="73" s="1"/>
  <c r="I31" i="33"/>
  <c r="J26" i="33"/>
  <c r="D56" i="73"/>
  <c r="M19" i="73"/>
  <c r="K29" i="66" s="1"/>
  <c r="J31" i="33" l="1"/>
  <c r="C56" i="73"/>
  <c r="F56" i="73" l="1"/>
  <c r="B57" i="73" s="1"/>
  <c r="D57" i="73" l="1"/>
  <c r="C57" i="73" l="1"/>
  <c r="F57" i="73" l="1"/>
  <c r="B58" i="73" s="1"/>
  <c r="D58" i="73" l="1"/>
  <c r="C58" i="73" l="1"/>
  <c r="F58" i="73" l="1"/>
  <c r="B59" i="73" s="1"/>
  <c r="D59" i="73" l="1"/>
  <c r="C59" i="73" l="1"/>
  <c r="F59" i="73" l="1"/>
  <c r="B60" i="73" s="1"/>
  <c r="D60" i="73" l="1"/>
  <c r="C60" i="73" l="1"/>
  <c r="F60" i="73" l="1"/>
  <c r="B61" i="73" s="1"/>
  <c r="D61" i="73" l="1"/>
  <c r="C61" i="73" s="1"/>
  <c r="F61" i="73" s="1"/>
  <c r="B62" i="73" s="1"/>
  <c r="D62" i="73" l="1"/>
  <c r="C62" i="73" s="1"/>
  <c r="F62" i="73" s="1"/>
  <c r="B63" i="73" s="1"/>
  <c r="D63" i="73" l="1"/>
  <c r="C63" i="73" s="1"/>
  <c r="F63" i="73" s="1"/>
  <c r="B64" i="73" s="1"/>
  <c r="D64" i="73" l="1"/>
  <c r="C64" i="73" s="1"/>
  <c r="F64" i="73" s="1"/>
  <c r="B65" i="73" s="1"/>
  <c r="D65" i="73" l="1"/>
  <c r="C65" i="73" s="1"/>
  <c r="F65" i="73" s="1"/>
  <c r="B66" i="73" s="1"/>
  <c r="D66" i="73" l="1"/>
  <c r="C66" i="73" s="1"/>
  <c r="F66" i="73" s="1"/>
  <c r="B67" i="73" s="1"/>
  <c r="D67" i="73" l="1"/>
  <c r="C67" i="73" l="1"/>
  <c r="N9" i="73"/>
  <c r="N18" i="73" l="1"/>
  <c r="K26" i="33"/>
  <c r="J66" i="65"/>
  <c r="N8" i="73"/>
  <c r="F67" i="73"/>
  <c r="L66" i="65" l="1"/>
  <c r="M66" i="65" s="1"/>
  <c r="J67" i="65"/>
  <c r="K31" i="33"/>
  <c r="L26" i="33"/>
  <c r="N11" i="73"/>
  <c r="N19" i="73"/>
  <c r="M29" i="66" s="1"/>
  <c r="K67" i="65" l="1"/>
  <c r="L67" i="65"/>
  <c r="L31" i="33"/>
  <c r="M67" i="65" l="1"/>
  <c r="E45" i="65" l="1"/>
  <c r="F45" i="65"/>
  <c r="G45" i="65" s="1"/>
  <c r="D59" i="65"/>
  <c r="E59" i="65" s="1"/>
  <c r="G5" i="66" l="1"/>
  <c r="D69" i="65"/>
  <c r="H45" i="65"/>
  <c r="D60" i="65"/>
  <c r="D61" i="65" s="1"/>
  <c r="F59" i="65"/>
  <c r="E10" i="33"/>
  <c r="J45" i="65" l="1"/>
  <c r="I45" i="65"/>
  <c r="H59" i="65"/>
  <c r="L45" i="65"/>
  <c r="I5" i="66"/>
  <c r="G10" i="33"/>
  <c r="F69" i="65"/>
  <c r="F60" i="65"/>
  <c r="F61" i="65" s="1"/>
  <c r="G59" i="65"/>
  <c r="D70" i="65"/>
  <c r="E69" i="65"/>
  <c r="D72" i="65"/>
  <c r="E13" i="33"/>
  <c r="F10" i="33"/>
  <c r="G6" i="66"/>
  <c r="G8" i="66"/>
  <c r="M45" i="65" l="1"/>
  <c r="L59" i="65"/>
  <c r="F70" i="65"/>
  <c r="G69" i="65"/>
  <c r="F72" i="65"/>
  <c r="I10" i="33"/>
  <c r="K5" i="66"/>
  <c r="I59" i="65"/>
  <c r="H60" i="65"/>
  <c r="H61" i="65" s="1"/>
  <c r="H69" i="65"/>
  <c r="H6" i="66"/>
  <c r="H8" i="66"/>
  <c r="F13" i="33"/>
  <c r="E15" i="33"/>
  <c r="H10" i="33"/>
  <c r="G13" i="33"/>
  <c r="E72" i="65"/>
  <c r="G9" i="66"/>
  <c r="G10" i="66" s="1"/>
  <c r="G26" i="66" s="1"/>
  <c r="E35" i="33"/>
  <c r="F35" i="33" s="1"/>
  <c r="D74" i="65"/>
  <c r="I6" i="66"/>
  <c r="J6" i="66" s="1"/>
  <c r="I8" i="66"/>
  <c r="J59" i="65"/>
  <c r="K45" i="65"/>
  <c r="E74" i="65" l="1"/>
  <c r="D75" i="65"/>
  <c r="H13" i="33"/>
  <c r="G15" i="33"/>
  <c r="K59" i="65"/>
  <c r="J69" i="65"/>
  <c r="M5" i="66"/>
  <c r="O5" i="66" s="1"/>
  <c r="J60" i="65"/>
  <c r="J61" i="65" s="1"/>
  <c r="K10" i="33"/>
  <c r="G18" i="66"/>
  <c r="G13" i="66"/>
  <c r="H10" i="66"/>
  <c r="H70" i="65"/>
  <c r="H72" i="65"/>
  <c r="I69" i="65"/>
  <c r="K8" i="66"/>
  <c r="K6" i="66"/>
  <c r="L6" i="66" s="1"/>
  <c r="J8" i="66"/>
  <c r="F15" i="33"/>
  <c r="E23" i="33"/>
  <c r="I13" i="33"/>
  <c r="J10" i="33"/>
  <c r="M59" i="65"/>
  <c r="L60" i="65"/>
  <c r="L69" i="65"/>
  <c r="I9" i="66"/>
  <c r="I10" i="66" s="1"/>
  <c r="I26" i="66" s="1"/>
  <c r="G72" i="65"/>
  <c r="G35" i="33"/>
  <c r="H35" i="33" s="1"/>
  <c r="F74" i="65"/>
  <c r="I18" i="66" l="1"/>
  <c r="I13" i="66"/>
  <c r="J10" i="66"/>
  <c r="M6" i="66"/>
  <c r="M8" i="66"/>
  <c r="L72" i="65"/>
  <c r="M69" i="65"/>
  <c r="L70" i="65"/>
  <c r="K69" i="65"/>
  <c r="J72" i="65"/>
  <c r="J70" i="65"/>
  <c r="G74" i="65"/>
  <c r="F75" i="65"/>
  <c r="G28" i="66"/>
  <c r="G23" i="66"/>
  <c r="G24" i="66" s="1"/>
  <c r="G23" i="33"/>
  <c r="H15" i="33"/>
  <c r="J13" i="33"/>
  <c r="I15" i="33"/>
  <c r="L8" i="66"/>
  <c r="O8" i="66"/>
  <c r="L10" i="33"/>
  <c r="K13" i="33"/>
  <c r="I72" i="65"/>
  <c r="K9" i="66"/>
  <c r="K10" i="66" s="1"/>
  <c r="I35" i="33"/>
  <c r="J35" i="33" s="1"/>
  <c r="H74" i="65"/>
  <c r="L61" i="65"/>
  <c r="M61" i="65" s="1"/>
  <c r="M60" i="65"/>
  <c r="E33" i="33"/>
  <c r="F23" i="33"/>
  <c r="K18" i="66" l="1"/>
  <c r="L10" i="66"/>
  <c r="K13" i="66"/>
  <c r="H75" i="65"/>
  <c r="I74" i="65"/>
  <c r="K15" i="33"/>
  <c r="L13" i="33"/>
  <c r="H23" i="33"/>
  <c r="G33" i="33"/>
  <c r="G30" i="66"/>
  <c r="K72" i="65"/>
  <c r="K35" i="33"/>
  <c r="L35" i="33" s="1"/>
  <c r="M9" i="66"/>
  <c r="M10" i="66" s="1"/>
  <c r="J74" i="65"/>
  <c r="M72" i="65"/>
  <c r="L74" i="65"/>
  <c r="J15" i="33"/>
  <c r="I23" i="33"/>
  <c r="N8" i="66"/>
  <c r="E37" i="33"/>
  <c r="F37" i="33" s="1"/>
  <c r="E40" i="33"/>
  <c r="F33" i="33"/>
  <c r="N6" i="66"/>
  <c r="O6" i="66"/>
  <c r="I28" i="66"/>
  <c r="I30" i="66" s="1"/>
  <c r="I23" i="66"/>
  <c r="I24" i="66" s="1"/>
  <c r="O9" i="66" l="1"/>
  <c r="E45" i="33"/>
  <c r="F40" i="33"/>
  <c r="E42" i="33"/>
  <c r="F42" i="33" s="1"/>
  <c r="J23" i="33"/>
  <c r="I33" i="33"/>
  <c r="J75" i="65"/>
  <c r="K74" i="65"/>
  <c r="L15" i="33"/>
  <c r="K23" i="33"/>
  <c r="L75" i="65"/>
  <c r="M74" i="65"/>
  <c r="H33" i="33"/>
  <c r="G37" i="33"/>
  <c r="H37" i="33" s="1"/>
  <c r="G40" i="33"/>
  <c r="K23" i="66"/>
  <c r="K24" i="66" s="1"/>
  <c r="K28" i="66"/>
  <c r="K30" i="66" s="1"/>
  <c r="M13" i="66"/>
  <c r="O13" i="66" s="1"/>
  <c r="M18" i="66"/>
  <c r="C19" i="66" s="1"/>
  <c r="N10" i="66"/>
  <c r="O10" i="66"/>
  <c r="O18" i="66" s="1"/>
  <c r="C20" i="66" l="1"/>
  <c r="H40" i="33"/>
  <c r="G42" i="33"/>
  <c r="H42" i="33" s="1"/>
  <c r="G45" i="33"/>
  <c r="L23" i="33"/>
  <c r="K33" i="33"/>
  <c r="I40" i="33"/>
  <c r="J33" i="33"/>
  <c r="I37" i="33"/>
  <c r="J37" i="33" s="1"/>
  <c r="M23" i="66"/>
  <c r="M24" i="66" s="1"/>
  <c r="C25" i="66" s="1" a="1"/>
  <c r="C25" i="66" s="1"/>
  <c r="M28" i="66"/>
  <c r="M30" i="66" s="1"/>
  <c r="C31" i="66" s="1"/>
  <c r="L33" i="33" l="1"/>
  <c r="K37" i="33"/>
  <c r="L37" i="33" s="1"/>
  <c r="K40" i="33"/>
  <c r="O28" i="66"/>
  <c r="I45" i="33"/>
  <c r="J40" i="33"/>
  <c r="I42" i="33"/>
  <c r="J42" i="33" s="1"/>
  <c r="C32" i="66"/>
  <c r="L40" i="33" l="1"/>
  <c r="K45" i="33"/>
  <c r="K42" i="33"/>
  <c r="L42" i="3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Datalog</author>
    <author>oscardavidquinteror</author>
    <author>Andrés Felipe Ayala Cortés</author>
  </authors>
  <commentList>
    <comment ref="I7" authorId="0" shapeId="0" xr:uid="{FDE66EC4-363B-4BDF-8F63-A4FCA64F82E6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Caja de control+Actuador lineal+componentes eléctricos+certificado ganchos+horas ensamble+ganchos+grúa</t>
        </r>
      </text>
    </comment>
    <comment ref="A14" authorId="1" shapeId="0" xr:uid="{67EC59DD-34E3-4C7D-B979-1485B22C3503}">
      <text>
        <r>
          <rPr>
            <b/>
            <sz val="9"/>
            <color indexed="81"/>
            <rFont val="Tahoma"/>
            <family val="2"/>
          </rPr>
          <t>oscardavidquinteror:</t>
        </r>
        <r>
          <rPr>
            <sz val="9"/>
            <color indexed="81"/>
            <rFont val="Tahoma"/>
            <family val="2"/>
          </rPr>
          <t xml:space="preserve">
Preguntar si el IVA puede ir aquí</t>
        </r>
      </text>
    </comment>
    <comment ref="A17" authorId="2" shapeId="0" xr:uid="{37880D96-630C-4D27-B8E8-76B8CF161CB4}">
      <text>
        <r>
          <rPr>
            <b/>
            <sz val="9"/>
            <color indexed="81"/>
            <rFont val="Tahoma"/>
            <family val="2"/>
          </rPr>
          <t>Andrés Felipe Ayala Cortés:</t>
        </r>
        <r>
          <rPr>
            <sz val="9"/>
            <color indexed="81"/>
            <rFont val="Tahoma"/>
            <family val="2"/>
          </rPr>
          <t xml:space="preserve">
(Marca, compra de un desarrollo, derechos de autor)</t>
        </r>
      </text>
    </comment>
    <comment ref="B18" authorId="1" shapeId="0" xr:uid="{9933B920-01E6-466F-85E5-2607D1D52269}">
      <text>
        <r>
          <rPr>
            <b/>
            <sz val="9"/>
            <color indexed="81"/>
            <rFont val="Tahoma"/>
            <family val="2"/>
          </rPr>
          <t>oscardavidquinteror:</t>
        </r>
        <r>
          <rPr>
            <sz val="9"/>
            <color indexed="81"/>
            <rFont val="Tahoma"/>
            <family val="2"/>
          </rPr>
          <t xml:space="preserve">
teniendo en cuenta 2 salarios mínimos diarios vigentes 2024</t>
        </r>
      </text>
    </comment>
    <comment ref="B26" authorId="1" shapeId="0" xr:uid="{EFC52273-73B0-4C0A-9E42-ACC75A67DA7F}">
      <text>
        <r>
          <rPr>
            <b/>
            <sz val="9"/>
            <color indexed="81"/>
            <rFont val="Tahoma"/>
            <family val="2"/>
          </rPr>
          <t>oscardavidquinteror:</t>
        </r>
        <r>
          <rPr>
            <sz val="9"/>
            <color indexed="81"/>
            <rFont val="Tahoma"/>
            <family val="2"/>
          </rPr>
          <t xml:space="preserve">
25% DE SU SALARIO</t>
        </r>
      </text>
    </comment>
    <comment ref="B27" authorId="1" shapeId="0" xr:uid="{851DB8BB-E798-42EB-8FD6-30A3425B09CC}">
      <text>
        <r>
          <rPr>
            <b/>
            <sz val="9"/>
            <color indexed="81"/>
            <rFont val="Tahoma"/>
            <family val="2"/>
          </rPr>
          <t>oscardavidquinteror:</t>
        </r>
        <r>
          <rPr>
            <sz val="9"/>
            <color indexed="81"/>
            <rFont val="Tahoma"/>
            <family val="2"/>
          </rPr>
          <t xml:space="preserve">
25% de su salario COP$6,000,000</t>
        </r>
      </text>
    </comment>
    <comment ref="B29" authorId="1" shapeId="0" xr:uid="{DB1ED86A-6B3F-4654-B379-9C400A20175F}">
      <text>
        <r>
          <rPr>
            <b/>
            <sz val="9"/>
            <color indexed="81"/>
            <rFont val="Tahoma"/>
            <family val="2"/>
          </rPr>
          <t>oscardavidquinteror:</t>
        </r>
        <r>
          <rPr>
            <sz val="9"/>
            <color indexed="81"/>
            <rFont val="Tahoma"/>
            <family val="2"/>
          </rPr>
          <t xml:space="preserve">
5% de su salario COP$3,300,000</t>
        </r>
      </text>
    </comment>
    <comment ref="B30" authorId="1" shapeId="0" xr:uid="{D52E522F-7C99-494F-91A2-FBD7403CD488}">
      <text>
        <r>
          <rPr>
            <b/>
            <sz val="9"/>
            <color indexed="81"/>
            <rFont val="Tahoma"/>
            <family val="2"/>
          </rPr>
          <t>oscardavidquinteror:</t>
        </r>
        <r>
          <rPr>
            <sz val="9"/>
            <color indexed="81"/>
            <rFont val="Tahoma"/>
            <family val="2"/>
          </rPr>
          <t xml:space="preserve">
5% de su salario: COP$13,000,000</t>
        </r>
      </text>
    </comment>
    <comment ref="B34" authorId="1" shapeId="0" xr:uid="{2904B9F2-885B-47B9-803B-EEAF5BD992E1}">
      <text>
        <r>
          <rPr>
            <b/>
            <sz val="9"/>
            <color indexed="81"/>
            <rFont val="Tahoma"/>
            <family val="2"/>
          </rPr>
          <t>oscardavidquinteror:</t>
        </r>
        <r>
          <rPr>
            <sz val="9"/>
            <color indexed="81"/>
            <rFont val="Tahoma"/>
            <family val="2"/>
          </rPr>
          <t xml:space="preserve">
No se ha determinado su participación porcentual ni su salario.</t>
        </r>
      </text>
    </comment>
    <comment ref="B37" authorId="1" shapeId="0" xr:uid="{E316CAA4-C9A7-4DF7-A5FD-907C503D9F3F}">
      <text>
        <r>
          <rPr>
            <b/>
            <sz val="9"/>
            <color indexed="81"/>
            <rFont val="Tahoma"/>
            <family val="2"/>
          </rPr>
          <t>oscardavidquinteror:</t>
        </r>
        <r>
          <rPr>
            <sz val="9"/>
            <color indexed="81"/>
            <rFont val="Tahoma"/>
            <family val="2"/>
          </rPr>
          <t xml:space="preserve">
Camioneta para ingresar al pozo Arantes 18-01-2024. dos días</t>
        </r>
      </text>
    </comment>
    <comment ref="B38" authorId="1" shapeId="0" xr:uid="{57AE8C41-2F84-432E-AD55-74C78157C0B3}">
      <text>
        <r>
          <rPr>
            <b/>
            <sz val="9"/>
            <color indexed="81"/>
            <rFont val="Tahoma"/>
            <family val="2"/>
          </rPr>
          <t>oscardavidquinteror:</t>
        </r>
        <r>
          <rPr>
            <sz val="9"/>
            <color indexed="81"/>
            <rFont val="Tahoma"/>
            <family val="2"/>
          </rPr>
          <t xml:space="preserve">
3 tiquetes ida y regreso Bog - Yopal</t>
        </r>
      </text>
    </comment>
    <comment ref="C46" authorId="0" shapeId="0" xr:uid="{CE06839B-9BD0-4878-AE41-034DDB3105A4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Ajustar manualmente capital de trabajo siempre, no vincularlo a FCL_mensual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Datalog</author>
  </authors>
  <commentList>
    <comment ref="C8" authorId="0" shapeId="0" xr:uid="{17A4A409-C4F2-4C89-B5BA-EE43034291D3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Deprecia con en el mismo tiempo de los GC9100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oscardavidquinteror</author>
  </authors>
  <commentList>
    <comment ref="F2" authorId="0" shapeId="0" xr:uid="{E4563570-1B3A-4B9C-B0F4-2ACEEC4B7DE0}">
      <text>
        <r>
          <rPr>
            <b/>
            <sz val="9"/>
            <color indexed="81"/>
            <rFont val="Tahoma"/>
            <family val="2"/>
          </rPr>
          <t>oscardavidquinteror:</t>
        </r>
        <r>
          <rPr>
            <sz val="9"/>
            <color indexed="81"/>
            <rFont val="Tahoma"/>
            <family val="2"/>
          </rPr>
          <t xml:space="preserve">
Ojo. Cambiar porcentaje en función del monto a financiar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Datalog</author>
    <author>datalog</author>
  </authors>
  <commentList>
    <comment ref="X23" authorId="0" shapeId="0" xr:uid="{F33E7C9C-2D65-4750-A3C4-F5D18CF2FBA1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Poner 1 si quiere reducción de 1 operador por turno</t>
        </r>
      </text>
    </comment>
    <comment ref="AH29" authorId="1" shapeId="0" xr:uid="{9FA41473-E153-48E0-B706-B9CCA7EA6164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Si va a estar en pozo: 1
Si no va a estar en pozo: 0</t>
        </r>
      </text>
    </comment>
    <comment ref="BO29" authorId="1" shapeId="0" xr:uid="{7C54C0DC-C951-4ABD-95C1-8E1DB48A3DB1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Si va a estar en pozo: 1
Si no va a estar en pozo: 0</t>
        </r>
      </text>
    </comment>
    <comment ref="CV29" authorId="1" shapeId="0" xr:uid="{9D42F3DC-FB5A-4773-9B08-79B9590ABDD1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Si va a estar en pozo: 1
Si no va a estar en pozo: 0</t>
        </r>
      </text>
    </comment>
    <comment ref="AH54" authorId="1" shapeId="0" xr:uid="{504BC967-928F-4C9E-A0C2-7D7CC16C3200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Si va a estar en pozo: 1
Si no va a estar en pozo: 0</t>
        </r>
      </text>
    </comment>
    <comment ref="BO54" authorId="1" shapeId="0" xr:uid="{97018D35-C198-4401-B0F8-168EF2C29838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Si va a estar en pozo: 1
Si no va a estar en pozo: 0</t>
        </r>
      </text>
    </comment>
    <comment ref="CV54" authorId="1" shapeId="0" xr:uid="{8C2924E4-6EE7-41C0-9E49-6D38BD72EA7E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Si va a estar en pozo: 1
Si no va a estar en pozo: 0</t>
        </r>
      </text>
    </comment>
    <comment ref="AH79" authorId="1" shapeId="0" xr:uid="{5577A9AD-D68C-46C1-8864-8C418F016D23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Si va a estar en pozo: 1
Si no va a estar en pozo: 0</t>
        </r>
      </text>
    </comment>
    <comment ref="BO79" authorId="1" shapeId="0" xr:uid="{AF01307F-1244-4484-A73F-60A942276F42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Si va a estar en pozo: 1
Si no va a estar en pozo: 0</t>
        </r>
      </text>
    </comment>
    <comment ref="CV79" authorId="1" shapeId="0" xr:uid="{AB2CBD60-E5BC-4178-BB6E-EDA2993113D2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Si va a estar en pozo: 1
Si no va a estar en pozo: 0</t>
        </r>
      </text>
    </comment>
    <comment ref="AH104" authorId="1" shapeId="0" xr:uid="{C8B5052E-94B7-4CED-9FF8-CBCA24451A41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Si va a estar en pozo: 1
Si no va a estar en pozo: 0</t>
        </r>
      </text>
    </comment>
    <comment ref="BO104" authorId="1" shapeId="0" xr:uid="{4D6667CC-7018-4E79-8A14-279245B5CB61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Si va a estar en pozo: 1
Si no va a estar en pozo: 0</t>
        </r>
      </text>
    </comment>
    <comment ref="CV104" authorId="1" shapeId="0" xr:uid="{53660DB0-4911-4628-B853-EA486BA8E72E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Si va a estar en pozo: 1
Si no va a estar en pozo: 0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datalog</author>
  </authors>
  <commentList>
    <comment ref="C1" authorId="0" shapeId="0" xr:uid="{2DB7544E-0F4A-453C-96E0-1A3B38FF576A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Ajustar en Variables
D7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Datalog</author>
    <author>datalog</author>
  </authors>
  <commentList>
    <comment ref="F24" authorId="0" shapeId="0" xr:uid="{5ADD50BD-9917-42E8-AC71-BC16DDFA119A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Solo Bono sin Alimentación</t>
        </r>
      </text>
    </comment>
    <comment ref="K24" authorId="0" shapeId="0" xr:uid="{2C43929B-4835-4A42-9700-7746A3D10D58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Ajuste de salario para 1 persona en campo y pago de un bono por persona para alguien de la unidad</t>
        </r>
      </text>
    </comment>
    <comment ref="M43" authorId="0" shapeId="0" xr:uid="{DCF35D1E-06E5-4AE2-A463-6DC8AEBA084C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Ajuste de salario para 1 persona en campo y pago de un bono por persona para alguien de la unidad</t>
        </r>
      </text>
    </comment>
    <comment ref="L45" authorId="1" shapeId="0" xr:uid="{1D9085AC-789F-4F11-91EF-C910E4AD2C38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Se asume un 10% como contingente
</t>
        </r>
      </text>
    </comment>
    <comment ref="H46" authorId="0" shapeId="0" xr:uid="{2A748CD4-296C-4C41-B3D5-BA012F9774B3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400gr por equipo x 2 por In-Out</t>
        </r>
      </text>
    </comment>
    <comment ref="H47" authorId="0" shapeId="0" xr:uid="{A20346D5-65D0-46EE-B004-865CC6D98E64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1.5 litros por equipo de trabajo x 2</t>
        </r>
      </text>
    </comment>
    <comment ref="H48" authorId="0" shapeId="0" xr:uid="{430095C5-4043-4368-A0EF-F3E6EBA9CA1E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8 botellas en total al año, dos de cada tipo. Cantidad por el año</t>
        </r>
      </text>
    </comment>
    <comment ref="H49" authorId="0" shapeId="0" xr:uid="{1A1BDE18-C76B-4A24-B057-8C3C1EAA74D4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60 días para una botella</t>
        </r>
      </text>
    </comment>
    <comment ref="J74" authorId="0" shapeId="0" xr:uid="{10B4D992-AA83-4234-AE48-908C94E230EC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Paga DCO remoto</t>
        </r>
      </text>
    </comment>
    <comment ref="J75" authorId="0" shapeId="0" xr:uid="{A6DCFED1-3410-4E01-B53F-B8E717F80CF7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Paga DCO remoto</t>
        </r>
      </text>
    </comment>
    <comment ref="F88" authorId="1" shapeId="0" xr:uid="{66993604-13F8-49EB-A9CE-9DABE659407C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Se pone 1 ó 0 en función de si la venta se da o no se da</t>
        </r>
      </text>
    </comment>
    <comment ref="G89" authorId="0" shapeId="0" xr:uid="{42F08201-2BE4-4244-B4CC-6015C3BAF606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XRF: 37USD
XRD: 105-179USD
TOC: 106USD</t>
        </r>
      </text>
    </comment>
    <comment ref="G99" authorId="0" shapeId="0" xr:uid="{AB2D7581-F1C8-4846-81B5-15C52BCFFA2D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Validar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Datalog</author>
  </authors>
  <commentList>
    <comment ref="B45" authorId="0" shapeId="0" xr:uid="{DF5C78E0-1778-4A6F-BC8E-60385C8534E9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3% de las ventas</t>
        </r>
      </text>
    </comment>
    <comment ref="D45" authorId="0" shapeId="0" xr:uid="{328387D0-E0A7-48FB-A85B-B39857999F82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3% de las ventas</t>
        </r>
      </text>
    </comment>
    <comment ref="F45" authorId="0" shapeId="0" xr:uid="{19666C24-98E6-4F78-A424-DF93DCE07FF8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3% de las ventas</t>
        </r>
      </text>
    </comment>
    <comment ref="H45" authorId="0" shapeId="0" xr:uid="{26ECB2F2-44C2-43EA-A51A-DD4251C0DBEB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3% de las ventas</t>
        </r>
      </text>
    </comment>
    <comment ref="J45" authorId="0" shapeId="0" xr:uid="{36D399F9-F46E-47DB-9A93-B8AB2B0539CB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3% de las ventas</t>
        </r>
      </text>
    </comment>
    <comment ref="L45" authorId="0" shapeId="0" xr:uid="{5FE482C7-FD0A-456E-B423-2EB68E7D51FC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3% de las ventas</t>
        </r>
      </text>
    </comment>
    <comment ref="N45" authorId="0" shapeId="0" xr:uid="{5A0AFCCC-186D-415D-AF09-15CC41129D8F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3% de las ventas</t>
        </r>
      </text>
    </comment>
    <comment ref="P45" authorId="0" shapeId="0" xr:uid="{8B8CA6B3-C524-4245-8B36-6F32139553EF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3% de las ventas</t>
        </r>
      </text>
    </comment>
    <comment ref="R45" authorId="0" shapeId="0" xr:uid="{8EC4EF6C-F34B-40D5-AEA6-ACFD66B6D95D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3% de las ventas</t>
        </r>
      </text>
    </comment>
    <comment ref="T45" authorId="0" shapeId="0" xr:uid="{EBBC4BB0-A733-4E29-9E25-BE841369CD39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3% de las ventas</t>
        </r>
      </text>
    </comment>
    <comment ref="V45" authorId="0" shapeId="0" xr:uid="{C3FCB07E-FF6F-4439-89EA-33BBEC487CA7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3% de las ventas</t>
        </r>
      </text>
    </comment>
    <comment ref="X45" authorId="0" shapeId="0" xr:uid="{FE96CC2E-4508-401D-BDB7-6182708976D5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3% de las ventas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datalog</author>
  </authors>
  <commentList>
    <comment ref="C259" authorId="0" shapeId="0" xr:uid="{378D257B-BDF0-488B-B515-393888418D77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El 10% de administración en todos los casos tendrá un límite máximo de USD $2.000 por mes. Es decir, la suma del 10% de los costos administrativos proporcionados por el Asociado Anfitrión, pagos de empleados en su nómina,  más  gastos  de logística  pagados por el Asociado Anfitrión tendrá un límite de $2.000 mensual.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Datalog</author>
  </authors>
  <commentList>
    <comment ref="F51" authorId="0" shapeId="0" xr:uid="{0ECB7591-9A95-4424-A610-20CE9133C2CA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Nuevos sensores IR</t>
        </r>
      </text>
    </comment>
    <comment ref="H51" authorId="0" shapeId="0" xr:uid="{0DDEE98E-A4D2-43E9-86D4-1B67A5100D76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Nuevos sensores Nivel</t>
        </r>
      </text>
    </comment>
    <comment ref="J51" authorId="0" shapeId="0" xr:uid="{818F56F3-6AD5-4BA6-BDCD-A96D54C40F1C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Nuevos sensores IR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Datalog</author>
  </authors>
  <commentList>
    <comment ref="E4" authorId="0" shapeId="0" xr:uid="{D8C9FD81-D818-4B8C-9EC8-95D35ED8CA39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90 días de CXP</t>
        </r>
      </text>
    </comment>
    <comment ref="G4" authorId="0" shapeId="0" xr:uid="{5BE80A47-207A-49B0-A350-5FD99EEBEB04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Proyecciones basadas en el Año 1 sin CXP</t>
        </r>
      </text>
    </comment>
    <comment ref="C34" authorId="0" shapeId="0" xr:uid="{9E2C7966-0DC8-4151-BF1B-2ECED09E58DA}">
      <text>
        <r>
          <rPr>
            <b/>
            <sz val="9"/>
            <color indexed="81"/>
            <rFont val="Tahoma"/>
            <family val="2"/>
          </rPr>
          <t>Datalog:</t>
        </r>
        <r>
          <rPr>
            <sz val="9"/>
            <color indexed="81"/>
            <rFont val="Tahoma"/>
            <family val="2"/>
          </rPr>
          <t xml:space="preserve">
Ajustar porcentaje de endeudamiento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</author>
    <author>henry</author>
  </authors>
  <commentList>
    <comment ref="R79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>ADM:</t>
        </r>
        <r>
          <rPr>
            <sz val="9"/>
            <color indexed="81"/>
            <rFont val="Tahoma"/>
            <family val="2"/>
          </rPr>
          <t xml:space="preserve">
Adjustmet USD bank account </t>
        </r>
      </text>
    </comment>
    <comment ref="T82" authorId="1" shapeId="0" xr:uid="{00000000-0006-0000-0A00-000002000000}">
      <text>
        <r>
          <rPr>
            <b/>
            <sz val="9"/>
            <color indexed="81"/>
            <rFont val="Tahoma"/>
            <family val="2"/>
          </rPr>
          <t>henry:</t>
        </r>
        <r>
          <rPr>
            <sz val="9"/>
            <color indexed="81"/>
            <rFont val="Tahoma"/>
            <family val="2"/>
          </rPr>
          <t xml:space="preserve">
recovery Income for THX ENERGY bad debts . It was received a land instead of an account receivable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</author>
    <author>henry</author>
  </authors>
  <commentList>
    <comment ref="V79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ADM:</t>
        </r>
        <r>
          <rPr>
            <sz val="9"/>
            <color indexed="81"/>
            <rFont val="Tahoma"/>
            <family val="2"/>
          </rPr>
          <t xml:space="preserve">
Adjustmet USD bank account </t>
        </r>
      </text>
    </comment>
    <comment ref="Z82" authorId="1" shapeId="0" xr:uid="{00000000-0006-0000-0900-000002000000}">
      <text>
        <r>
          <rPr>
            <b/>
            <sz val="9"/>
            <color indexed="81"/>
            <rFont val="Tahoma"/>
            <family val="2"/>
          </rPr>
          <t>henry:</t>
        </r>
        <r>
          <rPr>
            <sz val="9"/>
            <color indexed="81"/>
            <rFont val="Tahoma"/>
            <family val="2"/>
          </rPr>
          <t xml:space="preserve">
recovery Income for THX ENERGY bad debts . It was received a land instead of an account receivable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<sst xmlns="http://schemas.openxmlformats.org/spreadsheetml/2006/main" count="2667" uniqueCount="811">
  <si>
    <t>Colombia Operations</t>
  </si>
  <si>
    <t>Balance Sheet</t>
  </si>
  <si>
    <t>U.S. Dollar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</si>
  <si>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</si>
  <si>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</si>
  <si>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</si>
  <si>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</si>
  <si>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</si>
  <si>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</si>
  <si>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</si>
  <si>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</si>
  <si>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</si>
  <si>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</si>
  <si>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</si>
  <si>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</si>
  <si>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CURRENT</t>
  </si>
  <si>
    <t>Cash and term deposits</t>
  </si>
  <si>
    <t>Accounts Receivable</t>
  </si>
  <si>
    <t>Accounts Receivable No invoiced</t>
  </si>
  <si>
    <t>Sundry Receivable</t>
  </si>
  <si>
    <t>Inventory</t>
  </si>
  <si>
    <t>Prepaid</t>
  </si>
  <si>
    <t>I&amp;D</t>
  </si>
  <si>
    <t>Withholding taxes</t>
  </si>
  <si>
    <t>CAPITAL ASSETS (NBV)</t>
  </si>
  <si>
    <t>INTERCOMPANY RECEIVABLE/Investment</t>
  </si>
  <si>
    <t>TOTAL ASSETS</t>
  </si>
  <si>
    <t>Bank indebtedness</t>
  </si>
  <si>
    <t>Accounts payable</t>
  </si>
  <si>
    <t>Accruals</t>
  </si>
  <si>
    <t>Income taxes</t>
  </si>
  <si>
    <t>Current portion of long term debt</t>
  </si>
  <si>
    <t>DEFERRED INCOME TAXES</t>
  </si>
  <si>
    <t>DUE TO DIRECTOR</t>
  </si>
  <si>
    <t>INTERCOMPANY PAYABLE</t>
  </si>
  <si>
    <t xml:space="preserve">LONG TERM DEBT </t>
  </si>
  <si>
    <t>TOTAL LIABILITIES</t>
  </si>
  <si>
    <t>CAPITAL STOCK</t>
  </si>
  <si>
    <t>TRANSLATION ADJUSTMENT</t>
  </si>
  <si>
    <t>RETAINED EARNINGS</t>
  </si>
  <si>
    <t>NET INCOME</t>
  </si>
  <si>
    <t>TOTAL EQUITY</t>
  </si>
  <si>
    <t>TOTAL LIABILITIES &amp; EQUITY</t>
  </si>
  <si>
    <t>ebitda</t>
  </si>
  <si>
    <t>Local Currency</t>
  </si>
  <si>
    <t>Accounts Receivable nt Invoiced</t>
  </si>
  <si>
    <t>INTERCOMPANY RECEIVABLE</t>
  </si>
  <si>
    <t>Cumulative Translation Adjustment/ORI</t>
  </si>
  <si>
    <t>2025 Performance</t>
  </si>
  <si>
    <t>Summary Profit &amp; Loss</t>
  </si>
  <si>
    <t>2024YTD</t>
  </si>
  <si>
    <t>Total</t>
  </si>
  <si>
    <t>Budget</t>
  </si>
  <si>
    <t>SALES AND CONSULTING SERVICES</t>
  </si>
  <si>
    <t>COST OF SALES</t>
  </si>
  <si>
    <t>Direct Costs</t>
  </si>
  <si>
    <t>Depreciation / Amortization</t>
  </si>
  <si>
    <t xml:space="preserve">TOTAL COST OF SALES </t>
  </si>
  <si>
    <t>Gross Margin (%)</t>
  </si>
  <si>
    <t xml:space="preserve"> </t>
  </si>
  <si>
    <t>EXPENSES</t>
  </si>
  <si>
    <t>Salaries, bonuses and benefits</t>
  </si>
  <si>
    <t>Professional fees</t>
  </si>
  <si>
    <t>Rent and utilities</t>
  </si>
  <si>
    <t>Office</t>
  </si>
  <si>
    <t>Marketing and promotion</t>
  </si>
  <si>
    <t>Insurance</t>
  </si>
  <si>
    <t>Bank charges</t>
  </si>
  <si>
    <t xml:space="preserve">Depreciation / Amortization </t>
  </si>
  <si>
    <t>TOTAL EXPENSES</t>
  </si>
  <si>
    <t>INCOME (LOSS) BEFORE THE FOLLOWING</t>
  </si>
  <si>
    <t>Interest income/Miscellaneous income</t>
  </si>
  <si>
    <t>Interest Expense</t>
  </si>
  <si>
    <t>Foreign exchange/Inflationary - (gain)/loss</t>
  </si>
  <si>
    <t xml:space="preserve">     Intercompany (Gain)/loss</t>
  </si>
  <si>
    <t>Net Non Recurring expenses</t>
  </si>
  <si>
    <t>INCOME (LOSS) BEFORE TAX</t>
  </si>
  <si>
    <t>INCOME TAX EXPENSE (RECOVERY)</t>
  </si>
  <si>
    <t>NET INCOME (LOSS)</t>
  </si>
  <si>
    <t>EBITDA:</t>
  </si>
  <si>
    <t>Presupuesto Inversión</t>
  </si>
  <si>
    <t>COP</t>
  </si>
  <si>
    <t>USD</t>
  </si>
  <si>
    <t>Activos Fijos</t>
  </si>
  <si>
    <r>
      <t xml:space="preserve">Maquinaria y equipo - </t>
    </r>
    <r>
      <rPr>
        <b/>
        <i/>
        <sz val="10"/>
        <rFont val="Arial"/>
        <family val="2"/>
      </rPr>
      <t>Unidad Verde GreenER</t>
    </r>
  </si>
  <si>
    <t>Paneles LONGI LR5-72HPH 550Wp</t>
  </si>
  <si>
    <t>Trap gas UPH In (un)</t>
  </si>
  <si>
    <t>Trap gas UPH Out (un)</t>
  </si>
  <si>
    <t xml:space="preserve">Trap gas (un)
</t>
  </si>
  <si>
    <t>Inversores Inversor/cargador Multiplus-II 48/5000</t>
  </si>
  <si>
    <t>Soportes y Estructuras Acero</t>
  </si>
  <si>
    <t>Monitoreo Victron Energy Venus GX + BMV 712 Smart</t>
  </si>
  <si>
    <t>Cajas Combinadoras</t>
  </si>
  <si>
    <t>Baterías Narada - Litio 48V/50Ah</t>
  </si>
  <si>
    <t>Protecciones DPS 300VDC</t>
  </si>
  <si>
    <t>Balance de Sistema Cableado y accesorios</t>
  </si>
  <si>
    <t>Controlador de Carga SmartSolar MPPT 250/60-Tr</t>
  </si>
  <si>
    <t>IVA</t>
  </si>
  <si>
    <t>Equipo de cómputo</t>
  </si>
  <si>
    <t>Muebles y enseres</t>
  </si>
  <si>
    <t>Intangibles</t>
  </si>
  <si>
    <t>Capacitaciones</t>
  </si>
  <si>
    <t>Asesorías externas</t>
  </si>
  <si>
    <t>Ingeniería</t>
  </si>
  <si>
    <t>Herramientas</t>
  </si>
  <si>
    <t>Transporte Materiales y equipos</t>
  </si>
  <si>
    <t>Logística personal</t>
  </si>
  <si>
    <t>Personal</t>
  </si>
  <si>
    <t>Personal del proyecto</t>
  </si>
  <si>
    <t>Gerente de Mercadeo</t>
  </si>
  <si>
    <t>Consultor Externo</t>
  </si>
  <si>
    <t>Gerente general</t>
  </si>
  <si>
    <t>Supervisor HSEQ</t>
  </si>
  <si>
    <t>Gerente técnico</t>
  </si>
  <si>
    <t>Gerente de ensamble</t>
  </si>
  <si>
    <t>Soporte ensamble</t>
  </si>
  <si>
    <t>JMA</t>
  </si>
  <si>
    <t>Logística y compras</t>
  </si>
  <si>
    <t>Gastos varios</t>
  </si>
  <si>
    <t>Viajes camioneta Datalog</t>
  </si>
  <si>
    <t>Viajes camioneta comunidad</t>
  </si>
  <si>
    <t>Viajes avión</t>
  </si>
  <si>
    <t>Viáticos</t>
  </si>
  <si>
    <t>Taxi</t>
  </si>
  <si>
    <t>Papers</t>
  </si>
  <si>
    <t>Mercadeo</t>
  </si>
  <si>
    <t>Video Promocional Unidades Verdes</t>
  </si>
  <si>
    <t>Material visual para eventos</t>
  </si>
  <si>
    <t>Capital de trabajo</t>
  </si>
  <si>
    <t>Efectivo</t>
  </si>
  <si>
    <t>Sin capital de trabajo</t>
  </si>
  <si>
    <t>Total Cost</t>
  </si>
  <si>
    <t>Tiempo Dep</t>
  </si>
  <si>
    <t>Dep men</t>
  </si>
  <si>
    <t>Año 1</t>
  </si>
  <si>
    <t>Año 2</t>
  </si>
  <si>
    <t>Año 3</t>
  </si>
  <si>
    <t>Año 4</t>
  </si>
  <si>
    <t>Año 5</t>
  </si>
  <si>
    <t>Año 6</t>
  </si>
  <si>
    <t>Año 7</t>
  </si>
  <si>
    <t>Año 8</t>
  </si>
  <si>
    <t>Año 9</t>
  </si>
  <si>
    <t>Año 10</t>
  </si>
  <si>
    <t>Dep anual</t>
  </si>
  <si>
    <t>TABLA DE AMORTIZACIÓN</t>
  </si>
  <si>
    <t>Monto</t>
  </si>
  <si>
    <t>% deuda</t>
  </si>
  <si>
    <t>Plazo</t>
  </si>
  <si>
    <t>Tasa</t>
  </si>
  <si>
    <t>EM</t>
  </si>
  <si>
    <t>EA</t>
  </si>
  <si>
    <t>Forma de pago</t>
  </si>
  <si>
    <t>Cuotas uniformes mes vencidas</t>
  </si>
  <si>
    <t>N°</t>
  </si>
  <si>
    <t>Saldo inicial</t>
  </si>
  <si>
    <t>Abono a capital</t>
  </si>
  <si>
    <t>Intereses</t>
  </si>
  <si>
    <t>Cuota</t>
  </si>
  <si>
    <t>Saldo final</t>
  </si>
  <si>
    <t>Incluirlas al FCL</t>
  </si>
  <si>
    <t>https://www.youtube.com/watch?v=YBk5I0q1XEk</t>
  </si>
  <si>
    <t>CÁLCULO DEL EFECTO DE LA DEUDA Y DEL FLUJO DE CAJA DE LA DEUDA</t>
  </si>
  <si>
    <t>Interés neto después de impuestos</t>
  </si>
  <si>
    <t>Flujo de caja de la deuda</t>
  </si>
  <si>
    <t>PROYECTO Unidades Verdes</t>
  </si>
  <si>
    <r>
      <rPr>
        <b/>
        <sz val="14"/>
        <rFont val="Arial"/>
        <family val="2"/>
      </rPr>
      <t>Notas</t>
    </r>
    <r>
      <rPr>
        <sz val="14"/>
        <rFont val="Arial"/>
        <family val="2"/>
      </rPr>
      <t>: 
Precios sin Iva
Vigencia de la oferta 90 días
Tarifas en dólares americanos</t>
    </r>
  </si>
  <si>
    <t>ESCENARIO PARA 1 FRENTE DE TRABAJO</t>
  </si>
  <si>
    <t>Operative System</t>
  </si>
  <si>
    <t>Rig Up</t>
  </si>
  <si>
    <t>Rig Down</t>
  </si>
  <si>
    <t>SB con Personal</t>
  </si>
  <si>
    <t>SB Sin personal</t>
  </si>
  <si>
    <t>Movilización personal</t>
  </si>
  <si>
    <t>Camioneta Datalog</t>
  </si>
  <si>
    <t>Camioneta comunidad Tipo 1</t>
  </si>
  <si>
    <t>Camioneta comunidad Tipo 2</t>
  </si>
  <si>
    <t>Vuelos personal</t>
  </si>
  <si>
    <t>Reducción operador</t>
  </si>
  <si>
    <t>Movilizaciones Equipos</t>
  </si>
  <si>
    <t>Movilización de unidad</t>
  </si>
  <si>
    <t>Frentes de trabajo</t>
  </si>
  <si>
    <t>Transporte de muestras</t>
  </si>
  <si>
    <t>Envío requisiciones</t>
  </si>
  <si>
    <t>OPERACIÓN</t>
  </si>
  <si>
    <t>Envío equipos servicios</t>
  </si>
  <si>
    <t>mes 1</t>
  </si>
  <si>
    <t>sí/no</t>
  </si>
  <si>
    <t>mes 2</t>
  </si>
  <si>
    <t>mes 3</t>
  </si>
  <si>
    <t>AG 1</t>
  </si>
  <si>
    <t>AG 2</t>
  </si>
  <si>
    <t>ID 1</t>
  </si>
  <si>
    <t>AG 3</t>
  </si>
  <si>
    <t>AG 4</t>
  </si>
  <si>
    <t>AG 5</t>
  </si>
  <si>
    <t>AG 6</t>
  </si>
  <si>
    <t>Mov Personal</t>
  </si>
  <si>
    <t>Mov Equipos</t>
  </si>
  <si>
    <t>mes 4</t>
  </si>
  <si>
    <t>mes 5</t>
  </si>
  <si>
    <t>mes 6</t>
  </si>
  <si>
    <t>mes 7</t>
  </si>
  <si>
    <t>mes 8</t>
  </si>
  <si>
    <t>mes 9</t>
  </si>
  <si>
    <t>mes 10</t>
  </si>
  <si>
    <t>mes 11</t>
  </si>
  <si>
    <t>mes 12</t>
  </si>
  <si>
    <t>TARIFAS (CON IVA)</t>
  </si>
  <si>
    <t>si/no</t>
  </si>
  <si>
    <t>usd$</t>
  </si>
  <si>
    <t>MES 1</t>
  </si>
  <si>
    <t>MES2</t>
  </si>
  <si>
    <t>MES 3</t>
  </si>
  <si>
    <t>MES 4</t>
  </si>
  <si>
    <t>MES 5</t>
  </si>
  <si>
    <t>MES 6</t>
  </si>
  <si>
    <t>MES 7</t>
  </si>
  <si>
    <t>MES 8</t>
  </si>
  <si>
    <t>MES9</t>
  </si>
  <si>
    <t>MES 10</t>
  </si>
  <si>
    <t>MES 11</t>
  </si>
  <si>
    <t>MES 12</t>
  </si>
  <si>
    <t>Tot CICLO</t>
  </si>
  <si>
    <t>gran total</t>
  </si>
  <si>
    <t>OPD Unidad GreenER</t>
  </si>
  <si>
    <t>Día</t>
  </si>
  <si>
    <t>Mov</t>
  </si>
  <si>
    <t>Global</t>
  </si>
  <si>
    <t>DeMov</t>
  </si>
  <si>
    <t>Stand By CP</t>
  </si>
  <si>
    <t>Stand By SP</t>
  </si>
  <si>
    <t>Venta con IVA</t>
  </si>
  <si>
    <t>Venta Bruta</t>
  </si>
  <si>
    <t>GM</t>
  </si>
  <si>
    <t>TRM</t>
  </si>
  <si>
    <t>% Parafiscales</t>
  </si>
  <si>
    <t>Código</t>
  </si>
  <si>
    <t>Salaries</t>
  </si>
  <si>
    <t>dias</t>
  </si>
  <si>
    <t>basico COP</t>
  </si>
  <si>
    <t>Aux Salud</t>
  </si>
  <si>
    <t>basico USD</t>
  </si>
  <si>
    <t>Cantidad</t>
  </si>
  <si>
    <t>Bono</t>
  </si>
  <si>
    <t>Alim sin</t>
  </si>
  <si>
    <t>Efec sin</t>
  </si>
  <si>
    <t>Viatic</t>
  </si>
  <si>
    <t>bono USD</t>
  </si>
  <si>
    <t>Ingenieros de datos Cat-6</t>
  </si>
  <si>
    <t>Ingenieros de datos Cat-5</t>
  </si>
  <si>
    <t>Ingenieros de datos Cat-4</t>
  </si>
  <si>
    <t>Geologos de registro Cat-5.2</t>
  </si>
  <si>
    <t>Geologos de registro Cat-5.1</t>
  </si>
  <si>
    <t>Geologos de registro Cat-4</t>
  </si>
  <si>
    <t>Recoge muestras1</t>
  </si>
  <si>
    <t>Recoge muestras2</t>
  </si>
  <si>
    <t>Soporte tecnico</t>
  </si>
  <si>
    <t>Coordinador</t>
  </si>
  <si>
    <t>Soporte operaciones</t>
  </si>
  <si>
    <t>Analista geoquímica Cat-1</t>
  </si>
  <si>
    <t>Analista de estabilidad Cat-4</t>
  </si>
  <si>
    <t>Geomecanico</t>
  </si>
  <si>
    <t>Coordinador geoquímica</t>
  </si>
  <si>
    <t>Meses</t>
  </si>
  <si>
    <t>USD$</t>
  </si>
  <si>
    <t xml:space="preserve">Salaries - Field Employees </t>
  </si>
  <si>
    <t>ST</t>
  </si>
  <si>
    <t>Field Employee Benefits</t>
  </si>
  <si>
    <t>Salaries - Field Employees Adminsitrative</t>
  </si>
  <si>
    <t>SOTEC</t>
  </si>
  <si>
    <t>SOP</t>
  </si>
  <si>
    <t>Transportation of field personnel</t>
  </si>
  <si>
    <t>valor</t>
  </si>
  <si>
    <t>valor USD</t>
  </si>
  <si>
    <t>imprevistos</t>
  </si>
  <si>
    <t>costo</t>
  </si>
  <si>
    <t>Ajuste de Transportation</t>
  </si>
  <si>
    <t>Consumibles</t>
  </si>
  <si>
    <t>P unitario</t>
  </si>
  <si>
    <t>Precio USD</t>
  </si>
  <si>
    <t>Costo por OPD</t>
  </si>
  <si>
    <t>Cloruro de Ca x Kg</t>
  </si>
  <si>
    <t>Etilenglicol x litro</t>
  </si>
  <si>
    <r>
      <rPr>
        <b/>
        <sz val="10"/>
        <rFont val="Arial"/>
        <family val="2"/>
      </rPr>
      <t>CalGaz. Mezclas C1 - C5</t>
    </r>
    <r>
      <rPr>
        <sz val="10"/>
        <rFont val="Arial"/>
        <family val="2"/>
      </rPr>
      <t xml:space="preserve">
Type 1: 100ppm C1, 25ppm C2, 25ppm C3, 
25ppm IC4, 25ppm NC4, 25ppm IC5, 25ppm NC5.
Type 2: 1000ppm C1, 250ppm C2, 250ppm C3, 
250ppm IC4, 250ppm NC4, 250ppm IC5, 250ppm NC5.
Type 3: 1% C1, 0.25% C2, 0.25% C3, 0.25% IC4, 0.25% NC4, 0.1% IC5, 0.1% NC5.
Type 4: 10% C1, 2.5% C2, 2.5% C3, 1% IC4, 1% NC4, 0.25% IC5, 0.25% NC5.</t>
    </r>
  </si>
  <si>
    <t>Helio (botella 2000 psi)</t>
  </si>
  <si>
    <t>Regulador Helio</t>
  </si>
  <si>
    <t>Politubing (rollo de10 metros)</t>
  </si>
  <si>
    <t>Papelería, cristalería, ferretería, jabón, otros</t>
  </si>
  <si>
    <t>Alquiler de equipo</t>
  </si>
  <si>
    <t>Transport &amp; installation of Units</t>
  </si>
  <si>
    <t>horas</t>
  </si>
  <si>
    <t>Precio COP</t>
  </si>
  <si>
    <t>cantidad</t>
  </si>
  <si>
    <t>Km</t>
  </si>
  <si>
    <t>Costo</t>
  </si>
  <si>
    <t>Montacargas</t>
  </si>
  <si>
    <t>Telephone expenses at wellsite</t>
  </si>
  <si>
    <t>Internet y comunicaciones en pozo</t>
  </si>
  <si>
    <t>Field Personnel Training</t>
  </si>
  <si>
    <t>Curso alturas</t>
  </si>
  <si>
    <t>Curso H2S</t>
  </si>
  <si>
    <t>Soporte y servicios técnicos</t>
  </si>
  <si>
    <t>Cantidad mes</t>
  </si>
  <si>
    <t>Costo mes</t>
  </si>
  <si>
    <t xml:space="preserve">Licencia software </t>
  </si>
  <si>
    <t>WW y Anax 500</t>
  </si>
  <si>
    <t>Equipment repairs &amp; maintenance</t>
  </si>
  <si>
    <t>Cantidad diaria</t>
  </si>
  <si>
    <t>Mantenimiento Sistema Fotovoltaico</t>
  </si>
  <si>
    <t>Fees - Professional Services</t>
  </si>
  <si>
    <t>Va / no va</t>
  </si>
  <si>
    <t>tarifa</t>
  </si>
  <si>
    <t>TOTAL</t>
  </si>
  <si>
    <t>meses</t>
  </si>
  <si>
    <t>Analisis palinologia Bolivia</t>
  </si>
  <si>
    <t>variable</t>
  </si>
  <si>
    <t>Analisis geoquimico XRF Colombia</t>
  </si>
  <si>
    <t>Analisis geoquimico XRD Colombia</t>
  </si>
  <si>
    <t>Analisis geoquimico TOC Colombia</t>
  </si>
  <si>
    <t>Renta Cromatografo ampliado Colombia</t>
  </si>
  <si>
    <t>Envio cromatografo ampliado Bog-Scrus-Bog Todo costo</t>
  </si>
  <si>
    <t>Seguimiento diario Analisis Gases Delta y Avanzando</t>
  </si>
  <si>
    <t>Total Professional Fees</t>
  </si>
  <si>
    <t>Polizas</t>
  </si>
  <si>
    <t>cantidad mes</t>
  </si>
  <si>
    <t>Seriedad de  la oferta</t>
  </si>
  <si>
    <t>Poliza de cumplimiento</t>
  </si>
  <si>
    <t>Seguros equipos</t>
  </si>
  <si>
    <t>Marketing and advertising</t>
  </si>
  <si>
    <t>Plan de mercadeo</t>
  </si>
  <si>
    <t>Porcentaje de venta</t>
  </si>
  <si>
    <t>CAPEX</t>
  </si>
  <si>
    <t>va / no va</t>
  </si>
  <si>
    <t>Valor</t>
  </si>
  <si>
    <t>AMORTIZATION</t>
  </si>
  <si>
    <t>Valor arranque</t>
  </si>
  <si>
    <t>aprox</t>
  </si>
  <si>
    <t>VALOR OTROS DIFERENTE A CAPEX ARRANQUE OPARACIONES</t>
  </si>
  <si>
    <t>Costo total OP</t>
  </si>
  <si>
    <t xml:space="preserve">IMPREVISTOS 5% </t>
  </si>
  <si>
    <t>Tasa Fiscal (TX)</t>
  </si>
  <si>
    <t>FORMULAS</t>
  </si>
  <si>
    <t>Beta Apalancado</t>
  </si>
  <si>
    <t>Bd*(1+(D/P))*(1-t)</t>
  </si>
  <si>
    <t>http://www.bankofcanada.ca/en/rates/tbill.html</t>
  </si>
  <si>
    <t>Ke: Costo del patrimonio (us$)</t>
  </si>
  <si>
    <t>Rf + (Ba *(Rm - Rf))+Rp</t>
  </si>
  <si>
    <t>Ke: Costo del patrimonio (Pesos$)</t>
  </si>
  <si>
    <t>(1+Ke1)*(1+Dev)-1</t>
  </si>
  <si>
    <t>CALCULO TIO CON FINANCIAMIENTO</t>
  </si>
  <si>
    <t>D: Participación Deuda</t>
  </si>
  <si>
    <t>P: Participación Patrimonio</t>
  </si>
  <si>
    <t>t: Tasa de Impuestos</t>
  </si>
  <si>
    <t>Bd: Beta desapalancado</t>
  </si>
  <si>
    <t>Página damodaran: riesgo 1 del sector OIL&amp;Gas comparado con el promedio de la economía</t>
  </si>
  <si>
    <t>Ba: Beta apalancado</t>
  </si>
  <si>
    <t>Se combina el anterior con el de la deuda, es decir al desapalancado se le suma la deuda</t>
  </si>
  <si>
    <t>Rf: Tasa Libre de riesgo</t>
  </si>
  <si>
    <t>Tasa del tesoro de USA . Threasury month rate. Bloomberg.com/markets/rates-bonds/government-bonds/us</t>
  </si>
  <si>
    <t>Rm: Tasa de mercado</t>
  </si>
  <si>
    <t>Damodaran, historical returns….... Download (Retorno de las inversiones)</t>
  </si>
  <si>
    <t>Rc: Riesgo pais</t>
  </si>
  <si>
    <t>Se toma del Cesla, indicador de riesgo pais, último dato Colombia 3.21%</t>
  </si>
  <si>
    <t>Prima No Bursatilidad</t>
  </si>
  <si>
    <t>Si no cotizan en bolsa</t>
  </si>
  <si>
    <t>Ke1 (US$): Costo del Patrimonio</t>
  </si>
  <si>
    <t>Si es en dólares los inversionistas les gustaria esta</t>
  </si>
  <si>
    <t>Devaluacion</t>
  </si>
  <si>
    <t>Peso frente al dólar</t>
  </si>
  <si>
    <t>En pesos, es la tasa TIO</t>
  </si>
  <si>
    <t>CALCULO TIO SIN FINANCIAMIENTO</t>
  </si>
  <si>
    <t>MLS Operations</t>
  </si>
  <si>
    <t>Detail Profit &amp; Loss</t>
  </si>
  <si>
    <t>MES 2</t>
  </si>
  <si>
    <t>MES 9</t>
  </si>
  <si>
    <t>Sales</t>
  </si>
  <si>
    <t>Mudlogging Equipment</t>
  </si>
  <si>
    <t>Sales returns</t>
  </si>
  <si>
    <t>Cabin Rental</t>
  </si>
  <si>
    <t>Intercompany Revenue</t>
  </si>
  <si>
    <t>Total Sales</t>
  </si>
  <si>
    <t>Cost of Sales</t>
  </si>
  <si>
    <t>Bon/Indemnization/Government Grants</t>
  </si>
  <si>
    <t>Field Employee Benefits Administrative</t>
  </si>
  <si>
    <t>Salaries - Warehouse Employees</t>
  </si>
  <si>
    <t>Warehouse Benefits</t>
  </si>
  <si>
    <t>Salaries - Warehouse Employees Adminitve</t>
  </si>
  <si>
    <t>Bonuses Administrative</t>
  </si>
  <si>
    <t>Warehouse Benefits Admintrative</t>
  </si>
  <si>
    <t>Fees - Professional Field Staff</t>
  </si>
  <si>
    <t>Recruitment and Advertising</t>
  </si>
  <si>
    <t>Lodging &amp; meals for field personnel</t>
  </si>
  <si>
    <t>Field Vehicle Rental</t>
  </si>
  <si>
    <t>Consumable materials &amp; warehouse supplies</t>
  </si>
  <si>
    <t xml:space="preserve">Equipment rental   </t>
  </si>
  <si>
    <t>Warehouse Rental and Utilities</t>
  </si>
  <si>
    <t>Freight/Municipal Taxes and others</t>
  </si>
  <si>
    <t>Importation/Exportation expenses</t>
  </si>
  <si>
    <t>Royalties/Licensing</t>
  </si>
  <si>
    <t>Commissions</t>
  </si>
  <si>
    <t>Equipment cost</t>
  </si>
  <si>
    <t>Shipping costs on Equipment Sales</t>
  </si>
  <si>
    <t>Depreciation - Rental Units</t>
  </si>
  <si>
    <t>Depreciation - Field Equipment</t>
  </si>
  <si>
    <t>Amortization</t>
  </si>
  <si>
    <t>Unexpected</t>
  </si>
  <si>
    <t>Total Cost of Sales</t>
  </si>
  <si>
    <t>GROSS PROFIT</t>
  </si>
  <si>
    <t>GROSS MARGIN</t>
  </si>
  <si>
    <t>Apportioned G&amp;A expenses</t>
  </si>
  <si>
    <t>Other (Income) and expenses:</t>
  </si>
  <si>
    <t>Total other income and expenses</t>
  </si>
  <si>
    <t>Income Before Tax</t>
  </si>
  <si>
    <t>Income Before Tax % of sales</t>
  </si>
  <si>
    <t>Income Tax</t>
  </si>
  <si>
    <t>Net Income</t>
  </si>
  <si>
    <t>Net Income %</t>
  </si>
  <si>
    <t>FIELD COST</t>
  </si>
  <si>
    <t>Q1</t>
  </si>
  <si>
    <t>Q2</t>
  </si>
  <si>
    <t>Q3</t>
  </si>
  <si>
    <t>Q4</t>
  </si>
  <si>
    <t>Total YTD</t>
  </si>
  <si>
    <t>Personnel</t>
  </si>
  <si>
    <t>Field Operations supplies</t>
  </si>
  <si>
    <t>Warehouse Rentals Utilities</t>
  </si>
  <si>
    <t>Depreciation</t>
  </si>
  <si>
    <t>Others: equipment costs and shipping</t>
  </si>
  <si>
    <t>G&amp;A EXPENSES</t>
  </si>
  <si>
    <t>Promotion materials</t>
  </si>
  <si>
    <t>Taxes and Insurances</t>
  </si>
  <si>
    <t>Net Operating Profit</t>
  </si>
  <si>
    <t>Net Operating Profit as % of sales</t>
  </si>
  <si>
    <t>Profit before taxes</t>
  </si>
  <si>
    <t>Profit before taxes as % of sales</t>
  </si>
  <si>
    <t>Income Tax as % of sales</t>
  </si>
  <si>
    <t>Ventas USD$</t>
  </si>
  <si>
    <t>March</t>
  </si>
  <si>
    <t>June</t>
  </si>
  <si>
    <t>July</t>
  </si>
  <si>
    <t>August</t>
  </si>
  <si>
    <t>Sept</t>
  </si>
  <si>
    <t>Dic</t>
  </si>
  <si>
    <t>Qtotal</t>
  </si>
  <si>
    <t xml:space="preserve">Total OPD </t>
  </si>
  <si>
    <t>COSTO TOTAL OPERACIONES</t>
  </si>
  <si>
    <t>COSTO TOTAL OPERACIONES como % de VENTAS</t>
  </si>
  <si>
    <t>COSTO PERSONAL OPERACIONES (CAMPO)</t>
  </si>
  <si>
    <t>COSTO PERSONAL como % de VENTAS</t>
  </si>
  <si>
    <t>COSTO TOTAL(COSTO TOTAL OPERACIONES +G&amp;A)</t>
  </si>
  <si>
    <t>COSTO TOTAL COMO % VENTAS</t>
  </si>
  <si>
    <t># PERSONAL EN OPERACIONES (CAMPO)</t>
  </si>
  <si>
    <t>PERSONAL EN SOPORTE OPERACIONES CAMPO - WAREHOSUE</t>
  </si>
  <si>
    <t>NO DE DIAS PAGADOS EN CAMPO</t>
  </si>
  <si>
    <t>NO DE DIAS PAGADOS EN CAMPO SERVICIOS ESPECIALES</t>
  </si>
  <si>
    <t>No OP por persona</t>
  </si>
  <si>
    <t>No OPD por persona en campo</t>
  </si>
  <si>
    <t>COST POR PERSONA EN CAMPO (Costo personal/No de personas en campo)</t>
  </si>
  <si>
    <t>COSTO TOTAL OPERACIONES/OPD</t>
  </si>
  <si>
    <t>COSTO TOTAL/OPD</t>
  </si>
  <si>
    <t>SERVICIO ESPECIALIZADO ESPECTROMETRIA</t>
  </si>
  <si>
    <t>SERVICIO GEOMECANICA</t>
  </si>
  <si>
    <t>SERVICIO DE GEOBOOK</t>
  </si>
  <si>
    <t>SERVICIO ESPECIAL DE ESPECTROMETRIA XRF</t>
  </si>
  <si>
    <t>SERVICIO AUTOMATIZADO ACE 5500</t>
  </si>
  <si>
    <t>Utildad de 4 % sobre las ventas de 0 a USD 60.000</t>
  </si>
  <si>
    <t>Administracion 10%</t>
  </si>
  <si>
    <t>Utildad de7% sobre las ventas &gt; USD 80.000</t>
  </si>
  <si>
    <t>Utildad de 5,5 % sobre las ventas de 60.000 a USD 80.000</t>
  </si>
  <si>
    <t>Total comisiones</t>
  </si>
  <si>
    <t>Mensual para un año</t>
  </si>
  <si>
    <t>Año 0</t>
  </si>
  <si>
    <t>AÑO 1</t>
  </si>
  <si>
    <t>FLUJO DE CAJA</t>
  </si>
  <si>
    <t>Ingresos</t>
  </si>
  <si>
    <t>Costos</t>
  </si>
  <si>
    <t>Gross profit</t>
  </si>
  <si>
    <t>Gastos</t>
  </si>
  <si>
    <t>Utilidad Operacional</t>
  </si>
  <si>
    <t>Impuesto operacional (Igual que la renta)</t>
  </si>
  <si>
    <t>Utilidad operacional después de impuestos *(1-tx)</t>
  </si>
  <si>
    <t>Depreciaciones</t>
  </si>
  <si>
    <t>Amortizaciones</t>
  </si>
  <si>
    <t>Flujo de efectivo operativo</t>
  </si>
  <si>
    <t>CAPITAL DE TRABAJO</t>
  </si>
  <si>
    <t>INVERSIÓN + CAPITAL DE TRABAJO</t>
  </si>
  <si>
    <t>VPN</t>
  </si>
  <si>
    <t>Rent (TIR)</t>
  </si>
  <si>
    <t>Costo de oportunidad</t>
  </si>
  <si>
    <t>Inflation</t>
  </si>
  <si>
    <t>Real increment cost</t>
  </si>
  <si>
    <t>Total Market (OPD)</t>
  </si>
  <si>
    <t>Market share (OPD)</t>
  </si>
  <si>
    <t>Market share percent (%)</t>
  </si>
  <si>
    <t>Market share percent increment reference (%)</t>
  </si>
  <si>
    <t>Sales price increase</t>
  </si>
  <si>
    <t>AÑO 2</t>
  </si>
  <si>
    <t>AÑO 3</t>
  </si>
  <si>
    <t>AÑO 4</t>
  </si>
  <si>
    <t>AÑO 5</t>
  </si>
  <si>
    <t>Transportation of  field personnel</t>
  </si>
  <si>
    <t>Anual para 5 años</t>
  </si>
  <si>
    <t>Capex</t>
  </si>
  <si>
    <t>ESCENARIO SIN FINANCIAMIENTO</t>
  </si>
  <si>
    <t>FLUJO DE CAJA DEL PROYECTO</t>
  </si>
  <si>
    <t>VPN del proyecto sin financiacion</t>
  </si>
  <si>
    <t>Discounted Flow</t>
  </si>
  <si>
    <t>Cum Discounted Flow</t>
  </si>
  <si>
    <t>Payback (years)</t>
  </si>
  <si>
    <t>ROI</t>
  </si>
  <si>
    <t>ESCENARIO CON FINANCIAMIENTO</t>
  </si>
  <si>
    <t>FLUJO DE CAJA DEL PROYECTO sin Finaciación</t>
  </si>
  <si>
    <t>Flujo de caja del inversionista</t>
  </si>
  <si>
    <t>VPN Inversionista</t>
  </si>
  <si>
    <t>Rent (TIR) Inversionista</t>
  </si>
  <si>
    <t>% Costo de capital</t>
  </si>
  <si>
    <t>Porcentaje de endeudamiento</t>
  </si>
  <si>
    <t>DATALOG COLOMBIA SAS.</t>
  </si>
  <si>
    <t>COMPARATIVE PROFIT AND LOSS STATEMENT USD</t>
  </si>
  <si>
    <t>YEAR 1</t>
  </si>
  <si>
    <t>%</t>
  </si>
  <si>
    <t>YEAR 2</t>
  </si>
  <si>
    <t>YEAR 3</t>
  </si>
  <si>
    <t>YEAR 4</t>
  </si>
  <si>
    <t>YEAR 5</t>
  </si>
  <si>
    <t xml:space="preserve">    Direct Costs</t>
  </si>
  <si>
    <t xml:space="preserve">    Warehouse</t>
  </si>
  <si>
    <t xml:space="preserve">    Depreciation</t>
  </si>
  <si>
    <t>UTILIDAD BRUTA</t>
  </si>
  <si>
    <t xml:space="preserve">     Apportioned G&amp;A expenses</t>
  </si>
  <si>
    <t xml:space="preserve">     Amortization </t>
  </si>
  <si>
    <t>UTILIDAD OPERATIVA</t>
  </si>
  <si>
    <t xml:space="preserve">     Interest income/Miscellaneous income</t>
  </si>
  <si>
    <t xml:space="preserve">     Interest expense</t>
  </si>
  <si>
    <t xml:space="preserve">     Foreign exchange (gain)/loss</t>
  </si>
  <si>
    <t xml:space="preserve">     Net non-recurring</t>
  </si>
  <si>
    <t xml:space="preserve">Tota Income (Loss) </t>
  </si>
  <si>
    <t>INCOME (LOSS) BEFORE INCOME TAXES</t>
  </si>
  <si>
    <t>UTILIDAD ANTES DE IMPUESTOS</t>
  </si>
  <si>
    <t>UTILIDAD NETA</t>
  </si>
  <si>
    <t>EBITDA</t>
  </si>
  <si>
    <t>EBITDA after Head Office Expense Distribution</t>
  </si>
  <si>
    <t>Recaudo Petrolog</t>
  </si>
  <si>
    <t>VENTAS MES A MES</t>
  </si>
  <si>
    <t>Bancos Nacionales</t>
  </si>
  <si>
    <t>Total efectivo</t>
  </si>
  <si>
    <t>Recaudo por facturas</t>
  </si>
  <si>
    <t>Alquler Equipo DCO</t>
  </si>
  <si>
    <t>Gases</t>
  </si>
  <si>
    <t>Personal Expat en Bolivia por DCO</t>
  </si>
  <si>
    <t>Entrenamiento personal</t>
  </si>
  <si>
    <t>Licencia Software</t>
  </si>
  <si>
    <t>Total recaudo</t>
  </si>
  <si>
    <t>PAGOS</t>
  </si>
  <si>
    <t xml:space="preserve">Seguridad social </t>
  </si>
  <si>
    <t>Obligaciones de Nomina</t>
  </si>
  <si>
    <t>Rete Fuente Salarios</t>
  </si>
  <si>
    <t>Otros Impuestos</t>
  </si>
  <si>
    <t>Prestaciones Sociales</t>
  </si>
  <si>
    <t xml:space="preserve">Cuentas por pagar </t>
  </si>
  <si>
    <t xml:space="preserve">Depositos Garantia </t>
  </si>
  <si>
    <t>Nomina / beneficios sociales</t>
  </si>
  <si>
    <t>comisiones y administracion</t>
  </si>
  <si>
    <t xml:space="preserve">CAPEX/Spare Parts </t>
  </si>
  <si>
    <t>Gastos bancarios</t>
  </si>
  <si>
    <t>Total pagos</t>
  </si>
  <si>
    <t>Flujos mensuales</t>
  </si>
  <si>
    <t>Saldo a fin de mes</t>
  </si>
  <si>
    <t>TIO</t>
  </si>
  <si>
    <t>TIR</t>
  </si>
  <si>
    <t>Totales</t>
  </si>
  <si>
    <t>Total efectivo al inicio del perido</t>
  </si>
  <si>
    <t>WGT</t>
  </si>
  <si>
    <t>FLUJO DE CAJA   USD</t>
  </si>
  <si>
    <t>FLUJO CAJA USD</t>
  </si>
  <si>
    <t>Nomina</t>
  </si>
  <si>
    <t>Impuestos</t>
  </si>
  <si>
    <t>Proveedores</t>
  </si>
  <si>
    <t>CAPEX/Spare Parts Impo/Expo/Software</t>
  </si>
  <si>
    <t>Costos Importacion</t>
  </si>
  <si>
    <t>Depositos por Garantia</t>
  </si>
  <si>
    <t>Cuotas Prestamos / Leasing</t>
  </si>
  <si>
    <t>Dividendos</t>
  </si>
  <si>
    <t>inflación</t>
  </si>
  <si>
    <t>Colombia 2024</t>
  </si>
  <si>
    <t>USA 2024</t>
  </si>
  <si>
    <t>^</t>
  </si>
  <si>
    <t xml:space="preserve">Administracion 10% </t>
  </si>
  <si>
    <t>Detailed Profit &amp; Loss</t>
  </si>
  <si>
    <t>Field Services</t>
  </si>
  <si>
    <t>Equipment Sales</t>
  </si>
  <si>
    <t>Cabin / Equipment Rentals</t>
  </si>
  <si>
    <t>Importation expenses</t>
  </si>
  <si>
    <t>General &amp; Administrative:</t>
  </si>
  <si>
    <t>Salaries - Sales &amp; Admin</t>
  </si>
  <si>
    <t>Employee Benefits - Sales &amp; Admin</t>
  </si>
  <si>
    <t>Staff Training, Development &amp; Recruitment</t>
  </si>
  <si>
    <t>Professional &amp; Legal Fees</t>
  </si>
  <si>
    <t>Office Rental</t>
  </si>
  <si>
    <t>Telephone &amp; fax</t>
  </si>
  <si>
    <t>Couriers</t>
  </si>
  <si>
    <t>Office Supplies</t>
  </si>
  <si>
    <t>Administrative &amp; Sales Travel</t>
  </si>
  <si>
    <t>Meals &amp; Entertainment</t>
  </si>
  <si>
    <t>Promotion Materials &amp; Advertising</t>
  </si>
  <si>
    <t>Memberships/Subscriptions</t>
  </si>
  <si>
    <t>Business Taxes</t>
  </si>
  <si>
    <t xml:space="preserve">Insurance EL/PL/GL, travel </t>
  </si>
  <si>
    <t>Bank Charges &amp; Late payment Interest</t>
  </si>
  <si>
    <t>Bad Debts</t>
  </si>
  <si>
    <t>Office Equipment Depreciation</t>
  </si>
  <si>
    <t>Other (specify) Government Grants</t>
  </si>
  <si>
    <t>Total G&amp;A expenses</t>
  </si>
  <si>
    <t>Miscellaneous Income</t>
  </si>
  <si>
    <t>Gain/loss on sale of fixed assets</t>
  </si>
  <si>
    <t>Foreign exchange gain/loss</t>
  </si>
  <si>
    <t>Inflationary gain/loss</t>
  </si>
  <si>
    <t>SALES</t>
  </si>
  <si>
    <t>G&amp;A expenses</t>
  </si>
  <si>
    <t>Ventas</t>
  </si>
  <si>
    <t>Current Personnel</t>
  </si>
  <si>
    <t>1.operations</t>
  </si>
  <si>
    <t>1.1 Field Employees</t>
  </si>
  <si>
    <t>1.2 Operations support</t>
  </si>
  <si>
    <t>1.3 Coordinators and Managaer</t>
  </si>
  <si>
    <t>1.4 HSEQ</t>
  </si>
  <si>
    <t>2.Warehouse personnel</t>
  </si>
  <si>
    <t>2.1 Warehouse</t>
  </si>
  <si>
    <t>2.2 Technical support</t>
  </si>
  <si>
    <t>2.3 Systems</t>
  </si>
  <si>
    <t>2.4r epairs &amp; maintenance</t>
  </si>
  <si>
    <t>2.5 Drivers</t>
  </si>
  <si>
    <t>2.6 Gerentes</t>
  </si>
  <si>
    <t>2.7 Training (legal Obigation)</t>
  </si>
  <si>
    <t>3. Administrative</t>
  </si>
  <si>
    <t>3.1 General Manager</t>
  </si>
  <si>
    <t>3.2 Financial &amp; Accounting</t>
  </si>
  <si>
    <t>3.3 Training (legal Obigation)</t>
  </si>
  <si>
    <t>3.4 Administrative &amp; RRHH</t>
  </si>
  <si>
    <t>3.5 Recepcionist and office boy</t>
  </si>
  <si>
    <t>3.6 Clean services</t>
  </si>
  <si>
    <t>3.7 Purchaser</t>
  </si>
  <si>
    <t>Field Employees</t>
  </si>
  <si>
    <t>Operations Support</t>
  </si>
  <si>
    <t>Administracion</t>
  </si>
  <si>
    <t>Field OPD per type of Employee</t>
  </si>
  <si>
    <t>1.  Personal de Campo</t>
  </si>
  <si>
    <t xml:space="preserve">2.  Soporte de Campo </t>
  </si>
  <si>
    <t>3.   Administrative</t>
  </si>
  <si>
    <t>OPD per person</t>
  </si>
  <si>
    <t>Aministration</t>
  </si>
  <si>
    <t>Cost of Personnel</t>
  </si>
  <si>
    <t>Administration</t>
  </si>
  <si>
    <t>Total Cost Personnel</t>
  </si>
  <si>
    <t>Total Cost per head</t>
  </si>
  <si>
    <t>Salario Basico</t>
  </si>
  <si>
    <t>Salario Variable de Campo</t>
  </si>
  <si>
    <t>Costo promedio por OPD</t>
  </si>
  <si>
    <t>Factura WGT(Income) a Petrolog  (costo)</t>
  </si>
  <si>
    <t>UAI  Petrolog</t>
  </si>
  <si>
    <t>Rtfte petrolog a WGT 12,5%</t>
  </si>
  <si>
    <t>Caja neta WGT</t>
  </si>
  <si>
    <t>Renta petrolog 25%</t>
  </si>
  <si>
    <t>UN  Petrolog</t>
  </si>
  <si>
    <t>COSTO OPERATIVO</t>
  </si>
  <si>
    <t>COSTO PERSONAL</t>
  </si>
  <si>
    <t>Costos Nomina 2023</t>
  </si>
  <si>
    <t xml:space="preserve">Soporte de Operaciones y HSE </t>
  </si>
  <si>
    <t>Mudlogging Services</t>
  </si>
  <si>
    <t>niiF 16</t>
  </si>
  <si>
    <t>MARGIN / EBITDA ANALYSIS:</t>
  </si>
  <si>
    <t>Gross Margin - Total</t>
  </si>
  <si>
    <t>Gross Margin % - Total</t>
  </si>
  <si>
    <t>Gross Margin - Services</t>
  </si>
  <si>
    <t>Gross Margin % - Services</t>
  </si>
  <si>
    <t>Gross Margin - Equipment</t>
  </si>
  <si>
    <t>Gross Margin % - Equipment</t>
  </si>
  <si>
    <t>Gross Margin - Rentals</t>
  </si>
  <si>
    <t>Gross Margin % - Rentals</t>
  </si>
  <si>
    <t>1 TRIMETER</t>
  </si>
  <si>
    <t>2 TRIMETER</t>
  </si>
  <si>
    <t>3 TRIMETER</t>
  </si>
  <si>
    <t>SummaryQ USD</t>
  </si>
  <si>
    <t>Intercompany costs per revenue above</t>
  </si>
  <si>
    <t>Distribution of Head Office Expenses</t>
  </si>
  <si>
    <r>
      <t>EBITDA -</t>
    </r>
    <r>
      <rPr>
        <i/>
        <sz val="10"/>
        <rFont val="Arial"/>
        <family val="2"/>
      </rPr>
      <t xml:space="preserve"> estimated</t>
    </r>
  </si>
  <si>
    <t>Downhole Logging Division</t>
  </si>
  <si>
    <t>Wireline Services</t>
  </si>
  <si>
    <t>LWT Services</t>
  </si>
  <si>
    <t>Other Revenue</t>
  </si>
  <si>
    <t>Freight</t>
  </si>
  <si>
    <t>Operations Management &amp; Support Salary</t>
  </si>
  <si>
    <t>Downhole Logging Operations</t>
  </si>
  <si>
    <t>SummaryQ COP $</t>
  </si>
  <si>
    <t>1 TRIMESTRE</t>
  </si>
  <si>
    <t>2 TRIMESTRE</t>
  </si>
  <si>
    <t>3 TRIMESTRE</t>
  </si>
  <si>
    <t>4 TRIMESTRE</t>
  </si>
  <si>
    <t>Q 1</t>
  </si>
  <si>
    <t>Q 2</t>
  </si>
  <si>
    <t>Q 3</t>
  </si>
  <si>
    <t>Q 4</t>
  </si>
  <si>
    <t>Costos Nomina 2021</t>
  </si>
  <si>
    <t>SALARIOS</t>
  </si>
  <si>
    <t>BONOS CAMPO</t>
  </si>
  <si>
    <t xml:space="preserve">PRESTACIONES </t>
  </si>
  <si>
    <t xml:space="preserve">SEGURIDAD SOCIAL </t>
  </si>
  <si>
    <t>YTD</t>
  </si>
  <si>
    <t>Revenue/OPD</t>
  </si>
  <si>
    <t>Operadora</t>
  </si>
  <si>
    <t>YPFB CORP</t>
  </si>
  <si>
    <t>OPD</t>
  </si>
  <si>
    <t>Tipo de Servicio</t>
  </si>
  <si>
    <t>GEOMECANICA</t>
  </si>
  <si>
    <t>MUDLOGGING</t>
  </si>
  <si>
    <t>WELLSITE</t>
  </si>
  <si>
    <t>CROMATOGRAFIA AMPLIADA</t>
  </si>
  <si>
    <t>GEOBOOK</t>
  </si>
  <si>
    <t>ACE 5500</t>
  </si>
  <si>
    <t>PALEONTOLOGIA</t>
  </si>
  <si>
    <t>GEOQUIMICA (XRF+XRD+TOC)</t>
  </si>
  <si>
    <t>Opciones</t>
  </si>
  <si>
    <t>gastos exportacion</t>
  </si>
  <si>
    <t>dias transito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</si>
  <si>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</si>
  <si>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</si>
  <si>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</si>
  <si>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</si>
  <si>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</si>
  <si>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</si>
  <si>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</si>
  <si>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</si>
  <si>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</si>
  <si>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Terrestre Bog-scruz</t>
  </si>
  <si>
    <t>Maritimo Bog-Scruz</t>
  </si>
  <si>
    <t>Terrestre BsAs-Scruz+ Aereo Bog-Scruz</t>
  </si>
  <si>
    <t>Terrestre BsAs-Scruz+ Aereo Bog-Scruz+ Aereo Lim-Scruz</t>
  </si>
  <si>
    <t>FEES</t>
  </si>
  <si>
    <t>basico</t>
  </si>
  <si>
    <t>bono</t>
  </si>
  <si>
    <t>seg accidente</t>
  </si>
  <si>
    <t>Ingenieros de datos1</t>
  </si>
  <si>
    <t>Ingenieros de datos2</t>
  </si>
  <si>
    <t>Ingenieros de datos3</t>
  </si>
  <si>
    <t>geologos de registro1</t>
  </si>
  <si>
    <t>geologos de registro2</t>
  </si>
  <si>
    <t>geologos de registro3</t>
  </si>
  <si>
    <t>recoge muestras1</t>
  </si>
  <si>
    <t>recoge muestras2</t>
  </si>
  <si>
    <t>Wellsite</t>
  </si>
  <si>
    <t>Analista de estabilidad</t>
  </si>
  <si>
    <t>Bus</t>
  </si>
  <si>
    <t>Alquiler carro</t>
  </si>
  <si>
    <t>Aereo Bog-Scruz Soporte Tecnico Colombiamo</t>
  </si>
  <si>
    <t>Aereo Bog-Scruz Personal de campo Colombiano</t>
  </si>
  <si>
    <t>Punitario</t>
  </si>
  <si>
    <t>Total Costo</t>
  </si>
  <si>
    <t>CAJITAS PLASTICA DE 5 COMPARTIMIENTOS</t>
  </si>
  <si>
    <t>CAJÓN DE MADERA PARA MUESTRAS HUMEDAS</t>
  </si>
  <si>
    <t>CAJON DE CARTON PARA MUESTRAS SECAS</t>
  </si>
  <si>
    <t>BOLSA DE PAPEL PARA MUESTRA SECA</t>
  </si>
  <si>
    <t>BOLA PLASTICA PARA MUESTRA HUMEDA</t>
  </si>
  <si>
    <t>RECIPIENTE PARA MUESTRA DE GEOQUIMICA</t>
  </si>
  <si>
    <t>SOBRE DE MUESTRAS PALINOLÓGICAS</t>
  </si>
  <si>
    <t>HCl x litro</t>
  </si>
  <si>
    <t>Fenolftaleina x 250cc</t>
  </si>
  <si>
    <t>Glicol x litro</t>
  </si>
  <si>
    <t>Acetona x 250cc</t>
  </si>
  <si>
    <t>CaCO3 x 50gr</t>
  </si>
  <si>
    <t>MgCO3 x 50gr</t>
  </si>
  <si>
    <t>CHCO3 x 50gr</t>
  </si>
  <si>
    <t>Gases LET</t>
  </si>
  <si>
    <t>Gases HET</t>
  </si>
  <si>
    <t>Gas H2S</t>
  </si>
  <si>
    <t>Gas CH4</t>
  </si>
  <si>
    <t>Gas CO2</t>
  </si>
  <si>
    <t>Helio</t>
  </si>
  <si>
    <t>Papeleria, cristaleria, ferreteria, otros</t>
  </si>
  <si>
    <t>Colombia Unidad mas equipos</t>
  </si>
  <si>
    <t>Argentina Unidad mas equipos + Colombia Equipo Ppal</t>
  </si>
  <si>
    <t>Renta caseta de recogemuestras</t>
  </si>
  <si>
    <t xml:space="preserve">Alquiler </t>
  </si>
  <si>
    <t>Serv Telefonico</t>
  </si>
  <si>
    <t>Entrenamiento personal de campo</t>
  </si>
  <si>
    <t>Salrio entrenador</t>
  </si>
  <si>
    <t>Pasajes aereos</t>
  </si>
  <si>
    <t>renta salon</t>
  </si>
  <si>
    <t>gastos de hotel y alimentacion</t>
  </si>
  <si>
    <t>Cursos Well Control, Paga Tuberia, Rig pass</t>
  </si>
  <si>
    <t>UPS expl proof</t>
  </si>
  <si>
    <t>Resistivimetro</t>
  </si>
  <si>
    <t>Sensores Ultrasonicos</t>
  </si>
  <si>
    <t>Barreras DQ1010</t>
  </si>
  <si>
    <t>January</t>
  </si>
  <si>
    <t>February</t>
  </si>
  <si>
    <t>April</t>
  </si>
  <si>
    <t>September</t>
  </si>
  <si>
    <t>October</t>
  </si>
  <si>
    <t>November</t>
  </si>
  <si>
    <t>December</t>
  </si>
  <si>
    <t>Promedio</t>
  </si>
  <si>
    <t>B/S</t>
  </si>
  <si>
    <t>P&amp;L</t>
  </si>
  <si>
    <t>2023 Budget</t>
  </si>
  <si>
    <t>DATALOG COLOMBIA</t>
  </si>
  <si>
    <t>Bonuses or Indemnization</t>
  </si>
  <si>
    <t>MLS Division</t>
  </si>
  <si>
    <t>2023 Performance</t>
  </si>
  <si>
    <t>2022 Budget</t>
  </si>
  <si>
    <t>Ganancia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</si>
</sst>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6">
    <numFmt numFmtId="6" formatCode="&quot;$&quot;\ #,##0;[Red]\-&quot;$&quot;\ #,##0"/>
    <numFmt numFmtId="8" formatCode="&quot;$&quot;\ #,##0.00;[Red]\-&quot;$&quot;\ #,##0.00"/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 * #,##0.00_ ;_ * \-#,##0.00_ ;_ * &quot;-&quot;??_ ;_ @_ "/>
    <numFmt numFmtId="167" formatCode="_-&quot;$&quot;* #,##0.00_-;\-&quot;$&quot;* #,##0.00_-;_-&quot;$&quot;* &quot;-&quot;??_-;_-@_-"/>
    <numFmt numFmtId="168" formatCode="0.000%"/>
    <numFmt numFmtId="169" formatCode="_-* #,##0_-;\-* #,##0_-;_-* &quot;-&quot;??_-;_-@_-"/>
    <numFmt numFmtId="170" formatCode="#,##0;[Red]\(#,##0\)"/>
    <numFmt numFmtId="171" formatCode="#,##0%;[Red]\(#,##0%\)"/>
    <numFmt numFmtId="172" formatCode="mmmm\ yyyy"/>
    <numFmt numFmtId="173" formatCode="0.0%"/>
    <numFmt numFmtId="174" formatCode="_ [$€-2]\ * #,##0.00_ ;_ [$€-2]\ * \-#,##0.00_ ;_ [$€-2]\ * &quot;-&quot;??_ "/>
    <numFmt numFmtId="175" formatCode="#,##0.0"/>
    <numFmt numFmtId="176" formatCode="#,##0.000;[Red]\(#,##0.000\)"/>
    <numFmt numFmtId="177" formatCode="#,##0.0000;[Red]\(#,##0.0000\)"/>
    <numFmt numFmtId="178" formatCode="_(&quot;$&quot;\ * #,##0.00_);_(&quot;$&quot;\ * \(#,##0.00\);_(&quot;$&quot;\ * &quot;-&quot;??_);_(@_)"/>
    <numFmt numFmtId="179" formatCode="_-* #,##0.00\ _€_-;\-* #,##0.00\ _€_-;_-* &quot;-&quot;??\ _€_-;_-@_-"/>
    <numFmt numFmtId="180" formatCode="_(* #,##0.000_);_(* \(#,##0.000\);_(* &quot;-&quot;??_);_(@_)"/>
    <numFmt numFmtId="181" formatCode="_ &quot;$&quot;\ * #,##0.00_ ;_ &quot;$&quot;\ * \-#,##0.00_ ;_ &quot;$&quot;\ * &quot;-&quot;??_ ;_ @_ "/>
    <numFmt numFmtId="182" formatCode="_-* #,##0\ _p_t_a_-;\-* #,##0\ _p_t_a_-;_-* &quot;-&quot;\ _p_t_a_-;_-@_-"/>
    <numFmt numFmtId="183" formatCode="General_)"/>
    <numFmt numFmtId="184" formatCode="_-* #,##0\ _P_t_s_-;\-* #,##0\ _P_t_s_-;_-* &quot;-&quot;\ _P_t_s_-;_-@_-"/>
    <numFmt numFmtId="185" formatCode="_-* #,##0.00\ _P_t_s_-;\-* #,##0.00\ _P_t_s_-;_-* &quot;-&quot;??\ _P_t_s_-;_-@_-"/>
    <numFmt numFmtId="186" formatCode="_-* #,##0.00\ [$€]_-;\-* #,##0.00\ [$€]_-;_-* &quot;-&quot;??\ [$€]_-;_-@_-"/>
    <numFmt numFmtId="187" formatCode="_-* #,##0\ _€_-;\-* #,##0\ _€_-;_-* &quot;-&quot;??\ _€_-;_-@_-"/>
    <numFmt numFmtId="188" formatCode="0.00000"/>
    <numFmt numFmtId="189" formatCode="0.0"/>
    <numFmt numFmtId="190" formatCode="0.000"/>
    <numFmt numFmtId="191" formatCode="_-&quot;$&quot;* #,##0_-;\-&quot;$&quot;* #,##0_-;_-&quot;$&quot;* &quot;-&quot;??_-;_-@_-"/>
    <numFmt numFmtId="192" formatCode="&quot;$&quot;#,##0.00;[Red]\-&quot;$&quot;#,##0.00"/>
    <numFmt numFmtId="193" formatCode="_ * #,##0_ ;_ * \-#,##0_ ;_ * &quot;-&quot;??_ ;_ @_ "/>
    <numFmt numFmtId="194" formatCode="_-&quot;$&quot;\ * #,##0_-;\-&quot;$&quot;\ * #,##0_-;_-&quot;$&quot;\ * &quot;-&quot;??_-;_-@_-"/>
    <numFmt numFmtId="195" formatCode="&quot;$&quot;#,##0;[Red]\-&quot;$&quot;#,##0"/>
  </numFmts>
  <fonts count="11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color indexed="12"/>
      <name val="Arial"/>
      <family val="2"/>
    </font>
    <font>
      <sz val="10"/>
      <color indexed="12"/>
      <name val="Arial"/>
      <family val="2"/>
    </font>
    <font>
      <b/>
      <sz val="14"/>
      <name val="Arial"/>
      <family val="2"/>
    </font>
    <font>
      <sz val="10"/>
      <color indexed="41"/>
      <name val="Arial"/>
      <family val="2"/>
    </font>
    <font>
      <b/>
      <sz val="10"/>
      <color indexed="48"/>
      <name val="Arial"/>
      <family val="2"/>
    </font>
    <font>
      <sz val="10"/>
      <color indexed="48"/>
      <name val="Arial"/>
      <family val="2"/>
    </font>
    <font>
      <u/>
      <sz val="10"/>
      <color indexed="12"/>
      <name val="Arial"/>
      <family val="2"/>
    </font>
    <font>
      <i/>
      <sz val="10"/>
      <color indexed="12"/>
      <name val="Arial"/>
      <family val="2"/>
    </font>
    <font>
      <b/>
      <i/>
      <sz val="10"/>
      <color indexed="12"/>
      <name val="Arial"/>
      <family val="2"/>
    </font>
    <font>
      <b/>
      <i/>
      <sz val="10"/>
      <name val="Arial"/>
      <family val="2"/>
    </font>
    <font>
      <i/>
      <sz val="10"/>
      <color indexed="30"/>
      <name val="Arial"/>
      <family val="2"/>
    </font>
    <font>
      <i/>
      <sz val="10"/>
      <color indexed="30"/>
      <name val="Arial"/>
      <family val="2"/>
    </font>
    <font>
      <sz val="10"/>
      <color indexed="10"/>
      <name val="Arial"/>
      <family val="2"/>
    </font>
    <font>
      <sz val="12"/>
      <name val="Arial"/>
      <family val="2"/>
    </font>
    <font>
      <sz val="8"/>
      <color indexed="10"/>
      <name val="Arial"/>
      <family val="2"/>
    </font>
    <font>
      <sz val="10"/>
      <color indexed="17"/>
      <name val="Arial"/>
      <family val="2"/>
    </font>
    <font>
      <i/>
      <sz val="10"/>
      <color indexed="17"/>
      <name val="Arial"/>
      <family val="2"/>
    </font>
    <font>
      <b/>
      <sz val="10"/>
      <color indexed="17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u val="double"/>
      <sz val="10"/>
      <name val="Arial"/>
      <family val="2"/>
    </font>
    <font>
      <b/>
      <sz val="12"/>
      <color indexed="3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indexed="36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8"/>
      <color indexed="10"/>
      <name val="Arial"/>
      <family val="2"/>
    </font>
    <font>
      <b/>
      <sz val="8"/>
      <name val="Arial"/>
      <family val="2"/>
    </font>
    <font>
      <b/>
      <i/>
      <sz val="10"/>
      <color indexed="3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0"/>
      <name val="MS Sans Serif"/>
      <family val="2"/>
    </font>
    <font>
      <b/>
      <sz val="11"/>
      <color indexed="62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u/>
      <sz val="7.5"/>
      <color indexed="12"/>
      <name val="Arial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2"/>
      <name val="SWISS"/>
    </font>
    <font>
      <u/>
      <sz val="8"/>
      <color indexed="39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indexed="62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indexed="14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scheme val="minor"/>
    </font>
    <font>
      <b/>
      <sz val="18"/>
      <color indexed="62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color rgb="FF0070C0"/>
      <name val="Arial"/>
      <family val="2"/>
    </font>
    <font>
      <i/>
      <sz val="10"/>
      <color rgb="FFFF0000"/>
      <name val="Arial"/>
      <family val="2"/>
    </font>
    <font>
      <b/>
      <sz val="8"/>
      <color rgb="FFFF000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20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u/>
      <sz val="10"/>
      <color theme="10"/>
      <name val="Arial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b/>
      <sz val="11"/>
      <color theme="1"/>
      <name val="Arial"/>
      <family val="2"/>
    </font>
    <font>
      <b/>
      <sz val="10"/>
      <name val="Courier"/>
      <family val="3"/>
    </font>
    <font>
      <b/>
      <sz val="11"/>
      <color indexed="12"/>
      <name val="Arial"/>
      <family val="2"/>
    </font>
    <font>
      <sz val="10"/>
      <name val="Courier"/>
      <family val="3"/>
    </font>
    <font>
      <b/>
      <sz val="12"/>
      <name val="Courier"/>
      <family val="3"/>
    </font>
    <font>
      <sz val="10"/>
      <name val="Arial Narrow"/>
      <family val="2"/>
    </font>
    <font>
      <b/>
      <sz val="9"/>
      <name val="Arial"/>
      <family val="2"/>
    </font>
    <font>
      <sz val="10"/>
      <color theme="1" tint="0.499984740745262"/>
      <name val="Arial"/>
      <family val="2"/>
    </font>
  </fonts>
  <fills count="72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19"/>
      </patternFill>
    </fill>
    <fill>
      <patternFill patternType="solid">
        <fgColor indexed="5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E49EDD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99"/>
        <bgColor indexed="64"/>
      </patternFill>
    </fill>
  </fills>
  <borders count="7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17"/>
      </top>
      <bottom style="double">
        <color indexed="17"/>
      </bottom>
      <diagonal/>
    </border>
    <border>
      <left/>
      <right/>
      <top style="thin">
        <color indexed="17"/>
      </top>
      <bottom style="medium">
        <color indexed="17"/>
      </bottom>
      <diagonal/>
    </border>
    <border>
      <left/>
      <right/>
      <top style="thin">
        <color indexed="17"/>
      </top>
      <bottom/>
      <diagonal/>
    </border>
    <border>
      <left/>
      <right/>
      <top/>
      <bottom style="double">
        <color indexed="17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404">
    <xf numFmtId="0" fontId="0" fillId="0" borderId="0"/>
    <xf numFmtId="183" fontId="5" fillId="0" borderId="0"/>
    <xf numFmtId="0" fontId="65" fillId="2" borderId="0" applyNumberFormat="0" applyBorder="0" applyAlignment="0" applyProtection="0"/>
    <xf numFmtId="0" fontId="44" fillId="3" borderId="0" applyNumberFormat="0" applyBorder="0" applyAlignment="0" applyProtection="0"/>
    <xf numFmtId="0" fontId="65" fillId="5" borderId="0" applyNumberFormat="0" applyBorder="0" applyAlignment="0" applyProtection="0"/>
    <xf numFmtId="0" fontId="44" fillId="6" borderId="0" applyNumberFormat="0" applyBorder="0" applyAlignment="0" applyProtection="0"/>
    <xf numFmtId="0" fontId="65" fillId="7" borderId="0" applyNumberFormat="0" applyBorder="0" applyAlignment="0" applyProtection="0"/>
    <xf numFmtId="0" fontId="44" fillId="7" borderId="0" applyNumberFormat="0" applyBorder="0" applyAlignment="0" applyProtection="0"/>
    <xf numFmtId="0" fontId="65" fillId="2" borderId="0" applyNumberFormat="0" applyBorder="0" applyAlignment="0" applyProtection="0"/>
    <xf numFmtId="0" fontId="44" fillId="5" borderId="0" applyNumberFormat="0" applyBorder="0" applyAlignment="0" applyProtection="0"/>
    <xf numFmtId="0" fontId="65" fillId="23" borderId="0" applyNumberFormat="0" applyBorder="0" applyAlignment="0" applyProtection="0"/>
    <xf numFmtId="0" fontId="44" fillId="9" borderId="0" applyNumberFormat="0" applyBorder="0" applyAlignment="0" applyProtection="0"/>
    <xf numFmtId="0" fontId="65" fillId="24" borderId="0" applyNumberFormat="0" applyBorder="0" applyAlignment="0" applyProtection="0"/>
    <xf numFmtId="0" fontId="44" fillId="7" borderId="0" applyNumberFormat="0" applyBorder="0" applyAlignment="0" applyProtection="0"/>
    <xf numFmtId="0" fontId="65" fillId="10" borderId="0" applyNumberFormat="0" applyBorder="0" applyAlignment="0" applyProtection="0"/>
    <xf numFmtId="0" fontId="44" fillId="9" borderId="0" applyNumberFormat="0" applyBorder="0" applyAlignment="0" applyProtection="0"/>
    <xf numFmtId="0" fontId="65" fillId="25" borderId="0" applyNumberFormat="0" applyBorder="0" applyAlignment="0" applyProtection="0"/>
    <xf numFmtId="0" fontId="44" fillId="6" borderId="0" applyNumberFormat="0" applyBorder="0" applyAlignment="0" applyProtection="0"/>
    <xf numFmtId="0" fontId="65" fillId="11" borderId="0" applyNumberFormat="0" applyBorder="0" applyAlignment="0" applyProtection="0"/>
    <xf numFmtId="0" fontId="44" fillId="11" borderId="0" applyNumberFormat="0" applyBorder="0" applyAlignment="0" applyProtection="0"/>
    <xf numFmtId="0" fontId="65" fillId="10" borderId="0" applyNumberFormat="0" applyBorder="0" applyAlignment="0" applyProtection="0"/>
    <xf numFmtId="0" fontId="44" fillId="4" borderId="0" applyNumberFormat="0" applyBorder="0" applyAlignment="0" applyProtection="0"/>
    <xf numFmtId="0" fontId="65" fillId="26" borderId="0" applyNumberFormat="0" applyBorder="0" applyAlignment="0" applyProtection="0"/>
    <xf numFmtId="0" fontId="44" fillId="9" borderId="0" applyNumberFormat="0" applyBorder="0" applyAlignment="0" applyProtection="0"/>
    <xf numFmtId="0" fontId="65" fillId="5" borderId="0" applyNumberFormat="0" applyBorder="0" applyAlignment="0" applyProtection="0"/>
    <xf numFmtId="0" fontId="44" fillId="7" borderId="0" applyNumberFormat="0" applyBorder="0" applyAlignment="0" applyProtection="0"/>
    <xf numFmtId="0" fontId="66" fillId="13" borderId="0" applyNumberFormat="0" applyBorder="0" applyAlignment="0" applyProtection="0"/>
    <xf numFmtId="0" fontId="45" fillId="9" borderId="0" applyNumberFormat="0" applyBorder="0" applyAlignment="0" applyProtection="0"/>
    <xf numFmtId="0" fontId="66" fillId="27" borderId="0" applyNumberFormat="0" applyBorder="0" applyAlignment="0" applyProtection="0"/>
    <xf numFmtId="0" fontId="45" fillId="14" borderId="0" applyNumberFormat="0" applyBorder="0" applyAlignment="0" applyProtection="0"/>
    <xf numFmtId="0" fontId="66" fillId="11" borderId="0" applyNumberFormat="0" applyBorder="0" applyAlignment="0" applyProtection="0"/>
    <xf numFmtId="0" fontId="45" fillId="12" borderId="0" applyNumberFormat="0" applyBorder="0" applyAlignment="0" applyProtection="0"/>
    <xf numFmtId="0" fontId="66" fillId="10" borderId="0" applyNumberFormat="0" applyBorder="0" applyAlignment="0" applyProtection="0"/>
    <xf numFmtId="0" fontId="45" fillId="4" borderId="0" applyNumberFormat="0" applyBorder="0" applyAlignment="0" applyProtection="0"/>
    <xf numFmtId="0" fontId="66" fillId="28" borderId="0" applyNumberFormat="0" applyBorder="0" applyAlignment="0" applyProtection="0"/>
    <xf numFmtId="0" fontId="45" fillId="9" borderId="0" applyNumberFormat="0" applyBorder="0" applyAlignment="0" applyProtection="0"/>
    <xf numFmtId="0" fontId="66" fillId="5" borderId="0" applyNumberFormat="0" applyBorder="0" applyAlignment="0" applyProtection="0"/>
    <xf numFmtId="0" fontId="45" fillId="6" borderId="0" applyNumberFormat="0" applyBorder="0" applyAlignment="0" applyProtection="0"/>
    <xf numFmtId="0" fontId="46" fillId="9" borderId="0" applyNumberFormat="0" applyBorder="0" applyAlignment="0" applyProtection="0"/>
    <xf numFmtId="0" fontId="67" fillId="2" borderId="46" applyNumberFormat="0" applyAlignment="0" applyProtection="0"/>
    <xf numFmtId="0" fontId="61" fillId="2" borderId="1" applyNumberFormat="0" applyAlignment="0" applyProtection="0"/>
    <xf numFmtId="0" fontId="61" fillId="2" borderId="1" applyNumberFormat="0" applyAlignment="0" applyProtection="0"/>
    <xf numFmtId="0" fontId="61" fillId="2" borderId="1" applyNumberFormat="0" applyAlignment="0" applyProtection="0"/>
    <xf numFmtId="0" fontId="61" fillId="2" borderId="1" applyNumberFormat="0" applyAlignment="0" applyProtection="0"/>
    <xf numFmtId="0" fontId="61" fillId="2" borderId="1" applyNumberFormat="0" applyAlignment="0" applyProtection="0"/>
    <xf numFmtId="0" fontId="61" fillId="2" borderId="1" applyNumberFormat="0" applyAlignment="0" applyProtection="0"/>
    <xf numFmtId="0" fontId="61" fillId="2" borderId="1" applyNumberFormat="0" applyAlignment="0" applyProtection="0"/>
    <xf numFmtId="0" fontId="61" fillId="2" borderId="1" applyNumberFormat="0" applyAlignment="0" applyProtection="0"/>
    <xf numFmtId="0" fontId="61" fillId="2" borderId="1" applyNumberFormat="0" applyAlignment="0" applyProtection="0"/>
    <xf numFmtId="0" fontId="61" fillId="2" borderId="1" applyNumberFormat="0" applyAlignment="0" applyProtection="0"/>
    <xf numFmtId="0" fontId="61" fillId="2" borderId="1" applyNumberFormat="0" applyAlignment="0" applyProtection="0"/>
    <xf numFmtId="0" fontId="61" fillId="2" borderId="1" applyNumberFormat="0" applyAlignment="0" applyProtection="0"/>
    <xf numFmtId="0" fontId="61" fillId="2" borderId="1" applyNumberFormat="0" applyAlignment="0" applyProtection="0"/>
    <xf numFmtId="0" fontId="61" fillId="2" borderId="1" applyNumberFormat="0" applyAlignment="0" applyProtection="0"/>
    <xf numFmtId="0" fontId="61" fillId="2" borderId="1" applyNumberFormat="0" applyAlignment="0" applyProtection="0"/>
    <xf numFmtId="0" fontId="61" fillId="2" borderId="1" applyNumberFormat="0" applyAlignment="0" applyProtection="0"/>
    <xf numFmtId="0" fontId="61" fillId="2" borderId="1" applyNumberFormat="0" applyAlignment="0" applyProtection="0"/>
    <xf numFmtId="0" fontId="61" fillId="2" borderId="1" applyNumberFormat="0" applyAlignment="0" applyProtection="0"/>
    <xf numFmtId="0" fontId="61" fillId="2" borderId="1" applyNumberFormat="0" applyAlignment="0" applyProtection="0"/>
    <xf numFmtId="0" fontId="61" fillId="2" borderId="1" applyNumberFormat="0" applyAlignment="0" applyProtection="0"/>
    <xf numFmtId="0" fontId="61" fillId="2" borderId="1" applyNumberFormat="0" applyAlignment="0" applyProtection="0"/>
    <xf numFmtId="0" fontId="68" fillId="29" borderId="47" applyNumberFormat="0" applyAlignment="0" applyProtection="0"/>
    <xf numFmtId="0" fontId="47" fillId="15" borderId="2" applyNumberFormat="0" applyAlignment="0" applyProtection="0"/>
    <xf numFmtId="0" fontId="69" fillId="0" borderId="48" applyNumberFormat="0" applyFill="0" applyAlignment="0" applyProtection="0"/>
    <xf numFmtId="0" fontId="52" fillId="0" borderId="3" applyNumberFormat="0" applyFill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66" fillId="13" borderId="0" applyNumberFormat="0" applyBorder="0" applyAlignment="0" applyProtection="0"/>
    <xf numFmtId="0" fontId="45" fillId="16" borderId="0" applyNumberFormat="0" applyBorder="0" applyAlignment="0" applyProtection="0"/>
    <xf numFmtId="0" fontId="66" fillId="18" borderId="0" applyNumberFormat="0" applyBorder="0" applyAlignment="0" applyProtection="0"/>
    <xf numFmtId="0" fontId="45" fillId="14" borderId="0" applyNumberFormat="0" applyBorder="0" applyAlignment="0" applyProtection="0"/>
    <xf numFmtId="0" fontId="66" fillId="18" borderId="0" applyNumberFormat="0" applyBorder="0" applyAlignment="0" applyProtection="0"/>
    <xf numFmtId="0" fontId="45" fillId="12" borderId="0" applyNumberFormat="0" applyBorder="0" applyAlignment="0" applyProtection="0"/>
    <xf numFmtId="0" fontId="66" fillId="19" borderId="0" applyNumberFormat="0" applyBorder="0" applyAlignment="0" applyProtection="0"/>
    <xf numFmtId="0" fontId="45" fillId="19" borderId="0" applyNumberFormat="0" applyBorder="0" applyAlignment="0" applyProtection="0"/>
    <xf numFmtId="0" fontId="66" fillId="30" borderId="0" applyNumberFormat="0" applyBorder="0" applyAlignment="0" applyProtection="0"/>
    <xf numFmtId="0" fontId="45" fillId="13" borderId="0" applyNumberFormat="0" applyBorder="0" applyAlignment="0" applyProtection="0"/>
    <xf numFmtId="0" fontId="66" fillId="31" borderId="0" applyNumberFormat="0" applyBorder="0" applyAlignment="0" applyProtection="0"/>
    <xf numFmtId="0" fontId="45" fillId="17" borderId="0" applyNumberFormat="0" applyBorder="0" applyAlignment="0" applyProtection="0"/>
    <xf numFmtId="0" fontId="71" fillId="32" borderId="46" applyNumberFormat="0" applyAlignment="0" applyProtection="0"/>
    <xf numFmtId="0" fontId="48" fillId="11" borderId="1" applyNumberFormat="0" applyAlignment="0" applyProtection="0"/>
    <xf numFmtId="0" fontId="48" fillId="11" borderId="1" applyNumberFormat="0" applyAlignment="0" applyProtection="0"/>
    <xf numFmtId="0" fontId="48" fillId="11" borderId="1" applyNumberFormat="0" applyAlignment="0" applyProtection="0"/>
    <xf numFmtId="0" fontId="48" fillId="11" borderId="1" applyNumberFormat="0" applyAlignment="0" applyProtection="0"/>
    <xf numFmtId="0" fontId="48" fillId="11" borderId="1" applyNumberFormat="0" applyAlignment="0" applyProtection="0"/>
    <xf numFmtId="0" fontId="48" fillId="11" borderId="1" applyNumberFormat="0" applyAlignment="0" applyProtection="0"/>
    <xf numFmtId="0" fontId="48" fillId="11" borderId="1" applyNumberFormat="0" applyAlignment="0" applyProtection="0"/>
    <xf numFmtId="0" fontId="48" fillId="11" borderId="1" applyNumberFormat="0" applyAlignment="0" applyProtection="0"/>
    <xf numFmtId="0" fontId="48" fillId="11" borderId="1" applyNumberFormat="0" applyAlignment="0" applyProtection="0"/>
    <xf numFmtId="0" fontId="48" fillId="11" borderId="1" applyNumberFormat="0" applyAlignment="0" applyProtection="0"/>
    <xf numFmtId="0" fontId="48" fillId="11" borderId="1" applyNumberFormat="0" applyAlignment="0" applyProtection="0"/>
    <xf numFmtId="0" fontId="48" fillId="11" borderId="1" applyNumberFormat="0" applyAlignment="0" applyProtection="0"/>
    <xf numFmtId="0" fontId="48" fillId="11" borderId="1" applyNumberFormat="0" applyAlignment="0" applyProtection="0"/>
    <xf numFmtId="0" fontId="48" fillId="11" borderId="1" applyNumberFormat="0" applyAlignment="0" applyProtection="0"/>
    <xf numFmtId="0" fontId="48" fillId="11" borderId="1" applyNumberFormat="0" applyAlignment="0" applyProtection="0"/>
    <xf numFmtId="0" fontId="48" fillId="11" borderId="1" applyNumberFormat="0" applyAlignment="0" applyProtection="0"/>
    <xf numFmtId="0" fontId="48" fillId="11" borderId="1" applyNumberFormat="0" applyAlignment="0" applyProtection="0"/>
    <xf numFmtId="0" fontId="48" fillId="11" borderId="1" applyNumberFormat="0" applyAlignment="0" applyProtection="0"/>
    <xf numFmtId="0" fontId="48" fillId="11" borderId="1" applyNumberFormat="0" applyAlignment="0" applyProtection="0"/>
    <xf numFmtId="0" fontId="48" fillId="11" borderId="1" applyNumberFormat="0" applyAlignment="0" applyProtection="0"/>
    <xf numFmtId="0" fontId="48" fillId="11" borderId="1" applyNumberFormat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86" fontId="63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72" fillId="33" borderId="0" applyNumberFormat="0" applyBorder="0" applyAlignment="0" applyProtection="0"/>
    <xf numFmtId="0" fontId="49" fillId="8" borderId="0" applyNumberFormat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82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73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44" fillId="0" borderId="0" applyFont="0" applyFill="0" applyBorder="0" applyAlignment="0" applyProtection="0"/>
    <xf numFmtId="41" fontId="65" fillId="0" borderId="0" applyFont="0" applyFill="0" applyBorder="0" applyAlignment="0" applyProtection="0"/>
    <xf numFmtId="41" fontId="65" fillId="0" borderId="0" applyFont="0" applyFill="0" applyBorder="0" applyAlignment="0" applyProtection="0"/>
    <xf numFmtId="41" fontId="65" fillId="0" borderId="0" applyFont="0" applyFill="0" applyBorder="0" applyAlignment="0" applyProtection="0"/>
    <xf numFmtId="41" fontId="65" fillId="0" borderId="0" applyFont="0" applyFill="0" applyBorder="0" applyAlignment="0" applyProtection="0"/>
    <xf numFmtId="41" fontId="65" fillId="0" borderId="0" applyFont="0" applyFill="0" applyBorder="0" applyAlignment="0" applyProtection="0"/>
    <xf numFmtId="41" fontId="65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179" fontId="5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166" fontId="5" fillId="0" borderId="0" applyFont="0" applyFill="0" applyBorder="0" applyAlignment="0" applyProtection="0"/>
    <xf numFmtId="179" fontId="44" fillId="0" borderId="0" applyFont="0" applyFill="0" applyBorder="0" applyAlignment="0" applyProtection="0"/>
    <xf numFmtId="179" fontId="44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5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34" fillId="0" borderId="0" applyFont="0" applyFill="0" applyBorder="0" applyAlignment="0" applyProtection="0"/>
    <xf numFmtId="167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67" fontId="5" fillId="0" borderId="0" applyFont="0" applyFill="0" applyBorder="0" applyAlignment="0" applyProtection="0"/>
    <xf numFmtId="178" fontId="44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38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40" fillId="0" borderId="0" applyFont="0" applyFill="0" applyBorder="0" applyAlignment="0" applyProtection="0"/>
    <xf numFmtId="0" fontId="76" fillId="34" borderId="0" applyNumberFormat="0" applyBorder="0" applyAlignment="0" applyProtection="0"/>
    <xf numFmtId="0" fontId="62" fillId="11" borderId="0" applyNumberFormat="0" applyBorder="0" applyAlignment="0" applyProtection="0"/>
    <xf numFmtId="0" fontId="50" fillId="11" borderId="0" applyNumberFormat="0" applyBorder="0" applyAlignment="0" applyProtection="0"/>
    <xf numFmtId="0" fontId="5" fillId="0" borderId="0"/>
    <xf numFmtId="0" fontId="77" fillId="0" borderId="0"/>
    <xf numFmtId="0" fontId="77" fillId="0" borderId="0"/>
    <xf numFmtId="0" fontId="5" fillId="0" borderId="0"/>
    <xf numFmtId="0" fontId="77" fillId="0" borderId="0"/>
    <xf numFmtId="0" fontId="77" fillId="0" borderId="0"/>
    <xf numFmtId="0" fontId="5" fillId="0" borderId="0"/>
    <xf numFmtId="0" fontId="5" fillId="0" borderId="0"/>
    <xf numFmtId="0" fontId="74" fillId="0" borderId="0"/>
    <xf numFmtId="0" fontId="65" fillId="0" borderId="0"/>
    <xf numFmtId="0" fontId="77" fillId="0" borderId="0"/>
    <xf numFmtId="0" fontId="26" fillId="0" borderId="0">
      <alignment vertical="top"/>
    </xf>
    <xf numFmtId="0" fontId="77" fillId="0" borderId="0"/>
    <xf numFmtId="0" fontId="65" fillId="0" borderId="0"/>
    <xf numFmtId="0" fontId="77" fillId="0" borderId="0"/>
    <xf numFmtId="0" fontId="73" fillId="0" borderId="0"/>
    <xf numFmtId="0" fontId="77" fillId="0" borderId="0"/>
    <xf numFmtId="0" fontId="5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5" fillId="0" borderId="0"/>
    <xf numFmtId="0" fontId="65" fillId="0" borderId="0"/>
    <xf numFmtId="0" fontId="55" fillId="0" borderId="0"/>
    <xf numFmtId="0" fontId="5" fillId="0" borderId="0"/>
    <xf numFmtId="0" fontId="5" fillId="0" borderId="0"/>
    <xf numFmtId="0" fontId="77" fillId="0" borderId="0"/>
    <xf numFmtId="0" fontId="75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4" fillId="0" borderId="0"/>
    <xf numFmtId="0" fontId="7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4" fillId="0" borderId="0"/>
    <xf numFmtId="0" fontId="74" fillId="0" borderId="0"/>
    <xf numFmtId="0" fontId="77" fillId="0" borderId="0"/>
    <xf numFmtId="0" fontId="30" fillId="0" borderId="0"/>
    <xf numFmtId="0" fontId="5" fillId="0" borderId="0"/>
    <xf numFmtId="0" fontId="65" fillId="0" borderId="0"/>
    <xf numFmtId="0" fontId="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77" fillId="0" borderId="0"/>
    <xf numFmtId="0" fontId="77" fillId="0" borderId="0"/>
    <xf numFmtId="0" fontId="5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4" fillId="0" borderId="0"/>
    <xf numFmtId="0" fontId="65" fillId="0" borderId="0"/>
    <xf numFmtId="0" fontId="5" fillId="0" borderId="0"/>
    <xf numFmtId="0" fontId="5" fillId="0" borderId="0"/>
    <xf numFmtId="0" fontId="65" fillId="0" borderId="0"/>
    <xf numFmtId="0" fontId="5" fillId="0" borderId="0"/>
    <xf numFmtId="0" fontId="65" fillId="0" borderId="0"/>
    <xf numFmtId="0" fontId="5" fillId="0" borderId="0"/>
    <xf numFmtId="0" fontId="5" fillId="0" borderId="0"/>
    <xf numFmtId="0" fontId="5" fillId="0" borderId="0" applyNumberFormat="0" applyFont="0" applyFill="0" applyBorder="0" applyAlignment="0" applyProtection="0">
      <alignment vertical="top"/>
    </xf>
    <xf numFmtId="0" fontId="65" fillId="0" borderId="0"/>
    <xf numFmtId="0" fontId="5" fillId="0" borderId="0"/>
    <xf numFmtId="0" fontId="65" fillId="0" borderId="0"/>
    <xf numFmtId="0" fontId="78" fillId="0" borderId="0"/>
    <xf numFmtId="0" fontId="5" fillId="0" borderId="0" applyNumberFormat="0" applyFont="0" applyFill="0" applyBorder="0" applyAlignment="0" applyProtection="0">
      <alignment vertical="top"/>
    </xf>
    <xf numFmtId="0" fontId="74" fillId="0" borderId="0"/>
    <xf numFmtId="0" fontId="77" fillId="0" borderId="0"/>
    <xf numFmtId="0" fontId="65" fillId="0" borderId="0"/>
    <xf numFmtId="0" fontId="5" fillId="0" borderId="0"/>
    <xf numFmtId="0" fontId="77" fillId="0" borderId="0"/>
    <xf numFmtId="0" fontId="65" fillId="0" borderId="0"/>
    <xf numFmtId="0" fontId="5" fillId="0" borderId="0" applyNumberFormat="0" applyFont="0" applyFill="0" applyBorder="0" applyAlignment="0" applyProtection="0">
      <alignment vertical="top"/>
    </xf>
    <xf numFmtId="0" fontId="77" fillId="0" borderId="0"/>
    <xf numFmtId="0" fontId="5" fillId="0" borderId="0"/>
    <xf numFmtId="0" fontId="5" fillId="0" borderId="0"/>
    <xf numFmtId="0" fontId="65" fillId="0" borderId="0"/>
    <xf numFmtId="0" fontId="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77" fillId="0" borderId="0"/>
    <xf numFmtId="0" fontId="44" fillId="0" borderId="0"/>
    <xf numFmtId="0" fontId="44" fillId="0" borderId="0"/>
    <xf numFmtId="0" fontId="5" fillId="0" borderId="0"/>
    <xf numFmtId="0" fontId="44" fillId="0" borderId="0"/>
    <xf numFmtId="0" fontId="77" fillId="0" borderId="0"/>
    <xf numFmtId="0" fontId="5" fillId="0" borderId="0"/>
    <xf numFmtId="0" fontId="79" fillId="0" borderId="0"/>
    <xf numFmtId="0" fontId="77" fillId="0" borderId="0"/>
    <xf numFmtId="0" fontId="77" fillId="0" borderId="0"/>
    <xf numFmtId="0" fontId="44" fillId="35" borderId="49" applyNumberFormat="0" applyFont="0" applyAlignment="0" applyProtection="0"/>
    <xf numFmtId="0" fontId="44" fillId="35" borderId="49" applyNumberFormat="0" applyFont="0" applyAlignment="0" applyProtection="0"/>
    <xf numFmtId="0" fontId="5" fillId="7" borderId="4" applyNumberFormat="0" applyFont="0" applyAlignment="0" applyProtection="0"/>
    <xf numFmtId="0" fontId="5" fillId="7" borderId="4" applyNumberFormat="0" applyFont="0" applyAlignment="0" applyProtection="0"/>
    <xf numFmtId="0" fontId="5" fillId="7" borderId="4" applyNumberFormat="0" applyFont="0" applyAlignment="0" applyProtection="0"/>
    <xf numFmtId="0" fontId="5" fillId="7" borderId="4" applyNumberFormat="0" applyFont="0" applyAlignment="0" applyProtection="0"/>
    <xf numFmtId="0" fontId="5" fillId="7" borderId="4" applyNumberFormat="0" applyFont="0" applyAlignment="0" applyProtection="0"/>
    <xf numFmtId="0" fontId="5" fillId="7" borderId="4" applyNumberFormat="0" applyFont="0" applyAlignment="0" applyProtection="0"/>
    <xf numFmtId="0" fontId="5" fillId="7" borderId="4" applyNumberFormat="0" applyFont="0" applyAlignment="0" applyProtection="0"/>
    <xf numFmtId="0" fontId="5" fillId="7" borderId="4" applyNumberFormat="0" applyFont="0" applyAlignment="0" applyProtection="0"/>
    <xf numFmtId="0" fontId="5" fillId="7" borderId="4" applyNumberFormat="0" applyFont="0" applyAlignment="0" applyProtection="0"/>
    <xf numFmtId="0" fontId="5" fillId="7" borderId="4" applyNumberFormat="0" applyFont="0" applyAlignment="0" applyProtection="0"/>
    <xf numFmtId="0" fontId="5" fillId="7" borderId="4" applyNumberFormat="0" applyFont="0" applyAlignment="0" applyProtection="0"/>
    <xf numFmtId="0" fontId="5" fillId="7" borderId="4" applyNumberFormat="0" applyFont="0" applyAlignment="0" applyProtection="0"/>
    <xf numFmtId="0" fontId="5" fillId="7" borderId="4" applyNumberFormat="0" applyFont="0" applyAlignment="0" applyProtection="0"/>
    <xf numFmtId="0" fontId="5" fillId="7" borderId="4" applyNumberFormat="0" applyFont="0" applyAlignment="0" applyProtection="0"/>
    <xf numFmtId="0" fontId="5" fillId="7" borderId="4" applyNumberFormat="0" applyFont="0" applyAlignment="0" applyProtection="0"/>
    <xf numFmtId="0" fontId="5" fillId="7" borderId="4" applyNumberFormat="0" applyFont="0" applyAlignment="0" applyProtection="0"/>
    <xf numFmtId="0" fontId="5" fillId="7" borderId="4" applyNumberFormat="0" applyFont="0" applyAlignment="0" applyProtection="0"/>
    <xf numFmtId="0" fontId="5" fillId="7" borderId="4" applyNumberFormat="0" applyFont="0" applyAlignment="0" applyProtection="0"/>
    <xf numFmtId="0" fontId="5" fillId="7" borderId="4" applyNumberFormat="0" applyFont="0" applyAlignment="0" applyProtection="0"/>
    <xf numFmtId="0" fontId="5" fillId="7" borderId="4" applyNumberFormat="0" applyFont="0" applyAlignment="0" applyProtection="0"/>
    <xf numFmtId="0" fontId="5" fillId="7" borderId="4" applyNumberFormat="0" applyFon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0" fontId="80" fillId="2" borderId="50" applyNumberFormat="0" applyAlignment="0" applyProtection="0"/>
    <xf numFmtId="0" fontId="51" fillId="2" borderId="5" applyNumberFormat="0" applyAlignment="0" applyProtection="0"/>
    <xf numFmtId="0" fontId="51" fillId="2" borderId="5" applyNumberFormat="0" applyAlignment="0" applyProtection="0"/>
    <xf numFmtId="0" fontId="51" fillId="2" borderId="5" applyNumberFormat="0" applyAlignment="0" applyProtection="0"/>
    <xf numFmtId="0" fontId="51" fillId="2" borderId="5" applyNumberFormat="0" applyAlignment="0" applyProtection="0"/>
    <xf numFmtId="0" fontId="51" fillId="2" borderId="5" applyNumberFormat="0" applyAlignment="0" applyProtection="0"/>
    <xf numFmtId="0" fontId="51" fillId="2" borderId="5" applyNumberFormat="0" applyAlignment="0" applyProtection="0"/>
    <xf numFmtId="0" fontId="51" fillId="2" borderId="5" applyNumberFormat="0" applyAlignment="0" applyProtection="0"/>
    <xf numFmtId="0" fontId="51" fillId="2" borderId="5" applyNumberFormat="0" applyAlignment="0" applyProtection="0"/>
    <xf numFmtId="0" fontId="51" fillId="2" borderId="5" applyNumberFormat="0" applyAlignment="0" applyProtection="0"/>
    <xf numFmtId="0" fontId="51" fillId="2" borderId="5" applyNumberFormat="0" applyAlignment="0" applyProtection="0"/>
    <xf numFmtId="0" fontId="51" fillId="2" borderId="5" applyNumberFormat="0" applyAlignment="0" applyProtection="0"/>
    <xf numFmtId="0" fontId="51" fillId="2" borderId="5" applyNumberFormat="0" applyAlignment="0" applyProtection="0"/>
    <xf numFmtId="0" fontId="51" fillId="2" borderId="5" applyNumberFormat="0" applyAlignment="0" applyProtection="0"/>
    <xf numFmtId="0" fontId="51" fillId="2" borderId="5" applyNumberFormat="0" applyAlignment="0" applyProtection="0"/>
    <xf numFmtId="0" fontId="51" fillId="2" borderId="5" applyNumberFormat="0" applyAlignment="0" applyProtection="0"/>
    <xf numFmtId="0" fontId="51" fillId="2" borderId="5" applyNumberFormat="0" applyAlignment="0" applyProtection="0"/>
    <xf numFmtId="0" fontId="51" fillId="2" borderId="5" applyNumberFormat="0" applyAlignment="0" applyProtection="0"/>
    <xf numFmtId="0" fontId="51" fillId="2" borderId="5" applyNumberFormat="0" applyAlignment="0" applyProtection="0"/>
    <xf numFmtId="0" fontId="51" fillId="2" borderId="5" applyNumberFormat="0" applyAlignment="0" applyProtection="0"/>
    <xf numFmtId="0" fontId="51" fillId="2" borderId="5" applyNumberFormat="0" applyAlignment="0" applyProtection="0"/>
    <xf numFmtId="0" fontId="51" fillId="2" borderId="5" applyNumberFormat="0" applyAlignment="0" applyProtection="0"/>
    <xf numFmtId="0" fontId="8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83" fillId="0" borderId="6" applyNumberFormat="0" applyFill="0" applyAlignment="0" applyProtection="0"/>
    <xf numFmtId="0" fontId="58" fillId="0" borderId="7" applyNumberFormat="0" applyFill="0" applyAlignment="0" applyProtection="0"/>
    <xf numFmtId="0" fontId="84" fillId="0" borderId="51" applyNumberFormat="0" applyFill="0" applyAlignment="0" applyProtection="0"/>
    <xf numFmtId="0" fontId="59" fillId="0" borderId="8" applyNumberFormat="0" applyFill="0" applyAlignment="0" applyProtection="0"/>
    <xf numFmtId="0" fontId="70" fillId="0" borderId="9" applyNumberFormat="0" applyFill="0" applyAlignment="0" applyProtection="0"/>
    <xf numFmtId="0" fontId="56" fillId="0" borderId="10" applyNumberFormat="0" applyFill="0" applyAlignment="0" applyProtection="0"/>
    <xf numFmtId="0" fontId="85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86" fillId="0" borderId="11" applyNumberFormat="0" applyFill="0" applyAlignment="0" applyProtection="0"/>
    <xf numFmtId="0" fontId="86" fillId="0" borderId="11" applyNumberFormat="0" applyFill="0" applyAlignment="0" applyProtection="0"/>
    <xf numFmtId="0" fontId="86" fillId="0" borderId="11" applyNumberFormat="0" applyFill="0" applyAlignment="0" applyProtection="0"/>
    <xf numFmtId="0" fontId="86" fillId="0" borderId="11" applyNumberFormat="0" applyFill="0" applyAlignment="0" applyProtection="0"/>
    <xf numFmtId="0" fontId="86" fillId="0" borderId="11" applyNumberFormat="0" applyFill="0" applyAlignment="0" applyProtection="0"/>
    <xf numFmtId="0" fontId="86" fillId="0" borderId="11" applyNumberFormat="0" applyFill="0" applyAlignment="0" applyProtection="0"/>
    <xf numFmtId="0" fontId="86" fillId="0" borderId="11" applyNumberFormat="0" applyFill="0" applyAlignment="0" applyProtection="0"/>
    <xf numFmtId="0" fontId="86" fillId="0" borderId="11" applyNumberFormat="0" applyFill="0" applyAlignment="0" applyProtection="0"/>
    <xf numFmtId="0" fontId="86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86" fillId="0" borderId="11" applyNumberFormat="0" applyFill="0" applyAlignment="0" applyProtection="0"/>
    <xf numFmtId="0" fontId="86" fillId="0" borderId="11" applyNumberFormat="0" applyFill="0" applyAlignment="0" applyProtection="0"/>
    <xf numFmtId="0" fontId="86" fillId="0" borderId="11" applyNumberFormat="0" applyFill="0" applyAlignment="0" applyProtection="0"/>
    <xf numFmtId="0" fontId="86" fillId="0" borderId="11" applyNumberFormat="0" applyFill="0" applyAlignment="0" applyProtection="0"/>
    <xf numFmtId="0" fontId="86" fillId="0" borderId="11" applyNumberFormat="0" applyFill="0" applyAlignment="0" applyProtection="0"/>
    <xf numFmtId="0" fontId="86" fillId="0" borderId="11" applyNumberFormat="0" applyFill="0" applyAlignment="0" applyProtection="0"/>
    <xf numFmtId="0" fontId="86" fillId="0" borderId="11" applyNumberFormat="0" applyFill="0" applyAlignment="0" applyProtection="0"/>
    <xf numFmtId="0" fontId="86" fillId="0" borderId="11" applyNumberFormat="0" applyFill="0" applyAlignment="0" applyProtection="0"/>
    <xf numFmtId="0" fontId="86" fillId="0" borderId="11" applyNumberFormat="0" applyFill="0" applyAlignment="0" applyProtection="0"/>
    <xf numFmtId="0" fontId="86" fillId="0" borderId="11" applyNumberFormat="0" applyFill="0" applyAlignment="0" applyProtection="0"/>
    <xf numFmtId="0" fontId="86" fillId="0" borderId="11" applyNumberFormat="0" applyFill="0" applyAlignment="0" applyProtection="0"/>
    <xf numFmtId="0" fontId="86" fillId="0" borderId="11" applyNumberFormat="0" applyFill="0" applyAlignment="0" applyProtection="0"/>
    <xf numFmtId="0" fontId="54" fillId="0" borderId="12" applyNumberFormat="0" applyFill="0" applyAlignment="0" applyProtection="0"/>
    <xf numFmtId="0" fontId="54" fillId="0" borderId="12" applyNumberFormat="0" applyFill="0" applyAlignment="0" applyProtection="0"/>
    <xf numFmtId="0" fontId="54" fillId="0" borderId="12" applyNumberFormat="0" applyFill="0" applyAlignment="0" applyProtection="0"/>
    <xf numFmtId="0" fontId="54" fillId="0" borderId="12" applyNumberFormat="0" applyFill="0" applyAlignment="0" applyProtection="0"/>
    <xf numFmtId="0" fontId="54" fillId="0" borderId="12" applyNumberFormat="0" applyFill="0" applyAlignment="0" applyProtection="0"/>
    <xf numFmtId="0" fontId="54" fillId="0" borderId="12" applyNumberFormat="0" applyFill="0" applyAlignment="0" applyProtection="0"/>
    <xf numFmtId="0" fontId="54" fillId="0" borderId="12" applyNumberFormat="0" applyFill="0" applyAlignment="0" applyProtection="0"/>
    <xf numFmtId="0" fontId="54" fillId="0" borderId="12" applyNumberFormat="0" applyFill="0" applyAlignment="0" applyProtection="0"/>
    <xf numFmtId="0" fontId="54" fillId="0" borderId="12" applyNumberFormat="0" applyFill="0" applyAlignment="0" applyProtection="0"/>
    <xf numFmtId="0" fontId="54" fillId="0" borderId="12" applyNumberFormat="0" applyFill="0" applyAlignment="0" applyProtection="0"/>
    <xf numFmtId="0" fontId="54" fillId="0" borderId="12" applyNumberFormat="0" applyFill="0" applyAlignment="0" applyProtection="0"/>
    <xf numFmtId="0" fontId="54" fillId="0" borderId="12" applyNumberFormat="0" applyFill="0" applyAlignment="0" applyProtection="0"/>
    <xf numFmtId="0" fontId="54" fillId="0" borderId="12" applyNumberFormat="0" applyFill="0" applyAlignment="0" applyProtection="0"/>
    <xf numFmtId="0" fontId="54" fillId="0" borderId="12" applyNumberFormat="0" applyFill="0" applyAlignment="0" applyProtection="0"/>
    <xf numFmtId="0" fontId="54" fillId="0" borderId="12" applyNumberFormat="0" applyFill="0" applyAlignment="0" applyProtection="0"/>
    <xf numFmtId="0" fontId="54" fillId="0" borderId="12" applyNumberFormat="0" applyFill="0" applyAlignment="0" applyProtection="0"/>
    <xf numFmtId="0" fontId="54" fillId="0" borderId="12" applyNumberFormat="0" applyFill="0" applyAlignment="0" applyProtection="0"/>
    <xf numFmtId="0" fontId="54" fillId="0" borderId="12" applyNumberFormat="0" applyFill="0" applyAlignment="0" applyProtection="0"/>
    <xf numFmtId="0" fontId="54" fillId="0" borderId="12" applyNumberFormat="0" applyFill="0" applyAlignment="0" applyProtection="0"/>
    <xf numFmtId="0" fontId="54" fillId="0" borderId="12" applyNumberFormat="0" applyFill="0" applyAlignment="0" applyProtection="0"/>
    <xf numFmtId="0" fontId="54" fillId="0" borderId="12" applyNumberFormat="0" applyFill="0" applyAlignment="0" applyProtection="0"/>
    <xf numFmtId="183" fontId="2" fillId="0" borderId="0"/>
    <xf numFmtId="0" fontId="1" fillId="2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25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5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43" fontId="92" fillId="0" borderId="0" applyFont="0" applyFill="0" applyBorder="0" applyAlignment="0" applyProtection="0"/>
    <xf numFmtId="41" fontId="92" fillId="0" borderId="0" applyFont="0" applyFill="0" applyBorder="0" applyAlignment="0" applyProtection="0"/>
    <xf numFmtId="182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41" fontId="7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>
      <alignment vertical="top"/>
    </xf>
    <xf numFmtId="0" fontId="1" fillId="0" borderId="0"/>
    <xf numFmtId="0" fontId="2" fillId="0" borderId="0"/>
    <xf numFmtId="0" fontId="1" fillId="0" borderId="0"/>
    <xf numFmtId="0" fontId="2" fillId="0" borderId="0" applyNumberFormat="0" applyFont="0" applyFill="0" applyBorder="0" applyAlignment="0" applyProtection="0">
      <alignment vertical="top"/>
    </xf>
    <xf numFmtId="0" fontId="1" fillId="0" borderId="0"/>
    <xf numFmtId="0" fontId="2" fillId="0" borderId="0"/>
    <xf numFmtId="0" fontId="1" fillId="0" borderId="0"/>
    <xf numFmtId="0" fontId="2" fillId="0" borderId="0" applyNumberFormat="0" applyFont="0" applyFill="0" applyBorder="0" applyAlignment="0" applyProtection="0">
      <alignment vertical="top"/>
    </xf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7" borderId="4" applyNumberFormat="0" applyFont="0" applyAlignment="0" applyProtection="0"/>
    <xf numFmtId="0" fontId="2" fillId="7" borderId="4" applyNumberFormat="0" applyFont="0" applyAlignment="0" applyProtection="0"/>
    <xf numFmtId="0" fontId="2" fillId="7" borderId="4" applyNumberFormat="0" applyFont="0" applyAlignment="0" applyProtection="0"/>
    <xf numFmtId="0" fontId="2" fillId="7" borderId="4" applyNumberFormat="0" applyFont="0" applyAlignment="0" applyProtection="0"/>
    <xf numFmtId="0" fontId="2" fillId="7" borderId="4" applyNumberFormat="0" applyFont="0" applyAlignment="0" applyProtection="0"/>
    <xf numFmtId="0" fontId="2" fillId="7" borderId="4" applyNumberFormat="0" applyFont="0" applyAlignment="0" applyProtection="0"/>
    <xf numFmtId="0" fontId="2" fillId="7" borderId="4" applyNumberFormat="0" applyFont="0" applyAlignment="0" applyProtection="0"/>
    <xf numFmtId="0" fontId="2" fillId="7" borderId="4" applyNumberFormat="0" applyFont="0" applyAlignment="0" applyProtection="0"/>
    <xf numFmtId="0" fontId="2" fillId="7" borderId="4" applyNumberFormat="0" applyFont="0" applyAlignment="0" applyProtection="0"/>
    <xf numFmtId="0" fontId="2" fillId="7" borderId="4" applyNumberFormat="0" applyFont="0" applyAlignment="0" applyProtection="0"/>
    <xf numFmtId="0" fontId="2" fillId="7" borderId="4" applyNumberFormat="0" applyFont="0" applyAlignment="0" applyProtection="0"/>
    <xf numFmtId="0" fontId="2" fillId="7" borderId="4" applyNumberFormat="0" applyFont="0" applyAlignment="0" applyProtection="0"/>
    <xf numFmtId="0" fontId="2" fillId="7" borderId="4" applyNumberFormat="0" applyFont="0" applyAlignment="0" applyProtection="0"/>
    <xf numFmtId="0" fontId="2" fillId="7" borderId="4" applyNumberFormat="0" applyFont="0" applyAlignment="0" applyProtection="0"/>
    <xf numFmtId="0" fontId="2" fillId="7" borderId="4" applyNumberFormat="0" applyFont="0" applyAlignment="0" applyProtection="0"/>
    <xf numFmtId="0" fontId="2" fillId="7" borderId="4" applyNumberFormat="0" applyFont="0" applyAlignment="0" applyProtection="0"/>
    <xf numFmtId="0" fontId="2" fillId="7" borderId="4" applyNumberFormat="0" applyFont="0" applyAlignment="0" applyProtection="0"/>
    <xf numFmtId="0" fontId="2" fillId="7" borderId="4" applyNumberFormat="0" applyFont="0" applyAlignment="0" applyProtection="0"/>
    <xf numFmtId="0" fontId="2" fillId="7" borderId="4" applyNumberFormat="0" applyFont="0" applyAlignment="0" applyProtection="0"/>
    <xf numFmtId="0" fontId="2" fillId="7" borderId="4" applyNumberFormat="0" applyFont="0" applyAlignment="0" applyProtection="0"/>
    <xf numFmtId="0" fontId="2" fillId="7" borderId="4" applyNumberFormat="0" applyFont="0" applyAlignment="0" applyProtection="0"/>
    <xf numFmtId="9" fontId="2" fillId="0" borderId="0" applyFont="0" applyFill="0" applyBorder="0" applyAlignment="0" applyProtection="0"/>
    <xf numFmtId="9" fontId="9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9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9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92" fillId="0" borderId="0" applyFont="0" applyFill="0" applyBorder="0" applyAlignment="0" applyProtection="0"/>
    <xf numFmtId="43" fontId="92" fillId="0" borderId="0" applyFont="0" applyFill="0" applyBorder="0" applyAlignment="0" applyProtection="0"/>
    <xf numFmtId="0" fontId="100" fillId="0" borderId="0" applyNumberFormat="0" applyFill="0" applyBorder="0" applyAlignment="0" applyProtection="0"/>
  </cellStyleXfs>
  <cellXfs count="1069">
    <xf numFmtId="0" fontId="0" fillId="0" borderId="0" xfId="0"/>
    <xf numFmtId="0" fontId="3" fillId="0" borderId="0" xfId="0" applyFont="1"/>
    <xf numFmtId="37" fontId="0" fillId="0" borderId="0" xfId="0" applyNumberFormat="1"/>
    <xf numFmtId="37" fontId="3" fillId="0" borderId="0" xfId="0" applyNumberFormat="1" applyFont="1"/>
    <xf numFmtId="0" fontId="0" fillId="0" borderId="0" xfId="0" applyProtection="1">
      <protection locked="0"/>
    </xf>
    <xf numFmtId="37" fontId="0" fillId="0" borderId="0" xfId="0" applyNumberFormat="1" applyProtection="1">
      <protection locked="0"/>
    </xf>
    <xf numFmtId="38" fontId="3" fillId="0" borderId="0" xfId="0" applyNumberFormat="1" applyFont="1"/>
    <xf numFmtId="37" fontId="7" fillId="0" borderId="0" xfId="0" applyNumberFormat="1" applyFont="1"/>
    <xf numFmtId="0" fontId="7" fillId="0" borderId="0" xfId="0" applyFont="1"/>
    <xf numFmtId="0" fontId="7" fillId="0" borderId="0" xfId="0" applyFont="1" applyAlignment="1">
      <alignment horizontal="center"/>
    </xf>
    <xf numFmtId="9" fontId="7" fillId="0" borderId="0" xfId="1048" applyFont="1" applyProtection="1"/>
    <xf numFmtId="0" fontId="4" fillId="0" borderId="0" xfId="0" applyFont="1" applyProtection="1">
      <protection locked="0"/>
    </xf>
    <xf numFmtId="10" fontId="0" fillId="0" borderId="0" xfId="1048" applyNumberFormat="1" applyFont="1"/>
    <xf numFmtId="9" fontId="7" fillId="0" borderId="0" xfId="1048" applyFont="1" applyAlignment="1" applyProtection="1">
      <alignment horizontal="center"/>
    </xf>
    <xf numFmtId="170" fontId="8" fillId="0" borderId="0" xfId="0" applyNumberFormat="1" applyFont="1"/>
    <xf numFmtId="170" fontId="7" fillId="0" borderId="0" xfId="0" applyNumberFormat="1" applyFont="1"/>
    <xf numFmtId="170" fontId="7" fillId="0" borderId="13" xfId="0" applyNumberFormat="1" applyFont="1" applyBorder="1"/>
    <xf numFmtId="170" fontId="8" fillId="0" borderId="0" xfId="0" applyNumberFormat="1" applyFont="1" applyProtection="1">
      <protection locked="0"/>
    </xf>
    <xf numFmtId="0" fontId="4" fillId="0" borderId="0" xfId="0" applyFont="1"/>
    <xf numFmtId="0" fontId="9" fillId="0" borderId="0" xfId="0" applyFont="1"/>
    <xf numFmtId="170" fontId="0" fillId="0" borderId="0" xfId="0" applyNumberFormat="1"/>
    <xf numFmtId="0" fontId="3" fillId="0" borderId="0" xfId="0" applyFont="1" applyAlignment="1">
      <alignment horizontal="center"/>
    </xf>
    <xf numFmtId="170" fontId="11" fillId="0" borderId="0" xfId="0" applyNumberFormat="1" applyFont="1"/>
    <xf numFmtId="37" fontId="7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/>
    <xf numFmtId="170" fontId="7" fillId="0" borderId="14" xfId="0" applyNumberFormat="1" applyFont="1" applyBorder="1"/>
    <xf numFmtId="170" fontId="8" fillId="0" borderId="15" xfId="0" applyNumberFormat="1" applyFont="1" applyBorder="1"/>
    <xf numFmtId="170" fontId="10" fillId="0" borderId="0" xfId="0" applyNumberFormat="1" applyFont="1"/>
    <xf numFmtId="0" fontId="7" fillId="0" borderId="0" xfId="0" quotePrefix="1" applyFont="1" applyAlignment="1">
      <alignment horizontal="center"/>
    </xf>
    <xf numFmtId="10" fontId="0" fillId="0" borderId="0" xfId="0" applyNumberFormat="1"/>
    <xf numFmtId="10" fontId="0" fillId="0" borderId="0" xfId="0" applyNumberFormat="1" applyProtection="1">
      <protection locked="0"/>
    </xf>
    <xf numFmtId="38" fontId="6" fillId="0" borderId="0" xfId="0" applyNumberFormat="1" applyFont="1"/>
    <xf numFmtId="170" fontId="14" fillId="0" borderId="0" xfId="0" applyNumberFormat="1" applyFont="1"/>
    <xf numFmtId="170" fontId="15" fillId="0" borderId="0" xfId="0" applyNumberFormat="1" applyFont="1"/>
    <xf numFmtId="0" fontId="6" fillId="0" borderId="0" xfId="0" applyFont="1"/>
    <xf numFmtId="170" fontId="14" fillId="0" borderId="0" xfId="0" applyNumberFormat="1" applyFont="1" applyProtection="1">
      <protection locked="0"/>
    </xf>
    <xf numFmtId="0" fontId="6" fillId="0" borderId="0" xfId="0" applyFont="1" applyProtection="1">
      <protection locked="0"/>
    </xf>
    <xf numFmtId="170" fontId="8" fillId="0" borderId="13" xfId="0" applyNumberFormat="1" applyFont="1" applyBorder="1"/>
    <xf numFmtId="169" fontId="7" fillId="0" borderId="0" xfId="126" applyNumberFormat="1" applyFont="1" applyProtection="1"/>
    <xf numFmtId="169" fontId="7" fillId="0" borderId="13" xfId="126" applyNumberFormat="1" applyFont="1" applyBorder="1" applyProtection="1"/>
    <xf numFmtId="170" fontId="7" fillId="0" borderId="16" xfId="0" applyNumberFormat="1" applyFont="1" applyBorder="1"/>
    <xf numFmtId="170" fontId="8" fillId="0" borderId="16" xfId="0" applyNumberFormat="1" applyFont="1" applyBorder="1"/>
    <xf numFmtId="0" fontId="0" fillId="0" borderId="17" xfId="0" applyBorder="1"/>
    <xf numFmtId="0" fontId="3" fillId="20" borderId="18" xfId="0" applyFont="1" applyFill="1" applyBorder="1"/>
    <xf numFmtId="170" fontId="8" fillId="20" borderId="19" xfId="0" applyNumberFormat="1" applyFont="1" applyFill="1" applyBorder="1"/>
    <xf numFmtId="170" fontId="8" fillId="0" borderId="20" xfId="0" applyNumberFormat="1" applyFont="1" applyBorder="1"/>
    <xf numFmtId="169" fontId="3" fillId="0" borderId="0" xfId="126" applyNumberFormat="1" applyFont="1"/>
    <xf numFmtId="0" fontId="18" fillId="0" borderId="0" xfId="0" applyFont="1"/>
    <xf numFmtId="0" fontId="16" fillId="0" borderId="0" xfId="0" applyFont="1"/>
    <xf numFmtId="9" fontId="14" fillId="0" borderId="0" xfId="1048" applyFont="1" applyBorder="1" applyAlignment="1" applyProtection="1">
      <alignment horizontal="center"/>
    </xf>
    <xf numFmtId="0" fontId="19" fillId="0" borderId="0" xfId="0" applyFont="1"/>
    <xf numFmtId="0" fontId="8" fillId="0" borderId="0" xfId="0" applyFont="1"/>
    <xf numFmtId="0" fontId="3" fillId="0" borderId="13" xfId="0" applyFont="1" applyBorder="1"/>
    <xf numFmtId="0" fontId="8" fillId="0" borderId="13" xfId="0" applyFont="1" applyBorder="1"/>
    <xf numFmtId="0" fontId="3" fillId="0" borderId="21" xfId="0" applyFont="1" applyBorder="1"/>
    <xf numFmtId="0" fontId="8" fillId="0" borderId="21" xfId="0" applyFont="1" applyBorder="1"/>
    <xf numFmtId="0" fontId="12" fillId="0" borderId="0" xfId="0" applyFont="1"/>
    <xf numFmtId="170" fontId="12" fillId="0" borderId="0" xfId="0" applyNumberFormat="1" applyFont="1"/>
    <xf numFmtId="170" fontId="12" fillId="0" borderId="21" xfId="0" applyNumberFormat="1" applyFont="1" applyBorder="1"/>
    <xf numFmtId="0" fontId="21" fillId="0" borderId="0" xfId="0" applyFont="1"/>
    <xf numFmtId="0" fontId="4" fillId="0" borderId="0" xfId="934" applyFont="1"/>
    <xf numFmtId="37" fontId="5" fillId="0" borderId="0" xfId="934" applyNumberFormat="1"/>
    <xf numFmtId="0" fontId="5" fillId="0" borderId="0" xfId="934"/>
    <xf numFmtId="0" fontId="3" fillId="0" borderId="0" xfId="934" applyFont="1"/>
    <xf numFmtId="0" fontId="7" fillId="0" borderId="0" xfId="934" applyFont="1" applyAlignment="1">
      <alignment horizontal="center"/>
    </xf>
    <xf numFmtId="170" fontId="8" fillId="0" borderId="0" xfId="934" applyNumberFormat="1" applyFont="1"/>
    <xf numFmtId="170" fontId="7" fillId="0" borderId="0" xfId="934" applyNumberFormat="1" applyFont="1"/>
    <xf numFmtId="170" fontId="7" fillId="0" borderId="13" xfId="934" applyNumberFormat="1" applyFont="1" applyBorder="1"/>
    <xf numFmtId="170" fontId="7" fillId="0" borderId="14" xfId="934" applyNumberFormat="1" applyFont="1" applyBorder="1"/>
    <xf numFmtId="0" fontId="4" fillId="0" borderId="0" xfId="934" applyFont="1" applyProtection="1">
      <protection locked="0"/>
    </xf>
    <xf numFmtId="0" fontId="7" fillId="0" borderId="0" xfId="934" applyFont="1"/>
    <xf numFmtId="0" fontId="5" fillId="0" borderId="0" xfId="934" applyProtection="1">
      <protection locked="0"/>
    </xf>
    <xf numFmtId="0" fontId="3" fillId="0" borderId="0" xfId="934" applyFont="1" applyAlignment="1">
      <alignment horizontal="center"/>
    </xf>
    <xf numFmtId="38" fontId="3" fillId="0" borderId="0" xfId="934" applyNumberFormat="1" applyFont="1"/>
    <xf numFmtId="38" fontId="5" fillId="0" borderId="0" xfId="934" applyNumberFormat="1"/>
    <xf numFmtId="38" fontId="6" fillId="0" borderId="0" xfId="934" applyNumberFormat="1" applyFont="1"/>
    <xf numFmtId="0" fontId="6" fillId="0" borderId="0" xfId="934" applyFont="1"/>
    <xf numFmtId="170" fontId="5" fillId="0" borderId="0" xfId="934" applyNumberFormat="1"/>
    <xf numFmtId="0" fontId="6" fillId="0" borderId="0" xfId="934" applyFont="1" applyProtection="1">
      <protection locked="0"/>
    </xf>
    <xf numFmtId="10" fontId="0" fillId="0" borderId="0" xfId="1046" applyNumberFormat="1" applyFont="1"/>
    <xf numFmtId="10" fontId="0" fillId="0" borderId="0" xfId="1046" applyNumberFormat="1" applyFont="1" applyProtection="1">
      <protection locked="0"/>
    </xf>
    <xf numFmtId="9" fontId="7" fillId="0" borderId="0" xfId="1046" applyFont="1" applyAlignment="1" applyProtection="1">
      <alignment horizontal="center"/>
    </xf>
    <xf numFmtId="37" fontId="7" fillId="0" borderId="0" xfId="934" applyNumberFormat="1" applyFont="1"/>
    <xf numFmtId="170" fontId="8" fillId="0" borderId="0" xfId="934" applyNumberFormat="1" applyFont="1" applyProtection="1">
      <protection locked="0"/>
    </xf>
    <xf numFmtId="10" fontId="3" fillId="0" borderId="0" xfId="1046" applyNumberFormat="1" applyFont="1"/>
    <xf numFmtId="10" fontId="17" fillId="0" borderId="0" xfId="1046" applyNumberFormat="1" applyFont="1"/>
    <xf numFmtId="170" fontId="14" fillId="0" borderId="0" xfId="934" applyNumberFormat="1" applyFont="1"/>
    <xf numFmtId="170" fontId="5" fillId="0" borderId="0" xfId="934" applyNumberFormat="1" applyProtection="1">
      <protection locked="0"/>
    </xf>
    <xf numFmtId="170" fontId="14" fillId="0" borderId="0" xfId="934" applyNumberFormat="1" applyFont="1" applyProtection="1">
      <protection locked="0"/>
    </xf>
    <xf numFmtId="170" fontId="8" fillId="0" borderId="20" xfId="934" applyNumberFormat="1" applyFont="1" applyBorder="1"/>
    <xf numFmtId="169" fontId="7" fillId="0" borderId="0" xfId="65" applyNumberFormat="1" applyFont="1" applyProtection="1"/>
    <xf numFmtId="9" fontId="7" fillId="0" borderId="0" xfId="1046" applyFont="1" applyProtection="1"/>
    <xf numFmtId="169" fontId="7" fillId="0" borderId="0" xfId="65" applyNumberFormat="1" applyFont="1"/>
    <xf numFmtId="171" fontId="7" fillId="0" borderId="0" xfId="65" applyNumberFormat="1" applyFont="1"/>
    <xf numFmtId="170" fontId="7" fillId="0" borderId="0" xfId="65" applyNumberFormat="1" applyFont="1"/>
    <xf numFmtId="0" fontId="22" fillId="0" borderId="0" xfId="0" applyFont="1"/>
    <xf numFmtId="0" fontId="22" fillId="0" borderId="0" xfId="0" applyFont="1" applyProtection="1">
      <protection locked="0"/>
    </xf>
    <xf numFmtId="0" fontId="24" fillId="0" borderId="0" xfId="0" applyFont="1"/>
    <xf numFmtId="10" fontId="22" fillId="0" borderId="0" xfId="1048" applyNumberFormat="1" applyFont="1"/>
    <xf numFmtId="10" fontId="22" fillId="0" borderId="0" xfId="0" applyNumberFormat="1" applyFont="1"/>
    <xf numFmtId="10" fontId="22" fillId="0" borderId="0" xfId="0" applyNumberFormat="1" applyFont="1" applyProtection="1">
      <protection locked="0"/>
    </xf>
    <xf numFmtId="0" fontId="24" fillId="0" borderId="0" xfId="0" applyFont="1" applyAlignment="1">
      <alignment horizontal="center"/>
    </xf>
    <xf numFmtId="169" fontId="22" fillId="0" borderId="0" xfId="126" applyNumberFormat="1" applyFont="1" applyProtection="1"/>
    <xf numFmtId="169" fontId="22" fillId="0" borderId="0" xfId="126" applyNumberFormat="1" applyFont="1"/>
    <xf numFmtId="169" fontId="23" fillId="0" borderId="0" xfId="126" applyNumberFormat="1" applyFont="1"/>
    <xf numFmtId="169" fontId="22" fillId="0" borderId="0" xfId="126" applyNumberFormat="1" applyFont="1" applyProtection="1">
      <protection locked="0"/>
    </xf>
    <xf numFmtId="169" fontId="24" fillId="0" borderId="22" xfId="126" applyNumberFormat="1" applyFont="1" applyBorder="1"/>
    <xf numFmtId="169" fontId="24" fillId="0" borderId="23" xfId="126" applyNumberFormat="1" applyFont="1" applyBorder="1"/>
    <xf numFmtId="169" fontId="24" fillId="0" borderId="22" xfId="126" applyNumberFormat="1" applyFont="1" applyBorder="1" applyProtection="1"/>
    <xf numFmtId="169" fontId="24" fillId="0" borderId="23" xfId="126" applyNumberFormat="1" applyFont="1" applyBorder="1" applyProtection="1"/>
    <xf numFmtId="170" fontId="22" fillId="21" borderId="24" xfId="0" applyNumberFormat="1" applyFont="1" applyFill="1" applyBorder="1"/>
    <xf numFmtId="169" fontId="24" fillId="0" borderId="25" xfId="126" applyNumberFormat="1" applyFont="1" applyBorder="1" applyProtection="1"/>
    <xf numFmtId="0" fontId="4" fillId="0" borderId="0" xfId="934" applyFont="1" applyAlignment="1">
      <alignment horizontal="center"/>
    </xf>
    <xf numFmtId="9" fontId="5" fillId="0" borderId="0" xfId="1046" applyBorder="1"/>
    <xf numFmtId="164" fontId="0" fillId="0" borderId="0" xfId="65" applyNumberFormat="1" applyFont="1"/>
    <xf numFmtId="164" fontId="5" fillId="0" borderId="0" xfId="934" applyNumberFormat="1"/>
    <xf numFmtId="0" fontId="26" fillId="0" borderId="0" xfId="934" applyFont="1"/>
    <xf numFmtId="0" fontId="25" fillId="0" borderId="0" xfId="934" applyFont="1"/>
    <xf numFmtId="9" fontId="3" fillId="0" borderId="0" xfId="1046" applyFont="1" applyBorder="1"/>
    <xf numFmtId="9" fontId="5" fillId="0" borderId="0" xfId="1046" applyFill="1" applyBorder="1"/>
    <xf numFmtId="9" fontId="3" fillId="0" borderId="0" xfId="1046" applyFont="1" applyFill="1" applyBorder="1" applyAlignment="1">
      <alignment horizontal="center"/>
    </xf>
    <xf numFmtId="170" fontId="8" fillId="20" borderId="0" xfId="0" applyNumberFormat="1" applyFont="1" applyFill="1"/>
    <xf numFmtId="170" fontId="7" fillId="20" borderId="0" xfId="0" applyNumberFormat="1" applyFont="1" applyFill="1"/>
    <xf numFmtId="170" fontId="15" fillId="20" borderId="0" xfId="0" applyNumberFormat="1" applyFont="1" applyFill="1"/>
    <xf numFmtId="43" fontId="8" fillId="0" borderId="0" xfId="126" applyFont="1" applyProtection="1"/>
    <xf numFmtId="43" fontId="7" fillId="0" borderId="0" xfId="126" applyFont="1" applyProtection="1"/>
    <xf numFmtId="43" fontId="0" fillId="0" borderId="0" xfId="126" applyFont="1" applyProtection="1"/>
    <xf numFmtId="43" fontId="7" fillId="0" borderId="13" xfId="126" applyFont="1" applyBorder="1" applyProtection="1"/>
    <xf numFmtId="43" fontId="15" fillId="0" borderId="0" xfId="126" applyFont="1" applyProtection="1"/>
    <xf numFmtId="43" fontId="8" fillId="0" borderId="0" xfId="126" applyFont="1" applyBorder="1" applyProtection="1"/>
    <xf numFmtId="43" fontId="7" fillId="0" borderId="14" xfId="126" applyFont="1" applyBorder="1" applyProtection="1"/>
    <xf numFmtId="169" fontId="12" fillId="0" borderId="15" xfId="126" applyNumberFormat="1" applyFont="1" applyBorder="1" applyProtection="1">
      <protection locked="0"/>
    </xf>
    <xf numFmtId="169" fontId="12" fillId="0" borderId="13" xfId="126" applyNumberFormat="1" applyFont="1" applyBorder="1"/>
    <xf numFmtId="169" fontId="12" fillId="0" borderId="21" xfId="126" applyNumberFormat="1" applyFont="1" applyBorder="1"/>
    <xf numFmtId="170" fontId="14" fillId="20" borderId="0" xfId="0" applyNumberFormat="1" applyFont="1" applyFill="1"/>
    <xf numFmtId="9" fontId="0" fillId="0" borderId="0" xfId="0" applyNumberFormat="1"/>
    <xf numFmtId="9" fontId="0" fillId="0" borderId="0" xfId="1046" applyFont="1" applyProtection="1">
      <protection locked="0"/>
    </xf>
    <xf numFmtId="0" fontId="17" fillId="0" borderId="0" xfId="0" applyFont="1"/>
    <xf numFmtId="170" fontId="17" fillId="0" borderId="0" xfId="0" applyNumberFormat="1" applyFont="1"/>
    <xf numFmtId="37" fontId="17" fillId="0" borderId="0" xfId="0" applyNumberFormat="1" applyFont="1"/>
    <xf numFmtId="0" fontId="19" fillId="22" borderId="0" xfId="0" applyFont="1" applyFill="1"/>
    <xf numFmtId="9" fontId="0" fillId="0" borderId="0" xfId="1048" applyFont="1"/>
    <xf numFmtId="169" fontId="7" fillId="0" borderId="0" xfId="126" applyNumberFormat="1" applyFont="1"/>
    <xf numFmtId="170" fontId="0" fillId="0" borderId="0" xfId="0" applyNumberFormat="1" applyProtection="1">
      <protection locked="0"/>
    </xf>
    <xf numFmtId="167" fontId="0" fillId="0" borderId="0" xfId="882" applyFont="1" applyFill="1"/>
    <xf numFmtId="167" fontId="7" fillId="0" borderId="0" xfId="0" applyNumberFormat="1" applyFont="1"/>
    <xf numFmtId="166" fontId="7" fillId="0" borderId="0" xfId="0" applyNumberFormat="1" applyFont="1"/>
    <xf numFmtId="10" fontId="7" fillId="0" borderId="0" xfId="1048" applyNumberFormat="1" applyFont="1" applyProtection="1"/>
    <xf numFmtId="3" fontId="0" fillId="0" borderId="0" xfId="0" applyNumberFormat="1"/>
    <xf numFmtId="3" fontId="0" fillId="0" borderId="0" xfId="0" applyNumberFormat="1" applyProtection="1">
      <protection locked="0"/>
    </xf>
    <xf numFmtId="3" fontId="6" fillId="0" borderId="0" xfId="0" applyNumberFormat="1" applyFont="1" applyProtection="1">
      <protection locked="0"/>
    </xf>
    <xf numFmtId="170" fontId="8" fillId="36" borderId="0" xfId="0" applyNumberFormat="1" applyFont="1" applyFill="1"/>
    <xf numFmtId="3" fontId="6" fillId="0" borderId="0" xfId="0" applyNumberFormat="1" applyFont="1"/>
    <xf numFmtId="3" fontId="3" fillId="0" borderId="0" xfId="0" applyNumberFormat="1" applyFont="1"/>
    <xf numFmtId="170" fontId="0" fillId="36" borderId="0" xfId="0" applyNumberFormat="1" applyFill="1" applyProtection="1">
      <protection locked="0"/>
    </xf>
    <xf numFmtId="170" fontId="3" fillId="0" borderId="0" xfId="0" applyNumberFormat="1" applyFont="1"/>
    <xf numFmtId="170" fontId="7" fillId="0" borderId="0" xfId="0" applyNumberFormat="1" applyFont="1" applyAlignment="1">
      <alignment horizontal="center"/>
    </xf>
    <xf numFmtId="3" fontId="19" fillId="0" borderId="0" xfId="0" applyNumberFormat="1" applyFont="1"/>
    <xf numFmtId="3" fontId="33" fillId="0" borderId="0" xfId="0" applyNumberFormat="1" applyFont="1"/>
    <xf numFmtId="170" fontId="87" fillId="36" borderId="0" xfId="0" applyNumberFormat="1" applyFont="1" applyFill="1"/>
    <xf numFmtId="0" fontId="4" fillId="37" borderId="0" xfId="0" applyFont="1" applyFill="1"/>
    <xf numFmtId="9" fontId="0" fillId="0" borderId="0" xfId="1063" applyFont="1"/>
    <xf numFmtId="170" fontId="12" fillId="0" borderId="15" xfId="0" applyNumberFormat="1" applyFont="1" applyBorder="1" applyProtection="1">
      <protection locked="0"/>
    </xf>
    <xf numFmtId="170" fontId="12" fillId="0" borderId="0" xfId="0" applyNumberFormat="1" applyFont="1" applyProtection="1">
      <protection locked="0"/>
    </xf>
    <xf numFmtId="0" fontId="0" fillId="0" borderId="29" xfId="0" applyBorder="1"/>
    <xf numFmtId="169" fontId="3" fillId="0" borderId="0" xfId="0" applyNumberFormat="1" applyFont="1"/>
    <xf numFmtId="0" fontId="0" fillId="0" borderId="0" xfId="0" applyAlignment="1">
      <alignment horizontal="center"/>
    </xf>
    <xf numFmtId="4" fontId="0" fillId="0" borderId="0" xfId="0" applyNumberFormat="1"/>
    <xf numFmtId="169" fontId="0" fillId="0" borderId="0" xfId="1048" applyNumberFormat="1" applyFont="1"/>
    <xf numFmtId="9" fontId="3" fillId="0" borderId="0" xfId="1048" applyFont="1"/>
    <xf numFmtId="170" fontId="0" fillId="37" borderId="0" xfId="0" applyNumberFormat="1" applyFill="1"/>
    <xf numFmtId="0" fontId="3" fillId="0" borderId="32" xfId="0" applyFont="1" applyBorder="1"/>
    <xf numFmtId="170" fontId="0" fillId="0" borderId="14" xfId="0" applyNumberFormat="1" applyBorder="1"/>
    <xf numFmtId="170" fontId="3" fillId="0" borderId="14" xfId="0" applyNumberFormat="1" applyFont="1" applyBorder="1"/>
    <xf numFmtId="3" fontId="3" fillId="0" borderId="0" xfId="0" applyNumberFormat="1" applyFont="1" applyAlignment="1">
      <alignment horizontal="center"/>
    </xf>
    <xf numFmtId="169" fontId="0" fillId="0" borderId="0" xfId="0" applyNumberFormat="1"/>
    <xf numFmtId="3" fontId="7" fillId="0" borderId="0" xfId="0" applyNumberFormat="1" applyFont="1"/>
    <xf numFmtId="1" fontId="0" fillId="0" borderId="0" xfId="0" applyNumberFormat="1"/>
    <xf numFmtId="170" fontId="0" fillId="36" borderId="0" xfId="0" applyNumberFormat="1" applyFill="1"/>
    <xf numFmtId="169" fontId="12" fillId="0" borderId="27" xfId="0" applyNumberFormat="1" applyFont="1" applyBorder="1"/>
    <xf numFmtId="169" fontId="12" fillId="0" borderId="28" xfId="0" applyNumberFormat="1" applyFont="1" applyBorder="1"/>
    <xf numFmtId="3" fontId="12" fillId="0" borderId="20" xfId="0" applyNumberFormat="1" applyFont="1" applyBorder="1"/>
    <xf numFmtId="4" fontId="12" fillId="0" borderId="20" xfId="0" applyNumberFormat="1" applyFont="1" applyBorder="1"/>
    <xf numFmtId="4" fontId="12" fillId="0" borderId="31" xfId="0" applyNumberFormat="1" applyFont="1" applyBorder="1"/>
    <xf numFmtId="0" fontId="3" fillId="0" borderId="33" xfId="0" applyFont="1" applyBorder="1"/>
    <xf numFmtId="0" fontId="3" fillId="0" borderId="34" xfId="0" applyFont="1" applyBorder="1"/>
    <xf numFmtId="0" fontId="0" fillId="36" borderId="0" xfId="0" applyFill="1"/>
    <xf numFmtId="3" fontId="0" fillId="36" borderId="0" xfId="0" applyNumberFormat="1" applyFill="1" applyProtection="1">
      <protection locked="0"/>
    </xf>
    <xf numFmtId="0" fontId="0" fillId="36" borderId="0" xfId="0" applyFill="1" applyProtection="1">
      <protection locked="0"/>
    </xf>
    <xf numFmtId="4" fontId="3" fillId="0" borderId="0" xfId="0" applyNumberFormat="1" applyFont="1" applyAlignment="1">
      <alignment horizontal="center"/>
    </xf>
    <xf numFmtId="9" fontId="3" fillId="0" borderId="0" xfId="1048" applyFont="1" applyAlignment="1" applyProtection="1">
      <alignment horizontal="center"/>
    </xf>
    <xf numFmtId="0" fontId="3" fillId="0" borderId="0" xfId="982" applyFont="1" applyAlignment="1">
      <alignment horizontal="center"/>
    </xf>
    <xf numFmtId="170" fontId="8" fillId="37" borderId="0" xfId="0" applyNumberFormat="1" applyFont="1" applyFill="1"/>
    <xf numFmtId="2" fontId="3" fillId="0" borderId="0" xfId="0" applyNumberFormat="1" applyFont="1"/>
    <xf numFmtId="4" fontId="3" fillId="0" borderId="0" xfId="0" applyNumberFormat="1" applyFont="1"/>
    <xf numFmtId="3" fontId="7" fillId="0" borderId="0" xfId="1048" applyNumberFormat="1" applyFont="1" applyAlignment="1" applyProtection="1">
      <alignment horizontal="right"/>
    </xf>
    <xf numFmtId="3" fontId="8" fillId="0" borderId="0" xfId="0" applyNumberFormat="1" applyFont="1" applyAlignment="1">
      <alignment horizontal="right"/>
    </xf>
    <xf numFmtId="0" fontId="0" fillId="38" borderId="0" xfId="0" applyFill="1"/>
    <xf numFmtId="38" fontId="3" fillId="0" borderId="0" xfId="0" applyNumberFormat="1" applyFont="1" applyAlignment="1">
      <alignment horizontal="center"/>
    </xf>
    <xf numFmtId="170" fontId="87" fillId="0" borderId="0" xfId="0" applyNumberFormat="1" applyFont="1"/>
    <xf numFmtId="170" fontId="87" fillId="0" borderId="0" xfId="0" applyNumberFormat="1" applyFont="1" applyProtection="1">
      <protection locked="0"/>
    </xf>
    <xf numFmtId="170" fontId="88" fillId="0" borderId="0" xfId="0" applyNumberFormat="1" applyFont="1"/>
    <xf numFmtId="170" fontId="8" fillId="36" borderId="13" xfId="0" applyNumberFormat="1" applyFont="1" applyFill="1" applyBorder="1"/>
    <xf numFmtId="0" fontId="3" fillId="36" borderId="0" xfId="0" applyFont="1" applyFill="1" applyAlignment="1">
      <alignment horizontal="center"/>
    </xf>
    <xf numFmtId="170" fontId="0" fillId="36" borderId="14" xfId="0" applyNumberFormat="1" applyFill="1" applyBorder="1"/>
    <xf numFmtId="9" fontId="14" fillId="36" borderId="0" xfId="1048" applyFont="1" applyFill="1" applyBorder="1" applyAlignment="1" applyProtection="1">
      <alignment horizontal="center"/>
    </xf>
    <xf numFmtId="170" fontId="7" fillId="0" borderId="19" xfId="0" applyNumberFormat="1" applyFont="1" applyBorder="1"/>
    <xf numFmtId="170" fontId="7" fillId="36" borderId="19" xfId="0" applyNumberFormat="1" applyFont="1" applyFill="1" applyBorder="1"/>
    <xf numFmtId="9" fontId="7" fillId="0" borderId="21" xfId="1048" applyFont="1" applyBorder="1" applyAlignment="1" applyProtection="1">
      <alignment horizontal="center"/>
    </xf>
    <xf numFmtId="9" fontId="7" fillId="36" borderId="21" xfId="1048" applyFont="1" applyFill="1" applyBorder="1" applyAlignment="1" applyProtection="1">
      <alignment horizontal="center"/>
    </xf>
    <xf numFmtId="38" fontId="3" fillId="36" borderId="0" xfId="0" applyNumberFormat="1" applyFont="1" applyFill="1"/>
    <xf numFmtId="170" fontId="3" fillId="0" borderId="13" xfId="0" applyNumberFormat="1" applyFont="1" applyBorder="1"/>
    <xf numFmtId="170" fontId="3" fillId="36" borderId="13" xfId="0" applyNumberFormat="1" applyFont="1" applyFill="1" applyBorder="1"/>
    <xf numFmtId="9" fontId="14" fillId="0" borderId="0" xfId="1048" applyFont="1" applyFill="1" applyBorder="1" applyAlignment="1" applyProtection="1">
      <alignment horizontal="center"/>
    </xf>
    <xf numFmtId="9" fontId="7" fillId="0" borderId="21" xfId="1048" applyFont="1" applyFill="1" applyBorder="1" applyAlignment="1" applyProtection="1">
      <alignment horizontal="center"/>
    </xf>
    <xf numFmtId="175" fontId="3" fillId="0" borderId="0" xfId="0" applyNumberFormat="1" applyFont="1"/>
    <xf numFmtId="38" fontId="3" fillId="0" borderId="32" xfId="0" applyNumberFormat="1" applyFont="1" applyBorder="1"/>
    <xf numFmtId="170" fontId="3" fillId="36" borderId="0" xfId="0" applyNumberFormat="1" applyFont="1" applyFill="1"/>
    <xf numFmtId="38" fontId="0" fillId="0" borderId="0" xfId="0" applyNumberFormat="1"/>
    <xf numFmtId="38" fontId="3" fillId="0" borderId="14" xfId="0" applyNumberFormat="1" applyFont="1" applyBorder="1"/>
    <xf numFmtId="38" fontId="0" fillId="36" borderId="0" xfId="0" applyNumberFormat="1" applyFill="1"/>
    <xf numFmtId="0" fontId="3" fillId="0" borderId="13" xfId="0" applyFont="1" applyBorder="1" applyAlignment="1">
      <alignment horizontal="center"/>
    </xf>
    <xf numFmtId="3" fontId="0" fillId="36" borderId="0" xfId="0" applyNumberFormat="1" applyFill="1"/>
    <xf numFmtId="0" fontId="0" fillId="0" borderId="35" xfId="0" applyBorder="1"/>
    <xf numFmtId="14" fontId="0" fillId="0" borderId="0" xfId="0" applyNumberFormat="1"/>
    <xf numFmtId="14" fontId="3" fillId="0" borderId="0" xfId="0" applyNumberFormat="1" applyFont="1" applyAlignment="1">
      <alignment horizontal="center"/>
    </xf>
    <xf numFmtId="0" fontId="3" fillId="37" borderId="0" xfId="0" applyFont="1" applyFill="1" applyAlignment="1">
      <alignment horizontal="center"/>
    </xf>
    <xf numFmtId="0" fontId="0" fillId="37" borderId="0" xfId="0" applyFill="1"/>
    <xf numFmtId="0" fontId="3" fillId="3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9" fontId="0" fillId="0" borderId="0" xfId="1048" applyFont="1" applyProtection="1"/>
    <xf numFmtId="0" fontId="3" fillId="0" borderId="0" xfId="0" quotePrefix="1" applyFont="1" applyAlignment="1">
      <alignment horizontal="center"/>
    </xf>
    <xf numFmtId="37" fontId="3" fillId="0" borderId="0" xfId="0" applyNumberFormat="1" applyFont="1" applyAlignment="1">
      <alignment horizontal="center"/>
    </xf>
    <xf numFmtId="9" fontId="6" fillId="0" borderId="0" xfId="1048" applyFont="1" applyBorder="1" applyAlignment="1" applyProtection="1">
      <alignment horizontal="center"/>
    </xf>
    <xf numFmtId="0" fontId="29" fillId="0" borderId="0" xfId="0" applyFont="1" applyAlignment="1">
      <alignment horizontal="center"/>
    </xf>
    <xf numFmtId="170" fontId="3" fillId="0" borderId="0" xfId="0" applyNumberFormat="1" applyFont="1" applyAlignment="1">
      <alignment horizontal="center"/>
    </xf>
    <xf numFmtId="169" fontId="3" fillId="0" borderId="0" xfId="126" applyNumberFormat="1" applyFont="1" applyAlignment="1" applyProtection="1">
      <alignment horizontal="center"/>
    </xf>
    <xf numFmtId="169" fontId="3" fillId="0" borderId="0" xfId="126" applyNumberFormat="1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37" fontId="0" fillId="0" borderId="0" xfId="0" applyNumberFormat="1" applyAlignment="1">
      <alignment horizontal="center"/>
    </xf>
    <xf numFmtId="9" fontId="0" fillId="0" borderId="0" xfId="1048" applyFont="1" applyAlignment="1">
      <alignment horizontal="center"/>
    </xf>
    <xf numFmtId="10" fontId="0" fillId="0" borderId="0" xfId="1048" applyNumberFormat="1" applyFont="1" applyAlignment="1">
      <alignment horizontal="center"/>
    </xf>
    <xf numFmtId="0" fontId="6" fillId="0" borderId="0" xfId="0" applyFont="1" applyAlignment="1">
      <alignment horizontal="center"/>
    </xf>
    <xf numFmtId="37" fontId="5" fillId="0" borderId="0" xfId="0" applyNumberFormat="1" applyFont="1" applyAlignment="1">
      <alignment horizontal="center"/>
    </xf>
    <xf numFmtId="37" fontId="0" fillId="0" borderId="0" xfId="0" applyNumberFormat="1" applyAlignment="1" applyProtection="1">
      <alignment horizontal="center"/>
      <protection locked="0"/>
    </xf>
    <xf numFmtId="170" fontId="3" fillId="0" borderId="16" xfId="0" applyNumberFormat="1" applyFont="1" applyBorder="1" applyAlignment="1">
      <alignment horizontal="center"/>
    </xf>
    <xf numFmtId="10" fontId="3" fillId="0" borderId="0" xfId="1048" applyNumberFormat="1" applyFont="1" applyAlignment="1" applyProtection="1">
      <alignment horizontal="center"/>
    </xf>
    <xf numFmtId="169" fontId="24" fillId="0" borderId="0" xfId="126" applyNumberFormat="1" applyFont="1" applyBorder="1"/>
    <xf numFmtId="9" fontId="3" fillId="0" borderId="0" xfId="1048" applyFont="1" applyFill="1" applyAlignment="1" applyProtection="1">
      <alignment horizontal="center"/>
    </xf>
    <xf numFmtId="9" fontId="7" fillId="0" borderId="0" xfId="1048" applyFont="1" applyFill="1" applyAlignment="1" applyProtection="1">
      <alignment horizontal="center"/>
    </xf>
    <xf numFmtId="10" fontId="0" fillId="0" borderId="0" xfId="1048" applyNumberFormat="1" applyFont="1" applyFill="1"/>
    <xf numFmtId="9" fontId="0" fillId="0" borderId="0" xfId="1048" applyFont="1" applyFill="1" applyAlignment="1">
      <alignment horizontal="center"/>
    </xf>
    <xf numFmtId="10" fontId="0" fillId="0" borderId="0" xfId="1048" applyNumberFormat="1" applyFont="1" applyFill="1" applyAlignment="1">
      <alignment horizontal="center"/>
    </xf>
    <xf numFmtId="9" fontId="7" fillId="0" borderId="0" xfId="1048" applyFont="1" applyBorder="1" applyAlignment="1" applyProtection="1">
      <alignment horizontal="center"/>
    </xf>
    <xf numFmtId="9" fontId="7" fillId="36" borderId="0" xfId="1048" applyFont="1" applyFill="1" applyBorder="1" applyAlignment="1" applyProtection="1">
      <alignment horizontal="center"/>
    </xf>
    <xf numFmtId="9" fontId="7" fillId="0" borderId="0" xfId="1048" applyFont="1" applyFill="1" applyBorder="1" applyAlignment="1" applyProtection="1">
      <alignment horizontal="center"/>
    </xf>
    <xf numFmtId="172" fontId="28" fillId="0" borderId="0" xfId="934" applyNumberFormat="1" applyFont="1"/>
    <xf numFmtId="9" fontId="89" fillId="0" borderId="0" xfId="1048" applyFont="1" applyBorder="1" applyAlignment="1">
      <alignment horizontal="center"/>
    </xf>
    <xf numFmtId="173" fontId="89" fillId="0" borderId="0" xfId="1048" applyNumberFormat="1" applyFont="1" applyBorder="1" applyAlignment="1">
      <alignment horizontal="center"/>
    </xf>
    <xf numFmtId="10" fontId="89" fillId="0" borderId="0" xfId="1048" applyNumberFormat="1" applyFont="1" applyBorder="1" applyAlignment="1">
      <alignment horizontal="center"/>
    </xf>
    <xf numFmtId="3" fontId="3" fillId="0" borderId="36" xfId="0" applyNumberFormat="1" applyFont="1" applyBorder="1" applyAlignment="1">
      <alignment horizontal="center"/>
    </xf>
    <xf numFmtId="175" fontId="3" fillId="0" borderId="36" xfId="0" applyNumberFormat="1" applyFont="1" applyBorder="1" applyAlignment="1">
      <alignment horizontal="center"/>
    </xf>
    <xf numFmtId="3" fontId="86" fillId="0" borderId="36" xfId="0" applyNumberFormat="1" applyFont="1" applyBorder="1" applyAlignment="1">
      <alignment horizontal="center"/>
    </xf>
    <xf numFmtId="175" fontId="0" fillId="0" borderId="0" xfId="0" applyNumberFormat="1"/>
    <xf numFmtId="0" fontId="3" fillId="39" borderId="0" xfId="0" applyFont="1" applyFill="1"/>
    <xf numFmtId="0" fontId="3" fillId="36" borderId="0" xfId="0" applyFont="1" applyFill="1"/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86" fillId="0" borderId="37" xfId="934" applyFont="1" applyBorder="1"/>
    <xf numFmtId="0" fontId="86" fillId="0" borderId="38" xfId="934" applyFont="1" applyBorder="1"/>
    <xf numFmtId="9" fontId="0" fillId="0" borderId="36" xfId="1048" applyFont="1" applyBorder="1" applyAlignment="1">
      <alignment horizontal="center"/>
    </xf>
    <xf numFmtId="0" fontId="0" fillId="0" borderId="36" xfId="0" applyBorder="1" applyAlignment="1">
      <alignment horizontal="center"/>
    </xf>
    <xf numFmtId="3" fontId="0" fillId="0" borderId="36" xfId="0" applyNumberFormat="1" applyBorder="1" applyAlignment="1">
      <alignment horizontal="center"/>
    </xf>
    <xf numFmtId="0" fontId="0" fillId="37" borderId="36" xfId="0" applyFill="1" applyBorder="1" applyAlignment="1">
      <alignment horizontal="center"/>
    </xf>
    <xf numFmtId="170" fontId="0" fillId="0" borderId="36" xfId="0" applyNumberFormat="1" applyBorder="1" applyAlignment="1">
      <alignment horizontal="center"/>
    </xf>
    <xf numFmtId="3" fontId="0" fillId="37" borderId="36" xfId="0" applyNumberFormat="1" applyFill="1" applyBorder="1" applyAlignment="1">
      <alignment horizontal="center"/>
    </xf>
    <xf numFmtId="175" fontId="0" fillId="0" borderId="36" xfId="0" applyNumberFormat="1" applyBorder="1" applyAlignment="1">
      <alignment horizontal="center"/>
    </xf>
    <xf numFmtId="4" fontId="0" fillId="0" borderId="36" xfId="0" applyNumberFormat="1" applyBorder="1" applyAlignment="1">
      <alignment horizontal="center"/>
    </xf>
    <xf numFmtId="3" fontId="86" fillId="0" borderId="0" xfId="0" applyNumberFormat="1" applyFont="1"/>
    <xf numFmtId="3" fontId="0" fillId="0" borderId="36" xfId="0" applyNumberFormat="1" applyBorder="1"/>
    <xf numFmtId="0" fontId="0" fillId="0" borderId="36" xfId="0" applyBorder="1"/>
    <xf numFmtId="14" fontId="3" fillId="0" borderId="27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right"/>
    </xf>
    <xf numFmtId="3" fontId="3" fillId="0" borderId="20" xfId="0" applyNumberFormat="1" applyFont="1" applyBorder="1" applyAlignment="1">
      <alignment horizontal="right"/>
    </xf>
    <xf numFmtId="3" fontId="3" fillId="0" borderId="31" xfId="0" applyNumberFormat="1" applyFont="1" applyBorder="1" applyAlignment="1">
      <alignment horizontal="right"/>
    </xf>
    <xf numFmtId="3" fontId="3" fillId="0" borderId="35" xfId="0" applyNumberFormat="1" applyFont="1" applyBorder="1"/>
    <xf numFmtId="14" fontId="3" fillId="0" borderId="39" xfId="0" applyNumberFormat="1" applyFont="1" applyBorder="1" applyAlignment="1">
      <alignment horizontal="left"/>
    </xf>
    <xf numFmtId="0" fontId="3" fillId="0" borderId="39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86" fillId="36" borderId="37" xfId="934" applyFont="1" applyFill="1" applyBorder="1"/>
    <xf numFmtId="4" fontId="0" fillId="36" borderId="36" xfId="0" applyNumberFormat="1" applyFill="1" applyBorder="1" applyAlignment="1">
      <alignment horizontal="center"/>
    </xf>
    <xf numFmtId="0" fontId="0" fillId="36" borderId="36" xfId="0" applyFill="1" applyBorder="1" applyAlignment="1">
      <alignment horizontal="center"/>
    </xf>
    <xf numFmtId="9" fontId="3" fillId="0" borderId="35" xfId="1046" applyFont="1" applyBorder="1"/>
    <xf numFmtId="0" fontId="16" fillId="0" borderId="0" xfId="0" applyFont="1" applyAlignment="1">
      <alignment horizontal="center"/>
    </xf>
    <xf numFmtId="0" fontId="0" fillId="0" borderId="30" xfId="0" applyBorder="1"/>
    <xf numFmtId="3" fontId="0" fillId="0" borderId="40" xfId="0" applyNumberFormat="1" applyBorder="1"/>
    <xf numFmtId="3" fontId="3" fillId="0" borderId="20" xfId="0" applyNumberFormat="1" applyFont="1" applyBorder="1"/>
    <xf numFmtId="0" fontId="3" fillId="0" borderId="36" xfId="0" applyFont="1" applyBorder="1" applyAlignment="1">
      <alignment horizontal="center"/>
    </xf>
    <xf numFmtId="9" fontId="0" fillId="0" borderId="0" xfId="1048" applyFont="1" applyFill="1"/>
    <xf numFmtId="3" fontId="7" fillId="0" borderId="0" xfId="1048" applyNumberFormat="1" applyFont="1" applyFill="1" applyAlignment="1" applyProtection="1">
      <alignment horizontal="right"/>
    </xf>
    <xf numFmtId="173" fontId="8" fillId="0" borderId="0" xfId="1048" applyNumberFormat="1" applyFont="1" applyFill="1" applyBorder="1" applyProtection="1"/>
    <xf numFmtId="9" fontId="8" fillId="0" borderId="0" xfId="1048" applyFont="1" applyFill="1" applyBorder="1" applyProtection="1"/>
    <xf numFmtId="3" fontId="5" fillId="0" borderId="0" xfId="934" applyNumberFormat="1"/>
    <xf numFmtId="9" fontId="3" fillId="0" borderId="0" xfId="1048" applyFont="1" applyFill="1" applyBorder="1" applyAlignment="1" applyProtection="1">
      <alignment horizontal="center"/>
    </xf>
    <xf numFmtId="170" fontId="6" fillId="0" borderId="0" xfId="0" applyNumberFormat="1" applyFont="1" applyAlignment="1">
      <alignment horizontal="center"/>
    </xf>
    <xf numFmtId="0" fontId="65" fillId="0" borderId="0" xfId="982"/>
    <xf numFmtId="0" fontId="3" fillId="0" borderId="29" xfId="0" applyFont="1" applyBorder="1"/>
    <xf numFmtId="0" fontId="0" fillId="0" borderId="26" xfId="0" applyBorder="1"/>
    <xf numFmtId="170" fontId="0" fillId="37" borderId="36" xfId="0" applyNumberFormat="1" applyFill="1" applyBorder="1" applyAlignment="1">
      <alignment horizontal="center"/>
    </xf>
    <xf numFmtId="4" fontId="0" fillId="37" borderId="36" xfId="0" applyNumberFormat="1" applyFill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30" xfId="0" applyFont="1" applyBorder="1"/>
    <xf numFmtId="0" fontId="3" fillId="0" borderId="20" xfId="0" applyFont="1" applyBorder="1"/>
    <xf numFmtId="0" fontId="3" fillId="0" borderId="31" xfId="0" applyFont="1" applyBorder="1"/>
    <xf numFmtId="3" fontId="3" fillId="0" borderId="30" xfId="0" applyNumberFormat="1" applyFont="1" applyBorder="1" applyAlignment="1">
      <alignment horizontal="right"/>
    </xf>
    <xf numFmtId="3" fontId="3" fillId="0" borderId="30" xfId="0" applyNumberFormat="1" applyFont="1" applyBorder="1"/>
    <xf numFmtId="3" fontId="3" fillId="36" borderId="0" xfId="0" applyNumberFormat="1" applyFont="1" applyFill="1"/>
    <xf numFmtId="0" fontId="7" fillId="36" borderId="0" xfId="0" applyFont="1" applyFill="1"/>
    <xf numFmtId="173" fontId="0" fillId="0" borderId="0" xfId="1048" applyNumberFormat="1" applyFont="1" applyFill="1" applyAlignment="1">
      <alignment horizontal="center"/>
    </xf>
    <xf numFmtId="168" fontId="0" fillId="0" borderId="0" xfId="1048" applyNumberFormat="1" applyFont="1" applyFill="1" applyAlignment="1">
      <alignment horizontal="center"/>
    </xf>
    <xf numFmtId="9" fontId="0" fillId="0" borderId="36" xfId="1048" applyFont="1" applyFill="1" applyBorder="1" applyAlignment="1">
      <alignment horizontal="center"/>
    </xf>
    <xf numFmtId="3" fontId="0" fillId="36" borderId="36" xfId="0" applyNumberFormat="1" applyFill="1" applyBorder="1" applyAlignment="1">
      <alignment horizontal="center"/>
    </xf>
    <xf numFmtId="0" fontId="5" fillId="36" borderId="0" xfId="934" applyFill="1"/>
    <xf numFmtId="0" fontId="3" fillId="36" borderId="0" xfId="934" applyFont="1" applyFill="1"/>
    <xf numFmtId="3" fontId="0" fillId="37" borderId="0" xfId="0" applyNumberFormat="1" applyFill="1"/>
    <xf numFmtId="38" fontId="3" fillId="38" borderId="0" xfId="0" applyNumberFormat="1" applyFont="1" applyFill="1" applyAlignment="1">
      <alignment horizontal="center"/>
    </xf>
    <xf numFmtId="170" fontId="87" fillId="0" borderId="0" xfId="934" applyNumberFormat="1" applyFont="1"/>
    <xf numFmtId="173" fontId="87" fillId="0" borderId="0" xfId="1048" applyNumberFormat="1" applyFont="1"/>
    <xf numFmtId="0" fontId="5" fillId="0" borderId="0" xfId="934" applyAlignment="1">
      <alignment horizontal="center"/>
    </xf>
    <xf numFmtId="0" fontId="8" fillId="0" borderId="0" xfId="934" applyFont="1"/>
    <xf numFmtId="0" fontId="16" fillId="40" borderId="0" xfId="0" applyFont="1" applyFill="1" applyAlignment="1">
      <alignment horizontal="center"/>
    </xf>
    <xf numFmtId="0" fontId="3" fillId="40" borderId="0" xfId="0" applyFont="1" applyFill="1" applyAlignment="1">
      <alignment horizontal="center"/>
    </xf>
    <xf numFmtId="14" fontId="3" fillId="0" borderId="26" xfId="0" applyNumberFormat="1" applyFont="1" applyBorder="1" applyAlignment="1">
      <alignment horizontal="center"/>
    </xf>
    <xf numFmtId="14" fontId="3" fillId="0" borderId="28" xfId="0" applyNumberFormat="1" applyFont="1" applyBorder="1" applyAlignment="1">
      <alignment horizontal="center"/>
    </xf>
    <xf numFmtId="0" fontId="3" fillId="40" borderId="39" xfId="0" applyFont="1" applyFill="1" applyBorder="1" applyAlignment="1">
      <alignment horizontal="center"/>
    </xf>
    <xf numFmtId="3" fontId="3" fillId="40" borderId="20" xfId="0" applyNumberFormat="1" applyFont="1" applyFill="1" applyBorder="1" applyAlignment="1">
      <alignment horizontal="right"/>
    </xf>
    <xf numFmtId="0" fontId="0" fillId="40" borderId="0" xfId="0" applyFill="1"/>
    <xf numFmtId="0" fontId="3" fillId="40" borderId="41" xfId="0" applyFont="1" applyFill="1" applyBorder="1" applyAlignment="1">
      <alignment horizontal="center"/>
    </xf>
    <xf numFmtId="3" fontId="3" fillId="40" borderId="34" xfId="0" applyNumberFormat="1" applyFont="1" applyFill="1" applyBorder="1" applyAlignment="1">
      <alignment horizontal="right"/>
    </xf>
    <xf numFmtId="3" fontId="3" fillId="40" borderId="0" xfId="0" applyNumberFormat="1" applyFont="1" applyFill="1" applyAlignment="1">
      <alignment horizontal="right"/>
    </xf>
    <xf numFmtId="0" fontId="3" fillId="40" borderId="26" xfId="0" applyFont="1" applyFill="1" applyBorder="1" applyAlignment="1">
      <alignment horizontal="center"/>
    </xf>
    <xf numFmtId="3" fontId="3" fillId="40" borderId="30" xfId="0" applyNumberFormat="1" applyFont="1" applyFill="1" applyBorder="1" applyAlignment="1">
      <alignment horizontal="right"/>
    </xf>
    <xf numFmtId="43" fontId="3" fillId="40" borderId="33" xfId="126" applyFont="1" applyFill="1" applyBorder="1" applyAlignment="1">
      <alignment horizontal="center"/>
    </xf>
    <xf numFmtId="3" fontId="0" fillId="40" borderId="40" xfId="0" applyNumberFormat="1" applyFill="1" applyBorder="1"/>
    <xf numFmtId="3" fontId="3" fillId="40" borderId="34" xfId="0" applyNumberFormat="1" applyFont="1" applyFill="1" applyBorder="1"/>
    <xf numFmtId="3" fontId="0" fillId="40" borderId="0" xfId="0" applyNumberFormat="1" applyFill="1"/>
    <xf numFmtId="0" fontId="0" fillId="40" borderId="41" xfId="0" applyFill="1" applyBorder="1"/>
    <xf numFmtId="0" fontId="0" fillId="40" borderId="33" xfId="0" applyFill="1" applyBorder="1"/>
    <xf numFmtId="14" fontId="3" fillId="40" borderId="41" xfId="0" applyNumberFormat="1" applyFont="1" applyFill="1" applyBorder="1" applyAlignment="1">
      <alignment horizontal="center"/>
    </xf>
    <xf numFmtId="0" fontId="3" fillId="40" borderId="27" xfId="0" applyFont="1" applyFill="1" applyBorder="1" applyAlignment="1">
      <alignment horizontal="center"/>
    </xf>
    <xf numFmtId="0" fontId="3" fillId="40" borderId="28" xfId="0" applyFont="1" applyFill="1" applyBorder="1" applyAlignment="1">
      <alignment horizontal="center"/>
    </xf>
    <xf numFmtId="3" fontId="3" fillId="40" borderId="31" xfId="0" applyNumberFormat="1" applyFont="1" applyFill="1" applyBorder="1" applyAlignment="1">
      <alignment horizontal="right"/>
    </xf>
    <xf numFmtId="0" fontId="3" fillId="40" borderId="33" xfId="0" applyFont="1" applyFill="1" applyBorder="1" applyAlignment="1">
      <alignment horizontal="center"/>
    </xf>
    <xf numFmtId="173" fontId="3" fillId="0" borderId="0" xfId="0" applyNumberFormat="1" applyFont="1"/>
    <xf numFmtId="173" fontId="3" fillId="0" borderId="0" xfId="1048" applyNumberFormat="1" applyFont="1" applyFill="1" applyAlignment="1" applyProtection="1">
      <alignment horizontal="center"/>
    </xf>
    <xf numFmtId="173" fontId="0" fillId="0" borderId="0" xfId="0" applyNumberFormat="1"/>
    <xf numFmtId="173" fontId="8" fillId="0" borderId="0" xfId="0" applyNumberFormat="1" applyFont="1"/>
    <xf numFmtId="173" fontId="7" fillId="0" borderId="0" xfId="1048" applyNumberFormat="1" applyFont="1" applyFill="1" applyAlignment="1" applyProtection="1">
      <alignment horizontal="center"/>
    </xf>
    <xf numFmtId="9" fontId="90" fillId="36" borderId="0" xfId="1048" applyFont="1" applyFill="1" applyBorder="1" applyAlignment="1" applyProtection="1">
      <alignment horizontal="center"/>
    </xf>
    <xf numFmtId="170" fontId="0" fillId="37" borderId="14" xfId="0" applyNumberFormat="1" applyFill="1" applyBorder="1"/>
    <xf numFmtId="41" fontId="3" fillId="36" borderId="0" xfId="127" applyFont="1" applyFill="1" applyAlignment="1" applyProtection="1">
      <alignment horizontal="center"/>
    </xf>
    <xf numFmtId="170" fontId="7" fillId="36" borderId="13" xfId="0" applyNumberFormat="1" applyFont="1" applyFill="1" applyBorder="1"/>
    <xf numFmtId="9" fontId="3" fillId="36" borderId="0" xfId="1048" applyFont="1" applyFill="1" applyAlignment="1" applyProtection="1">
      <alignment horizontal="center"/>
    </xf>
    <xf numFmtId="170" fontId="7" fillId="36" borderId="14" xfId="0" applyNumberFormat="1" applyFont="1" applyFill="1" applyBorder="1"/>
    <xf numFmtId="170" fontId="43" fillId="36" borderId="0" xfId="0" applyNumberFormat="1" applyFont="1" applyFill="1"/>
    <xf numFmtId="0" fontId="3" fillId="36" borderId="0" xfId="982" applyFont="1" applyFill="1" applyAlignment="1">
      <alignment horizontal="center"/>
    </xf>
    <xf numFmtId="170" fontId="3" fillId="36" borderId="14" xfId="0" applyNumberFormat="1" applyFont="1" applyFill="1" applyBorder="1"/>
    <xf numFmtId="10" fontId="3" fillId="36" borderId="0" xfId="1048" applyNumberFormat="1" applyFont="1" applyFill="1" applyAlignment="1" applyProtection="1">
      <alignment horizontal="center"/>
    </xf>
    <xf numFmtId="9" fontId="3" fillId="36" borderId="0" xfId="1048" applyFont="1" applyFill="1" applyBorder="1" applyAlignment="1" applyProtection="1">
      <alignment horizontal="center"/>
    </xf>
    <xf numFmtId="9" fontId="3" fillId="36" borderId="0" xfId="1048" applyFont="1" applyFill="1" applyAlignment="1">
      <alignment horizontal="center"/>
    </xf>
    <xf numFmtId="173" fontId="3" fillId="36" borderId="0" xfId="1048" applyNumberFormat="1" applyFont="1" applyFill="1" applyAlignment="1">
      <alignment horizontal="center"/>
    </xf>
    <xf numFmtId="170" fontId="3" fillId="36" borderId="0" xfId="0" applyNumberFormat="1" applyFont="1" applyFill="1" applyAlignment="1">
      <alignment horizontal="center"/>
    </xf>
    <xf numFmtId="9" fontId="7" fillId="36" borderId="0" xfId="1048" applyFont="1" applyFill="1" applyAlignment="1" applyProtection="1">
      <alignment horizontal="center"/>
    </xf>
    <xf numFmtId="37" fontId="0" fillId="36" borderId="0" xfId="0" applyNumberFormat="1" applyFill="1"/>
    <xf numFmtId="170" fontId="8" fillId="36" borderId="0" xfId="0" applyNumberFormat="1" applyFont="1" applyFill="1" applyProtection="1">
      <protection locked="0"/>
    </xf>
    <xf numFmtId="38" fontId="3" fillId="36" borderId="14" xfId="0" applyNumberFormat="1" applyFont="1" applyFill="1" applyBorder="1"/>
    <xf numFmtId="173" fontId="8" fillId="36" borderId="0" xfId="1048" applyNumberFormat="1" applyFont="1" applyFill="1" applyBorder="1" applyProtection="1"/>
    <xf numFmtId="9" fontId="8" fillId="36" borderId="0" xfId="1048" applyFont="1" applyFill="1" applyBorder="1" applyProtection="1"/>
    <xf numFmtId="0" fontId="3" fillId="0" borderId="37" xfId="0" applyFont="1" applyBorder="1"/>
    <xf numFmtId="170" fontId="0" fillId="0" borderId="20" xfId="0" applyNumberFormat="1" applyBorder="1"/>
    <xf numFmtId="170" fontId="0" fillId="0" borderId="36" xfId="0" applyNumberFormat="1" applyBorder="1"/>
    <xf numFmtId="9" fontId="0" fillId="0" borderId="36" xfId="1048" applyFont="1" applyFill="1" applyBorder="1"/>
    <xf numFmtId="38" fontId="0" fillId="0" borderId="36" xfId="0" applyNumberFormat="1" applyBorder="1"/>
    <xf numFmtId="38" fontId="3" fillId="0" borderId="36" xfId="0" applyNumberFormat="1" applyFont="1" applyBorder="1"/>
    <xf numFmtId="10" fontId="3" fillId="0" borderId="32" xfId="1048" applyNumberFormat="1" applyFont="1" applyFill="1" applyBorder="1"/>
    <xf numFmtId="10" fontId="3" fillId="36" borderId="32" xfId="1048" applyNumberFormat="1" applyFont="1" applyFill="1" applyBorder="1"/>
    <xf numFmtId="9" fontId="3" fillId="36" borderId="36" xfId="1048" applyFont="1" applyFill="1" applyBorder="1"/>
    <xf numFmtId="170" fontId="0" fillId="36" borderId="36" xfId="0" applyNumberFormat="1" applyFill="1" applyBorder="1"/>
    <xf numFmtId="170" fontId="3" fillId="36" borderId="20" xfId="0" applyNumberFormat="1" applyFont="1" applyFill="1" applyBorder="1"/>
    <xf numFmtId="38" fontId="3" fillId="36" borderId="41" xfId="0" applyNumberFormat="1" applyFont="1" applyFill="1" applyBorder="1"/>
    <xf numFmtId="38" fontId="0" fillId="36" borderId="36" xfId="0" applyNumberFormat="1" applyFill="1" applyBorder="1"/>
    <xf numFmtId="0" fontId="3" fillId="36" borderId="41" xfId="0" applyFont="1" applyFill="1" applyBorder="1" applyAlignment="1">
      <alignment horizontal="center"/>
    </xf>
    <xf numFmtId="3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175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9" fontId="89" fillId="0" borderId="0" xfId="1048" applyFont="1" applyFill="1" applyBorder="1" applyAlignment="1">
      <alignment horizontal="center"/>
    </xf>
    <xf numFmtId="9" fontId="90" fillId="0" borderId="0" xfId="1048" applyFont="1" applyFill="1" applyBorder="1" applyAlignment="1" applyProtection="1">
      <alignment horizontal="center"/>
    </xf>
    <xf numFmtId="3" fontId="3" fillId="0" borderId="34" xfId="0" applyNumberFormat="1" applyFont="1" applyBorder="1" applyAlignment="1">
      <alignment horizontal="right"/>
    </xf>
    <xf numFmtId="170" fontId="87" fillId="36" borderId="0" xfId="0" applyNumberFormat="1" applyFont="1" applyFill="1" applyProtection="1">
      <protection locked="0"/>
    </xf>
    <xf numFmtId="3" fontId="0" fillId="0" borderId="21" xfId="0" applyNumberFormat="1" applyBorder="1" applyAlignment="1">
      <alignment horizontal="center"/>
    </xf>
    <xf numFmtId="3" fontId="0" fillId="36" borderId="21" xfId="0" applyNumberFormat="1" applyFill="1" applyBorder="1" applyAlignment="1">
      <alignment horizontal="center"/>
    </xf>
    <xf numFmtId="9" fontId="0" fillId="0" borderId="0" xfId="1048" applyFont="1" applyBorder="1" applyAlignment="1">
      <alignment horizontal="center"/>
    </xf>
    <xf numFmtId="4" fontId="0" fillId="36" borderId="0" xfId="0" applyNumberFormat="1" applyFill="1" applyAlignment="1">
      <alignment horizontal="center"/>
    </xf>
    <xf numFmtId="14" fontId="0" fillId="0" borderId="27" xfId="0" applyNumberFormat="1" applyBorder="1"/>
    <xf numFmtId="14" fontId="3" fillId="40" borderId="33" xfId="0" applyNumberFormat="1" applyFont="1" applyFill="1" applyBorder="1" applyAlignment="1">
      <alignment horizontal="center"/>
    </xf>
    <xf numFmtId="0" fontId="0" fillId="0" borderId="27" xfId="0" applyBorder="1"/>
    <xf numFmtId="0" fontId="0" fillId="0" borderId="28" xfId="0" applyBorder="1"/>
    <xf numFmtId="169" fontId="12" fillId="0" borderId="15" xfId="218" applyNumberFormat="1" applyFont="1" applyBorder="1" applyProtection="1">
      <protection locked="0"/>
    </xf>
    <xf numFmtId="0" fontId="0" fillId="37" borderId="41" xfId="0" applyFill="1" applyBorder="1"/>
    <xf numFmtId="0" fontId="0" fillId="37" borderId="33" xfId="0" applyFill="1" applyBorder="1"/>
    <xf numFmtId="14" fontId="3" fillId="37" borderId="41" xfId="0" applyNumberFormat="1" applyFont="1" applyFill="1" applyBorder="1" applyAlignment="1">
      <alignment horizontal="center"/>
    </xf>
    <xf numFmtId="3" fontId="3" fillId="37" borderId="34" xfId="0" applyNumberFormat="1" applyFont="1" applyFill="1" applyBorder="1"/>
    <xf numFmtId="0" fontId="3" fillId="37" borderId="28" xfId="0" applyFont="1" applyFill="1" applyBorder="1" applyAlignment="1">
      <alignment horizontal="center"/>
    </xf>
    <xf numFmtId="3" fontId="3" fillId="37" borderId="31" xfId="0" applyNumberFormat="1" applyFont="1" applyFill="1" applyBorder="1" applyAlignment="1">
      <alignment horizontal="right"/>
    </xf>
    <xf numFmtId="0" fontId="3" fillId="37" borderId="33" xfId="0" applyFont="1" applyFill="1" applyBorder="1" applyAlignment="1">
      <alignment horizontal="center"/>
    </xf>
    <xf numFmtId="3" fontId="0" fillId="37" borderId="40" xfId="0" applyNumberFormat="1" applyFill="1" applyBorder="1"/>
    <xf numFmtId="169" fontId="12" fillId="0" borderId="0" xfId="126" applyNumberFormat="1" applyFont="1" applyBorder="1" applyProtection="1">
      <protection locked="0"/>
    </xf>
    <xf numFmtId="169" fontId="12" fillId="0" borderId="0" xfId="0" applyNumberFormat="1" applyFont="1"/>
    <xf numFmtId="4" fontId="12" fillId="0" borderId="0" xfId="0" applyNumberFormat="1" applyFont="1"/>
    <xf numFmtId="0" fontId="5" fillId="0" borderId="29" xfId="934" applyBorder="1"/>
    <xf numFmtId="0" fontId="25" fillId="0" borderId="29" xfId="934" applyFont="1" applyBorder="1" applyAlignment="1">
      <alignment horizontal="left"/>
    </xf>
    <xf numFmtId="0" fontId="26" fillId="0" borderId="29" xfId="934" applyFont="1" applyBorder="1"/>
    <xf numFmtId="0" fontId="25" fillId="0" borderId="29" xfId="934" applyFont="1" applyBorder="1"/>
    <xf numFmtId="0" fontId="25" fillId="36" borderId="29" xfId="934" applyFont="1" applyFill="1" applyBorder="1"/>
    <xf numFmtId="0" fontId="4" fillId="0" borderId="26" xfId="0" applyFont="1" applyBorder="1" applyProtection="1">
      <protection locked="0"/>
    </xf>
    <xf numFmtId="3" fontId="0" fillId="0" borderId="27" xfId="0" applyNumberFormat="1" applyBorder="1"/>
    <xf numFmtId="0" fontId="4" fillId="0" borderId="29" xfId="0" applyFont="1" applyBorder="1" applyProtection="1">
      <protection locked="0"/>
    </xf>
    <xf numFmtId="0" fontId="4" fillId="0" borderId="29" xfId="0" applyFont="1" applyBorder="1"/>
    <xf numFmtId="0" fontId="9" fillId="0" borderId="29" xfId="0" applyFont="1" applyBorder="1"/>
    <xf numFmtId="0" fontId="19" fillId="0" borderId="35" xfId="0" applyFont="1" applyBorder="1"/>
    <xf numFmtId="0" fontId="3" fillId="0" borderId="35" xfId="0" applyFont="1" applyBorder="1" applyAlignment="1">
      <alignment horizontal="center"/>
    </xf>
    <xf numFmtId="0" fontId="20" fillId="0" borderId="29" xfId="0" applyFont="1" applyBorder="1"/>
    <xf numFmtId="0" fontId="12" fillId="0" borderId="35" xfId="0" applyFont="1" applyBorder="1"/>
    <xf numFmtId="10" fontId="29" fillId="0" borderId="0" xfId="1048" applyNumberFormat="1" applyFont="1" applyBorder="1" applyProtection="1">
      <protection locked="0"/>
    </xf>
    <xf numFmtId="169" fontId="12" fillId="0" borderId="0" xfId="218" applyNumberFormat="1" applyFont="1" applyBorder="1" applyProtection="1">
      <protection locked="0"/>
    </xf>
    <xf numFmtId="10" fontId="29" fillId="0" borderId="35" xfId="1048" applyNumberFormat="1" applyFont="1" applyBorder="1" applyProtection="1">
      <protection locked="0"/>
    </xf>
    <xf numFmtId="169" fontId="12" fillId="0" borderId="0" xfId="126" applyNumberFormat="1" applyFont="1" applyFill="1" applyBorder="1" applyProtection="1">
      <protection locked="0"/>
    </xf>
    <xf numFmtId="169" fontId="12" fillId="0" borderId="0" xfId="126" applyNumberFormat="1" applyFont="1" applyBorder="1" applyProtection="1"/>
    <xf numFmtId="169" fontId="12" fillId="0" borderId="0" xfId="126" applyNumberFormat="1" applyFont="1" applyBorder="1"/>
    <xf numFmtId="169" fontId="12" fillId="0" borderId="35" xfId="126" applyNumberFormat="1" applyFont="1" applyBorder="1"/>
    <xf numFmtId="0" fontId="3" fillId="0" borderId="43" xfId="0" applyFont="1" applyBorder="1"/>
    <xf numFmtId="169" fontId="12" fillId="0" borderId="35" xfId="126" applyNumberFormat="1" applyFont="1" applyBorder="1" applyProtection="1">
      <protection locked="0"/>
    </xf>
    <xf numFmtId="170" fontId="12" fillId="0" borderId="35" xfId="0" applyNumberFormat="1" applyFont="1" applyBorder="1"/>
    <xf numFmtId="0" fontId="3" fillId="0" borderId="38" xfId="0" applyFont="1" applyBorder="1"/>
    <xf numFmtId="170" fontId="12" fillId="0" borderId="14" xfId="0" applyNumberFormat="1" applyFont="1" applyBorder="1"/>
    <xf numFmtId="170" fontId="7" fillId="38" borderId="0" xfId="0" applyNumberFormat="1" applyFont="1" applyFill="1"/>
    <xf numFmtId="170" fontId="0" fillId="41" borderId="0" xfId="0" applyNumberFormat="1" applyFill="1"/>
    <xf numFmtId="173" fontId="3" fillId="0" borderId="0" xfId="1048" applyNumberFormat="1" applyFont="1" applyAlignment="1" applyProtection="1">
      <alignment horizontal="center"/>
    </xf>
    <xf numFmtId="175" fontId="0" fillId="36" borderId="0" xfId="0" applyNumberFormat="1" applyFill="1"/>
    <xf numFmtId="170" fontId="8" fillId="38" borderId="0" xfId="0" applyNumberFormat="1" applyFont="1" applyFill="1"/>
    <xf numFmtId="0" fontId="87" fillId="0" borderId="0" xfId="0" applyFont="1" applyProtection="1">
      <protection locked="0"/>
    </xf>
    <xf numFmtId="4" fontId="0" fillId="0" borderId="0" xfId="0" applyNumberFormat="1" applyProtection="1">
      <protection locked="0"/>
    </xf>
    <xf numFmtId="170" fontId="78" fillId="0" borderId="0" xfId="934" applyNumberFormat="1" applyFont="1"/>
    <xf numFmtId="9" fontId="8" fillId="0" borderId="0" xfId="0" applyNumberFormat="1" applyFont="1"/>
    <xf numFmtId="170" fontId="0" fillId="0" borderId="21" xfId="0" applyNumberFormat="1" applyBorder="1"/>
    <xf numFmtId="170" fontId="0" fillId="0" borderId="13" xfId="0" applyNumberFormat="1" applyBorder="1"/>
    <xf numFmtId="14" fontId="3" fillId="0" borderId="0" xfId="0" applyNumberFormat="1" applyFont="1" applyProtection="1">
      <protection locked="0"/>
    </xf>
    <xf numFmtId="3" fontId="3" fillId="0" borderId="0" xfId="0" applyNumberFormat="1" applyFont="1" applyProtection="1">
      <protection locked="0"/>
    </xf>
    <xf numFmtId="3" fontId="87" fillId="0" borderId="0" xfId="0" applyNumberFormat="1" applyFont="1" applyAlignment="1" applyProtection="1">
      <alignment horizontal="right"/>
      <protection locked="0"/>
    </xf>
    <xf numFmtId="3" fontId="88" fillId="0" borderId="0" xfId="0" applyNumberFormat="1" applyFont="1" applyProtection="1">
      <protection locked="0"/>
    </xf>
    <xf numFmtId="3" fontId="87" fillId="0" borderId="0" xfId="0" applyNumberFormat="1" applyFont="1" applyProtection="1">
      <protection locked="0"/>
    </xf>
    <xf numFmtId="4" fontId="0" fillId="36" borderId="0" xfId="0" applyNumberFormat="1" applyFill="1"/>
    <xf numFmtId="4" fontId="19" fillId="0" borderId="0" xfId="0" applyNumberFormat="1" applyFont="1"/>
    <xf numFmtId="9" fontId="3" fillId="36" borderId="0" xfId="1046" applyFont="1" applyFill="1" applyBorder="1"/>
    <xf numFmtId="9" fontId="3" fillId="36" borderId="35" xfId="1046" applyFont="1" applyFill="1" applyBorder="1"/>
    <xf numFmtId="10" fontId="8" fillId="0" borderId="0" xfId="1048" applyNumberFormat="1" applyFont="1" applyFill="1" applyBorder="1" applyProtection="1"/>
    <xf numFmtId="10" fontId="8" fillId="0" borderId="0" xfId="0" applyNumberFormat="1" applyFont="1" applyProtection="1">
      <protection locked="0"/>
    </xf>
    <xf numFmtId="9" fontId="0" fillId="0" borderId="0" xfId="1051" applyFont="1"/>
    <xf numFmtId="9" fontId="0" fillId="0" borderId="0" xfId="1051" applyFont="1" applyFill="1"/>
    <xf numFmtId="173" fontId="0" fillId="0" borderId="0" xfId="1051" applyNumberFormat="1" applyFont="1" applyFill="1" applyAlignment="1" applyProtection="1">
      <protection locked="0"/>
    </xf>
    <xf numFmtId="3" fontId="87" fillId="37" borderId="0" xfId="0" applyNumberFormat="1" applyFont="1" applyFill="1" applyProtection="1">
      <protection locked="0"/>
    </xf>
    <xf numFmtId="170" fontId="87" fillId="37" borderId="0" xfId="0" applyNumberFormat="1" applyFont="1" applyFill="1"/>
    <xf numFmtId="3" fontId="87" fillId="37" borderId="13" xfId="0" applyNumberFormat="1" applyFont="1" applyFill="1" applyBorder="1" applyProtection="1">
      <protection locked="0"/>
    </xf>
    <xf numFmtId="10" fontId="0" fillId="0" borderId="0" xfId="1048" applyNumberFormat="1" applyFont="1" applyProtection="1">
      <protection locked="0"/>
    </xf>
    <xf numFmtId="176" fontId="8" fillId="0" borderId="0" xfId="0" applyNumberFormat="1" applyFont="1" applyProtection="1">
      <protection locked="0"/>
    </xf>
    <xf numFmtId="170" fontId="3" fillId="37" borderId="0" xfId="0" applyNumberFormat="1" applyFont="1" applyFill="1" applyAlignment="1">
      <alignment horizontal="center"/>
    </xf>
    <xf numFmtId="0" fontId="0" fillId="0" borderId="29" xfId="0" applyBorder="1" applyAlignment="1">
      <alignment horizontal="right"/>
    </xf>
    <xf numFmtId="0" fontId="0" fillId="0" borderId="30" xfId="0" applyBorder="1" applyAlignment="1">
      <alignment horizontal="right"/>
    </xf>
    <xf numFmtId="4" fontId="0" fillId="0" borderId="20" xfId="0" applyNumberFormat="1" applyBorder="1"/>
    <xf numFmtId="0" fontId="0" fillId="0" borderId="20" xfId="0" applyBorder="1"/>
    <xf numFmtId="0" fontId="0" fillId="0" borderId="31" xfId="0" applyBorder="1"/>
    <xf numFmtId="3" fontId="0" fillId="0" borderId="13" xfId="0" applyNumberFormat="1" applyBorder="1"/>
    <xf numFmtId="4" fontId="91" fillId="0" borderId="0" xfId="0" applyNumberFormat="1" applyFont="1"/>
    <xf numFmtId="4" fontId="41" fillId="0" borderId="0" xfId="0" applyNumberFormat="1" applyFont="1" applyAlignment="1">
      <alignment horizontal="center"/>
    </xf>
    <xf numFmtId="4" fontId="41" fillId="0" borderId="35" xfId="0" applyNumberFormat="1" applyFont="1" applyBorder="1" applyAlignment="1">
      <alignment horizontal="center"/>
    </xf>
    <xf numFmtId="170" fontId="8" fillId="0" borderId="0" xfId="0" applyNumberFormat="1" applyFont="1" applyAlignment="1">
      <alignment horizontal="center"/>
    </xf>
    <xf numFmtId="170" fontId="87" fillId="38" borderId="0" xfId="0" applyNumberFormat="1" applyFont="1" applyFill="1"/>
    <xf numFmtId="173" fontId="8" fillId="38" borderId="0" xfId="1048" applyNumberFormat="1" applyFont="1" applyFill="1" applyBorder="1" applyProtection="1"/>
    <xf numFmtId="170" fontId="88" fillId="38" borderId="0" xfId="0" applyNumberFormat="1" applyFont="1" applyFill="1"/>
    <xf numFmtId="177" fontId="8" fillId="0" borderId="0" xfId="0" applyNumberFormat="1" applyFont="1" applyProtection="1">
      <protection locked="0"/>
    </xf>
    <xf numFmtId="0" fontId="87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4" fontId="2" fillId="0" borderId="0" xfId="0" applyNumberFormat="1" applyFont="1"/>
    <xf numFmtId="4" fontId="3" fillId="36" borderId="0" xfId="0" applyNumberFormat="1" applyFont="1" applyFill="1"/>
    <xf numFmtId="3" fontId="3" fillId="0" borderId="0" xfId="0" applyNumberFormat="1" applyFont="1" applyAlignment="1">
      <alignment horizontal="right" vertical="center"/>
    </xf>
    <xf numFmtId="3" fontId="88" fillId="0" borderId="15" xfId="0" applyNumberFormat="1" applyFont="1" applyBorder="1" applyAlignment="1">
      <alignment horizontal="center"/>
    </xf>
    <xf numFmtId="3" fontId="3" fillId="0" borderId="0" xfId="126" applyNumberFormat="1" applyFont="1" applyFill="1" applyBorder="1" applyAlignment="1">
      <alignment horizontal="right"/>
    </xf>
    <xf numFmtId="14" fontId="94" fillId="36" borderId="52" xfId="0" applyNumberFormat="1" applyFont="1" applyFill="1" applyBorder="1" applyAlignment="1">
      <alignment horizontal="center" vertical="center"/>
    </xf>
    <xf numFmtId="3" fontId="94" fillId="0" borderId="53" xfId="0" applyNumberFormat="1" applyFont="1" applyBorder="1" applyAlignment="1">
      <alignment horizontal="center" vertical="center"/>
    </xf>
    <xf numFmtId="3" fontId="94" fillId="0" borderId="54" xfId="0" applyNumberFormat="1" applyFont="1" applyBorder="1" applyAlignment="1">
      <alignment horizontal="center" vertical="center"/>
    </xf>
    <xf numFmtId="187" fontId="2" fillId="0" borderId="53" xfId="0" applyNumberFormat="1" applyFont="1" applyBorder="1" applyAlignment="1">
      <alignment horizontal="right" vertical="center"/>
    </xf>
    <xf numFmtId="3" fontId="2" fillId="0" borderId="53" xfId="0" applyNumberFormat="1" applyFont="1" applyBorder="1" applyAlignment="1">
      <alignment horizontal="center" vertical="center"/>
    </xf>
    <xf numFmtId="3" fontId="87" fillId="0" borderId="53" xfId="0" applyNumberFormat="1" applyFont="1" applyBorder="1" applyAlignment="1">
      <alignment horizontal="center" vertical="center"/>
    </xf>
    <xf numFmtId="3" fontId="2" fillId="0" borderId="55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42" borderId="13" xfId="0" applyFont="1" applyFill="1" applyBorder="1" applyAlignment="1">
      <alignment vertical="center"/>
    </xf>
    <xf numFmtId="3" fontId="3" fillId="42" borderId="56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left"/>
    </xf>
    <xf numFmtId="3" fontId="2" fillId="0" borderId="53" xfId="0" applyNumberFormat="1" applyFont="1" applyBorder="1" applyAlignment="1">
      <alignment horizontal="right" vertical="center"/>
    </xf>
    <xf numFmtId="0" fontId="3" fillId="42" borderId="21" xfId="0" applyFont="1" applyFill="1" applyBorder="1"/>
    <xf numFmtId="3" fontId="3" fillId="42" borderId="57" xfId="0" applyNumberFormat="1" applyFont="1" applyFill="1" applyBorder="1" applyAlignment="1">
      <alignment horizontal="right" vertical="center"/>
    </xf>
    <xf numFmtId="3" fontId="3" fillId="42" borderId="58" xfId="0" applyNumberFormat="1" applyFont="1" applyFill="1" applyBorder="1" applyAlignment="1">
      <alignment horizontal="right" vertical="center"/>
    </xf>
    <xf numFmtId="14" fontId="3" fillId="0" borderId="0" xfId="0" applyNumberFormat="1" applyFont="1"/>
    <xf numFmtId="0" fontId="2" fillId="0" borderId="53" xfId="0" applyFont="1" applyBorder="1" applyAlignment="1">
      <alignment horizontal="right" vertical="center"/>
    </xf>
    <xf numFmtId="0" fontId="2" fillId="0" borderId="52" xfId="0" applyFont="1" applyBorder="1" applyAlignment="1">
      <alignment horizontal="right" vertical="center"/>
    </xf>
    <xf numFmtId="14" fontId="3" fillId="36" borderId="0" xfId="0" applyNumberFormat="1" applyFont="1" applyFill="1"/>
    <xf numFmtId="3" fontId="2" fillId="0" borderId="54" xfId="0" applyNumberFormat="1" applyFont="1" applyBorder="1" applyAlignment="1">
      <alignment horizontal="right" vertical="center"/>
    </xf>
    <xf numFmtId="14" fontId="3" fillId="43" borderId="0" xfId="0" applyNumberFormat="1" applyFont="1" applyFill="1"/>
    <xf numFmtId="3" fontId="2" fillId="43" borderId="53" xfId="0" applyNumberFormat="1" applyFont="1" applyFill="1" applyBorder="1" applyAlignment="1">
      <alignment horizontal="right" vertical="center"/>
    </xf>
    <xf numFmtId="3" fontId="2" fillId="43" borderId="54" xfId="0" applyNumberFormat="1" applyFont="1" applyFill="1" applyBorder="1" applyAlignment="1">
      <alignment horizontal="right" vertical="center"/>
    </xf>
    <xf numFmtId="0" fontId="2" fillId="43" borderId="0" xfId="0" applyFont="1" applyFill="1"/>
    <xf numFmtId="3" fontId="2" fillId="0" borderId="55" xfId="0" applyNumberFormat="1" applyFont="1" applyBorder="1" applyAlignment="1">
      <alignment horizontal="right" vertical="center"/>
    </xf>
    <xf numFmtId="3" fontId="3" fillId="42" borderId="36" xfId="0" applyNumberFormat="1" applyFont="1" applyFill="1" applyBorder="1" applyAlignment="1">
      <alignment horizontal="right" vertical="center"/>
    </xf>
    <xf numFmtId="0" fontId="3" fillId="44" borderId="21" xfId="0" applyFont="1" applyFill="1" applyBorder="1"/>
    <xf numFmtId="3" fontId="2" fillId="45" borderId="0" xfId="0" applyNumberFormat="1" applyFont="1" applyFill="1"/>
    <xf numFmtId="3" fontId="2" fillId="0" borderId="0" xfId="0" applyNumberFormat="1" applyFont="1"/>
    <xf numFmtId="0" fontId="2" fillId="0" borderId="26" xfId="0" applyFont="1" applyBorder="1"/>
    <xf numFmtId="3" fontId="3" fillId="46" borderId="28" xfId="1048" applyNumberFormat="1" applyFont="1" applyFill="1" applyBorder="1" applyAlignment="1">
      <alignment horizontal="center"/>
    </xf>
    <xf numFmtId="0" fontId="2" fillId="0" borderId="29" xfId="0" applyFont="1" applyBorder="1"/>
    <xf numFmtId="3" fontId="2" fillId="46" borderId="35" xfId="1048" applyNumberFormat="1" applyFont="1" applyFill="1" applyBorder="1"/>
    <xf numFmtId="3" fontId="3" fillId="46" borderId="35" xfId="1048" applyNumberFormat="1" applyFont="1" applyFill="1" applyBorder="1"/>
    <xf numFmtId="3" fontId="2" fillId="46" borderId="35" xfId="0" applyNumberFormat="1" applyFont="1" applyFill="1" applyBorder="1"/>
    <xf numFmtId="3" fontId="3" fillId="46" borderId="35" xfId="0" applyNumberFormat="1" applyFont="1" applyFill="1" applyBorder="1"/>
    <xf numFmtId="3" fontId="3" fillId="46" borderId="31" xfId="1048" applyNumberFormat="1" applyFont="1" applyFill="1" applyBorder="1"/>
    <xf numFmtId="3" fontId="3" fillId="0" borderId="0" xfId="1048" applyNumberFormat="1" applyFont="1" applyFill="1" applyBorder="1"/>
    <xf numFmtId="3" fontId="2" fillId="0" borderId="35" xfId="0" applyNumberFormat="1" applyFont="1" applyBorder="1"/>
    <xf numFmtId="0" fontId="2" fillId="0" borderId="30" xfId="0" applyFont="1" applyBorder="1"/>
    <xf numFmtId="3" fontId="2" fillId="0" borderId="20" xfId="0" applyNumberFormat="1" applyFont="1" applyBorder="1"/>
    <xf numFmtId="3" fontId="2" fillId="0" borderId="31" xfId="0" applyNumberFormat="1" applyFont="1" applyBorder="1"/>
    <xf numFmtId="0" fontId="3" fillId="0" borderId="59" xfId="0" applyFont="1" applyBorder="1" applyAlignment="1">
      <alignment horizontal="center"/>
    </xf>
    <xf numFmtId="0" fontId="3" fillId="0" borderId="60" xfId="0" applyFont="1" applyBorder="1" applyAlignment="1">
      <alignment horizontal="center"/>
    </xf>
    <xf numFmtId="0" fontId="3" fillId="0" borderId="61" xfId="0" applyFont="1" applyBorder="1" applyAlignment="1">
      <alignment horizontal="center"/>
    </xf>
    <xf numFmtId="0" fontId="2" fillId="0" borderId="40" xfId="0" applyFont="1" applyBorder="1"/>
    <xf numFmtId="0" fontId="2" fillId="0" borderId="35" xfId="0" applyFont="1" applyBorder="1"/>
    <xf numFmtId="0" fontId="3" fillId="0" borderId="41" xfId="0" applyFont="1" applyBorder="1"/>
    <xf numFmtId="3" fontId="3" fillId="0" borderId="41" xfId="0" applyNumberFormat="1" applyFont="1" applyBorder="1"/>
    <xf numFmtId="3" fontId="3" fillId="0" borderId="44" xfId="0" applyNumberFormat="1" applyFont="1" applyBorder="1"/>
    <xf numFmtId="3" fontId="3" fillId="46" borderId="45" xfId="1379" applyNumberFormat="1" applyFont="1" applyFill="1" applyBorder="1"/>
    <xf numFmtId="3" fontId="2" fillId="46" borderId="35" xfId="1379" applyNumberFormat="1" applyFont="1" applyFill="1" applyBorder="1"/>
    <xf numFmtId="3" fontId="2" fillId="0" borderId="40" xfId="0" applyNumberFormat="1" applyFont="1" applyBorder="1"/>
    <xf numFmtId="0" fontId="3" fillId="0" borderId="39" xfId="0" applyFont="1" applyBorder="1"/>
    <xf numFmtId="3" fontId="3" fillId="0" borderId="45" xfId="0" applyNumberFormat="1" applyFont="1" applyBorder="1"/>
    <xf numFmtId="0" fontId="2" fillId="36" borderId="0" xfId="0" applyFont="1" applyFill="1"/>
    <xf numFmtId="0" fontId="0" fillId="36" borderId="0" xfId="0" applyFill="1" applyAlignment="1">
      <alignment horizontal="center"/>
    </xf>
    <xf numFmtId="4" fontId="2" fillId="36" borderId="0" xfId="0" applyNumberFormat="1" applyFont="1" applyFill="1"/>
    <xf numFmtId="4" fontId="0" fillId="47" borderId="0" xfId="0" applyNumberFormat="1" applyFill="1"/>
    <xf numFmtId="0" fontId="0" fillId="47" borderId="0" xfId="0" applyFill="1"/>
    <xf numFmtId="3" fontId="87" fillId="0" borderId="53" xfId="0" applyNumberFormat="1" applyFont="1" applyBorder="1" applyAlignment="1">
      <alignment horizontal="right" vertical="center"/>
    </xf>
    <xf numFmtId="9" fontId="88" fillId="48" borderId="0" xfId="1048" applyFont="1" applyFill="1"/>
    <xf numFmtId="3" fontId="3" fillId="0" borderId="29" xfId="0" applyNumberFormat="1" applyFont="1" applyBorder="1"/>
    <xf numFmtId="3" fontId="2" fillId="0" borderId="29" xfId="0" applyNumberFormat="1" applyFont="1" applyBorder="1"/>
    <xf numFmtId="0" fontId="2" fillId="0" borderId="27" xfId="0" applyFont="1" applyBorder="1"/>
    <xf numFmtId="0" fontId="2" fillId="0" borderId="20" xfId="0" applyFont="1" applyBorder="1"/>
    <xf numFmtId="0" fontId="2" fillId="0" borderId="31" xfId="0" applyFont="1" applyBorder="1"/>
    <xf numFmtId="4" fontId="2" fillId="48" borderId="0" xfId="0" applyNumberFormat="1" applyFont="1" applyFill="1"/>
    <xf numFmtId="4" fontId="0" fillId="48" borderId="0" xfId="0" applyNumberFormat="1" applyFill="1"/>
    <xf numFmtId="0" fontId="0" fillId="48" borderId="0" xfId="0" applyFill="1"/>
    <xf numFmtId="4" fontId="87" fillId="0" borderId="0" xfId="0" applyNumberFormat="1" applyFont="1"/>
    <xf numFmtId="9" fontId="3" fillId="38" borderId="0" xfId="0" applyNumberFormat="1" applyFont="1" applyFill="1" applyAlignment="1">
      <alignment horizontal="center"/>
    </xf>
    <xf numFmtId="4" fontId="0" fillId="49" borderId="0" xfId="0" applyNumberFormat="1" applyFill="1"/>
    <xf numFmtId="3" fontId="3" fillId="0" borderId="53" xfId="0" applyNumberFormat="1" applyFont="1" applyBorder="1" applyAlignment="1">
      <alignment horizontal="right" vertical="center"/>
    </xf>
    <xf numFmtId="9" fontId="3" fillId="0" borderId="35" xfId="1046" applyFont="1" applyFill="1" applyBorder="1" applyAlignment="1">
      <alignment horizontal="center"/>
    </xf>
    <xf numFmtId="9" fontId="5" fillId="0" borderId="35" xfId="1046" applyBorder="1"/>
    <xf numFmtId="0" fontId="17" fillId="36" borderId="0" xfId="0" applyFont="1" applyFill="1"/>
    <xf numFmtId="170" fontId="17" fillId="36" borderId="0" xfId="0" applyNumberFormat="1" applyFont="1" applyFill="1"/>
    <xf numFmtId="0" fontId="17" fillId="38" borderId="0" xfId="0" applyFont="1" applyFill="1"/>
    <xf numFmtId="170" fontId="17" fillId="38" borderId="0" xfId="0" applyNumberFormat="1" applyFont="1" applyFill="1"/>
    <xf numFmtId="170" fontId="8" fillId="0" borderId="14" xfId="0" applyNumberFormat="1" applyFont="1" applyBorder="1"/>
    <xf numFmtId="4" fontId="87" fillId="50" borderId="0" xfId="0" applyNumberFormat="1" applyFont="1" applyFill="1"/>
    <xf numFmtId="3" fontId="87" fillId="50" borderId="0" xfId="0" applyNumberFormat="1" applyFont="1" applyFill="1"/>
    <xf numFmtId="3" fontId="87" fillId="51" borderId="0" xfId="0" applyNumberFormat="1" applyFont="1" applyFill="1"/>
    <xf numFmtId="4" fontId="0" fillId="52" borderId="0" xfId="0" applyNumberFormat="1" applyFill="1"/>
    <xf numFmtId="0" fontId="0" fillId="52" borderId="0" xfId="0" applyFill="1"/>
    <xf numFmtId="3" fontId="0" fillId="52" borderId="0" xfId="0" applyNumberFormat="1" applyFill="1"/>
    <xf numFmtId="3" fontId="87" fillId="0" borderId="0" xfId="0" applyNumberFormat="1" applyFont="1"/>
    <xf numFmtId="9" fontId="0" fillId="40" borderId="0" xfId="1048" applyFont="1" applyFill="1"/>
    <xf numFmtId="0" fontId="88" fillId="0" borderId="0" xfId="934" applyFont="1"/>
    <xf numFmtId="164" fontId="88" fillId="0" borderId="0" xfId="934" applyNumberFormat="1" applyFont="1"/>
    <xf numFmtId="9" fontId="88" fillId="0" borderId="0" xfId="1046" applyFont="1" applyBorder="1"/>
    <xf numFmtId="164" fontId="3" fillId="0" borderId="0" xfId="934" applyNumberFormat="1" applyFont="1" applyAlignment="1">
      <alignment horizontal="center"/>
    </xf>
    <xf numFmtId="9" fontId="3" fillId="0" borderId="0" xfId="1046" applyFont="1" applyFill="1" applyBorder="1"/>
    <xf numFmtId="9" fontId="88" fillId="0" borderId="0" xfId="1046" applyFont="1" applyFill="1" applyBorder="1"/>
    <xf numFmtId="43" fontId="37" fillId="0" borderId="0" xfId="65" applyFont="1" applyFill="1" applyBorder="1"/>
    <xf numFmtId="0" fontId="26" fillId="53" borderId="29" xfId="934" applyFont="1" applyFill="1" applyBorder="1"/>
    <xf numFmtId="0" fontId="3" fillId="42" borderId="19" xfId="0" applyFont="1" applyFill="1" applyBorder="1"/>
    <xf numFmtId="3" fontId="3" fillId="42" borderId="18" xfId="0" applyNumberFormat="1" applyFont="1" applyFill="1" applyBorder="1" applyAlignment="1">
      <alignment horizontal="right" vertical="center"/>
    </xf>
    <xf numFmtId="0" fontId="3" fillId="0" borderId="26" xfId="0" applyFont="1" applyBorder="1" applyAlignment="1">
      <alignment horizontal="right"/>
    </xf>
    <xf numFmtId="0" fontId="3" fillId="0" borderId="29" xfId="0" applyFont="1" applyBorder="1" applyAlignment="1">
      <alignment horizontal="right"/>
    </xf>
    <xf numFmtId="8" fontId="3" fillId="0" borderId="35" xfId="0" applyNumberFormat="1" applyFont="1" applyBorder="1"/>
    <xf numFmtId="0" fontId="3" fillId="0" borderId="30" xfId="0" applyFont="1" applyBorder="1" applyAlignment="1">
      <alignment horizontal="right"/>
    </xf>
    <xf numFmtId="43" fontId="3" fillId="0" borderId="0" xfId="0" applyNumberFormat="1" applyFont="1"/>
    <xf numFmtId="4" fontId="3" fillId="0" borderId="0" xfId="0" applyNumberFormat="1" applyFont="1" applyAlignment="1">
      <alignment horizontal="right" vertical="center"/>
    </xf>
    <xf numFmtId="9" fontId="2" fillId="0" borderId="0" xfId="1048" applyFont="1"/>
    <xf numFmtId="10" fontId="2" fillId="0" borderId="0" xfId="1048" applyNumberFormat="1" applyFont="1"/>
    <xf numFmtId="10" fontId="3" fillId="0" borderId="28" xfId="0" applyNumberFormat="1" applyFont="1" applyBorder="1"/>
    <xf numFmtId="173" fontId="3" fillId="0" borderId="31" xfId="0" applyNumberFormat="1" applyFont="1" applyBorder="1"/>
    <xf numFmtId="4" fontId="3" fillId="40" borderId="0" xfId="0" applyNumberFormat="1" applyFont="1" applyFill="1"/>
    <xf numFmtId="0" fontId="88" fillId="0" borderId="0" xfId="0" applyFont="1"/>
    <xf numFmtId="3" fontId="2" fillId="54" borderId="5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  <xf numFmtId="9" fontId="2" fillId="0" borderId="0" xfId="0" applyNumberFormat="1" applyFont="1"/>
    <xf numFmtId="173" fontId="2" fillId="0" borderId="0" xfId="0" applyNumberFormat="1" applyFont="1"/>
    <xf numFmtId="10" fontId="2" fillId="0" borderId="0" xfId="0" applyNumberFormat="1" applyFont="1"/>
    <xf numFmtId="4" fontId="88" fillId="54" borderId="0" xfId="0" applyNumberFormat="1" applyFont="1" applyFill="1"/>
    <xf numFmtId="3" fontId="88" fillId="54" borderId="0" xfId="0" applyNumberFormat="1" applyFont="1" applyFill="1"/>
    <xf numFmtId="3" fontId="88" fillId="51" borderId="0" xfId="0" applyNumberFormat="1" applyFont="1" applyFill="1"/>
    <xf numFmtId="0" fontId="2" fillId="0" borderId="0" xfId="1310"/>
    <xf numFmtId="0" fontId="95" fillId="55" borderId="0" xfId="1310" applyFont="1" applyFill="1" applyAlignment="1">
      <alignment vertical="center"/>
    </xf>
    <xf numFmtId="0" fontId="2" fillId="55" borderId="0" xfId="1310" applyFill="1"/>
    <xf numFmtId="0" fontId="96" fillId="0" borderId="0" xfId="1310" applyFont="1"/>
    <xf numFmtId="0" fontId="3" fillId="0" borderId="0" xfId="1310" applyFont="1"/>
    <xf numFmtId="0" fontId="2" fillId="36" borderId="0" xfId="1310" applyFill="1"/>
    <xf numFmtId="190" fontId="2" fillId="55" borderId="0" xfId="1310" applyNumberFormat="1" applyFill="1"/>
    <xf numFmtId="0" fontId="2" fillId="55" borderId="0" xfId="1310" applyFill="1" applyAlignment="1">
      <alignment vertical="center"/>
    </xf>
    <xf numFmtId="0" fontId="3" fillId="0" borderId="0" xfId="1310" applyFont="1" applyAlignment="1">
      <alignment vertical="center"/>
    </xf>
    <xf numFmtId="0" fontId="2" fillId="0" borderId="0" xfId="1310" applyAlignment="1">
      <alignment vertical="center"/>
    </xf>
    <xf numFmtId="0" fontId="3" fillId="0" borderId="33" xfId="1310" applyFont="1" applyBorder="1" applyAlignment="1">
      <alignment horizontal="left" vertical="center"/>
    </xf>
    <xf numFmtId="0" fontId="3" fillId="0" borderId="40" xfId="1310" applyFont="1" applyBorder="1" applyAlignment="1">
      <alignment horizontal="left" vertical="center"/>
    </xf>
    <xf numFmtId="0" fontId="3" fillId="0" borderId="34" xfId="1310" applyFont="1" applyBorder="1" applyAlignment="1">
      <alignment horizontal="left" vertical="center"/>
    </xf>
    <xf numFmtId="4" fontId="0" fillId="59" borderId="0" xfId="0" applyNumberFormat="1" applyFill="1"/>
    <xf numFmtId="0" fontId="3" fillId="0" borderId="0" xfId="0" applyFont="1" applyAlignment="1">
      <alignment horizontal="center" vertical="center"/>
    </xf>
    <xf numFmtId="188" fontId="0" fillId="0" borderId="0" xfId="0" applyNumberFormat="1"/>
    <xf numFmtId="4" fontId="88" fillId="36" borderId="0" xfId="0" applyNumberFormat="1" applyFont="1" applyFill="1"/>
    <xf numFmtId="189" fontId="88" fillId="0" borderId="0" xfId="0" applyNumberFormat="1" applyFont="1"/>
    <xf numFmtId="2" fontId="0" fillId="0" borderId="0" xfId="0" applyNumberFormat="1"/>
    <xf numFmtId="4" fontId="88" fillId="61" borderId="0" xfId="0" applyNumberFormat="1" applyFont="1" applyFill="1"/>
    <xf numFmtId="0" fontId="98" fillId="0" borderId="0" xfId="1310" applyFont="1"/>
    <xf numFmtId="0" fontId="88" fillId="0" borderId="0" xfId="0" applyFont="1" applyAlignment="1">
      <alignment horizontal="right"/>
    </xf>
    <xf numFmtId="9" fontId="88" fillId="0" borderId="0" xfId="1048" applyFont="1"/>
    <xf numFmtId="0" fontId="0" fillId="0" borderId="0" xfId="0" applyAlignment="1">
      <alignment vertical="center"/>
    </xf>
    <xf numFmtId="4" fontId="0" fillId="59" borderId="0" xfId="0" applyNumberFormat="1" applyFill="1" applyAlignment="1">
      <alignment vertical="center"/>
    </xf>
    <xf numFmtId="4" fontId="3" fillId="36" borderId="0" xfId="0" applyNumberFormat="1" applyFont="1" applyFill="1" applyAlignment="1">
      <alignment vertical="center"/>
    </xf>
    <xf numFmtId="4" fontId="3" fillId="40" borderId="0" xfId="0" applyNumberFormat="1" applyFont="1" applyFill="1" applyAlignment="1">
      <alignment vertical="center"/>
    </xf>
    <xf numFmtId="4" fontId="0" fillId="0" borderId="0" xfId="0" applyNumberFormat="1" applyAlignment="1">
      <alignment vertical="center"/>
    </xf>
    <xf numFmtId="0" fontId="2" fillId="0" borderId="0" xfId="1310" applyAlignment="1">
      <alignment horizontal="center"/>
    </xf>
    <xf numFmtId="0" fontId="2" fillId="0" borderId="18" xfId="1310" applyBorder="1"/>
    <xf numFmtId="0" fontId="2" fillId="0" borderId="19" xfId="1310" applyBorder="1"/>
    <xf numFmtId="0" fontId="2" fillId="0" borderId="52" xfId="1310" applyBorder="1"/>
    <xf numFmtId="0" fontId="2" fillId="0" borderId="17" xfId="1310" applyBorder="1"/>
    <xf numFmtId="0" fontId="2" fillId="0" borderId="53" xfId="1310" applyBorder="1"/>
    <xf numFmtId="0" fontId="0" fillId="62" borderId="0" xfId="0" applyFill="1"/>
    <xf numFmtId="4" fontId="0" fillId="62" borderId="0" xfId="0" applyNumberFormat="1" applyFill="1"/>
    <xf numFmtId="9" fontId="0" fillId="58" borderId="0" xfId="1048" applyFont="1" applyFill="1"/>
    <xf numFmtId="2" fontId="2" fillId="0" borderId="0" xfId="0" applyNumberFormat="1" applyFont="1"/>
    <xf numFmtId="0" fontId="3" fillId="0" borderId="0" xfId="0" applyFont="1" applyAlignment="1">
      <alignment vertical="center"/>
    </xf>
    <xf numFmtId="3" fontId="2" fillId="0" borderId="0" xfId="0" applyNumberFormat="1" applyFont="1" applyAlignment="1">
      <alignment horizontal="center"/>
    </xf>
    <xf numFmtId="0" fontId="88" fillId="36" borderId="0" xfId="0" applyFont="1" applyFill="1"/>
    <xf numFmtId="0" fontId="3" fillId="0" borderId="41" xfId="0" applyFont="1" applyBorder="1" applyAlignment="1">
      <alignment horizontal="right" vertical="center"/>
    </xf>
    <xf numFmtId="0" fontId="2" fillId="36" borderId="0" xfId="0" applyFont="1" applyFill="1" applyAlignment="1">
      <alignment horizontal="center"/>
    </xf>
    <xf numFmtId="0" fontId="2" fillId="0" borderId="62" xfId="1310" applyBorder="1"/>
    <xf numFmtId="0" fontId="2" fillId="0" borderId="15" xfId="1310" applyBorder="1"/>
    <xf numFmtId="0" fontId="2" fillId="0" borderId="63" xfId="1310" applyBorder="1"/>
    <xf numFmtId="0" fontId="97" fillId="46" borderId="44" xfId="1310" applyFont="1" applyFill="1" applyBorder="1" applyAlignment="1">
      <alignment vertical="center"/>
    </xf>
    <xf numFmtId="0" fontId="97" fillId="46" borderId="45" xfId="1310" applyFont="1" applyFill="1" applyBorder="1" applyAlignment="1">
      <alignment vertical="center"/>
    </xf>
    <xf numFmtId="17" fontId="97" fillId="46" borderId="39" xfId="1310" applyNumberFormat="1" applyFont="1" applyFill="1" applyBorder="1" applyAlignment="1">
      <alignment vertical="center"/>
    </xf>
    <xf numFmtId="17" fontId="97" fillId="46" borderId="44" xfId="1310" applyNumberFormat="1" applyFont="1" applyFill="1" applyBorder="1" applyAlignment="1">
      <alignment vertical="center"/>
    </xf>
    <xf numFmtId="0" fontId="2" fillId="55" borderId="19" xfId="1310" applyFill="1" applyBorder="1" applyAlignment="1">
      <alignment vertical="center"/>
    </xf>
    <xf numFmtId="0" fontId="2" fillId="55" borderId="52" xfId="1310" applyFill="1" applyBorder="1" applyAlignment="1">
      <alignment vertical="center"/>
    </xf>
    <xf numFmtId="0" fontId="2" fillId="55" borderId="53" xfId="1310" applyFill="1" applyBorder="1" applyAlignment="1">
      <alignment vertical="center"/>
    </xf>
    <xf numFmtId="0" fontId="2" fillId="50" borderId="29" xfId="1310" applyFill="1" applyBorder="1" applyAlignment="1">
      <alignment horizontal="center" vertical="center"/>
    </xf>
    <xf numFmtId="0" fontId="2" fillId="56" borderId="0" xfId="1310" applyFill="1" applyAlignment="1">
      <alignment horizontal="center" vertical="center"/>
    </xf>
    <xf numFmtId="0" fontId="2" fillId="38" borderId="0" xfId="1310" applyFill="1" applyAlignment="1">
      <alignment horizontal="center" vertical="center"/>
    </xf>
    <xf numFmtId="0" fontId="2" fillId="45" borderId="0" xfId="1310" applyFill="1" applyAlignment="1">
      <alignment horizontal="center" vertical="center"/>
    </xf>
    <xf numFmtId="0" fontId="2" fillId="60" borderId="35" xfId="1310" applyFill="1" applyBorder="1" applyAlignment="1">
      <alignment horizontal="center" vertical="center"/>
    </xf>
    <xf numFmtId="0" fontId="3" fillId="0" borderId="0" xfId="1310" applyFont="1" applyAlignment="1">
      <alignment horizontal="center"/>
    </xf>
    <xf numFmtId="0" fontId="2" fillId="0" borderId="0" xfId="1310" applyAlignment="1">
      <alignment horizontal="center" vertical="center"/>
    </xf>
    <xf numFmtId="0" fontId="2" fillId="49" borderId="40" xfId="1310" applyFill="1" applyBorder="1" applyAlignment="1">
      <alignment horizontal="center"/>
    </xf>
    <xf numFmtId="0" fontId="0" fillId="49" borderId="40" xfId="1310" applyFont="1" applyFill="1" applyBorder="1" applyAlignment="1">
      <alignment horizontal="center"/>
    </xf>
    <xf numFmtId="0" fontId="2" fillId="55" borderId="0" xfId="1310" applyFill="1" applyAlignment="1">
      <alignment horizontal="center"/>
    </xf>
    <xf numFmtId="0" fontId="97" fillId="49" borderId="33" xfId="1310" applyFont="1" applyFill="1" applyBorder="1" applyAlignment="1">
      <alignment horizontal="center"/>
    </xf>
    <xf numFmtId="0" fontId="88" fillId="49" borderId="35" xfId="1310" applyFont="1" applyFill="1" applyBorder="1" applyAlignment="1">
      <alignment horizontal="center"/>
    </xf>
    <xf numFmtId="0" fontId="88" fillId="49" borderId="31" xfId="1310" applyFont="1" applyFill="1" applyBorder="1" applyAlignment="1">
      <alignment horizontal="center"/>
    </xf>
    <xf numFmtId="0" fontId="2" fillId="46" borderId="29" xfId="1310" applyFill="1" applyBorder="1" applyAlignment="1">
      <alignment horizontal="center"/>
    </xf>
    <xf numFmtId="0" fontId="2" fillId="46" borderId="40" xfId="1310" applyFill="1" applyBorder="1" applyAlignment="1">
      <alignment horizontal="center"/>
    </xf>
    <xf numFmtId="0" fontId="0" fillId="46" borderId="40" xfId="1310" applyFont="1" applyFill="1" applyBorder="1" applyAlignment="1">
      <alignment horizontal="center"/>
    </xf>
    <xf numFmtId="0" fontId="97" fillId="46" borderId="33" xfId="1310" applyFont="1" applyFill="1" applyBorder="1" applyAlignment="1">
      <alignment horizontal="center"/>
    </xf>
    <xf numFmtId="0" fontId="88" fillId="46" borderId="40" xfId="1310" applyFont="1" applyFill="1" applyBorder="1" applyAlignment="1">
      <alignment horizontal="center"/>
    </xf>
    <xf numFmtId="0" fontId="88" fillId="46" borderId="34" xfId="1310" applyFont="1" applyFill="1" applyBorder="1" applyAlignment="1">
      <alignment horizontal="center"/>
    </xf>
    <xf numFmtId="0" fontId="2" fillId="55" borderId="0" xfId="1310" applyFill="1" applyAlignment="1">
      <alignment horizontal="center" vertical="center"/>
    </xf>
    <xf numFmtId="0" fontId="3" fillId="0" borderId="0" xfId="1310" applyFont="1" applyAlignment="1">
      <alignment horizontal="center" vertical="center"/>
    </xf>
    <xf numFmtId="0" fontId="88" fillId="49" borderId="28" xfId="1310" applyFont="1" applyFill="1" applyBorder="1" applyAlignment="1">
      <alignment horizontal="center"/>
    </xf>
    <xf numFmtId="0" fontId="2" fillId="39" borderId="0" xfId="1310" applyFill="1" applyAlignment="1">
      <alignment horizontal="center" vertical="center"/>
    </xf>
    <xf numFmtId="0" fontId="2" fillId="51" borderId="0" xfId="1310" applyFill="1" applyAlignment="1">
      <alignment horizontal="center" vertical="center"/>
    </xf>
    <xf numFmtId="0" fontId="2" fillId="63" borderId="0" xfId="1310" applyFill="1" applyAlignment="1">
      <alignment horizontal="center" vertical="center"/>
    </xf>
    <xf numFmtId="0" fontId="2" fillId="53" borderId="0" xfId="1310" applyFill="1" applyAlignment="1">
      <alignment horizontal="center" vertical="center"/>
    </xf>
    <xf numFmtId="0" fontId="2" fillId="60" borderId="0" xfId="1310" applyFill="1" applyAlignment="1">
      <alignment horizontal="center" vertical="center"/>
    </xf>
    <xf numFmtId="0" fontId="2" fillId="50" borderId="0" xfId="1310" applyFill="1" applyAlignment="1">
      <alignment horizontal="center" vertical="center"/>
    </xf>
    <xf numFmtId="0" fontId="2" fillId="57" borderId="20" xfId="1310" applyFill="1" applyBorder="1" applyAlignment="1">
      <alignment horizontal="center" vertical="center"/>
    </xf>
    <xf numFmtId="0" fontId="2" fillId="0" borderId="29" xfId="1310" applyBorder="1" applyAlignment="1">
      <alignment horizontal="center" vertical="center"/>
    </xf>
    <xf numFmtId="0" fontId="2" fillId="0" borderId="26" xfId="1310" applyBorder="1" applyAlignment="1">
      <alignment horizontal="center" vertical="center"/>
    </xf>
    <xf numFmtId="0" fontId="2" fillId="0" borderId="27" xfId="1310" applyBorder="1" applyAlignment="1">
      <alignment horizontal="center" vertical="center"/>
    </xf>
    <xf numFmtId="0" fontId="2" fillId="0" borderId="30" xfId="1310" applyBorder="1" applyAlignment="1">
      <alignment horizontal="center" vertical="center"/>
    </xf>
    <xf numFmtId="0" fontId="2" fillId="0" borderId="20" xfId="1310" applyBorder="1" applyAlignment="1">
      <alignment horizontal="center" vertical="center"/>
    </xf>
    <xf numFmtId="0" fontId="2" fillId="57" borderId="0" xfId="1310" applyFill="1" applyAlignment="1">
      <alignment horizontal="center" vertical="center"/>
    </xf>
    <xf numFmtId="0" fontId="2" fillId="41" borderId="19" xfId="1310" applyFill="1" applyBorder="1" applyAlignment="1">
      <alignment horizontal="center" vertical="center"/>
    </xf>
    <xf numFmtId="0" fontId="2" fillId="0" borderId="28" xfId="1310" applyBorder="1" applyAlignment="1">
      <alignment horizontal="center" vertical="center"/>
    </xf>
    <xf numFmtId="0" fontId="2" fillId="0" borderId="35" xfId="1310" applyBorder="1" applyAlignment="1">
      <alignment horizontal="center" vertical="center"/>
    </xf>
    <xf numFmtId="0" fontId="2" fillId="0" borderId="31" xfId="1310" applyBorder="1" applyAlignment="1">
      <alignment horizontal="center" vertical="center"/>
    </xf>
    <xf numFmtId="0" fontId="2" fillId="64" borderId="0" xfId="1310" applyFill="1" applyAlignment="1">
      <alignment horizontal="center" vertical="center"/>
    </xf>
    <xf numFmtId="0" fontId="3" fillId="0" borderId="15" xfId="0" applyFont="1" applyBorder="1"/>
    <xf numFmtId="0" fontId="3" fillId="0" borderId="15" xfId="0" applyFont="1" applyBorder="1" applyAlignment="1">
      <alignment horizontal="center" vertical="center"/>
    </xf>
    <xf numFmtId="0" fontId="2" fillId="0" borderId="15" xfId="0" applyFont="1" applyBorder="1"/>
    <xf numFmtId="0" fontId="2" fillId="36" borderId="15" xfId="0" applyFont="1" applyFill="1" applyBorder="1"/>
    <xf numFmtId="3" fontId="2" fillId="0" borderId="15" xfId="0" applyNumberFormat="1" applyFont="1" applyBorder="1"/>
    <xf numFmtId="4" fontId="2" fillId="0" borderId="15" xfId="0" applyNumberFormat="1" applyFont="1" applyBorder="1"/>
    <xf numFmtId="3" fontId="2" fillId="0" borderId="15" xfId="0" applyNumberFormat="1" applyFont="1" applyBorder="1" applyAlignment="1">
      <alignment horizontal="center"/>
    </xf>
    <xf numFmtId="0" fontId="2" fillId="36" borderId="15" xfId="0" applyFont="1" applyFill="1" applyBorder="1" applyAlignment="1">
      <alignment horizontal="center"/>
    </xf>
    <xf numFmtId="17" fontId="97" fillId="46" borderId="45" xfId="1310" applyNumberFormat="1" applyFont="1" applyFill="1" applyBorder="1" applyAlignment="1">
      <alignment vertical="center"/>
    </xf>
    <xf numFmtId="0" fontId="97" fillId="46" borderId="39" xfId="1310" applyFont="1" applyFill="1" applyBorder="1" applyAlignment="1">
      <alignment vertical="center"/>
    </xf>
    <xf numFmtId="9" fontId="3" fillId="0" borderId="0" xfId="0" applyNumberFormat="1" applyFont="1"/>
    <xf numFmtId="0" fontId="0" fillId="0" borderId="0" xfId="0" applyAlignment="1">
      <alignment horizontal="right"/>
    </xf>
    <xf numFmtId="173" fontId="3" fillId="0" borderId="0" xfId="0" applyNumberFormat="1" applyFont="1" applyAlignment="1">
      <alignment horizontal="center"/>
    </xf>
    <xf numFmtId="173" fontId="2" fillId="0" borderId="0" xfId="1048" applyNumberFormat="1" applyFont="1"/>
    <xf numFmtId="1" fontId="2" fillId="0" borderId="0" xfId="0" applyNumberFormat="1" applyFont="1"/>
    <xf numFmtId="1" fontId="2" fillId="0" borderId="0" xfId="0" applyNumberFormat="1" applyFont="1" applyAlignment="1">
      <alignment horizontal="center"/>
    </xf>
    <xf numFmtId="173" fontId="2" fillId="65" borderId="0" xfId="1048" applyNumberFormat="1" applyFont="1" applyFill="1"/>
    <xf numFmtId="173" fontId="2" fillId="65" borderId="0" xfId="0" applyNumberFormat="1" applyFont="1" applyFill="1"/>
    <xf numFmtId="1" fontId="2" fillId="65" borderId="0" xfId="1048" applyNumberFormat="1" applyFont="1" applyFill="1"/>
    <xf numFmtId="1" fontId="2" fillId="65" borderId="0" xfId="0" applyNumberFormat="1" applyFont="1" applyFill="1"/>
    <xf numFmtId="0" fontId="3" fillId="0" borderId="0" xfId="0" applyFont="1" applyAlignment="1">
      <alignment vertical="center" wrapText="1"/>
    </xf>
    <xf numFmtId="173" fontId="3" fillId="0" borderId="0" xfId="1048" applyNumberFormat="1" applyFont="1" applyAlignment="1">
      <alignment vertical="center"/>
    </xf>
    <xf numFmtId="173" fontId="3" fillId="0" borderId="0" xfId="0" applyNumberFormat="1" applyFont="1" applyAlignment="1">
      <alignment vertical="center"/>
    </xf>
    <xf numFmtId="191" fontId="3" fillId="0" borderId="0" xfId="0" applyNumberFormat="1" applyFont="1"/>
    <xf numFmtId="191" fontId="0" fillId="0" borderId="0" xfId="0" applyNumberFormat="1"/>
    <xf numFmtId="0" fontId="0" fillId="0" borderId="29" xfId="0" applyBorder="1" applyAlignment="1">
      <alignment horizontal="left" indent="1"/>
    </xf>
    <xf numFmtId="191" fontId="0" fillId="0" borderId="0" xfId="882" applyNumberFormat="1" applyFont="1" applyFill="1" applyBorder="1" applyAlignment="1">
      <alignment horizontal="right"/>
    </xf>
    <xf numFmtId="191" fontId="0" fillId="0" borderId="0" xfId="882" applyNumberFormat="1" applyFont="1"/>
    <xf numFmtId="0" fontId="3" fillId="0" borderId="0" xfId="0" applyFont="1" applyAlignment="1">
      <alignment horizontal="left" vertical="center" wrapText="1" indent="1"/>
    </xf>
    <xf numFmtId="0" fontId="3" fillId="0" borderId="0" xfId="0" applyFont="1" applyAlignment="1">
      <alignment horizontal="right" vertical="center"/>
    </xf>
    <xf numFmtId="191" fontId="3" fillId="0" borderId="0" xfId="882" applyNumberFormat="1" applyFont="1" applyAlignment="1">
      <alignment horizontal="right" vertical="center"/>
    </xf>
    <xf numFmtId="0" fontId="0" fillId="0" borderId="0" xfId="0" applyAlignment="1">
      <alignment horizontal="left" indent="1"/>
    </xf>
    <xf numFmtId="0" fontId="2" fillId="0" borderId="0" xfId="0" applyFont="1" applyAlignment="1">
      <alignment horizontal="left" indent="1"/>
    </xf>
    <xf numFmtId="191" fontId="0" fillId="0" borderId="0" xfId="882" applyNumberFormat="1" applyFont="1" applyFill="1" applyBorder="1" applyAlignment="1">
      <alignment horizontal="left" indent="1"/>
    </xf>
    <xf numFmtId="191" fontId="2" fillId="0" borderId="0" xfId="882" applyNumberFormat="1" applyFont="1"/>
    <xf numFmtId="191" fontId="3" fillId="0" borderId="0" xfId="882" applyNumberFormat="1" applyFont="1"/>
    <xf numFmtId="191" fontId="2" fillId="0" borderId="0" xfId="882" applyNumberFormat="1" applyFont="1" applyAlignment="1">
      <alignment horizontal="left" indent="1"/>
    </xf>
    <xf numFmtId="0" fontId="3" fillId="0" borderId="0" xfId="1310" applyFont="1" applyAlignment="1">
      <alignment horizontal="right"/>
    </xf>
    <xf numFmtId="193" fontId="0" fillId="0" borderId="0" xfId="1228" applyNumberFormat="1" applyFont="1"/>
    <xf numFmtId="43" fontId="2" fillId="0" borderId="0" xfId="1310" applyNumberFormat="1"/>
    <xf numFmtId="169" fontId="2" fillId="0" borderId="0" xfId="1310" applyNumberFormat="1"/>
    <xf numFmtId="169" fontId="2" fillId="48" borderId="0" xfId="1310" applyNumberFormat="1" applyFill="1"/>
    <xf numFmtId="193" fontId="3" fillId="0" borderId="0" xfId="1310" applyNumberFormat="1" applyFont="1"/>
    <xf numFmtId="43" fontId="3" fillId="0" borderId="0" xfId="1310" applyNumberFormat="1" applyFont="1"/>
    <xf numFmtId="191" fontId="3" fillId="0" borderId="0" xfId="882" applyNumberFormat="1" applyFont="1" applyAlignment="1">
      <alignment horizontal="left" vertical="center" wrapText="1"/>
    </xf>
    <xf numFmtId="38" fontId="2" fillId="0" borderId="0" xfId="0" applyNumberFormat="1" applyFont="1"/>
    <xf numFmtId="0" fontId="3" fillId="0" borderId="0" xfId="0" applyFont="1" applyAlignment="1">
      <alignment horizontal="left" indent="1"/>
    </xf>
    <xf numFmtId="0" fontId="100" fillId="0" borderId="0" xfId="1403"/>
    <xf numFmtId="192" fontId="3" fillId="0" borderId="0" xfId="0" applyNumberFormat="1" applyFont="1"/>
    <xf numFmtId="10" fontId="3" fillId="0" borderId="0" xfId="0" applyNumberFormat="1" applyFont="1"/>
    <xf numFmtId="191" fontId="3" fillId="0" borderId="0" xfId="882" applyNumberFormat="1" applyFont="1" applyAlignment="1">
      <alignment horizontal="center" vertical="center"/>
    </xf>
    <xf numFmtId="191" fontId="0" fillId="0" borderId="0" xfId="882" applyNumberFormat="1" applyFont="1" applyAlignment="1">
      <alignment horizontal="center" vertical="center"/>
    </xf>
    <xf numFmtId="191" fontId="0" fillId="0" borderId="0" xfId="882" applyNumberFormat="1" applyFont="1" applyAlignment="1">
      <alignment vertical="center"/>
    </xf>
    <xf numFmtId="191" fontId="3" fillId="0" borderId="0" xfId="882" applyNumberFormat="1" applyFont="1" applyAlignment="1">
      <alignment vertical="center"/>
    </xf>
    <xf numFmtId="10" fontId="3" fillId="0" borderId="0" xfId="1048" applyNumberFormat="1" applyFont="1" applyAlignment="1">
      <alignment vertical="center"/>
    </xf>
    <xf numFmtId="10" fontId="0" fillId="0" borderId="0" xfId="1048" applyNumberFormat="1" applyFont="1" applyAlignment="1">
      <alignment vertical="center"/>
    </xf>
    <xf numFmtId="0" fontId="0" fillId="0" borderId="0" xfId="0" applyAlignment="1">
      <alignment horizontal="center" vertical="center"/>
    </xf>
    <xf numFmtId="9" fontId="3" fillId="0" borderId="0" xfId="1048" applyFont="1" applyAlignment="1">
      <alignment horizontal="right" vertical="center"/>
    </xf>
    <xf numFmtId="9" fontId="0" fillId="0" borderId="0" xfId="1048" applyFont="1" applyAlignment="1">
      <alignment horizontal="center" vertical="center"/>
    </xf>
    <xf numFmtId="9" fontId="0" fillId="0" borderId="0" xfId="1048" applyFont="1" applyFill="1" applyBorder="1" applyAlignment="1">
      <alignment horizontal="center" vertical="center"/>
    </xf>
    <xf numFmtId="173" fontId="3" fillId="0" borderId="0" xfId="1048" applyNumberFormat="1" applyFont="1" applyFill="1" applyBorder="1" applyAlignment="1">
      <alignment horizontal="center" vertical="center"/>
    </xf>
    <xf numFmtId="191" fontId="101" fillId="0" borderId="0" xfId="882" applyNumberFormat="1" applyFont="1" applyFill="1" applyBorder="1" applyAlignment="1">
      <alignment horizontal="right"/>
    </xf>
    <xf numFmtId="191" fontId="101" fillId="0" borderId="0" xfId="882" applyNumberFormat="1" applyFont="1"/>
    <xf numFmtId="191" fontId="102" fillId="0" borderId="0" xfId="882" applyNumberFormat="1" applyFont="1" applyAlignment="1">
      <alignment horizontal="right" vertical="center"/>
    </xf>
    <xf numFmtId="9" fontId="2" fillId="0" borderId="0" xfId="1048" applyFont="1" applyAlignment="1">
      <alignment horizontal="center" vertical="center"/>
    </xf>
    <xf numFmtId="9" fontId="2" fillId="0" borderId="0" xfId="1048" applyFont="1" applyFill="1" applyBorder="1" applyAlignment="1">
      <alignment horizontal="center" vertical="center"/>
    </xf>
    <xf numFmtId="173" fontId="2" fillId="0" borderId="0" xfId="1048" applyNumberFormat="1" applyFont="1" applyAlignment="1">
      <alignment horizontal="center" vertical="center"/>
    </xf>
    <xf numFmtId="173" fontId="2" fillId="0" borderId="0" xfId="1048" applyNumberFormat="1" applyFont="1" applyFill="1" applyBorder="1" applyAlignment="1">
      <alignment horizontal="center" vertical="center"/>
    </xf>
    <xf numFmtId="191" fontId="0" fillId="0" borderId="0" xfId="882" applyNumberFormat="1" applyFont="1" applyBorder="1"/>
    <xf numFmtId="191" fontId="3" fillId="0" borderId="0" xfId="882" applyNumberFormat="1" applyFont="1" applyBorder="1"/>
    <xf numFmtId="0" fontId="101" fillId="0" borderId="0" xfId="0" applyFont="1"/>
    <xf numFmtId="191" fontId="102" fillId="0" borderId="0" xfId="0" applyNumberFormat="1" applyFont="1" applyAlignment="1">
      <alignment horizontal="center" vertical="center"/>
    </xf>
    <xf numFmtId="194" fontId="0" fillId="0" borderId="0" xfId="0" applyNumberFormat="1"/>
    <xf numFmtId="6" fontId="0" fillId="0" borderId="0" xfId="0" applyNumberFormat="1"/>
    <xf numFmtId="6" fontId="0" fillId="0" borderId="0" xfId="882" applyNumberFormat="1" applyFont="1"/>
    <xf numFmtId="3" fontId="0" fillId="0" borderId="0" xfId="0" applyNumberFormat="1" applyAlignment="1">
      <alignment horizontal="right"/>
    </xf>
    <xf numFmtId="9" fontId="3" fillId="0" borderId="0" xfId="1048" applyFont="1" applyBorder="1" applyAlignment="1">
      <alignment horizontal="right" vertical="center"/>
    </xf>
    <xf numFmtId="0" fontId="3" fillId="0" borderId="0" xfId="0" applyFont="1" applyAlignment="1">
      <alignment wrapText="1"/>
    </xf>
    <xf numFmtId="191" fontId="101" fillId="0" borderId="0" xfId="0" applyNumberFormat="1" applyFont="1" applyAlignment="1">
      <alignment horizontal="center" vertical="center"/>
    </xf>
    <xf numFmtId="191" fontId="0" fillId="0" borderId="0" xfId="0" applyNumberFormat="1" applyAlignment="1">
      <alignment horizontal="center" vertical="center"/>
    </xf>
    <xf numFmtId="191" fontId="3" fillId="0" borderId="0" xfId="0" applyNumberFormat="1" applyFont="1" applyAlignment="1">
      <alignment horizontal="center" vertical="center"/>
    </xf>
    <xf numFmtId="191" fontId="3" fillId="0" borderId="0" xfId="882" applyNumberFormat="1" applyFont="1" applyFill="1" applyBorder="1" applyAlignment="1">
      <alignment horizontal="right"/>
    </xf>
    <xf numFmtId="9" fontId="3" fillId="0" borderId="0" xfId="1048" applyFont="1" applyFill="1" applyBorder="1" applyAlignment="1">
      <alignment horizontal="right"/>
    </xf>
    <xf numFmtId="9" fontId="2" fillId="0" borderId="0" xfId="1048" applyFont="1" applyBorder="1" applyAlignment="1">
      <alignment horizontal="center" vertical="center"/>
    </xf>
    <xf numFmtId="191" fontId="102" fillId="0" borderId="0" xfId="882" applyNumberFormat="1" applyFont="1" applyFill="1" applyBorder="1" applyAlignment="1">
      <alignment horizontal="right"/>
    </xf>
    <xf numFmtId="0" fontId="86" fillId="0" borderId="0" xfId="0" applyFont="1"/>
    <xf numFmtId="168" fontId="0" fillId="0" borderId="0" xfId="1048" applyNumberFormat="1" applyFont="1"/>
    <xf numFmtId="0" fontId="86" fillId="66" borderId="36" xfId="0" applyFont="1" applyFill="1" applyBorder="1"/>
    <xf numFmtId="191" fontId="0" fillId="0" borderId="36" xfId="882" applyNumberFormat="1" applyFont="1" applyBorder="1"/>
    <xf numFmtId="191" fontId="103" fillId="0" borderId="0" xfId="0" applyNumberFormat="1" applyFont="1"/>
    <xf numFmtId="0" fontId="3" fillId="0" borderId="64" xfId="1310" applyFont="1" applyBorder="1" applyAlignment="1">
      <alignment horizontal="center" vertical="center"/>
    </xf>
    <xf numFmtId="0" fontId="3" fillId="0" borderId="65" xfId="1310" applyFont="1" applyBorder="1" applyAlignment="1">
      <alignment horizontal="center" vertical="center"/>
    </xf>
    <xf numFmtId="0" fontId="2" fillId="0" borderId="0" xfId="0" applyFont="1" applyAlignment="1">
      <alignment wrapText="1"/>
    </xf>
    <xf numFmtId="3" fontId="0" fillId="0" borderId="0" xfId="0" applyNumberFormat="1" applyAlignment="1">
      <alignment vertical="center"/>
    </xf>
    <xf numFmtId="2" fontId="0" fillId="0" borderId="0" xfId="0" applyNumberFormat="1" applyAlignment="1">
      <alignment vertical="center"/>
    </xf>
    <xf numFmtId="191" fontId="2" fillId="0" borderId="0" xfId="882" applyNumberFormat="1" applyFont="1" applyAlignment="1">
      <alignment wrapText="1"/>
    </xf>
    <xf numFmtId="0" fontId="3" fillId="0" borderId="0" xfId="1310" applyFont="1" applyAlignment="1">
      <alignment horizontal="left" indent="1"/>
    </xf>
    <xf numFmtId="191" fontId="2" fillId="0" borderId="0" xfId="882" applyNumberFormat="1" applyFont="1" applyAlignment="1">
      <alignment horizontal="right" vertical="center"/>
    </xf>
    <xf numFmtId="0" fontId="2" fillId="48" borderId="0" xfId="0" applyFont="1" applyFill="1"/>
    <xf numFmtId="0" fontId="3" fillId="48" borderId="0" xfId="0" applyFont="1" applyFill="1" applyAlignment="1">
      <alignment horizontal="left"/>
    </xf>
    <xf numFmtId="195" fontId="3" fillId="0" borderId="0" xfId="0" applyNumberFormat="1" applyFont="1"/>
    <xf numFmtId="0" fontId="3" fillId="0" borderId="0" xfId="0" applyFont="1" applyAlignment="1">
      <alignment horizontal="left" vertical="center"/>
    </xf>
    <xf numFmtId="0" fontId="0" fillId="0" borderId="66" xfId="0" applyBorder="1" applyAlignment="1">
      <alignment wrapText="1"/>
    </xf>
    <xf numFmtId="187" fontId="44" fillId="0" borderId="67" xfId="239" applyNumberFormat="1" applyFont="1" applyBorder="1"/>
    <xf numFmtId="0" fontId="0" fillId="0" borderId="68" xfId="0" applyBorder="1" applyAlignment="1">
      <alignment wrapText="1"/>
    </xf>
    <xf numFmtId="187" fontId="0" fillId="0" borderId="69" xfId="0" applyNumberFormat="1" applyBorder="1"/>
    <xf numFmtId="187" fontId="44" fillId="0" borderId="69" xfId="239" applyNumberFormat="1" applyFont="1" applyBorder="1"/>
    <xf numFmtId="10" fontId="3" fillId="67" borderId="0" xfId="0" applyNumberFormat="1" applyFont="1" applyFill="1"/>
    <xf numFmtId="0" fontId="68" fillId="66" borderId="36" xfId="0" applyFont="1" applyFill="1" applyBorder="1"/>
    <xf numFmtId="0" fontId="68" fillId="66" borderId="54" xfId="0" applyFont="1" applyFill="1" applyBorder="1"/>
    <xf numFmtId="0" fontId="2" fillId="0" borderId="41" xfId="1310" applyBorder="1" applyAlignment="1">
      <alignment horizontal="center" vertical="center"/>
    </xf>
    <xf numFmtId="167" fontId="0" fillId="0" borderId="0" xfId="882" applyFont="1"/>
    <xf numFmtId="38" fontId="3" fillId="0" borderId="0" xfId="65" applyNumberFormat="1" applyFont="1" applyBorder="1"/>
    <xf numFmtId="38" fontId="2" fillId="0" borderId="0" xfId="65" applyNumberFormat="1" applyFont="1" applyBorder="1"/>
    <xf numFmtId="38" fontId="3" fillId="36" borderId="0" xfId="65" applyNumberFormat="1" applyFont="1" applyFill="1" applyBorder="1"/>
    <xf numFmtId="38" fontId="2" fillId="53" borderId="0" xfId="65" applyNumberFormat="1" applyFont="1" applyFill="1" applyBorder="1"/>
    <xf numFmtId="38" fontId="27" fillId="0" borderId="0" xfId="65" applyNumberFormat="1" applyFont="1" applyBorder="1"/>
    <xf numFmtId="10" fontId="3" fillId="0" borderId="0" xfId="0" applyNumberFormat="1" applyFont="1" applyAlignment="1">
      <alignment horizontal="center" vertical="center"/>
    </xf>
    <xf numFmtId="38" fontId="2" fillId="0" borderId="0" xfId="934" applyNumberFormat="1" applyFont="1"/>
    <xf numFmtId="0" fontId="25" fillId="36" borderId="30" xfId="934" applyFont="1" applyFill="1" applyBorder="1"/>
    <xf numFmtId="38" fontId="3" fillId="36" borderId="20" xfId="65" applyNumberFormat="1" applyFont="1" applyFill="1" applyBorder="1"/>
    <xf numFmtId="9" fontId="3" fillId="36" borderId="20" xfId="1046" applyFont="1" applyFill="1" applyBorder="1"/>
    <xf numFmtId="9" fontId="3" fillId="36" borderId="31" xfId="1046" applyFont="1" applyFill="1" applyBorder="1"/>
    <xf numFmtId="0" fontId="3" fillId="0" borderId="0" xfId="934" applyFont="1" applyAlignment="1">
      <alignment horizontal="left" vertical="center" wrapText="1" indent="1"/>
    </xf>
    <xf numFmtId="1" fontId="0" fillId="0" borderId="0" xfId="0" applyNumberFormat="1" applyAlignment="1">
      <alignment horizontal="center"/>
    </xf>
    <xf numFmtId="191" fontId="2" fillId="0" borderId="0" xfId="882" applyNumberFormat="1" applyFont="1" applyAlignment="1">
      <alignment horizontal="center" vertical="center"/>
    </xf>
    <xf numFmtId="195" fontId="3" fillId="0" borderId="0" xfId="0" applyNumberFormat="1" applyFont="1" applyAlignment="1">
      <alignment horizontal="right" vertical="center"/>
    </xf>
    <xf numFmtId="191" fontId="0" fillId="0" borderId="0" xfId="882" applyNumberFormat="1" applyFont="1" applyAlignment="1">
      <alignment horizontal="right" vertical="center"/>
    </xf>
    <xf numFmtId="38" fontId="2" fillId="0" borderId="0" xfId="0" applyNumberFormat="1" applyFont="1" applyAlignment="1">
      <alignment horizontal="left" indent="1"/>
    </xf>
    <xf numFmtId="170" fontId="7" fillId="0" borderId="20" xfId="0" applyNumberFormat="1" applyFont="1" applyBorder="1"/>
    <xf numFmtId="10" fontId="3" fillId="0" borderId="0" xfId="1048" applyNumberFormat="1" applyFont="1" applyFill="1" applyAlignment="1" applyProtection="1">
      <alignment horizontal="center"/>
    </xf>
    <xf numFmtId="173" fontId="3" fillId="0" borderId="0" xfId="1048" applyNumberFormat="1" applyFont="1" applyFill="1" applyBorder="1" applyProtection="1"/>
    <xf numFmtId="9" fontId="3" fillId="0" borderId="0" xfId="1048" applyFont="1" applyFill="1" applyBorder="1" applyProtection="1"/>
    <xf numFmtId="9" fontId="3" fillId="0" borderId="0" xfId="1048" applyFont="1" applyFill="1" applyAlignment="1">
      <alignment horizontal="center"/>
    </xf>
    <xf numFmtId="3" fontId="8" fillId="0" borderId="0" xfId="0" applyNumberFormat="1" applyFont="1"/>
    <xf numFmtId="3" fontId="7" fillId="0" borderId="13" xfId="126" applyNumberFormat="1" applyFont="1" applyBorder="1" applyProtection="1"/>
    <xf numFmtId="3" fontId="88" fillId="0" borderId="0" xfId="0" applyNumberFormat="1" applyFont="1"/>
    <xf numFmtId="3" fontId="8" fillId="0" borderId="0" xfId="0" applyNumberFormat="1" applyFont="1" applyProtection="1">
      <protection locked="0"/>
    </xf>
    <xf numFmtId="3" fontId="7" fillId="0" borderId="13" xfId="0" applyNumberFormat="1" applyFont="1" applyBorder="1"/>
    <xf numFmtId="3" fontId="8" fillId="0" borderId="20" xfId="0" applyNumberFormat="1" applyFont="1" applyBorder="1"/>
    <xf numFmtId="3" fontId="7" fillId="0" borderId="20" xfId="0" applyNumberFormat="1" applyFont="1" applyBorder="1"/>
    <xf numFmtId="0" fontId="104" fillId="55" borderId="0" xfId="0" applyFont="1" applyFill="1"/>
    <xf numFmtId="0" fontId="0" fillId="55" borderId="0" xfId="0" applyFill="1"/>
    <xf numFmtId="9" fontId="2" fillId="55" borderId="0" xfId="1048" applyFont="1" applyFill="1"/>
    <xf numFmtId="0" fontId="4" fillId="55" borderId="41" xfId="0" applyFont="1" applyFill="1" applyBorder="1"/>
    <xf numFmtId="0" fontId="97" fillId="55" borderId="0" xfId="0" applyFont="1" applyFill="1"/>
    <xf numFmtId="0" fontId="105" fillId="55" borderId="72" xfId="0" applyFont="1" applyFill="1" applyBorder="1"/>
    <xf numFmtId="0" fontId="105" fillId="55" borderId="73" xfId="0" applyFont="1" applyFill="1" applyBorder="1"/>
    <xf numFmtId="0" fontId="4" fillId="55" borderId="39" xfId="0" applyFont="1" applyFill="1" applyBorder="1" applyAlignment="1">
      <alignment vertical="center"/>
    </xf>
    <xf numFmtId="9" fontId="2" fillId="55" borderId="41" xfId="1048" applyFont="1" applyFill="1" applyBorder="1"/>
    <xf numFmtId="0" fontId="3" fillId="55" borderId="42" xfId="0" applyFont="1" applyFill="1" applyBorder="1" applyAlignment="1">
      <alignment vertical="center"/>
    </xf>
    <xf numFmtId="9" fontId="2" fillId="55" borderId="74" xfId="1048" applyFont="1" applyFill="1" applyBorder="1"/>
    <xf numFmtId="0" fontId="3" fillId="55" borderId="37" xfId="0" applyFont="1" applyFill="1" applyBorder="1" applyAlignment="1">
      <alignment vertical="center"/>
    </xf>
    <xf numFmtId="9" fontId="20" fillId="55" borderId="32" xfId="1048" applyFont="1" applyFill="1" applyBorder="1"/>
    <xf numFmtId="43" fontId="20" fillId="36" borderId="75" xfId="126" applyFont="1" applyFill="1" applyBorder="1"/>
    <xf numFmtId="0" fontId="106" fillId="55" borderId="0" xfId="0" applyFont="1" applyFill="1"/>
    <xf numFmtId="0" fontId="107" fillId="55" borderId="0" xfId="0" applyFont="1" applyFill="1"/>
    <xf numFmtId="0" fontId="4" fillId="55" borderId="37" xfId="0" applyFont="1" applyFill="1" applyBorder="1" applyAlignment="1">
      <alignment vertical="center"/>
    </xf>
    <xf numFmtId="43" fontId="4" fillId="55" borderId="41" xfId="126" applyFont="1" applyFill="1" applyBorder="1"/>
    <xf numFmtId="10" fontId="20" fillId="36" borderId="74" xfId="1048" applyNumberFormat="1" applyFont="1" applyFill="1" applyBorder="1"/>
    <xf numFmtId="10" fontId="20" fillId="36" borderId="32" xfId="1048" applyNumberFormat="1" applyFont="1" applyFill="1" applyBorder="1"/>
    <xf numFmtId="10" fontId="20" fillId="36" borderId="75" xfId="1048" applyNumberFormat="1" applyFont="1" applyFill="1" applyBorder="1"/>
    <xf numFmtId="10" fontId="4" fillId="55" borderId="41" xfId="1048" applyNumberFormat="1" applyFont="1" applyFill="1" applyBorder="1"/>
    <xf numFmtId="10" fontId="20" fillId="55" borderId="75" xfId="1048" applyNumberFormat="1" applyFont="1" applyFill="1" applyBorder="1"/>
    <xf numFmtId="0" fontId="0" fillId="55" borderId="0" xfId="0" applyFill="1" applyAlignment="1">
      <alignment horizontal="right"/>
    </xf>
    <xf numFmtId="0" fontId="104" fillId="68" borderId="0" xfId="0" applyFont="1" applyFill="1"/>
    <xf numFmtId="0" fontId="0" fillId="68" borderId="0" xfId="0" applyFill="1"/>
    <xf numFmtId="10" fontId="88" fillId="36" borderId="41" xfId="0" applyNumberFormat="1" applyFont="1" applyFill="1" applyBorder="1"/>
    <xf numFmtId="170" fontId="3" fillId="0" borderId="0" xfId="0" applyNumberFormat="1" applyFont="1" applyAlignment="1">
      <alignment horizontal="right"/>
    </xf>
    <xf numFmtId="173" fontId="3" fillId="0" borderId="0" xfId="0" applyNumberFormat="1" applyFont="1" applyAlignment="1">
      <alignment horizontal="right"/>
    </xf>
    <xf numFmtId="9" fontId="3" fillId="0" borderId="0" xfId="1048" applyFont="1" applyAlignment="1" applyProtection="1">
      <alignment horizontal="right"/>
    </xf>
    <xf numFmtId="173" fontId="3" fillId="0" borderId="0" xfId="1048" applyNumberFormat="1" applyFont="1" applyFill="1" applyAlignment="1" applyProtection="1">
      <alignment horizontal="right"/>
    </xf>
    <xf numFmtId="170" fontId="7" fillId="0" borderId="0" xfId="0" applyNumberFormat="1" applyFont="1" applyAlignment="1">
      <alignment horizontal="right"/>
    </xf>
    <xf numFmtId="173" fontId="7" fillId="0" borderId="0" xfId="0" applyNumberFormat="1" applyFont="1" applyAlignment="1">
      <alignment horizontal="right"/>
    </xf>
    <xf numFmtId="170" fontId="8" fillId="0" borderId="20" xfId="0" applyNumberFormat="1" applyFont="1" applyBorder="1" applyAlignment="1">
      <alignment horizontal="right"/>
    </xf>
    <xf numFmtId="170" fontId="8" fillId="0" borderId="0" xfId="0" applyNumberFormat="1" applyFont="1" applyAlignment="1" applyProtection="1">
      <alignment horizontal="right"/>
      <protection locked="0"/>
    </xf>
    <xf numFmtId="170" fontId="7" fillId="0" borderId="14" xfId="0" applyNumberFormat="1" applyFont="1" applyBorder="1" applyAlignment="1">
      <alignment horizontal="right"/>
    </xf>
    <xf numFmtId="9" fontId="7" fillId="0" borderId="0" xfId="1048" applyFont="1" applyAlignment="1" applyProtection="1">
      <alignment horizontal="right"/>
    </xf>
    <xf numFmtId="173" fontId="7" fillId="0" borderId="0" xfId="1048" applyNumberFormat="1" applyFont="1" applyAlignment="1" applyProtection="1">
      <alignment horizontal="right"/>
    </xf>
    <xf numFmtId="170" fontId="0" fillId="0" borderId="0" xfId="0" applyNumberFormat="1" applyAlignment="1" applyProtection="1">
      <alignment horizontal="right"/>
      <protection locked="0"/>
    </xf>
    <xf numFmtId="9" fontId="3" fillId="0" borderId="0" xfId="1048" applyFont="1" applyFill="1" applyAlignment="1" applyProtection="1">
      <alignment horizontal="right"/>
    </xf>
    <xf numFmtId="0" fontId="108" fillId="55" borderId="0" xfId="0" applyFont="1" applyFill="1"/>
    <xf numFmtId="0" fontId="2" fillId="0" borderId="42" xfId="0" applyFont="1" applyBorder="1"/>
    <xf numFmtId="170" fontId="2" fillId="0" borderId="0" xfId="0" applyNumberFormat="1" applyFont="1" applyProtection="1">
      <protection locked="0"/>
    </xf>
    <xf numFmtId="170" fontId="2" fillId="0" borderId="0" xfId="0" quotePrefix="1" applyNumberFormat="1" applyFont="1" applyProtection="1">
      <protection locked="0"/>
    </xf>
    <xf numFmtId="170" fontId="2" fillId="0" borderId="15" xfId="0" applyNumberFormat="1" applyFont="1" applyBorder="1" applyProtection="1">
      <protection locked="0"/>
    </xf>
    <xf numFmtId="170" fontId="2" fillId="0" borderId="0" xfId="0" applyNumberFormat="1" applyFont="1"/>
    <xf numFmtId="170" fontId="2" fillId="0" borderId="13" xfId="0" applyNumberFormat="1" applyFont="1" applyBorder="1"/>
    <xf numFmtId="170" fontId="2" fillId="0" borderId="21" xfId="0" applyNumberFormat="1" applyFont="1" applyBorder="1"/>
    <xf numFmtId="37" fontId="2" fillId="0" borderId="0" xfId="0" applyNumberFormat="1" applyFont="1" applyAlignment="1">
      <alignment horizontal="center"/>
    </xf>
    <xf numFmtId="170" fontId="2" fillId="0" borderId="0" xfId="0" applyNumberFormat="1" applyFont="1" applyAlignment="1">
      <alignment horizontal="center"/>
    </xf>
    <xf numFmtId="9" fontId="2" fillId="0" borderId="0" xfId="1048" applyFont="1" applyAlignment="1" applyProtection="1">
      <alignment horizontal="center"/>
    </xf>
    <xf numFmtId="9" fontId="2" fillId="36" borderId="0" xfId="1048" applyFont="1" applyFill="1" applyProtection="1"/>
    <xf numFmtId="170" fontId="2" fillId="20" borderId="19" xfId="0" applyNumberFormat="1" applyFont="1" applyFill="1" applyBorder="1" applyAlignment="1">
      <alignment horizontal="center"/>
    </xf>
    <xf numFmtId="170" fontId="2" fillId="20" borderId="0" xfId="0" applyNumberFormat="1" applyFont="1" applyFill="1" applyAlignment="1">
      <alignment horizontal="center"/>
    </xf>
    <xf numFmtId="9" fontId="2" fillId="0" borderId="0" xfId="1048" applyFont="1" applyFill="1" applyAlignment="1" applyProtection="1">
      <alignment horizontal="center"/>
    </xf>
    <xf numFmtId="173" fontId="2" fillId="0" borderId="0" xfId="1048" applyNumberFormat="1" applyFont="1" applyFill="1" applyAlignment="1">
      <alignment horizontal="center"/>
    </xf>
    <xf numFmtId="10" fontId="2" fillId="0" borderId="0" xfId="1048" applyNumberFormat="1" applyFont="1" applyFill="1" applyAlignment="1" applyProtection="1">
      <alignment horizontal="center"/>
    </xf>
    <xf numFmtId="173" fontId="2" fillId="0" borderId="0" xfId="1048" applyNumberFormat="1" applyFont="1" applyFill="1" applyAlignment="1" applyProtection="1">
      <alignment horizontal="center"/>
    </xf>
    <xf numFmtId="173" fontId="2" fillId="0" borderId="0" xfId="1048" applyNumberFormat="1" applyFont="1" applyFill="1" applyBorder="1" applyProtection="1"/>
    <xf numFmtId="9" fontId="2" fillId="0" borderId="0" xfId="1048" applyFont="1" applyFill="1" applyBorder="1" applyProtection="1"/>
    <xf numFmtId="9" fontId="2" fillId="0" borderId="0" xfId="1048" applyFont="1" applyFill="1" applyAlignment="1">
      <alignment horizontal="center"/>
    </xf>
    <xf numFmtId="0" fontId="2" fillId="0" borderId="0" xfId="0" applyFont="1" applyProtection="1">
      <protection locked="0"/>
    </xf>
    <xf numFmtId="3" fontId="2" fillId="0" borderId="0" xfId="0" applyNumberFormat="1" applyFont="1" applyProtection="1">
      <protection locked="0"/>
    </xf>
    <xf numFmtId="9" fontId="2" fillId="0" borderId="0" xfId="1048" applyFont="1" applyFill="1" applyAlignment="1" applyProtection="1">
      <alignment horizontal="right"/>
    </xf>
    <xf numFmtId="1" fontId="2" fillId="0" borderId="0" xfId="1048" applyNumberFormat="1" applyFont="1" applyFill="1" applyAlignment="1" applyProtection="1">
      <alignment horizontal="center"/>
    </xf>
    <xf numFmtId="9" fontId="2" fillId="37" borderId="36" xfId="1048" applyFont="1" applyFill="1" applyBorder="1" applyAlignment="1">
      <alignment horizontal="center"/>
    </xf>
    <xf numFmtId="9" fontId="2" fillId="0" borderId="36" xfId="1048" applyFont="1" applyFill="1" applyBorder="1" applyAlignment="1">
      <alignment horizontal="center"/>
    </xf>
    <xf numFmtId="173" fontId="2" fillId="0" borderId="0" xfId="1048" applyNumberFormat="1" applyFont="1" applyFill="1" applyAlignment="1" applyProtection="1">
      <alignment horizontal="right"/>
    </xf>
    <xf numFmtId="9" fontId="2" fillId="0" borderId="0" xfId="1046" applyFont="1" applyBorder="1"/>
    <xf numFmtId="9" fontId="2" fillId="0" borderId="35" xfId="1046" applyFont="1" applyBorder="1"/>
    <xf numFmtId="9" fontId="2" fillId="0" borderId="0" xfId="1046" applyFont="1" applyFill="1" applyBorder="1"/>
    <xf numFmtId="9" fontId="2" fillId="53" borderId="0" xfId="1046" applyFont="1" applyFill="1" applyBorder="1"/>
    <xf numFmtId="9" fontId="2" fillId="53" borderId="35" xfId="1046" applyFont="1" applyFill="1" applyBorder="1"/>
    <xf numFmtId="173" fontId="2" fillId="0" borderId="0" xfId="1046" applyNumberFormat="1" applyFont="1" applyBorder="1"/>
    <xf numFmtId="10" fontId="24" fillId="0" borderId="0" xfId="0" applyNumberFormat="1" applyFont="1" applyAlignment="1">
      <alignment horizontal="center"/>
    </xf>
    <xf numFmtId="9" fontId="2" fillId="0" borderId="0" xfId="1048" applyFont="1" applyAlignment="1">
      <alignment horizontal="center"/>
    </xf>
    <xf numFmtId="10" fontId="2" fillId="0" borderId="0" xfId="1048" applyNumberFormat="1" applyFont="1" applyAlignment="1">
      <alignment horizontal="center"/>
    </xf>
    <xf numFmtId="173" fontId="2" fillId="37" borderId="0" xfId="1048" applyNumberFormat="1" applyFont="1" applyFill="1" applyAlignment="1">
      <alignment horizontal="center"/>
    </xf>
    <xf numFmtId="173" fontId="2" fillId="37" borderId="0" xfId="1048" applyNumberFormat="1" applyFont="1" applyFill="1"/>
    <xf numFmtId="38" fontId="2" fillId="38" borderId="0" xfId="0" applyNumberFormat="1" applyFont="1" applyFill="1"/>
    <xf numFmtId="38" fontId="2" fillId="36" borderId="0" xfId="0" applyNumberFormat="1" applyFont="1" applyFill="1"/>
    <xf numFmtId="169" fontId="2" fillId="36" borderId="0" xfId="1048" applyNumberFormat="1" applyFont="1" applyFill="1"/>
    <xf numFmtId="168" fontId="2" fillId="0" borderId="0" xfId="1048" applyNumberFormat="1" applyFont="1" applyFill="1" applyAlignment="1">
      <alignment horizontal="center"/>
    </xf>
    <xf numFmtId="169" fontId="2" fillId="0" borderId="0" xfId="1048" applyNumberFormat="1" applyFont="1" applyFill="1"/>
    <xf numFmtId="168" fontId="2" fillId="36" borderId="0" xfId="1048" applyNumberFormat="1" applyFont="1" applyFill="1" applyAlignment="1">
      <alignment horizontal="center"/>
    </xf>
    <xf numFmtId="10" fontId="2" fillId="36" borderId="0" xfId="1048" applyNumberFormat="1" applyFont="1" applyFill="1" applyAlignment="1">
      <alignment horizontal="center"/>
    </xf>
    <xf numFmtId="10" fontId="2" fillId="0" borderId="0" xfId="1048" applyNumberFormat="1" applyFont="1" applyFill="1" applyAlignment="1">
      <alignment horizontal="center"/>
    </xf>
    <xf numFmtId="37" fontId="17" fillId="0" borderId="0" xfId="0" applyNumberFormat="1" applyFont="1" applyAlignment="1">
      <alignment horizontal="center"/>
    </xf>
    <xf numFmtId="3" fontId="17" fillId="0" borderId="0" xfId="0" applyNumberFormat="1" applyFont="1"/>
    <xf numFmtId="10" fontId="2" fillId="38" borderId="0" xfId="1048" applyNumberFormat="1" applyFont="1" applyFill="1"/>
    <xf numFmtId="10" fontId="2" fillId="38" borderId="0" xfId="1048" applyNumberFormat="1" applyFont="1" applyFill="1" applyAlignment="1" applyProtection="1">
      <alignment horizontal="center"/>
    </xf>
    <xf numFmtId="173" fontId="2" fillId="38" borderId="0" xfId="1048" applyNumberFormat="1" applyFont="1" applyFill="1" applyAlignment="1" applyProtection="1">
      <alignment horizontal="center"/>
    </xf>
    <xf numFmtId="10" fontId="2" fillId="0" borderId="0" xfId="1048" applyNumberFormat="1" applyFont="1" applyFill="1"/>
    <xf numFmtId="170" fontId="2" fillId="36" borderId="0" xfId="0" applyNumberFormat="1" applyFont="1" applyFill="1"/>
    <xf numFmtId="173" fontId="2" fillId="38" borderId="0" xfId="1048" applyNumberFormat="1" applyFont="1" applyFill="1" applyBorder="1" applyProtection="1"/>
    <xf numFmtId="9" fontId="2" fillId="38" borderId="0" xfId="1048" applyFont="1" applyFill="1" applyBorder="1" applyProtection="1"/>
    <xf numFmtId="170" fontId="2" fillId="36" borderId="0" xfId="0" applyNumberFormat="1" applyFont="1" applyFill="1" applyAlignment="1">
      <alignment horizontal="center"/>
    </xf>
    <xf numFmtId="10" fontId="2" fillId="36" borderId="0" xfId="1048" applyNumberFormat="1" applyFont="1" applyFill="1" applyAlignment="1" applyProtection="1">
      <alignment horizontal="center"/>
    </xf>
    <xf numFmtId="37" fontId="2" fillId="36" borderId="0" xfId="0" applyNumberFormat="1" applyFont="1" applyFill="1" applyAlignment="1">
      <alignment horizontal="center"/>
    </xf>
    <xf numFmtId="9" fontId="2" fillId="36" borderId="0" xfId="1048" applyFont="1" applyFill="1" applyAlignment="1" applyProtection="1">
      <alignment horizontal="center"/>
    </xf>
    <xf numFmtId="10" fontId="2" fillId="36" borderId="0" xfId="1048" applyNumberFormat="1" applyFont="1" applyFill="1"/>
    <xf numFmtId="9" fontId="2" fillId="36" borderId="0" xfId="1048" applyFont="1" applyFill="1"/>
    <xf numFmtId="9" fontId="2" fillId="36" borderId="0" xfId="1048" applyFont="1" applyFill="1" applyAlignment="1">
      <alignment horizontal="center"/>
    </xf>
    <xf numFmtId="173" fontId="2" fillId="36" borderId="0" xfId="1048" applyNumberFormat="1" applyFont="1" applyFill="1" applyAlignment="1">
      <alignment horizontal="center"/>
    </xf>
    <xf numFmtId="0" fontId="2" fillId="0" borderId="0" xfId="1048" applyNumberFormat="1" applyFont="1" applyAlignment="1" applyProtection="1">
      <alignment horizontal="center"/>
    </xf>
    <xf numFmtId="10" fontId="2" fillId="0" borderId="0" xfId="1048" applyNumberFormat="1" applyFont="1" applyAlignment="1" applyProtection="1">
      <alignment horizontal="center"/>
    </xf>
    <xf numFmtId="173" fontId="2" fillId="0" borderId="0" xfId="1048" applyNumberFormat="1" applyFont="1" applyAlignment="1" applyProtection="1">
      <alignment horizontal="center"/>
    </xf>
    <xf numFmtId="9" fontId="2" fillId="37" borderId="0" xfId="1048" applyFont="1" applyFill="1" applyBorder="1" applyProtection="1"/>
    <xf numFmtId="167" fontId="2" fillId="36" borderId="0" xfId="882" applyFont="1" applyFill="1"/>
    <xf numFmtId="9" fontId="2" fillId="36" borderId="36" xfId="1048" applyFont="1" applyFill="1" applyBorder="1"/>
    <xf numFmtId="9" fontId="2" fillId="37" borderId="36" xfId="1048" applyFont="1" applyFill="1" applyBorder="1"/>
    <xf numFmtId="10" fontId="2" fillId="36" borderId="32" xfId="1048" applyNumberFormat="1" applyFont="1" applyFill="1" applyBorder="1"/>
    <xf numFmtId="9" fontId="2" fillId="0" borderId="36" xfId="1048" applyFont="1" applyFill="1" applyBorder="1"/>
    <xf numFmtId="3" fontId="2" fillId="40" borderId="40" xfId="0" applyNumberFormat="1" applyFont="1" applyFill="1" applyBorder="1" applyAlignment="1">
      <alignment horizontal="right"/>
    </xf>
    <xf numFmtId="3" fontId="2" fillId="37" borderId="40" xfId="0" applyNumberFormat="1" applyFont="1" applyFill="1" applyBorder="1" applyAlignment="1">
      <alignment horizontal="right"/>
    </xf>
    <xf numFmtId="3" fontId="2" fillId="40" borderId="34" xfId="0" applyNumberFormat="1" applyFont="1" applyFill="1" applyBorder="1" applyAlignment="1">
      <alignment horizontal="right"/>
    </xf>
    <xf numFmtId="3" fontId="2" fillId="0" borderId="30" xfId="0" applyNumberFormat="1" applyFont="1" applyBorder="1" applyAlignment="1">
      <alignment horizontal="right"/>
    </xf>
    <xf numFmtId="3" fontId="2" fillId="0" borderId="20" xfId="0" applyNumberFormat="1" applyFont="1" applyBorder="1" applyAlignment="1">
      <alignment horizontal="right"/>
    </xf>
    <xf numFmtId="3" fontId="2" fillId="0" borderId="31" xfId="0" applyNumberFormat="1" applyFont="1" applyBorder="1" applyAlignment="1">
      <alignment horizontal="right"/>
    </xf>
    <xf numFmtId="3" fontId="2" fillId="37" borderId="34" xfId="0" applyNumberFormat="1" applyFont="1" applyFill="1" applyBorder="1" applyAlignment="1">
      <alignment horizontal="right"/>
    </xf>
    <xf numFmtId="3" fontId="2" fillId="40" borderId="40" xfId="0" applyNumberFormat="1" applyFont="1" applyFill="1" applyBorder="1"/>
    <xf numFmtId="3" fontId="2" fillId="0" borderId="29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3" fontId="2" fillId="0" borderId="33" xfId="0" applyNumberFormat="1" applyFont="1" applyBorder="1" applyAlignment="1">
      <alignment horizontal="right"/>
    </xf>
    <xf numFmtId="3" fontId="2" fillId="0" borderId="40" xfId="0" applyNumberFormat="1" applyFont="1" applyBorder="1" applyAlignment="1">
      <alignment horizontal="right"/>
    </xf>
    <xf numFmtId="3" fontId="2" fillId="40" borderId="29" xfId="0" applyNumberFormat="1" applyFont="1" applyFill="1" applyBorder="1"/>
    <xf numFmtId="0" fontId="2" fillId="0" borderId="35" xfId="0" applyFont="1" applyBorder="1" applyAlignment="1">
      <alignment horizontal="right"/>
    </xf>
    <xf numFmtId="3" fontId="2" fillId="40" borderId="0" xfId="0" applyNumberFormat="1" applyFont="1" applyFill="1"/>
    <xf numFmtId="3" fontId="2" fillId="40" borderId="35" xfId="0" applyNumberFormat="1" applyFont="1" applyFill="1" applyBorder="1"/>
    <xf numFmtId="43" fontId="2" fillId="40" borderId="0" xfId="126" applyFont="1" applyFill="1"/>
    <xf numFmtId="0" fontId="3" fillId="53" borderId="0" xfId="0" applyFont="1" applyFill="1" applyAlignment="1">
      <alignment horizontal="center"/>
    </xf>
    <xf numFmtId="191" fontId="2" fillId="69" borderId="0" xfId="882" applyNumberFormat="1" applyFont="1" applyFill="1" applyAlignment="1">
      <alignment horizontal="left" indent="1"/>
    </xf>
    <xf numFmtId="0" fontId="6" fillId="69" borderId="0" xfId="934" applyFont="1" applyFill="1" applyAlignment="1">
      <alignment horizontal="left" vertical="center" wrapText="1" indent="2"/>
    </xf>
    <xf numFmtId="0" fontId="2" fillId="70" borderId="0" xfId="934" applyFont="1" applyFill="1" applyAlignment="1">
      <alignment horizontal="left" vertical="center" wrapText="1" indent="2"/>
    </xf>
    <xf numFmtId="191" fontId="2" fillId="70" borderId="0" xfId="882" applyNumberFormat="1" applyFont="1" applyFill="1" applyAlignment="1">
      <alignment horizontal="left" indent="1"/>
    </xf>
    <xf numFmtId="0" fontId="0" fillId="70" borderId="0" xfId="934" applyFont="1" applyFill="1" applyAlignment="1">
      <alignment horizontal="left" vertical="center" wrapText="1" indent="1"/>
    </xf>
    <xf numFmtId="0" fontId="2" fillId="0" borderId="0" xfId="1310" applyAlignment="1">
      <alignment horizontal="right"/>
    </xf>
    <xf numFmtId="9" fontId="0" fillId="70" borderId="0" xfId="0" applyNumberFormat="1" applyFill="1"/>
    <xf numFmtId="0" fontId="109" fillId="0" borderId="0" xfId="1310" applyFont="1" applyAlignment="1">
      <alignment vertical="center"/>
    </xf>
    <xf numFmtId="0" fontId="2" fillId="71" borderId="0" xfId="0" applyFont="1" applyFill="1"/>
    <xf numFmtId="9" fontId="2" fillId="71" borderId="0" xfId="1048" applyFont="1" applyFill="1" applyAlignment="1">
      <alignment horizontal="center" vertical="center"/>
    </xf>
    <xf numFmtId="3" fontId="2" fillId="71" borderId="0" xfId="0" applyNumberFormat="1" applyFont="1" applyFill="1"/>
    <xf numFmtId="4" fontId="2" fillId="71" borderId="0" xfId="0" applyNumberFormat="1" applyFont="1" applyFill="1"/>
    <xf numFmtId="3" fontId="2" fillId="71" borderId="0" xfId="0" applyNumberFormat="1" applyFont="1" applyFill="1" applyAlignment="1">
      <alignment horizontal="center"/>
    </xf>
    <xf numFmtId="9" fontId="2" fillId="0" borderId="0" xfId="1048" applyFont="1" applyFill="1" applyAlignment="1">
      <alignment horizontal="center" vertical="center"/>
    </xf>
    <xf numFmtId="0" fontId="2" fillId="71" borderId="0" xfId="0" applyFont="1" applyFill="1" applyAlignment="1">
      <alignment horizontal="left"/>
    </xf>
    <xf numFmtId="10" fontId="0" fillId="36" borderId="0" xfId="1048" applyNumberFormat="1" applyFont="1" applyFill="1"/>
    <xf numFmtId="0" fontId="16" fillId="0" borderId="0" xfId="0" applyFont="1" applyAlignment="1">
      <alignment vertical="center"/>
    </xf>
    <xf numFmtId="0" fontId="110" fillId="0" borderId="0" xfId="0" applyFont="1" applyAlignment="1">
      <alignment horizontal="left" indent="1"/>
    </xf>
    <xf numFmtId="3" fontId="3" fillId="71" borderId="0" xfId="0" applyNumberFormat="1" applyFont="1" applyFill="1" applyAlignment="1">
      <alignment horizontal="center"/>
    </xf>
    <xf numFmtId="0" fontId="3" fillId="71" borderId="0" xfId="0" applyFont="1" applyFill="1" applyAlignment="1">
      <alignment horizontal="center"/>
    </xf>
    <xf numFmtId="170" fontId="88" fillId="71" borderId="0" xfId="0" applyNumberFormat="1" applyFont="1" applyFill="1"/>
    <xf numFmtId="191" fontId="101" fillId="71" borderId="0" xfId="882" applyNumberFormat="1" applyFont="1" applyFill="1" applyBorder="1" applyAlignment="1">
      <alignment horizontal="right"/>
    </xf>
    <xf numFmtId="191" fontId="101" fillId="71" borderId="0" xfId="0" applyNumberFormat="1" applyFont="1" applyFill="1" applyAlignment="1">
      <alignment horizontal="center" vertical="center"/>
    </xf>
    <xf numFmtId="10" fontId="3" fillId="53" borderId="0" xfId="0" applyNumberFormat="1" applyFont="1" applyFill="1"/>
    <xf numFmtId="0" fontId="3" fillId="53" borderId="0" xfId="0" applyFont="1" applyFill="1"/>
    <xf numFmtId="191" fontId="3" fillId="53" borderId="0" xfId="882" applyNumberFormat="1" applyFont="1" applyFill="1"/>
    <xf numFmtId="9" fontId="3" fillId="53" borderId="0" xfId="1048" applyFont="1" applyFill="1"/>
    <xf numFmtId="191" fontId="95" fillId="68" borderId="0" xfId="882" applyNumberFormat="1" applyFont="1" applyFill="1" applyAlignment="1">
      <alignment vertical="center"/>
    </xf>
    <xf numFmtId="38" fontId="16" fillId="0" borderId="0" xfId="0" applyNumberFormat="1" applyFont="1"/>
    <xf numFmtId="0" fontId="3" fillId="54" borderId="0" xfId="934" applyFont="1" applyFill="1" applyAlignment="1">
      <alignment horizontal="center"/>
    </xf>
    <xf numFmtId="2" fontId="3" fillId="39" borderId="0" xfId="0" applyNumberFormat="1" applyFont="1" applyFill="1"/>
    <xf numFmtId="191" fontId="95" fillId="68" borderId="0" xfId="0" applyNumberFormat="1" applyFont="1" applyFill="1" applyAlignment="1">
      <alignment vertical="center"/>
    </xf>
    <xf numFmtId="191" fontId="88" fillId="36" borderId="41" xfId="882" applyNumberFormat="1" applyFont="1" applyFill="1" applyBorder="1"/>
    <xf numFmtId="0" fontId="68" fillId="66" borderId="70" xfId="0" applyFont="1" applyFill="1" applyBorder="1" applyAlignment="1">
      <alignment horizontal="center"/>
    </xf>
    <xf numFmtId="0" fontId="68" fillId="66" borderId="20" xfId="0" applyFont="1" applyFill="1" applyBorder="1" applyAlignment="1">
      <alignment horizontal="center"/>
    </xf>
    <xf numFmtId="0" fontId="68" fillId="66" borderId="7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2" fillId="0" borderId="26" xfId="1310" applyBorder="1" applyAlignment="1">
      <alignment horizontal="center"/>
    </xf>
    <xf numFmtId="0" fontId="2" fillId="0" borderId="27" xfId="1310" applyBorder="1" applyAlignment="1">
      <alignment horizontal="center"/>
    </xf>
    <xf numFmtId="0" fontId="2" fillId="0" borderId="28" xfId="1310" applyBorder="1" applyAlignment="1">
      <alignment horizontal="center"/>
    </xf>
    <xf numFmtId="0" fontId="3" fillId="0" borderId="33" xfId="1310" applyFont="1" applyBorder="1" applyAlignment="1">
      <alignment horizontal="center" vertical="center" textRotation="90" wrapText="1"/>
    </xf>
    <xf numFmtId="0" fontId="3" fillId="0" borderId="40" xfId="1310" applyFont="1" applyBorder="1" applyAlignment="1">
      <alignment horizontal="center" vertical="center" textRotation="90" wrapText="1"/>
    </xf>
    <xf numFmtId="0" fontId="3" fillId="0" borderId="34" xfId="1310" applyFont="1" applyBorder="1" applyAlignment="1">
      <alignment horizontal="center" vertical="center" textRotation="90" wrapText="1"/>
    </xf>
    <xf numFmtId="0" fontId="3" fillId="46" borderId="58" xfId="1310" applyFont="1" applyFill="1" applyBorder="1" applyAlignment="1">
      <alignment horizontal="center" vertical="center"/>
    </xf>
    <xf numFmtId="0" fontId="3" fillId="46" borderId="21" xfId="1310" applyFont="1" applyFill="1" applyBorder="1" applyAlignment="1">
      <alignment horizontal="center" vertical="center"/>
    </xf>
    <xf numFmtId="0" fontId="3" fillId="46" borderId="57" xfId="1310" applyFont="1" applyFill="1" applyBorder="1" applyAlignment="1">
      <alignment horizontal="center" vertical="center"/>
    </xf>
    <xf numFmtId="0" fontId="99" fillId="0" borderId="26" xfId="1310" applyFont="1" applyBorder="1" applyAlignment="1">
      <alignment horizontal="left" vertical="top" wrapText="1"/>
    </xf>
    <xf numFmtId="0" fontId="99" fillId="0" borderId="27" xfId="1310" applyFont="1" applyBorder="1" applyAlignment="1">
      <alignment horizontal="left" vertical="top"/>
    </xf>
    <xf numFmtId="0" fontId="99" fillId="0" borderId="28" xfId="1310" applyFont="1" applyBorder="1" applyAlignment="1">
      <alignment horizontal="left" vertical="top"/>
    </xf>
    <xf numFmtId="0" fontId="99" fillId="0" borderId="29" xfId="1310" applyFont="1" applyBorder="1" applyAlignment="1">
      <alignment horizontal="left" vertical="top" wrapText="1"/>
    </xf>
    <xf numFmtId="0" fontId="99" fillId="0" borderId="0" xfId="1310" applyFont="1" applyAlignment="1">
      <alignment horizontal="left" vertical="top"/>
    </xf>
    <xf numFmtId="0" fontId="99" fillId="0" borderId="35" xfId="1310" applyFont="1" applyBorder="1" applyAlignment="1">
      <alignment horizontal="left" vertical="top"/>
    </xf>
    <xf numFmtId="0" fontId="99" fillId="0" borderId="29" xfId="1310" applyFont="1" applyBorder="1" applyAlignment="1">
      <alignment horizontal="left" vertical="top"/>
    </xf>
    <xf numFmtId="0" fontId="99" fillId="0" borderId="30" xfId="1310" applyFont="1" applyBorder="1" applyAlignment="1">
      <alignment horizontal="left" vertical="top"/>
    </xf>
    <xf numFmtId="0" fontId="99" fillId="0" borderId="20" xfId="1310" applyFont="1" applyBorder="1" applyAlignment="1">
      <alignment horizontal="left" vertical="top"/>
    </xf>
    <xf numFmtId="0" fontId="99" fillId="0" borderId="31" xfId="1310" applyFont="1" applyBorder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26" xfId="934" applyFont="1" applyBorder="1" applyAlignment="1">
      <alignment horizontal="center"/>
    </xf>
    <xf numFmtId="0" fontId="4" fillId="0" borderId="27" xfId="934" applyFont="1" applyBorder="1" applyAlignment="1">
      <alignment horizontal="center"/>
    </xf>
    <xf numFmtId="0" fontId="4" fillId="0" borderId="28" xfId="934" applyFont="1" applyBorder="1" applyAlignment="1">
      <alignment horizontal="center"/>
    </xf>
    <xf numFmtId="0" fontId="4" fillId="0" borderId="29" xfId="934" applyFont="1" applyBorder="1" applyAlignment="1">
      <alignment horizontal="center"/>
    </xf>
    <xf numFmtId="0" fontId="4" fillId="0" borderId="0" xfId="934" applyFont="1" applyAlignment="1">
      <alignment horizontal="center"/>
    </xf>
    <xf numFmtId="0" fontId="4" fillId="0" borderId="35" xfId="934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3" fillId="46" borderId="39" xfId="0" applyFont="1" applyFill="1" applyBorder="1" applyAlignment="1">
      <alignment horizontal="center"/>
    </xf>
    <xf numFmtId="0" fontId="3" fillId="46" borderId="44" xfId="0" applyFont="1" applyFill="1" applyBorder="1" applyAlignment="1">
      <alignment horizontal="center"/>
    </xf>
    <xf numFmtId="0" fontId="3" fillId="46" borderId="45" xfId="0" applyFont="1" applyFill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14" fontId="3" fillId="0" borderId="26" xfId="0" applyNumberFormat="1" applyFont="1" applyBorder="1" applyAlignment="1">
      <alignment horizontal="center"/>
    </xf>
    <xf numFmtId="14" fontId="3" fillId="0" borderId="27" xfId="0" applyNumberFormat="1" applyFont="1" applyBorder="1" applyAlignment="1">
      <alignment horizontal="center"/>
    </xf>
    <xf numFmtId="14" fontId="3" fillId="0" borderId="28" xfId="0" applyNumberFormat="1" applyFont="1" applyBorder="1" applyAlignment="1">
      <alignment horizontal="center"/>
    </xf>
    <xf numFmtId="2" fontId="42" fillId="36" borderId="0" xfId="0" applyNumberFormat="1" applyFont="1" applyFill="1" applyAlignment="1">
      <alignment horizontal="center"/>
    </xf>
    <xf numFmtId="0" fontId="3" fillId="36" borderId="0" xfId="0" applyFont="1" applyFill="1" applyAlignment="1">
      <alignment horizontal="center"/>
    </xf>
    <xf numFmtId="4" fontId="3" fillId="36" borderId="0" xfId="0" applyNumberFormat="1" applyFont="1" applyFill="1" applyAlignment="1">
      <alignment horizontal="center"/>
    </xf>
    <xf numFmtId="4" fontId="3" fillId="0" borderId="0" xfId="0" applyNumberFormat="1" applyFont="1" applyAlignment="1">
      <alignment horizontal="center"/>
    </xf>
    <xf numFmtId="14" fontId="3" fillId="0" borderId="44" xfId="0" applyNumberFormat="1" applyFont="1" applyBorder="1" applyAlignment="1">
      <alignment horizontal="center"/>
    </xf>
    <xf numFmtId="14" fontId="3" fillId="0" borderId="45" xfId="0" applyNumberFormat="1" applyFont="1" applyBorder="1" applyAlignment="1">
      <alignment horizontal="center"/>
    </xf>
    <xf numFmtId="14" fontId="3" fillId="0" borderId="39" xfId="0" applyNumberFormat="1" applyFont="1" applyBorder="1" applyAlignment="1">
      <alignment horizontal="center"/>
    </xf>
  </cellXfs>
  <cellStyles count="1404">
    <cellStyle name="=C:\WINNT\SYSTEM32\COMMAND.COM 2" xfId="1" xr:uid="{00000000-0005-0000-0000-000000000000}"/>
    <cellStyle name="=C:\WINNT\SYSTEM32\COMMAND.COM 2 2" xfId="1194" xr:uid="{08D258B5-C9D7-47AB-A97E-57663E331131}"/>
    <cellStyle name="20% - Énfasis1 2" xfId="2" xr:uid="{00000000-0005-0000-0000-000001000000}"/>
    <cellStyle name="20% - Énfasis1 2 2" xfId="1195" xr:uid="{780DF217-A9ED-49BD-B5C9-214948ED8D3E}"/>
    <cellStyle name="20% - Énfasis1 3" xfId="3" xr:uid="{00000000-0005-0000-0000-000002000000}"/>
    <cellStyle name="20% - Énfasis2 2" xfId="4" xr:uid="{00000000-0005-0000-0000-000003000000}"/>
    <cellStyle name="20% - Énfasis2 2 2" xfId="1196" xr:uid="{C5ABA76C-6FB8-4217-B8FC-BD2F4B7A10B8}"/>
    <cellStyle name="20% - Énfasis2 3" xfId="5" xr:uid="{00000000-0005-0000-0000-000004000000}"/>
    <cellStyle name="20% - Énfasis3 2" xfId="6" xr:uid="{00000000-0005-0000-0000-000005000000}"/>
    <cellStyle name="20% - Énfasis3 2 2" xfId="1197" xr:uid="{2E4296A7-F8BA-40C1-B207-614FB6A07F4C}"/>
    <cellStyle name="20% - Énfasis3 3" xfId="7" xr:uid="{00000000-0005-0000-0000-000006000000}"/>
    <cellStyle name="20% - Énfasis4 2" xfId="8" xr:uid="{00000000-0005-0000-0000-000007000000}"/>
    <cellStyle name="20% - Énfasis4 2 2" xfId="1198" xr:uid="{F5EAC334-5BCB-4284-8A1F-94D4E2AFABF2}"/>
    <cellStyle name="20% - Énfasis4 3" xfId="9" xr:uid="{00000000-0005-0000-0000-000008000000}"/>
    <cellStyle name="20% - Énfasis5" xfId="10" builtinId="46" customBuiltin="1"/>
    <cellStyle name="20% - Énfasis5 2" xfId="11" xr:uid="{00000000-0005-0000-0000-00000A000000}"/>
    <cellStyle name="20% - Énfasis5 3" xfId="1199" xr:uid="{C4F1855B-7C55-45C0-8C19-9AD4241DFB9E}"/>
    <cellStyle name="20% - Énfasis6" xfId="12" builtinId="50" customBuiltin="1"/>
    <cellStyle name="20% - Énfasis6 2" xfId="13" xr:uid="{00000000-0005-0000-0000-00000C000000}"/>
    <cellStyle name="20% - Énfasis6 3" xfId="1200" xr:uid="{E2BE1C25-3E1A-46A3-957F-58795A63E79F}"/>
    <cellStyle name="40% - Énfasis1 2" xfId="14" xr:uid="{00000000-0005-0000-0000-00000D000000}"/>
    <cellStyle name="40% - Énfasis1 2 2" xfId="1201" xr:uid="{F35668BF-55C6-495A-B38E-166E8707C947}"/>
    <cellStyle name="40% - Énfasis1 3" xfId="15" xr:uid="{00000000-0005-0000-0000-00000E000000}"/>
    <cellStyle name="40% - Énfasis2" xfId="16" builtinId="35" customBuiltin="1"/>
    <cellStyle name="40% - Énfasis2 2" xfId="17" xr:uid="{00000000-0005-0000-0000-000010000000}"/>
    <cellStyle name="40% - Énfasis2 3" xfId="1202" xr:uid="{3A82CB90-0757-483A-9CA1-7027873651D6}"/>
    <cellStyle name="40% - Énfasis3 2" xfId="18" xr:uid="{00000000-0005-0000-0000-000011000000}"/>
    <cellStyle name="40% - Énfasis3 2 2" xfId="1203" xr:uid="{47131A62-B374-4379-A6A4-EE44AA23BBDF}"/>
    <cellStyle name="40% - Énfasis3 3" xfId="19" xr:uid="{00000000-0005-0000-0000-000012000000}"/>
    <cellStyle name="40% - Énfasis4 2" xfId="20" xr:uid="{00000000-0005-0000-0000-000013000000}"/>
    <cellStyle name="40% - Énfasis4 2 2" xfId="1204" xr:uid="{0A75CB5A-2C77-42DF-AB09-3530B884635D}"/>
    <cellStyle name="40% - Énfasis4 3" xfId="21" xr:uid="{00000000-0005-0000-0000-000014000000}"/>
    <cellStyle name="40% - Énfasis5" xfId="22" builtinId="47" customBuiltin="1"/>
    <cellStyle name="40% - Énfasis5 2" xfId="23" xr:uid="{00000000-0005-0000-0000-000016000000}"/>
    <cellStyle name="40% - Énfasis5 3" xfId="1205" xr:uid="{72F4704F-C4AF-4BD4-AFDA-0801F4CE9ED4}"/>
    <cellStyle name="40% - Énfasis6 2" xfId="24" xr:uid="{00000000-0005-0000-0000-000017000000}"/>
    <cellStyle name="40% - Énfasis6 2 2" xfId="1206" xr:uid="{6E7B5713-0DBB-4B3E-9E27-EA12890E478B}"/>
    <cellStyle name="40% - Énfasis6 3" xfId="25" xr:uid="{00000000-0005-0000-0000-000018000000}"/>
    <cellStyle name="60% - Énfasis1 2" xfId="26" xr:uid="{00000000-0005-0000-0000-000019000000}"/>
    <cellStyle name="60% - Énfasis1 3" xfId="27" xr:uid="{00000000-0005-0000-0000-00001A000000}"/>
    <cellStyle name="60% - Énfasis2" xfId="28" builtinId="36" customBuiltin="1"/>
    <cellStyle name="60% - Énfasis2 2" xfId="29" xr:uid="{00000000-0005-0000-0000-00001C000000}"/>
    <cellStyle name="60% - Énfasis3 2" xfId="30" xr:uid="{00000000-0005-0000-0000-00001D000000}"/>
    <cellStyle name="60% - Énfasis3 3" xfId="31" xr:uid="{00000000-0005-0000-0000-00001E000000}"/>
    <cellStyle name="60% - Énfasis4 2" xfId="32" xr:uid="{00000000-0005-0000-0000-00001F000000}"/>
    <cellStyle name="60% - Énfasis4 3" xfId="33" xr:uid="{00000000-0005-0000-0000-000020000000}"/>
    <cellStyle name="60% - Énfasis5" xfId="34" builtinId="48" customBuiltin="1"/>
    <cellStyle name="60% - Énfasis5 2" xfId="35" xr:uid="{00000000-0005-0000-0000-000022000000}"/>
    <cellStyle name="60% - Énfasis6 2" xfId="36" xr:uid="{00000000-0005-0000-0000-000023000000}"/>
    <cellStyle name="60% - Énfasis6 3" xfId="37" xr:uid="{00000000-0005-0000-0000-000024000000}"/>
    <cellStyle name="Buena 2" xfId="38" xr:uid="{00000000-0005-0000-0000-000025000000}"/>
    <cellStyle name="Cálculo 2" xfId="39" xr:uid="{00000000-0005-0000-0000-000026000000}"/>
    <cellStyle name="Cálculo 3" xfId="40" xr:uid="{00000000-0005-0000-0000-000027000000}"/>
    <cellStyle name="Cálculo 3 10" xfId="41" xr:uid="{00000000-0005-0000-0000-000028000000}"/>
    <cellStyle name="Cálculo 3 11" xfId="42" xr:uid="{00000000-0005-0000-0000-000029000000}"/>
    <cellStyle name="Cálculo 3 12" xfId="43" xr:uid="{00000000-0005-0000-0000-00002A000000}"/>
    <cellStyle name="Cálculo 3 13" xfId="44" xr:uid="{00000000-0005-0000-0000-00002B000000}"/>
    <cellStyle name="Cálculo 3 14" xfId="45" xr:uid="{00000000-0005-0000-0000-00002C000000}"/>
    <cellStyle name="Cálculo 3 15" xfId="46" xr:uid="{00000000-0005-0000-0000-00002D000000}"/>
    <cellStyle name="Cálculo 3 16" xfId="47" xr:uid="{00000000-0005-0000-0000-00002E000000}"/>
    <cellStyle name="Cálculo 3 2" xfId="48" xr:uid="{00000000-0005-0000-0000-00002F000000}"/>
    <cellStyle name="Cálculo 3 2 2" xfId="49" xr:uid="{00000000-0005-0000-0000-000030000000}"/>
    <cellStyle name="Cálculo 3 3" xfId="50" xr:uid="{00000000-0005-0000-0000-000031000000}"/>
    <cellStyle name="Cálculo 3 3 2" xfId="51" xr:uid="{00000000-0005-0000-0000-000032000000}"/>
    <cellStyle name="Cálculo 3 4" xfId="52" xr:uid="{00000000-0005-0000-0000-000033000000}"/>
    <cellStyle name="Cálculo 3 4 2" xfId="53" xr:uid="{00000000-0005-0000-0000-000034000000}"/>
    <cellStyle name="Cálculo 3 5" xfId="54" xr:uid="{00000000-0005-0000-0000-000035000000}"/>
    <cellStyle name="Cálculo 3 5 2" xfId="55" xr:uid="{00000000-0005-0000-0000-000036000000}"/>
    <cellStyle name="Cálculo 3 6" xfId="56" xr:uid="{00000000-0005-0000-0000-000037000000}"/>
    <cellStyle name="Cálculo 3 6 2" xfId="57" xr:uid="{00000000-0005-0000-0000-000038000000}"/>
    <cellStyle name="Cálculo 3 7" xfId="58" xr:uid="{00000000-0005-0000-0000-000039000000}"/>
    <cellStyle name="Cálculo 3 8" xfId="59" xr:uid="{00000000-0005-0000-0000-00003A000000}"/>
    <cellStyle name="Cálculo 3 9" xfId="60" xr:uid="{00000000-0005-0000-0000-00003B000000}"/>
    <cellStyle name="Celda de comprobación" xfId="61" builtinId="23" customBuiltin="1"/>
    <cellStyle name="Celda de comprobación 2" xfId="62" xr:uid="{00000000-0005-0000-0000-00003D000000}"/>
    <cellStyle name="Celda vinculada" xfId="63" builtinId="24" customBuiltin="1"/>
    <cellStyle name="Celda vinculada 2" xfId="64" xr:uid="{00000000-0005-0000-0000-00003F000000}"/>
    <cellStyle name="Comma 2" xfId="65" xr:uid="{00000000-0005-0000-0000-000040000000}"/>
    <cellStyle name="Comma 2 2" xfId="66" xr:uid="{00000000-0005-0000-0000-000041000000}"/>
    <cellStyle name="Comma 2 2 2" xfId="67" xr:uid="{00000000-0005-0000-0000-000042000000}"/>
    <cellStyle name="Comma 2 2 2 2" xfId="68" xr:uid="{00000000-0005-0000-0000-000043000000}"/>
    <cellStyle name="Comma 2 2 2 2 2" xfId="69" xr:uid="{00000000-0005-0000-0000-000044000000}"/>
    <cellStyle name="Comma 2 2 3" xfId="70" xr:uid="{00000000-0005-0000-0000-000045000000}"/>
    <cellStyle name="Comma 2 2 3 2" xfId="71" xr:uid="{00000000-0005-0000-0000-000046000000}"/>
    <cellStyle name="Comma 2 2 4" xfId="1208" xr:uid="{EAC27BD3-D125-47E6-952E-5D8D603F5E4C}"/>
    <cellStyle name="Comma 2 3" xfId="72" xr:uid="{00000000-0005-0000-0000-000047000000}"/>
    <cellStyle name="Comma 2 3 2" xfId="73" xr:uid="{00000000-0005-0000-0000-000048000000}"/>
    <cellStyle name="Comma 2 4" xfId="1207" xr:uid="{91CC6A12-5378-4C51-B978-37879942732E}"/>
    <cellStyle name="Comma 3" xfId="74" xr:uid="{00000000-0005-0000-0000-000049000000}"/>
    <cellStyle name="Comma 3 2" xfId="75" xr:uid="{00000000-0005-0000-0000-00004A000000}"/>
    <cellStyle name="Comma 3 2 2" xfId="76" xr:uid="{00000000-0005-0000-0000-00004B000000}"/>
    <cellStyle name="Comma 3 2 2 2" xfId="77" xr:uid="{00000000-0005-0000-0000-00004C000000}"/>
    <cellStyle name="Comma 3 3" xfId="78" xr:uid="{00000000-0005-0000-0000-00004D000000}"/>
    <cellStyle name="Comma 3 3 2" xfId="79" xr:uid="{00000000-0005-0000-0000-00004E000000}"/>
    <cellStyle name="Comma 3 4" xfId="1209" xr:uid="{9A01E6D4-A15F-4E78-99E0-8694312553AA}"/>
    <cellStyle name="Comma_JRFSLP98" xfId="80" xr:uid="{00000000-0005-0000-0000-00004F000000}"/>
    <cellStyle name="Encabezado 4 2" xfId="81" xr:uid="{00000000-0005-0000-0000-000050000000}"/>
    <cellStyle name="Encabezado 4 3" xfId="82" xr:uid="{00000000-0005-0000-0000-000051000000}"/>
    <cellStyle name="Énfasis1 2" xfId="83" xr:uid="{00000000-0005-0000-0000-000052000000}"/>
    <cellStyle name="Énfasis1 3" xfId="84" xr:uid="{00000000-0005-0000-0000-000053000000}"/>
    <cellStyle name="Énfasis2 2" xfId="85" xr:uid="{00000000-0005-0000-0000-000054000000}"/>
    <cellStyle name="Énfasis2 3" xfId="86" xr:uid="{00000000-0005-0000-0000-000055000000}"/>
    <cellStyle name="Énfasis3 2" xfId="87" xr:uid="{00000000-0005-0000-0000-000056000000}"/>
    <cellStyle name="Énfasis3 3" xfId="88" xr:uid="{00000000-0005-0000-0000-000057000000}"/>
    <cellStyle name="Énfasis4 2" xfId="89" xr:uid="{00000000-0005-0000-0000-000058000000}"/>
    <cellStyle name="Énfasis4 3" xfId="90" xr:uid="{00000000-0005-0000-0000-000059000000}"/>
    <cellStyle name="Énfasis5" xfId="91" builtinId="45" customBuiltin="1"/>
    <cellStyle name="Énfasis5 2" xfId="92" xr:uid="{00000000-0005-0000-0000-00005B000000}"/>
    <cellStyle name="Énfasis6" xfId="93" builtinId="49" customBuiltin="1"/>
    <cellStyle name="Énfasis6 2" xfId="94" xr:uid="{00000000-0005-0000-0000-00005D000000}"/>
    <cellStyle name="Entrada" xfId="95" builtinId="20" customBuiltin="1"/>
    <cellStyle name="Entrada 2" xfId="96" xr:uid="{00000000-0005-0000-0000-00005F000000}"/>
    <cellStyle name="Entrada 2 10" xfId="97" xr:uid="{00000000-0005-0000-0000-000060000000}"/>
    <cellStyle name="Entrada 2 11" xfId="98" xr:uid="{00000000-0005-0000-0000-000061000000}"/>
    <cellStyle name="Entrada 2 12" xfId="99" xr:uid="{00000000-0005-0000-0000-000062000000}"/>
    <cellStyle name="Entrada 2 13" xfId="100" xr:uid="{00000000-0005-0000-0000-000063000000}"/>
    <cellStyle name="Entrada 2 14" xfId="101" xr:uid="{00000000-0005-0000-0000-000064000000}"/>
    <cellStyle name="Entrada 2 15" xfId="102" xr:uid="{00000000-0005-0000-0000-000065000000}"/>
    <cellStyle name="Entrada 2 16" xfId="103" xr:uid="{00000000-0005-0000-0000-000066000000}"/>
    <cellStyle name="Entrada 2 2" xfId="104" xr:uid="{00000000-0005-0000-0000-000067000000}"/>
    <cellStyle name="Entrada 2 2 2" xfId="105" xr:uid="{00000000-0005-0000-0000-000068000000}"/>
    <cellStyle name="Entrada 2 3" xfId="106" xr:uid="{00000000-0005-0000-0000-000069000000}"/>
    <cellStyle name="Entrada 2 3 2" xfId="107" xr:uid="{00000000-0005-0000-0000-00006A000000}"/>
    <cellStyle name="Entrada 2 4" xfId="108" xr:uid="{00000000-0005-0000-0000-00006B000000}"/>
    <cellStyle name="Entrada 2 4 2" xfId="109" xr:uid="{00000000-0005-0000-0000-00006C000000}"/>
    <cellStyle name="Entrada 2 5" xfId="110" xr:uid="{00000000-0005-0000-0000-00006D000000}"/>
    <cellStyle name="Entrada 2 5 2" xfId="111" xr:uid="{00000000-0005-0000-0000-00006E000000}"/>
    <cellStyle name="Entrada 2 6" xfId="112" xr:uid="{00000000-0005-0000-0000-00006F000000}"/>
    <cellStyle name="Entrada 2 6 2" xfId="113" xr:uid="{00000000-0005-0000-0000-000070000000}"/>
    <cellStyle name="Entrada 2 7" xfId="114" xr:uid="{00000000-0005-0000-0000-000071000000}"/>
    <cellStyle name="Entrada 2 8" xfId="115" xr:uid="{00000000-0005-0000-0000-000072000000}"/>
    <cellStyle name="Entrada 2 9" xfId="116" xr:uid="{00000000-0005-0000-0000-000073000000}"/>
    <cellStyle name="Euro" xfId="117" xr:uid="{00000000-0005-0000-0000-000074000000}"/>
    <cellStyle name="Euro 2" xfId="118" xr:uid="{00000000-0005-0000-0000-000075000000}"/>
    <cellStyle name="Euro 2 2" xfId="1211" xr:uid="{4903CF9C-A723-4E76-B514-23104DC65C7B}"/>
    <cellStyle name="Euro 3" xfId="119" xr:uid="{00000000-0005-0000-0000-000076000000}"/>
    <cellStyle name="Euro 4" xfId="1210" xr:uid="{D6DB9678-AE72-49AE-A13C-92FC0AEEEFDF}"/>
    <cellStyle name="Hipervínculo" xfId="1403" builtinId="8"/>
    <cellStyle name="Hipervínculo 2" xfId="120" xr:uid="{00000000-0005-0000-0000-000077000000}"/>
    <cellStyle name="Hipervínculo 2 2" xfId="121" xr:uid="{00000000-0005-0000-0000-000078000000}"/>
    <cellStyle name="Hipervínculo 3" xfId="122" xr:uid="{00000000-0005-0000-0000-000079000000}"/>
    <cellStyle name="Hipervínculo 4" xfId="123" xr:uid="{00000000-0005-0000-0000-00007A000000}"/>
    <cellStyle name="Incorrecto 2" xfId="124" xr:uid="{00000000-0005-0000-0000-00007B000000}"/>
    <cellStyle name="Incorrecto 3" xfId="125" xr:uid="{00000000-0005-0000-0000-00007C000000}"/>
    <cellStyle name="Millares" xfId="126" builtinId="3"/>
    <cellStyle name="Millares [0]" xfId="127" builtinId="6"/>
    <cellStyle name="Millares [0] 2" xfId="128" xr:uid="{00000000-0005-0000-0000-00007F000000}"/>
    <cellStyle name="Millares [0] 2 2" xfId="129" xr:uid="{00000000-0005-0000-0000-000080000000}"/>
    <cellStyle name="Millares [0] 2 2 2" xfId="1215" xr:uid="{5D43E6EC-7C78-43B7-9EC5-7B203A5E84B7}"/>
    <cellStyle name="Millares [0] 2 3" xfId="1214" xr:uid="{2C692917-1F02-49CE-A812-F5E658E12C88}"/>
    <cellStyle name="Millares [0] 3" xfId="130" xr:uid="{00000000-0005-0000-0000-000081000000}"/>
    <cellStyle name="Millares [0] 3 2" xfId="131" xr:uid="{00000000-0005-0000-0000-000082000000}"/>
    <cellStyle name="Millares [0] 3 2 2" xfId="132" xr:uid="{00000000-0005-0000-0000-000083000000}"/>
    <cellStyle name="Millares [0] 3 2 2 2" xfId="133" xr:uid="{00000000-0005-0000-0000-000084000000}"/>
    <cellStyle name="Millares [0] 3 3" xfId="134" xr:uid="{00000000-0005-0000-0000-000085000000}"/>
    <cellStyle name="Millares [0] 3 3 2" xfId="135" xr:uid="{00000000-0005-0000-0000-000086000000}"/>
    <cellStyle name="Millares [0] 3 4" xfId="1216" xr:uid="{DDBC18BA-13FE-49BF-BD0D-54C1ED8E9769}"/>
    <cellStyle name="Millares [0] 4" xfId="136" xr:uid="{00000000-0005-0000-0000-000087000000}"/>
    <cellStyle name="Millares [0] 4 2" xfId="137" xr:uid="{00000000-0005-0000-0000-000088000000}"/>
    <cellStyle name="Millares [0] 4 2 2" xfId="138" xr:uid="{00000000-0005-0000-0000-000089000000}"/>
    <cellStyle name="Millares [0] 4 2 2 2" xfId="139" xr:uid="{00000000-0005-0000-0000-00008A000000}"/>
    <cellStyle name="Millares [0] 4 3" xfId="140" xr:uid="{00000000-0005-0000-0000-00008B000000}"/>
    <cellStyle name="Millares [0] 4 3 2" xfId="141" xr:uid="{00000000-0005-0000-0000-00008C000000}"/>
    <cellStyle name="Millares [0] 5" xfId="142" xr:uid="{00000000-0005-0000-0000-00008D000000}"/>
    <cellStyle name="Millares [0] 5 2" xfId="143" xr:uid="{00000000-0005-0000-0000-00008E000000}"/>
    <cellStyle name="Millares [0] 5 2 2" xfId="144" xr:uid="{00000000-0005-0000-0000-00008F000000}"/>
    <cellStyle name="Millares [0] 6" xfId="145" xr:uid="{00000000-0005-0000-0000-000090000000}"/>
    <cellStyle name="Millares [0] 6 2" xfId="146" xr:uid="{00000000-0005-0000-0000-000091000000}"/>
    <cellStyle name="Millares [0] 7" xfId="147" xr:uid="{00000000-0005-0000-0000-000092000000}"/>
    <cellStyle name="Millares [0] 8" xfId="1213" xr:uid="{408A03AF-70BE-472A-A796-896382F47E91}"/>
    <cellStyle name="Millares 10" xfId="148" xr:uid="{00000000-0005-0000-0000-000093000000}"/>
    <cellStyle name="Millares 10 2" xfId="149" xr:uid="{00000000-0005-0000-0000-000094000000}"/>
    <cellStyle name="Millares 10 2 2" xfId="150" xr:uid="{00000000-0005-0000-0000-000095000000}"/>
    <cellStyle name="Millares 10 2 2 2" xfId="151" xr:uid="{00000000-0005-0000-0000-000096000000}"/>
    <cellStyle name="Millares 10 2 3" xfId="1218" xr:uid="{6F2C58A8-15CE-41EE-9EDB-6E5DF5328906}"/>
    <cellStyle name="Millares 10 3" xfId="152" xr:uid="{00000000-0005-0000-0000-000097000000}"/>
    <cellStyle name="Millares 10 3 2" xfId="153" xr:uid="{00000000-0005-0000-0000-000098000000}"/>
    <cellStyle name="Millares 10 4" xfId="154" xr:uid="{00000000-0005-0000-0000-000099000000}"/>
    <cellStyle name="Millares 10 5" xfId="1217" xr:uid="{A3C79BC0-5B26-4174-AC29-D3BA4BFC0B1C}"/>
    <cellStyle name="Millares 100" xfId="1212" xr:uid="{2737A7E0-A2E9-4559-BC3B-651EF1B52354}"/>
    <cellStyle name="Millares 101" xfId="1398" xr:uid="{B9BF49B6-2D43-439E-B5E5-C38401FE7114}"/>
    <cellStyle name="Millares 102" xfId="1402" xr:uid="{5973D5DF-4EE9-456A-8D01-71B1DEBD2598}"/>
    <cellStyle name="Millares 103" xfId="1395" xr:uid="{103E98D2-7F67-46D9-9D96-E57647E602E5}"/>
    <cellStyle name="Millares 104" xfId="1401" xr:uid="{7A90EA6F-D821-480E-B8AC-AEBE7F7724D2}"/>
    <cellStyle name="Millares 11" xfId="155" xr:uid="{00000000-0005-0000-0000-00009A000000}"/>
    <cellStyle name="Millares 11 2" xfId="1220" xr:uid="{94B581D9-63E1-43CE-939C-22110BF26475}"/>
    <cellStyle name="Millares 11 3" xfId="1219" xr:uid="{17364AEA-7C14-4ACB-A15F-F34E0D1C6F45}"/>
    <cellStyle name="Millares 12" xfId="156" xr:uid="{00000000-0005-0000-0000-00009B000000}"/>
    <cellStyle name="Millares 12 2" xfId="1221" xr:uid="{BB84035A-5595-4D5D-BAF7-D1DA106F8542}"/>
    <cellStyle name="Millares 13" xfId="157" xr:uid="{00000000-0005-0000-0000-00009C000000}"/>
    <cellStyle name="Millares 13 2" xfId="158" xr:uid="{00000000-0005-0000-0000-00009D000000}"/>
    <cellStyle name="Millares 13 2 2" xfId="159" xr:uid="{00000000-0005-0000-0000-00009E000000}"/>
    <cellStyle name="Millares 13 2 2 2" xfId="160" xr:uid="{00000000-0005-0000-0000-00009F000000}"/>
    <cellStyle name="Millares 13 3" xfId="161" xr:uid="{00000000-0005-0000-0000-0000A0000000}"/>
    <cellStyle name="Millares 13 3 2" xfId="162" xr:uid="{00000000-0005-0000-0000-0000A1000000}"/>
    <cellStyle name="Millares 13 4" xfId="1222" xr:uid="{186BCCF9-2021-45CB-BF8A-EF77E774E8F1}"/>
    <cellStyle name="Millares 14" xfId="163" xr:uid="{00000000-0005-0000-0000-0000A2000000}"/>
    <cellStyle name="Millares 14 2" xfId="164" xr:uid="{00000000-0005-0000-0000-0000A3000000}"/>
    <cellStyle name="Millares 14 2 2" xfId="165" xr:uid="{00000000-0005-0000-0000-0000A4000000}"/>
    <cellStyle name="Millares 14 2 2 2" xfId="166" xr:uid="{00000000-0005-0000-0000-0000A5000000}"/>
    <cellStyle name="Millares 14 2 2 2 2" xfId="167" xr:uid="{00000000-0005-0000-0000-0000A6000000}"/>
    <cellStyle name="Millares 14 2 3" xfId="168" xr:uid="{00000000-0005-0000-0000-0000A7000000}"/>
    <cellStyle name="Millares 14 2 3 2" xfId="169" xr:uid="{00000000-0005-0000-0000-0000A8000000}"/>
    <cellStyle name="Millares 14 3" xfId="170" xr:uid="{00000000-0005-0000-0000-0000A9000000}"/>
    <cellStyle name="Millares 14 3 2" xfId="171" xr:uid="{00000000-0005-0000-0000-0000AA000000}"/>
    <cellStyle name="Millares 14 3 2 2" xfId="172" xr:uid="{00000000-0005-0000-0000-0000AB000000}"/>
    <cellStyle name="Millares 14 4" xfId="173" xr:uid="{00000000-0005-0000-0000-0000AC000000}"/>
    <cellStyle name="Millares 14 4 2" xfId="174" xr:uid="{00000000-0005-0000-0000-0000AD000000}"/>
    <cellStyle name="Millares 15" xfId="175" xr:uid="{00000000-0005-0000-0000-0000AE000000}"/>
    <cellStyle name="Millares 15 2" xfId="176" xr:uid="{00000000-0005-0000-0000-0000AF000000}"/>
    <cellStyle name="Millares 15 2 2" xfId="177" xr:uid="{00000000-0005-0000-0000-0000B0000000}"/>
    <cellStyle name="Millares 15 2 2 2" xfId="178" xr:uid="{00000000-0005-0000-0000-0000B1000000}"/>
    <cellStyle name="Millares 15 2 2 2 2" xfId="179" xr:uid="{00000000-0005-0000-0000-0000B2000000}"/>
    <cellStyle name="Millares 15 2 3" xfId="180" xr:uid="{00000000-0005-0000-0000-0000B3000000}"/>
    <cellStyle name="Millares 15 2 3 2" xfId="181" xr:uid="{00000000-0005-0000-0000-0000B4000000}"/>
    <cellStyle name="Millares 15 3" xfId="182" xr:uid="{00000000-0005-0000-0000-0000B5000000}"/>
    <cellStyle name="Millares 15 3 2" xfId="183" xr:uid="{00000000-0005-0000-0000-0000B6000000}"/>
    <cellStyle name="Millares 15 3 2 2" xfId="184" xr:uid="{00000000-0005-0000-0000-0000B7000000}"/>
    <cellStyle name="Millares 15 4" xfId="185" xr:uid="{00000000-0005-0000-0000-0000B8000000}"/>
    <cellStyle name="Millares 15 4 2" xfId="186" xr:uid="{00000000-0005-0000-0000-0000B9000000}"/>
    <cellStyle name="Millares 16" xfId="187" xr:uid="{00000000-0005-0000-0000-0000BA000000}"/>
    <cellStyle name="Millares 16 2" xfId="188" xr:uid="{00000000-0005-0000-0000-0000BB000000}"/>
    <cellStyle name="Millares 16 2 2" xfId="189" xr:uid="{00000000-0005-0000-0000-0000BC000000}"/>
    <cellStyle name="Millares 16 2 2 2" xfId="190" xr:uid="{00000000-0005-0000-0000-0000BD000000}"/>
    <cellStyle name="Millares 16 2 2 2 2" xfId="191" xr:uid="{00000000-0005-0000-0000-0000BE000000}"/>
    <cellStyle name="Millares 16 2 3" xfId="192" xr:uid="{00000000-0005-0000-0000-0000BF000000}"/>
    <cellStyle name="Millares 16 2 3 2" xfId="193" xr:uid="{00000000-0005-0000-0000-0000C0000000}"/>
    <cellStyle name="Millares 16 3" xfId="194" xr:uid="{00000000-0005-0000-0000-0000C1000000}"/>
    <cellStyle name="Millares 16 3 2" xfId="195" xr:uid="{00000000-0005-0000-0000-0000C2000000}"/>
    <cellStyle name="Millares 16 3 2 2" xfId="196" xr:uid="{00000000-0005-0000-0000-0000C3000000}"/>
    <cellStyle name="Millares 16 4" xfId="197" xr:uid="{00000000-0005-0000-0000-0000C4000000}"/>
    <cellStyle name="Millares 16 4 2" xfId="198" xr:uid="{00000000-0005-0000-0000-0000C5000000}"/>
    <cellStyle name="Millares 17" xfId="199" xr:uid="{00000000-0005-0000-0000-0000C6000000}"/>
    <cellStyle name="Millares 17 2" xfId="200" xr:uid="{00000000-0005-0000-0000-0000C7000000}"/>
    <cellStyle name="Millares 17 2 2" xfId="201" xr:uid="{00000000-0005-0000-0000-0000C8000000}"/>
    <cellStyle name="Millares 17 2 2 2" xfId="202" xr:uid="{00000000-0005-0000-0000-0000C9000000}"/>
    <cellStyle name="Millares 17 3" xfId="203" xr:uid="{00000000-0005-0000-0000-0000CA000000}"/>
    <cellStyle name="Millares 17 3 2" xfId="204" xr:uid="{00000000-0005-0000-0000-0000CB000000}"/>
    <cellStyle name="Millares 17 4" xfId="1223" xr:uid="{9E385D9C-4A63-4BEE-8297-7066F80BF0E0}"/>
    <cellStyle name="Millares 18" xfId="205" xr:uid="{00000000-0005-0000-0000-0000CC000000}"/>
    <cellStyle name="Millares 18 2" xfId="206" xr:uid="{00000000-0005-0000-0000-0000CD000000}"/>
    <cellStyle name="Millares 18 2 2" xfId="207" xr:uid="{00000000-0005-0000-0000-0000CE000000}"/>
    <cellStyle name="Millares 18 2 2 2" xfId="208" xr:uid="{00000000-0005-0000-0000-0000CF000000}"/>
    <cellStyle name="Millares 18 3" xfId="209" xr:uid="{00000000-0005-0000-0000-0000D0000000}"/>
    <cellStyle name="Millares 18 3 2" xfId="210" xr:uid="{00000000-0005-0000-0000-0000D1000000}"/>
    <cellStyle name="Millares 18 4" xfId="1224" xr:uid="{6F575783-FE15-4989-B08A-9F0FF94F9D25}"/>
    <cellStyle name="Millares 19" xfId="211" xr:uid="{00000000-0005-0000-0000-0000D2000000}"/>
    <cellStyle name="Millares 19 2" xfId="212" xr:uid="{00000000-0005-0000-0000-0000D3000000}"/>
    <cellStyle name="Millares 19 2 2" xfId="213" xr:uid="{00000000-0005-0000-0000-0000D4000000}"/>
    <cellStyle name="Millares 19 2 2 2" xfId="214" xr:uid="{00000000-0005-0000-0000-0000D5000000}"/>
    <cellStyle name="Millares 19 3" xfId="215" xr:uid="{00000000-0005-0000-0000-0000D6000000}"/>
    <cellStyle name="Millares 19 3 2" xfId="216" xr:uid="{00000000-0005-0000-0000-0000D7000000}"/>
    <cellStyle name="Millares 19 4" xfId="1225" xr:uid="{67E0E505-3F5A-4C70-8C11-50B98B49923D}"/>
    <cellStyle name="Millares 2" xfId="217" xr:uid="{00000000-0005-0000-0000-0000D8000000}"/>
    <cellStyle name="Millares 2 2" xfId="218" xr:uid="{00000000-0005-0000-0000-0000D9000000}"/>
    <cellStyle name="Millares 2 2 2" xfId="219" xr:uid="{00000000-0005-0000-0000-0000DA000000}"/>
    <cellStyle name="Millares 2 2 2 2" xfId="220" xr:uid="{00000000-0005-0000-0000-0000DB000000}"/>
    <cellStyle name="Millares 2 2 2 2 2" xfId="221" xr:uid="{00000000-0005-0000-0000-0000DC000000}"/>
    <cellStyle name="Millares 2 2 2 2 2 2" xfId="222" xr:uid="{00000000-0005-0000-0000-0000DD000000}"/>
    <cellStyle name="Millares 2 2 2 2 2 2 2" xfId="223" xr:uid="{00000000-0005-0000-0000-0000DE000000}"/>
    <cellStyle name="Millares 2 2 2 2 3" xfId="224" xr:uid="{00000000-0005-0000-0000-0000DF000000}"/>
    <cellStyle name="Millares 2 2 2 2 3 2" xfId="225" xr:uid="{00000000-0005-0000-0000-0000E0000000}"/>
    <cellStyle name="Millares 2 2 2 3" xfId="226" xr:uid="{00000000-0005-0000-0000-0000E1000000}"/>
    <cellStyle name="Millares 2 2 2 3 2" xfId="227" xr:uid="{00000000-0005-0000-0000-0000E2000000}"/>
    <cellStyle name="Millares 2 2 2 3 2 2" xfId="228" xr:uid="{00000000-0005-0000-0000-0000E3000000}"/>
    <cellStyle name="Millares 2 2 2 4" xfId="229" xr:uid="{00000000-0005-0000-0000-0000E4000000}"/>
    <cellStyle name="Millares 2 2 2 4 2" xfId="230" xr:uid="{00000000-0005-0000-0000-0000E5000000}"/>
    <cellStyle name="Millares 2 2 3" xfId="231" xr:uid="{00000000-0005-0000-0000-0000E6000000}"/>
    <cellStyle name="Millares 2 2 4" xfId="232" xr:uid="{00000000-0005-0000-0000-0000E7000000}"/>
    <cellStyle name="Millares 2 2 4 2" xfId="233" xr:uid="{00000000-0005-0000-0000-0000E8000000}"/>
    <cellStyle name="Millares 2 2 4 2 2" xfId="234" xr:uid="{00000000-0005-0000-0000-0000E9000000}"/>
    <cellStyle name="Millares 2 2 5" xfId="235" xr:uid="{00000000-0005-0000-0000-0000EA000000}"/>
    <cellStyle name="Millares 2 2 5 2" xfId="236" xr:uid="{00000000-0005-0000-0000-0000EB000000}"/>
    <cellStyle name="Millares 2 2 6" xfId="237" xr:uid="{00000000-0005-0000-0000-0000EC000000}"/>
    <cellStyle name="Millares 2 2 7" xfId="1227" xr:uid="{FE128B2E-F6C4-4316-ADA1-8B3B576FE462}"/>
    <cellStyle name="Millares 2 3" xfId="238" xr:uid="{00000000-0005-0000-0000-0000ED000000}"/>
    <cellStyle name="Millares 2 3 2" xfId="239" xr:uid="{00000000-0005-0000-0000-0000EE000000}"/>
    <cellStyle name="Millares 2 3 3" xfId="240" xr:uid="{00000000-0005-0000-0000-0000EF000000}"/>
    <cellStyle name="Millares 2 3 4" xfId="1228" xr:uid="{9E30E19E-24DB-41E6-BD77-E5A707D2919E}"/>
    <cellStyle name="Millares 2 4" xfId="241" xr:uid="{00000000-0005-0000-0000-0000F0000000}"/>
    <cellStyle name="Millares 2 4 2" xfId="242" xr:uid="{00000000-0005-0000-0000-0000F1000000}"/>
    <cellStyle name="Millares 2 4 3" xfId="1229" xr:uid="{3C0DB7A6-58E7-4E93-AA08-7C8A6506145C}"/>
    <cellStyle name="Millares 2 5" xfId="243" xr:uid="{00000000-0005-0000-0000-0000F2000000}"/>
    <cellStyle name="Millares 2 5 2" xfId="244" xr:uid="{00000000-0005-0000-0000-0000F3000000}"/>
    <cellStyle name="Millares 2 5 2 2" xfId="245" xr:uid="{00000000-0005-0000-0000-0000F4000000}"/>
    <cellStyle name="Millares 2 5 2 2 2" xfId="246" xr:uid="{00000000-0005-0000-0000-0000F5000000}"/>
    <cellStyle name="Millares 2 5 3" xfId="247" xr:uid="{00000000-0005-0000-0000-0000F6000000}"/>
    <cellStyle name="Millares 2 5 3 2" xfId="248" xr:uid="{00000000-0005-0000-0000-0000F7000000}"/>
    <cellStyle name="Millares 2 5 4" xfId="249" xr:uid="{00000000-0005-0000-0000-0000F8000000}"/>
    <cellStyle name="Millares 2 5 5" xfId="1230" xr:uid="{23DE9AA2-A18F-480F-83D6-9EE9D758CB9E}"/>
    <cellStyle name="Millares 2 6" xfId="250" xr:uid="{00000000-0005-0000-0000-0000F9000000}"/>
    <cellStyle name="Millares 2 6 2" xfId="251" xr:uid="{00000000-0005-0000-0000-0000FA000000}"/>
    <cellStyle name="Millares 2 6 2 2" xfId="252" xr:uid="{00000000-0005-0000-0000-0000FB000000}"/>
    <cellStyle name="Millares 2 6 2 2 2" xfId="253" xr:uid="{00000000-0005-0000-0000-0000FC000000}"/>
    <cellStyle name="Millares 2 6 3" xfId="254" xr:uid="{00000000-0005-0000-0000-0000FD000000}"/>
    <cellStyle name="Millares 2 6 3 2" xfId="255" xr:uid="{00000000-0005-0000-0000-0000FE000000}"/>
    <cellStyle name="Millares 2 6 4" xfId="1231" xr:uid="{79409C29-DF90-490F-9AE4-B04A45F31DF5}"/>
    <cellStyle name="Millares 2 7" xfId="256" xr:uid="{00000000-0005-0000-0000-0000FF000000}"/>
    <cellStyle name="Millares 2 7 2" xfId="257" xr:uid="{00000000-0005-0000-0000-000000010000}"/>
    <cellStyle name="Millares 2 7 2 2" xfId="258" xr:uid="{00000000-0005-0000-0000-000001010000}"/>
    <cellStyle name="Millares 2 7 2 2 2" xfId="259" xr:uid="{00000000-0005-0000-0000-000002010000}"/>
    <cellStyle name="Millares 2 7 3" xfId="260" xr:uid="{00000000-0005-0000-0000-000003010000}"/>
    <cellStyle name="Millares 2 7 3 2" xfId="261" xr:uid="{00000000-0005-0000-0000-000004010000}"/>
    <cellStyle name="Millares 2 8" xfId="1226" xr:uid="{E8C4E129-3629-4C24-BF0A-04B35B366D36}"/>
    <cellStyle name="Millares 20" xfId="262" xr:uid="{00000000-0005-0000-0000-000005010000}"/>
    <cellStyle name="Millares 20 2" xfId="263" xr:uid="{00000000-0005-0000-0000-000006010000}"/>
    <cellStyle name="Millares 20 2 2" xfId="264" xr:uid="{00000000-0005-0000-0000-000007010000}"/>
    <cellStyle name="Millares 20 2 2 2" xfId="265" xr:uid="{00000000-0005-0000-0000-000008010000}"/>
    <cellStyle name="Millares 20 3" xfId="266" xr:uid="{00000000-0005-0000-0000-000009010000}"/>
    <cellStyle name="Millares 20 3 2" xfId="267" xr:uid="{00000000-0005-0000-0000-00000A010000}"/>
    <cellStyle name="Millares 20 4" xfId="1232" xr:uid="{65CBA4C0-DE74-43B7-AF35-2804E73D75ED}"/>
    <cellStyle name="Millares 21" xfId="268" xr:uid="{00000000-0005-0000-0000-00000B010000}"/>
    <cellStyle name="Millares 21 2" xfId="269" xr:uid="{00000000-0005-0000-0000-00000C010000}"/>
    <cellStyle name="Millares 21 2 2" xfId="270" xr:uid="{00000000-0005-0000-0000-00000D010000}"/>
    <cellStyle name="Millares 21 2 2 2" xfId="271" xr:uid="{00000000-0005-0000-0000-00000E010000}"/>
    <cellStyle name="Millares 21 2 2 2 2" xfId="272" xr:uid="{00000000-0005-0000-0000-00000F010000}"/>
    <cellStyle name="Millares 21 2 3" xfId="273" xr:uid="{00000000-0005-0000-0000-000010010000}"/>
    <cellStyle name="Millares 21 2 3 2" xfId="274" xr:uid="{00000000-0005-0000-0000-000011010000}"/>
    <cellStyle name="Millares 21 3" xfId="275" xr:uid="{00000000-0005-0000-0000-000012010000}"/>
    <cellStyle name="Millares 21 3 2" xfId="276" xr:uid="{00000000-0005-0000-0000-000013010000}"/>
    <cellStyle name="Millares 21 3 2 2" xfId="277" xr:uid="{00000000-0005-0000-0000-000014010000}"/>
    <cellStyle name="Millares 21 4" xfId="278" xr:uid="{00000000-0005-0000-0000-000015010000}"/>
    <cellStyle name="Millares 21 4 2" xfId="279" xr:uid="{00000000-0005-0000-0000-000016010000}"/>
    <cellStyle name="Millares 22" xfId="280" xr:uid="{00000000-0005-0000-0000-000017010000}"/>
    <cellStyle name="Millares 22 2" xfId="281" xr:uid="{00000000-0005-0000-0000-000018010000}"/>
    <cellStyle name="Millares 22 2 2" xfId="282" xr:uid="{00000000-0005-0000-0000-000019010000}"/>
    <cellStyle name="Millares 22 2 2 2" xfId="283" xr:uid="{00000000-0005-0000-0000-00001A010000}"/>
    <cellStyle name="Millares 22 2 2 2 2" xfId="284" xr:uid="{00000000-0005-0000-0000-00001B010000}"/>
    <cellStyle name="Millares 22 2 3" xfId="285" xr:uid="{00000000-0005-0000-0000-00001C010000}"/>
    <cellStyle name="Millares 22 2 3 2" xfId="286" xr:uid="{00000000-0005-0000-0000-00001D010000}"/>
    <cellStyle name="Millares 22 3" xfId="287" xr:uid="{00000000-0005-0000-0000-00001E010000}"/>
    <cellStyle name="Millares 22 3 2" xfId="288" xr:uid="{00000000-0005-0000-0000-00001F010000}"/>
    <cellStyle name="Millares 22 3 2 2" xfId="289" xr:uid="{00000000-0005-0000-0000-000020010000}"/>
    <cellStyle name="Millares 22 4" xfId="290" xr:uid="{00000000-0005-0000-0000-000021010000}"/>
    <cellStyle name="Millares 22 4 2" xfId="291" xr:uid="{00000000-0005-0000-0000-000022010000}"/>
    <cellStyle name="Millares 23" xfId="292" xr:uid="{00000000-0005-0000-0000-000023010000}"/>
    <cellStyle name="Millares 23 2" xfId="293" xr:uid="{00000000-0005-0000-0000-000024010000}"/>
    <cellStyle name="Millares 23 2 2" xfId="294" xr:uid="{00000000-0005-0000-0000-000025010000}"/>
    <cellStyle name="Millares 23 2 2 2" xfId="295" xr:uid="{00000000-0005-0000-0000-000026010000}"/>
    <cellStyle name="Millares 23 2 2 2 2" xfId="296" xr:uid="{00000000-0005-0000-0000-000027010000}"/>
    <cellStyle name="Millares 23 2 3" xfId="297" xr:uid="{00000000-0005-0000-0000-000028010000}"/>
    <cellStyle name="Millares 23 2 3 2" xfId="298" xr:uid="{00000000-0005-0000-0000-000029010000}"/>
    <cellStyle name="Millares 23 3" xfId="299" xr:uid="{00000000-0005-0000-0000-00002A010000}"/>
    <cellStyle name="Millares 23 3 2" xfId="300" xr:uid="{00000000-0005-0000-0000-00002B010000}"/>
    <cellStyle name="Millares 23 3 2 2" xfId="301" xr:uid="{00000000-0005-0000-0000-00002C010000}"/>
    <cellStyle name="Millares 23 4" xfId="302" xr:uid="{00000000-0005-0000-0000-00002D010000}"/>
    <cellStyle name="Millares 23 4 2" xfId="303" xr:uid="{00000000-0005-0000-0000-00002E010000}"/>
    <cellStyle name="Millares 24" xfId="304" xr:uid="{00000000-0005-0000-0000-00002F010000}"/>
    <cellStyle name="Millares 24 2" xfId="305" xr:uid="{00000000-0005-0000-0000-000030010000}"/>
    <cellStyle name="Millares 24 2 2" xfId="306" xr:uid="{00000000-0005-0000-0000-000031010000}"/>
    <cellStyle name="Millares 24 2 2 2" xfId="307" xr:uid="{00000000-0005-0000-0000-000032010000}"/>
    <cellStyle name="Millares 24 2 2 2 2" xfId="308" xr:uid="{00000000-0005-0000-0000-000033010000}"/>
    <cellStyle name="Millares 24 2 3" xfId="309" xr:uid="{00000000-0005-0000-0000-000034010000}"/>
    <cellStyle name="Millares 24 2 3 2" xfId="310" xr:uid="{00000000-0005-0000-0000-000035010000}"/>
    <cellStyle name="Millares 24 3" xfId="311" xr:uid="{00000000-0005-0000-0000-000036010000}"/>
    <cellStyle name="Millares 24 3 2" xfId="312" xr:uid="{00000000-0005-0000-0000-000037010000}"/>
    <cellStyle name="Millares 24 3 2 2" xfId="313" xr:uid="{00000000-0005-0000-0000-000038010000}"/>
    <cellStyle name="Millares 24 4" xfId="314" xr:uid="{00000000-0005-0000-0000-000039010000}"/>
    <cellStyle name="Millares 24 4 2" xfId="315" xr:uid="{00000000-0005-0000-0000-00003A010000}"/>
    <cellStyle name="Millares 25" xfId="316" xr:uid="{00000000-0005-0000-0000-00003B010000}"/>
    <cellStyle name="Millares 25 2" xfId="317" xr:uid="{00000000-0005-0000-0000-00003C010000}"/>
    <cellStyle name="Millares 25 2 2" xfId="318" xr:uid="{00000000-0005-0000-0000-00003D010000}"/>
    <cellStyle name="Millares 25 2 2 2" xfId="319" xr:uid="{00000000-0005-0000-0000-00003E010000}"/>
    <cellStyle name="Millares 25 2 2 2 2" xfId="320" xr:uid="{00000000-0005-0000-0000-00003F010000}"/>
    <cellStyle name="Millares 25 2 3" xfId="321" xr:uid="{00000000-0005-0000-0000-000040010000}"/>
    <cellStyle name="Millares 25 2 3 2" xfId="322" xr:uid="{00000000-0005-0000-0000-000041010000}"/>
    <cellStyle name="Millares 25 3" xfId="323" xr:uid="{00000000-0005-0000-0000-000042010000}"/>
    <cellStyle name="Millares 25 3 2" xfId="324" xr:uid="{00000000-0005-0000-0000-000043010000}"/>
    <cellStyle name="Millares 25 3 2 2" xfId="325" xr:uid="{00000000-0005-0000-0000-000044010000}"/>
    <cellStyle name="Millares 25 4" xfId="326" xr:uid="{00000000-0005-0000-0000-000045010000}"/>
    <cellStyle name="Millares 25 4 2" xfId="327" xr:uid="{00000000-0005-0000-0000-000046010000}"/>
    <cellStyle name="Millares 26" xfId="328" xr:uid="{00000000-0005-0000-0000-000047010000}"/>
    <cellStyle name="Millares 26 2" xfId="329" xr:uid="{00000000-0005-0000-0000-000048010000}"/>
    <cellStyle name="Millares 26 2 2" xfId="330" xr:uid="{00000000-0005-0000-0000-000049010000}"/>
    <cellStyle name="Millares 26 2 2 2" xfId="331" xr:uid="{00000000-0005-0000-0000-00004A010000}"/>
    <cellStyle name="Millares 26 2 2 2 2" xfId="332" xr:uid="{00000000-0005-0000-0000-00004B010000}"/>
    <cellStyle name="Millares 26 2 3" xfId="333" xr:uid="{00000000-0005-0000-0000-00004C010000}"/>
    <cellStyle name="Millares 26 2 3 2" xfId="334" xr:uid="{00000000-0005-0000-0000-00004D010000}"/>
    <cellStyle name="Millares 26 3" xfId="335" xr:uid="{00000000-0005-0000-0000-00004E010000}"/>
    <cellStyle name="Millares 26 3 2" xfId="336" xr:uid="{00000000-0005-0000-0000-00004F010000}"/>
    <cellStyle name="Millares 26 3 2 2" xfId="337" xr:uid="{00000000-0005-0000-0000-000050010000}"/>
    <cellStyle name="Millares 26 4" xfId="338" xr:uid="{00000000-0005-0000-0000-000051010000}"/>
    <cellStyle name="Millares 26 4 2" xfId="339" xr:uid="{00000000-0005-0000-0000-000052010000}"/>
    <cellStyle name="Millares 27" xfId="340" xr:uid="{00000000-0005-0000-0000-000053010000}"/>
    <cellStyle name="Millares 27 2" xfId="341" xr:uid="{00000000-0005-0000-0000-000054010000}"/>
    <cellStyle name="Millares 27 2 2" xfId="342" xr:uid="{00000000-0005-0000-0000-000055010000}"/>
    <cellStyle name="Millares 27 2 2 2" xfId="343" xr:uid="{00000000-0005-0000-0000-000056010000}"/>
    <cellStyle name="Millares 27 3" xfId="344" xr:uid="{00000000-0005-0000-0000-000057010000}"/>
    <cellStyle name="Millares 27 3 2" xfId="345" xr:uid="{00000000-0005-0000-0000-000058010000}"/>
    <cellStyle name="Millares 27 4" xfId="1233" xr:uid="{5A88BF1C-3DB3-4148-85A4-36F476E76195}"/>
    <cellStyle name="Millares 28" xfId="346" xr:uid="{00000000-0005-0000-0000-000059010000}"/>
    <cellStyle name="Millares 28 2" xfId="347" xr:uid="{00000000-0005-0000-0000-00005A010000}"/>
    <cellStyle name="Millares 28 2 2" xfId="348" xr:uid="{00000000-0005-0000-0000-00005B010000}"/>
    <cellStyle name="Millares 28 2 2 2" xfId="349" xr:uid="{00000000-0005-0000-0000-00005C010000}"/>
    <cellStyle name="Millares 28 3" xfId="350" xr:uid="{00000000-0005-0000-0000-00005D010000}"/>
    <cellStyle name="Millares 28 3 2" xfId="351" xr:uid="{00000000-0005-0000-0000-00005E010000}"/>
    <cellStyle name="Millares 28 4" xfId="1234" xr:uid="{22289F85-8C16-4BA5-9A62-F33DFB7B80AC}"/>
    <cellStyle name="Millares 29" xfId="352" xr:uid="{00000000-0005-0000-0000-00005F010000}"/>
    <cellStyle name="Millares 29 2" xfId="353" xr:uid="{00000000-0005-0000-0000-000060010000}"/>
    <cellStyle name="Millares 29 2 2" xfId="354" xr:uid="{00000000-0005-0000-0000-000061010000}"/>
    <cellStyle name="Millares 29 2 2 2" xfId="355" xr:uid="{00000000-0005-0000-0000-000062010000}"/>
    <cellStyle name="Millares 29 3" xfId="356" xr:uid="{00000000-0005-0000-0000-000063010000}"/>
    <cellStyle name="Millares 29 3 2" xfId="357" xr:uid="{00000000-0005-0000-0000-000064010000}"/>
    <cellStyle name="Millares 29 4" xfId="1235" xr:uid="{C74C0515-4FC7-467C-9EAB-27E00090B193}"/>
    <cellStyle name="Millares 3" xfId="358" xr:uid="{00000000-0005-0000-0000-000065010000}"/>
    <cellStyle name="Millares 3 10" xfId="1236" xr:uid="{42798954-9464-448F-BFEC-C0351E9D1ED5}"/>
    <cellStyle name="Millares 3 2" xfId="359" xr:uid="{00000000-0005-0000-0000-000066010000}"/>
    <cellStyle name="Millares 3 2 2" xfId="360" xr:uid="{00000000-0005-0000-0000-000067010000}"/>
    <cellStyle name="Millares 3 2 2 2" xfId="361" xr:uid="{00000000-0005-0000-0000-000068010000}"/>
    <cellStyle name="Millares 3 2 2 2 2" xfId="362" xr:uid="{00000000-0005-0000-0000-000069010000}"/>
    <cellStyle name="Millares 3 2 2 2 2 2" xfId="363" xr:uid="{00000000-0005-0000-0000-00006A010000}"/>
    <cellStyle name="Millares 3 2 2 2 2 2 2" xfId="364" xr:uid="{00000000-0005-0000-0000-00006B010000}"/>
    <cellStyle name="Millares 3 2 2 2 3" xfId="365" xr:uid="{00000000-0005-0000-0000-00006C010000}"/>
    <cellStyle name="Millares 3 2 2 2 3 2" xfId="366" xr:uid="{00000000-0005-0000-0000-00006D010000}"/>
    <cellStyle name="Millares 3 2 2 3" xfId="367" xr:uid="{00000000-0005-0000-0000-00006E010000}"/>
    <cellStyle name="Millares 3 2 2 3 2" xfId="368" xr:uid="{00000000-0005-0000-0000-00006F010000}"/>
    <cellStyle name="Millares 3 2 2 3 2 2" xfId="369" xr:uid="{00000000-0005-0000-0000-000070010000}"/>
    <cellStyle name="Millares 3 2 2 4" xfId="370" xr:uid="{00000000-0005-0000-0000-000071010000}"/>
    <cellStyle name="Millares 3 2 2 4 2" xfId="371" xr:uid="{00000000-0005-0000-0000-000072010000}"/>
    <cellStyle name="Millares 3 2 3" xfId="372" xr:uid="{00000000-0005-0000-0000-000073010000}"/>
    <cellStyle name="Millares 3 2 3 2" xfId="373" xr:uid="{00000000-0005-0000-0000-000074010000}"/>
    <cellStyle name="Millares 3 2 3 2 2" xfId="374" xr:uid="{00000000-0005-0000-0000-000075010000}"/>
    <cellStyle name="Millares 3 2 3 2 2 2" xfId="375" xr:uid="{00000000-0005-0000-0000-000076010000}"/>
    <cellStyle name="Millares 3 2 3 3" xfId="376" xr:uid="{00000000-0005-0000-0000-000077010000}"/>
    <cellStyle name="Millares 3 2 3 3 2" xfId="377" xr:uid="{00000000-0005-0000-0000-000078010000}"/>
    <cellStyle name="Millares 3 2 3 4" xfId="1237" xr:uid="{770779FA-47BE-41D4-87B6-2676B5E0D6DD}"/>
    <cellStyle name="Millares 3 2 4" xfId="378" xr:uid="{00000000-0005-0000-0000-000079010000}"/>
    <cellStyle name="Millares 3 2 4 2" xfId="379" xr:uid="{00000000-0005-0000-0000-00007A010000}"/>
    <cellStyle name="Millares 3 2 4 2 2" xfId="380" xr:uid="{00000000-0005-0000-0000-00007B010000}"/>
    <cellStyle name="Millares 3 2 4 2 2 2" xfId="381" xr:uid="{00000000-0005-0000-0000-00007C010000}"/>
    <cellStyle name="Millares 3 2 4 3" xfId="382" xr:uid="{00000000-0005-0000-0000-00007D010000}"/>
    <cellStyle name="Millares 3 2 4 3 2" xfId="383" xr:uid="{00000000-0005-0000-0000-00007E010000}"/>
    <cellStyle name="Millares 3 2 5" xfId="384" xr:uid="{00000000-0005-0000-0000-00007F010000}"/>
    <cellStyle name="Millares 3 2 5 2" xfId="385" xr:uid="{00000000-0005-0000-0000-000080010000}"/>
    <cellStyle name="Millares 3 2 5 2 2" xfId="386" xr:uid="{00000000-0005-0000-0000-000081010000}"/>
    <cellStyle name="Millares 3 2 6" xfId="387" xr:uid="{00000000-0005-0000-0000-000082010000}"/>
    <cellStyle name="Millares 3 2 6 2" xfId="388" xr:uid="{00000000-0005-0000-0000-000083010000}"/>
    <cellStyle name="Millares 3 3" xfId="389" xr:uid="{00000000-0005-0000-0000-000084010000}"/>
    <cellStyle name="Millares 3 3 2" xfId="390" xr:uid="{00000000-0005-0000-0000-000085010000}"/>
    <cellStyle name="Millares 3 3 2 2" xfId="391" xr:uid="{00000000-0005-0000-0000-000086010000}"/>
    <cellStyle name="Millares 3 3 2 2 2" xfId="392" xr:uid="{00000000-0005-0000-0000-000087010000}"/>
    <cellStyle name="Millares 3 3 2 2 2 2" xfId="393" xr:uid="{00000000-0005-0000-0000-000088010000}"/>
    <cellStyle name="Millares 3 3 2 3" xfId="394" xr:uid="{00000000-0005-0000-0000-000089010000}"/>
    <cellStyle name="Millares 3 3 2 3 2" xfId="395" xr:uid="{00000000-0005-0000-0000-00008A010000}"/>
    <cellStyle name="Millares 3 3 3" xfId="396" xr:uid="{00000000-0005-0000-0000-00008B010000}"/>
    <cellStyle name="Millares 3 3 3 2" xfId="397" xr:uid="{00000000-0005-0000-0000-00008C010000}"/>
    <cellStyle name="Millares 3 3 3 2 2" xfId="398" xr:uid="{00000000-0005-0000-0000-00008D010000}"/>
    <cellStyle name="Millares 3 3 4" xfId="399" xr:uid="{00000000-0005-0000-0000-00008E010000}"/>
    <cellStyle name="Millares 3 3 4 2" xfId="400" xr:uid="{00000000-0005-0000-0000-00008F010000}"/>
    <cellStyle name="Millares 3 4" xfId="401" xr:uid="{00000000-0005-0000-0000-000090010000}"/>
    <cellStyle name="Millares 3 4 2" xfId="402" xr:uid="{00000000-0005-0000-0000-000091010000}"/>
    <cellStyle name="Millares 3 4 2 2" xfId="403" xr:uid="{00000000-0005-0000-0000-000092010000}"/>
    <cellStyle name="Millares 3 4 2 2 2" xfId="404" xr:uid="{00000000-0005-0000-0000-000093010000}"/>
    <cellStyle name="Millares 3 4 3" xfId="405" xr:uid="{00000000-0005-0000-0000-000094010000}"/>
    <cellStyle name="Millares 3 4 3 2" xfId="406" xr:uid="{00000000-0005-0000-0000-000095010000}"/>
    <cellStyle name="Millares 3 4 4" xfId="1238" xr:uid="{10155EE9-AE14-42E1-8848-C6876399B6A7}"/>
    <cellStyle name="Millares 3 5" xfId="407" xr:uid="{00000000-0005-0000-0000-000096010000}"/>
    <cellStyle name="Millares 3 5 2" xfId="1239" xr:uid="{F5435DA5-B7F6-40C3-8854-5D01ABF8150C}"/>
    <cellStyle name="Millares 3 6" xfId="408" xr:uid="{00000000-0005-0000-0000-000097010000}"/>
    <cellStyle name="Millares 3 6 2" xfId="1240" xr:uid="{9D995D3B-6E48-448A-889A-807AB0242C1C}"/>
    <cellStyle name="Millares 3 7" xfId="409" xr:uid="{00000000-0005-0000-0000-000098010000}"/>
    <cellStyle name="Millares 3 7 2" xfId="410" xr:uid="{00000000-0005-0000-0000-000099010000}"/>
    <cellStyle name="Millares 3 7 2 2" xfId="411" xr:uid="{00000000-0005-0000-0000-00009A010000}"/>
    <cellStyle name="Millares 3 8" xfId="412" xr:uid="{00000000-0005-0000-0000-00009B010000}"/>
    <cellStyle name="Millares 3 8 2" xfId="413" xr:uid="{00000000-0005-0000-0000-00009C010000}"/>
    <cellStyle name="Millares 3 8 2 2" xfId="414" xr:uid="{00000000-0005-0000-0000-00009D010000}"/>
    <cellStyle name="Millares 3 9" xfId="415" xr:uid="{00000000-0005-0000-0000-00009E010000}"/>
    <cellStyle name="Millares 3 9 2" xfId="416" xr:uid="{00000000-0005-0000-0000-00009F010000}"/>
    <cellStyle name="Millares 30" xfId="417" xr:uid="{00000000-0005-0000-0000-0000A0010000}"/>
    <cellStyle name="Millares 30 2" xfId="418" xr:uid="{00000000-0005-0000-0000-0000A1010000}"/>
    <cellStyle name="Millares 30 2 2" xfId="419" xr:uid="{00000000-0005-0000-0000-0000A2010000}"/>
    <cellStyle name="Millares 30 2 2 2" xfId="420" xr:uid="{00000000-0005-0000-0000-0000A3010000}"/>
    <cellStyle name="Millares 30 3" xfId="421" xr:uid="{00000000-0005-0000-0000-0000A4010000}"/>
    <cellStyle name="Millares 30 3 2" xfId="422" xr:uid="{00000000-0005-0000-0000-0000A5010000}"/>
    <cellStyle name="Millares 30 4" xfId="1241" xr:uid="{BEDA3DB8-26BB-40FC-99C5-23C3ABAD3DAF}"/>
    <cellStyle name="Millares 31" xfId="423" xr:uid="{00000000-0005-0000-0000-0000A6010000}"/>
    <cellStyle name="Millares 31 2" xfId="424" xr:uid="{00000000-0005-0000-0000-0000A7010000}"/>
    <cellStyle name="Millares 31 2 2" xfId="425" xr:uid="{00000000-0005-0000-0000-0000A8010000}"/>
    <cellStyle name="Millares 31 2 2 2" xfId="426" xr:uid="{00000000-0005-0000-0000-0000A9010000}"/>
    <cellStyle name="Millares 31 3" xfId="427" xr:uid="{00000000-0005-0000-0000-0000AA010000}"/>
    <cellStyle name="Millares 31 3 2" xfId="428" xr:uid="{00000000-0005-0000-0000-0000AB010000}"/>
    <cellStyle name="Millares 31 4" xfId="1242" xr:uid="{0EB2009C-6BCD-43B4-98FB-EFE20BD8FB72}"/>
    <cellStyle name="Millares 32" xfId="429" xr:uid="{00000000-0005-0000-0000-0000AC010000}"/>
    <cellStyle name="Millares 32 2" xfId="430" xr:uid="{00000000-0005-0000-0000-0000AD010000}"/>
    <cellStyle name="Millares 32 2 2" xfId="431" xr:uid="{00000000-0005-0000-0000-0000AE010000}"/>
    <cellStyle name="Millares 32 2 2 2" xfId="432" xr:uid="{00000000-0005-0000-0000-0000AF010000}"/>
    <cellStyle name="Millares 32 3" xfId="433" xr:uid="{00000000-0005-0000-0000-0000B0010000}"/>
    <cellStyle name="Millares 32 3 2" xfId="434" xr:uid="{00000000-0005-0000-0000-0000B1010000}"/>
    <cellStyle name="Millares 32 4" xfId="1243" xr:uid="{DA5963A9-FE35-4409-8575-E699591FD300}"/>
    <cellStyle name="Millares 33" xfId="435" xr:uid="{00000000-0005-0000-0000-0000B2010000}"/>
    <cellStyle name="Millares 33 2" xfId="436" xr:uid="{00000000-0005-0000-0000-0000B3010000}"/>
    <cellStyle name="Millares 33 2 2" xfId="437" xr:uid="{00000000-0005-0000-0000-0000B4010000}"/>
    <cellStyle name="Millares 33 2 2 2" xfId="438" xr:uid="{00000000-0005-0000-0000-0000B5010000}"/>
    <cellStyle name="Millares 33 2 2 2 2" xfId="439" xr:uid="{00000000-0005-0000-0000-0000B6010000}"/>
    <cellStyle name="Millares 33 2 3" xfId="440" xr:uid="{00000000-0005-0000-0000-0000B7010000}"/>
    <cellStyle name="Millares 33 2 3 2" xfId="441" xr:uid="{00000000-0005-0000-0000-0000B8010000}"/>
    <cellStyle name="Millares 33 3" xfId="442" xr:uid="{00000000-0005-0000-0000-0000B9010000}"/>
    <cellStyle name="Millares 33 3 2" xfId="443" xr:uid="{00000000-0005-0000-0000-0000BA010000}"/>
    <cellStyle name="Millares 33 3 2 2" xfId="444" xr:uid="{00000000-0005-0000-0000-0000BB010000}"/>
    <cellStyle name="Millares 33 4" xfId="445" xr:uid="{00000000-0005-0000-0000-0000BC010000}"/>
    <cellStyle name="Millares 33 4 2" xfId="446" xr:uid="{00000000-0005-0000-0000-0000BD010000}"/>
    <cellStyle name="Millares 34" xfId="447" xr:uid="{00000000-0005-0000-0000-0000BE010000}"/>
    <cellStyle name="Millares 34 2" xfId="448" xr:uid="{00000000-0005-0000-0000-0000BF010000}"/>
    <cellStyle name="Millares 34 2 2" xfId="449" xr:uid="{00000000-0005-0000-0000-0000C0010000}"/>
    <cellStyle name="Millares 34 2 2 2" xfId="450" xr:uid="{00000000-0005-0000-0000-0000C1010000}"/>
    <cellStyle name="Millares 34 3" xfId="451" xr:uid="{00000000-0005-0000-0000-0000C2010000}"/>
    <cellStyle name="Millares 34 3 2" xfId="452" xr:uid="{00000000-0005-0000-0000-0000C3010000}"/>
    <cellStyle name="Millares 34 4" xfId="1244" xr:uid="{01DD61E1-B454-4EAB-890F-19F7BFFD6D50}"/>
    <cellStyle name="Millares 35" xfId="453" xr:uid="{00000000-0005-0000-0000-0000C4010000}"/>
    <cellStyle name="Millares 35 2" xfId="454" xr:uid="{00000000-0005-0000-0000-0000C5010000}"/>
    <cellStyle name="Millares 35 2 2" xfId="455" xr:uid="{00000000-0005-0000-0000-0000C6010000}"/>
    <cellStyle name="Millares 35 2 2 2" xfId="456" xr:uid="{00000000-0005-0000-0000-0000C7010000}"/>
    <cellStyle name="Millares 35 3" xfId="457" xr:uid="{00000000-0005-0000-0000-0000C8010000}"/>
    <cellStyle name="Millares 35 3 2" xfId="458" xr:uid="{00000000-0005-0000-0000-0000C9010000}"/>
    <cellStyle name="Millares 35 4" xfId="1245" xr:uid="{13B1F564-595E-4590-85A3-0CA8FB2785B9}"/>
    <cellStyle name="Millares 36" xfId="459" xr:uid="{00000000-0005-0000-0000-0000CA010000}"/>
    <cellStyle name="Millares 36 2" xfId="460" xr:uid="{00000000-0005-0000-0000-0000CB010000}"/>
    <cellStyle name="Millares 36 2 2" xfId="461" xr:uid="{00000000-0005-0000-0000-0000CC010000}"/>
    <cellStyle name="Millares 36 2 2 2" xfId="462" xr:uid="{00000000-0005-0000-0000-0000CD010000}"/>
    <cellStyle name="Millares 36 2 2 2 2" xfId="463" xr:uid="{00000000-0005-0000-0000-0000CE010000}"/>
    <cellStyle name="Millares 36 2 3" xfId="464" xr:uid="{00000000-0005-0000-0000-0000CF010000}"/>
    <cellStyle name="Millares 36 2 3 2" xfId="465" xr:uid="{00000000-0005-0000-0000-0000D0010000}"/>
    <cellStyle name="Millares 36 3" xfId="466" xr:uid="{00000000-0005-0000-0000-0000D1010000}"/>
    <cellStyle name="Millares 36 3 2" xfId="467" xr:uid="{00000000-0005-0000-0000-0000D2010000}"/>
    <cellStyle name="Millares 36 3 2 2" xfId="468" xr:uid="{00000000-0005-0000-0000-0000D3010000}"/>
    <cellStyle name="Millares 36 4" xfId="469" xr:uid="{00000000-0005-0000-0000-0000D4010000}"/>
    <cellStyle name="Millares 36 4 2" xfId="470" xr:uid="{00000000-0005-0000-0000-0000D5010000}"/>
    <cellStyle name="Millares 363" xfId="471" xr:uid="{00000000-0005-0000-0000-0000D6010000}"/>
    <cellStyle name="Millares 363 2" xfId="472" xr:uid="{00000000-0005-0000-0000-0000D7010000}"/>
    <cellStyle name="Millares 363 2 2" xfId="473" xr:uid="{00000000-0005-0000-0000-0000D8010000}"/>
    <cellStyle name="Millares 363 2 2 2" xfId="474" xr:uid="{00000000-0005-0000-0000-0000D9010000}"/>
    <cellStyle name="Millares 363 2 2 2 2" xfId="475" xr:uid="{00000000-0005-0000-0000-0000DA010000}"/>
    <cellStyle name="Millares 363 2 3" xfId="476" xr:uid="{00000000-0005-0000-0000-0000DB010000}"/>
    <cellStyle name="Millares 363 2 3 2" xfId="477" xr:uid="{00000000-0005-0000-0000-0000DC010000}"/>
    <cellStyle name="Millares 363 3" xfId="478" xr:uid="{00000000-0005-0000-0000-0000DD010000}"/>
    <cellStyle name="Millares 363 3 2" xfId="479" xr:uid="{00000000-0005-0000-0000-0000DE010000}"/>
    <cellStyle name="Millares 363 3 2 2" xfId="480" xr:uid="{00000000-0005-0000-0000-0000DF010000}"/>
    <cellStyle name="Millares 363 4" xfId="481" xr:uid="{00000000-0005-0000-0000-0000E0010000}"/>
    <cellStyle name="Millares 363 4 2" xfId="482" xr:uid="{00000000-0005-0000-0000-0000E1010000}"/>
    <cellStyle name="Millares 368" xfId="483" xr:uid="{00000000-0005-0000-0000-0000E2010000}"/>
    <cellStyle name="Millares 368 2" xfId="484" xr:uid="{00000000-0005-0000-0000-0000E3010000}"/>
    <cellStyle name="Millares 368 2 2" xfId="485" xr:uid="{00000000-0005-0000-0000-0000E4010000}"/>
    <cellStyle name="Millares 368 2 2 2" xfId="486" xr:uid="{00000000-0005-0000-0000-0000E5010000}"/>
    <cellStyle name="Millares 368 2 2 2 2" xfId="487" xr:uid="{00000000-0005-0000-0000-0000E6010000}"/>
    <cellStyle name="Millares 368 2 3" xfId="488" xr:uid="{00000000-0005-0000-0000-0000E7010000}"/>
    <cellStyle name="Millares 368 2 3 2" xfId="489" xr:uid="{00000000-0005-0000-0000-0000E8010000}"/>
    <cellStyle name="Millares 368 3" xfId="490" xr:uid="{00000000-0005-0000-0000-0000E9010000}"/>
    <cellStyle name="Millares 368 3 2" xfId="491" xr:uid="{00000000-0005-0000-0000-0000EA010000}"/>
    <cellStyle name="Millares 368 3 2 2" xfId="492" xr:uid="{00000000-0005-0000-0000-0000EB010000}"/>
    <cellStyle name="Millares 368 4" xfId="493" xr:uid="{00000000-0005-0000-0000-0000EC010000}"/>
    <cellStyle name="Millares 368 4 2" xfId="494" xr:uid="{00000000-0005-0000-0000-0000ED010000}"/>
    <cellStyle name="Millares 37" xfId="495" xr:uid="{00000000-0005-0000-0000-0000EE010000}"/>
    <cellStyle name="Millares 37 2" xfId="496" xr:uid="{00000000-0005-0000-0000-0000EF010000}"/>
    <cellStyle name="Millares 37 2 2" xfId="497" xr:uid="{00000000-0005-0000-0000-0000F0010000}"/>
    <cellStyle name="Millares 37 2 2 2" xfId="498" xr:uid="{00000000-0005-0000-0000-0000F1010000}"/>
    <cellStyle name="Millares 37 3" xfId="499" xr:uid="{00000000-0005-0000-0000-0000F2010000}"/>
    <cellStyle name="Millares 37 3 2" xfId="500" xr:uid="{00000000-0005-0000-0000-0000F3010000}"/>
    <cellStyle name="Millares 37 4" xfId="1246" xr:uid="{87F89E9F-EE0E-4BD5-AEB1-131E7202E51B}"/>
    <cellStyle name="Millares 38" xfId="501" xr:uid="{00000000-0005-0000-0000-0000F4010000}"/>
    <cellStyle name="Millares 38 2" xfId="502" xr:uid="{00000000-0005-0000-0000-0000F5010000}"/>
    <cellStyle name="Millares 38 2 2" xfId="503" xr:uid="{00000000-0005-0000-0000-0000F6010000}"/>
    <cellStyle name="Millares 38 2 2 2" xfId="504" xr:uid="{00000000-0005-0000-0000-0000F7010000}"/>
    <cellStyle name="Millares 38 3" xfId="505" xr:uid="{00000000-0005-0000-0000-0000F8010000}"/>
    <cellStyle name="Millares 38 3 2" xfId="506" xr:uid="{00000000-0005-0000-0000-0000F9010000}"/>
    <cellStyle name="Millares 39" xfId="507" xr:uid="{00000000-0005-0000-0000-0000FA010000}"/>
    <cellStyle name="Millares 39 2" xfId="508" xr:uid="{00000000-0005-0000-0000-0000FB010000}"/>
    <cellStyle name="Millares 39 2 2" xfId="509" xr:uid="{00000000-0005-0000-0000-0000FC010000}"/>
    <cellStyle name="Millares 39 2 2 2" xfId="510" xr:uid="{00000000-0005-0000-0000-0000FD010000}"/>
    <cellStyle name="Millares 39 3" xfId="511" xr:uid="{00000000-0005-0000-0000-0000FE010000}"/>
    <cellStyle name="Millares 39 3 2" xfId="512" xr:uid="{00000000-0005-0000-0000-0000FF010000}"/>
    <cellStyle name="Millares 4" xfId="513" xr:uid="{00000000-0005-0000-0000-000000020000}"/>
    <cellStyle name="Millares 4 2" xfId="514" xr:uid="{00000000-0005-0000-0000-000001020000}"/>
    <cellStyle name="Millares 4 2 2" xfId="515" xr:uid="{00000000-0005-0000-0000-000002020000}"/>
    <cellStyle name="Millares 4 2 2 2" xfId="516" xr:uid="{00000000-0005-0000-0000-000003020000}"/>
    <cellStyle name="Millares 4 2 2 2 2" xfId="517" xr:uid="{00000000-0005-0000-0000-000004020000}"/>
    <cellStyle name="Millares 4 2 2 2 2 2" xfId="518" xr:uid="{00000000-0005-0000-0000-000005020000}"/>
    <cellStyle name="Millares 4 2 2 3" xfId="519" xr:uid="{00000000-0005-0000-0000-000006020000}"/>
    <cellStyle name="Millares 4 2 2 3 2" xfId="520" xr:uid="{00000000-0005-0000-0000-000007020000}"/>
    <cellStyle name="Millares 4 2 2 4" xfId="1249" xr:uid="{A22786C4-9ED6-48A6-AA77-1AAA4882636C}"/>
    <cellStyle name="Millares 4 2 3" xfId="521" xr:uid="{00000000-0005-0000-0000-000008020000}"/>
    <cellStyle name="Millares 4 2 3 2" xfId="522" xr:uid="{00000000-0005-0000-0000-000009020000}"/>
    <cellStyle name="Millares 4 2 3 2 2" xfId="523" xr:uid="{00000000-0005-0000-0000-00000A020000}"/>
    <cellStyle name="Millares 4 2 3 2 2 2" xfId="524" xr:uid="{00000000-0005-0000-0000-00000B020000}"/>
    <cellStyle name="Millares 4 2 3 3" xfId="525" xr:uid="{00000000-0005-0000-0000-00000C020000}"/>
    <cellStyle name="Millares 4 2 3 3 2" xfId="526" xr:uid="{00000000-0005-0000-0000-00000D020000}"/>
    <cellStyle name="Millares 4 2 3 4" xfId="1250" xr:uid="{493B33E0-3C12-403C-AD96-3FD0501491F8}"/>
    <cellStyle name="Millares 4 2 4" xfId="1248" xr:uid="{18E27F50-D8AE-4507-83C4-1E3190196973}"/>
    <cellStyle name="Millares 4 3" xfId="527" xr:uid="{00000000-0005-0000-0000-00000E020000}"/>
    <cellStyle name="Millares 4 3 2" xfId="528" xr:uid="{00000000-0005-0000-0000-00000F020000}"/>
    <cellStyle name="Millares 4 3 2 2" xfId="529" xr:uid="{00000000-0005-0000-0000-000010020000}"/>
    <cellStyle name="Millares 4 3 2 2 2" xfId="530" xr:uid="{00000000-0005-0000-0000-000011020000}"/>
    <cellStyle name="Millares 4 3 3" xfId="531" xr:uid="{00000000-0005-0000-0000-000012020000}"/>
    <cellStyle name="Millares 4 3 3 2" xfId="532" xr:uid="{00000000-0005-0000-0000-000013020000}"/>
    <cellStyle name="Millares 4 3 4" xfId="1251" xr:uid="{9A25ADA7-749E-4080-A766-7CCDB187F604}"/>
    <cellStyle name="Millares 4 4" xfId="533" xr:uid="{00000000-0005-0000-0000-000014020000}"/>
    <cellStyle name="Millares 4 4 2" xfId="534" xr:uid="{00000000-0005-0000-0000-000015020000}"/>
    <cellStyle name="Millares 4 4 2 2" xfId="535" xr:uid="{00000000-0005-0000-0000-000016020000}"/>
    <cellStyle name="Millares 4 4 2 2 2" xfId="536" xr:uid="{00000000-0005-0000-0000-000017020000}"/>
    <cellStyle name="Millares 4 4 3" xfId="537" xr:uid="{00000000-0005-0000-0000-000018020000}"/>
    <cellStyle name="Millares 4 4 3 2" xfId="538" xr:uid="{00000000-0005-0000-0000-000019020000}"/>
    <cellStyle name="Millares 4 4 4" xfId="1252" xr:uid="{00BB13E0-FF96-44BF-AD7B-162AB01D33D2}"/>
    <cellStyle name="Millares 4 5" xfId="539" xr:uid="{00000000-0005-0000-0000-00001A020000}"/>
    <cellStyle name="Millares 4 5 2" xfId="540" xr:uid="{00000000-0005-0000-0000-00001B020000}"/>
    <cellStyle name="Millares 4 5 2 2" xfId="541" xr:uid="{00000000-0005-0000-0000-00001C020000}"/>
    <cellStyle name="Millares 4 5 2 2 2" xfId="542" xr:uid="{00000000-0005-0000-0000-00001D020000}"/>
    <cellStyle name="Millares 4 5 2 2 2 2" xfId="543" xr:uid="{00000000-0005-0000-0000-00001E020000}"/>
    <cellStyle name="Millares 4 5 2 3" xfId="544" xr:uid="{00000000-0005-0000-0000-00001F020000}"/>
    <cellStyle name="Millares 4 5 2 3 2" xfId="545" xr:uid="{00000000-0005-0000-0000-000020020000}"/>
    <cellStyle name="Millares 4 5 3" xfId="546" xr:uid="{00000000-0005-0000-0000-000021020000}"/>
    <cellStyle name="Millares 4 5 3 2" xfId="547" xr:uid="{00000000-0005-0000-0000-000022020000}"/>
    <cellStyle name="Millares 4 5 3 2 2" xfId="548" xr:uid="{00000000-0005-0000-0000-000023020000}"/>
    <cellStyle name="Millares 4 5 4" xfId="549" xr:uid="{00000000-0005-0000-0000-000024020000}"/>
    <cellStyle name="Millares 4 5 4 2" xfId="550" xr:uid="{00000000-0005-0000-0000-000025020000}"/>
    <cellStyle name="Millares 4 6" xfId="551" xr:uid="{00000000-0005-0000-0000-000026020000}"/>
    <cellStyle name="Millares 4 6 2" xfId="552" xr:uid="{00000000-0005-0000-0000-000027020000}"/>
    <cellStyle name="Millares 4 6 2 2" xfId="553" xr:uid="{00000000-0005-0000-0000-000028020000}"/>
    <cellStyle name="Millares 4 6 2 2 2" xfId="554" xr:uid="{00000000-0005-0000-0000-000029020000}"/>
    <cellStyle name="Millares 4 6 3" xfId="555" xr:uid="{00000000-0005-0000-0000-00002A020000}"/>
    <cellStyle name="Millares 4 6 3 2" xfId="556" xr:uid="{00000000-0005-0000-0000-00002B020000}"/>
    <cellStyle name="Millares 4 6 4" xfId="1253" xr:uid="{6FCB010F-2832-4AF0-924C-3BEA179BDECB}"/>
    <cellStyle name="Millares 4 7" xfId="1247" xr:uid="{A3DC4AEE-CF50-443B-B30D-65E568880439}"/>
    <cellStyle name="Millares 40" xfId="557" xr:uid="{00000000-0005-0000-0000-00002C020000}"/>
    <cellStyle name="Millares 40 2" xfId="558" xr:uid="{00000000-0005-0000-0000-00002D020000}"/>
    <cellStyle name="Millares 40 2 2" xfId="559" xr:uid="{00000000-0005-0000-0000-00002E020000}"/>
    <cellStyle name="Millares 40 2 2 2" xfId="560" xr:uid="{00000000-0005-0000-0000-00002F020000}"/>
    <cellStyle name="Millares 40 3" xfId="561" xr:uid="{00000000-0005-0000-0000-000030020000}"/>
    <cellStyle name="Millares 40 3 2" xfId="562" xr:uid="{00000000-0005-0000-0000-000031020000}"/>
    <cellStyle name="Millares 41" xfId="563" xr:uid="{00000000-0005-0000-0000-000032020000}"/>
    <cellStyle name="Millares 41 2" xfId="564" xr:uid="{00000000-0005-0000-0000-000033020000}"/>
    <cellStyle name="Millares 41 2 2" xfId="565" xr:uid="{00000000-0005-0000-0000-000034020000}"/>
    <cellStyle name="Millares 41 2 2 2" xfId="566" xr:uid="{00000000-0005-0000-0000-000035020000}"/>
    <cellStyle name="Millares 41 3" xfId="567" xr:uid="{00000000-0005-0000-0000-000036020000}"/>
    <cellStyle name="Millares 41 3 2" xfId="568" xr:uid="{00000000-0005-0000-0000-000037020000}"/>
    <cellStyle name="Millares 42" xfId="569" xr:uid="{00000000-0005-0000-0000-000038020000}"/>
    <cellStyle name="Millares 42 2" xfId="570" xr:uid="{00000000-0005-0000-0000-000039020000}"/>
    <cellStyle name="Millares 42 2 2" xfId="571" xr:uid="{00000000-0005-0000-0000-00003A020000}"/>
    <cellStyle name="Millares 42 2 2 2" xfId="572" xr:uid="{00000000-0005-0000-0000-00003B020000}"/>
    <cellStyle name="Millares 42 3" xfId="573" xr:uid="{00000000-0005-0000-0000-00003C020000}"/>
    <cellStyle name="Millares 42 3 2" xfId="574" xr:uid="{00000000-0005-0000-0000-00003D020000}"/>
    <cellStyle name="Millares 43" xfId="575" xr:uid="{00000000-0005-0000-0000-00003E020000}"/>
    <cellStyle name="Millares 43 2" xfId="576" xr:uid="{00000000-0005-0000-0000-00003F020000}"/>
    <cellStyle name="Millares 43 2 2" xfId="577" xr:uid="{00000000-0005-0000-0000-000040020000}"/>
    <cellStyle name="Millares 43 2 2 2" xfId="578" xr:uid="{00000000-0005-0000-0000-000041020000}"/>
    <cellStyle name="Millares 43 3" xfId="579" xr:uid="{00000000-0005-0000-0000-000042020000}"/>
    <cellStyle name="Millares 43 3 2" xfId="580" xr:uid="{00000000-0005-0000-0000-000043020000}"/>
    <cellStyle name="Millares 44" xfId="581" xr:uid="{00000000-0005-0000-0000-000044020000}"/>
    <cellStyle name="Millares 44 2" xfId="582" xr:uid="{00000000-0005-0000-0000-000045020000}"/>
    <cellStyle name="Millares 44 2 2" xfId="583" xr:uid="{00000000-0005-0000-0000-000046020000}"/>
    <cellStyle name="Millares 44 2 2 2" xfId="584" xr:uid="{00000000-0005-0000-0000-000047020000}"/>
    <cellStyle name="Millares 44 3" xfId="585" xr:uid="{00000000-0005-0000-0000-000048020000}"/>
    <cellStyle name="Millares 44 3 2" xfId="586" xr:uid="{00000000-0005-0000-0000-000049020000}"/>
    <cellStyle name="Millares 45" xfId="587" xr:uid="{00000000-0005-0000-0000-00004A020000}"/>
    <cellStyle name="Millares 45 2" xfId="588" xr:uid="{00000000-0005-0000-0000-00004B020000}"/>
    <cellStyle name="Millares 45 2 2" xfId="589" xr:uid="{00000000-0005-0000-0000-00004C020000}"/>
    <cellStyle name="Millares 45 2 2 2" xfId="590" xr:uid="{00000000-0005-0000-0000-00004D020000}"/>
    <cellStyle name="Millares 45 3" xfId="591" xr:uid="{00000000-0005-0000-0000-00004E020000}"/>
    <cellStyle name="Millares 45 3 2" xfId="592" xr:uid="{00000000-0005-0000-0000-00004F020000}"/>
    <cellStyle name="Millares 46" xfId="593" xr:uid="{00000000-0005-0000-0000-000050020000}"/>
    <cellStyle name="Millares 46 2" xfId="594" xr:uid="{00000000-0005-0000-0000-000051020000}"/>
    <cellStyle name="Millares 46 2 2" xfId="595" xr:uid="{00000000-0005-0000-0000-000052020000}"/>
    <cellStyle name="Millares 46 2 2 2" xfId="596" xr:uid="{00000000-0005-0000-0000-000053020000}"/>
    <cellStyle name="Millares 46 3" xfId="597" xr:uid="{00000000-0005-0000-0000-000054020000}"/>
    <cellStyle name="Millares 46 3 2" xfId="598" xr:uid="{00000000-0005-0000-0000-000055020000}"/>
    <cellStyle name="Millares 47" xfId="599" xr:uid="{00000000-0005-0000-0000-000056020000}"/>
    <cellStyle name="Millares 47 2" xfId="600" xr:uid="{00000000-0005-0000-0000-000057020000}"/>
    <cellStyle name="Millares 47 2 2" xfId="601" xr:uid="{00000000-0005-0000-0000-000058020000}"/>
    <cellStyle name="Millares 47 2 2 2" xfId="602" xr:uid="{00000000-0005-0000-0000-000059020000}"/>
    <cellStyle name="Millares 47 3" xfId="603" xr:uid="{00000000-0005-0000-0000-00005A020000}"/>
    <cellStyle name="Millares 47 3 2" xfId="604" xr:uid="{00000000-0005-0000-0000-00005B020000}"/>
    <cellStyle name="Millares 47 4" xfId="1254" xr:uid="{96773EE6-E950-467E-B53E-8D5D3F6A6CF6}"/>
    <cellStyle name="Millares 48" xfId="605" xr:uid="{00000000-0005-0000-0000-00005C020000}"/>
    <cellStyle name="Millares 48 2" xfId="606" xr:uid="{00000000-0005-0000-0000-00005D020000}"/>
    <cellStyle name="Millares 48 2 2" xfId="607" xr:uid="{00000000-0005-0000-0000-00005E020000}"/>
    <cellStyle name="Millares 48 2 2 2" xfId="608" xr:uid="{00000000-0005-0000-0000-00005F020000}"/>
    <cellStyle name="Millares 48 3" xfId="609" xr:uid="{00000000-0005-0000-0000-000060020000}"/>
    <cellStyle name="Millares 48 3 2" xfId="610" xr:uid="{00000000-0005-0000-0000-000061020000}"/>
    <cellStyle name="Millares 48 4" xfId="1255" xr:uid="{799AF4E3-E4A7-4643-9490-11CADC36B91A}"/>
    <cellStyle name="Millares 49" xfId="611" xr:uid="{00000000-0005-0000-0000-000062020000}"/>
    <cellStyle name="Millares 49 2" xfId="612" xr:uid="{00000000-0005-0000-0000-000063020000}"/>
    <cellStyle name="Millares 49 2 2" xfId="613" xr:uid="{00000000-0005-0000-0000-000064020000}"/>
    <cellStyle name="Millares 49 2 2 2" xfId="614" xr:uid="{00000000-0005-0000-0000-000065020000}"/>
    <cellStyle name="Millares 49 3" xfId="615" xr:uid="{00000000-0005-0000-0000-000066020000}"/>
    <cellStyle name="Millares 49 3 2" xfId="616" xr:uid="{00000000-0005-0000-0000-000067020000}"/>
    <cellStyle name="Millares 49 4" xfId="1256" xr:uid="{AF0866E8-1C60-4823-B9AC-F89690DDC677}"/>
    <cellStyle name="Millares 5" xfId="617" xr:uid="{00000000-0005-0000-0000-000068020000}"/>
    <cellStyle name="Millares 5 2" xfId="618" xr:uid="{00000000-0005-0000-0000-000069020000}"/>
    <cellStyle name="Millares 5 2 2" xfId="1258" xr:uid="{34151D77-F9AA-4740-8EA4-BA66E047BA6F}"/>
    <cellStyle name="Millares 5 3" xfId="619" xr:uid="{00000000-0005-0000-0000-00006A020000}"/>
    <cellStyle name="Millares 5 3 2" xfId="620" xr:uid="{00000000-0005-0000-0000-00006B020000}"/>
    <cellStyle name="Millares 5 3 2 2" xfId="621" xr:uid="{00000000-0005-0000-0000-00006C020000}"/>
    <cellStyle name="Millares 5 3 2 2 2" xfId="622" xr:uid="{00000000-0005-0000-0000-00006D020000}"/>
    <cellStyle name="Millares 5 3 2 2 2 2" xfId="623" xr:uid="{00000000-0005-0000-0000-00006E020000}"/>
    <cellStyle name="Millares 5 3 2 3" xfId="624" xr:uid="{00000000-0005-0000-0000-00006F020000}"/>
    <cellStyle name="Millares 5 3 2 3 2" xfId="625" xr:uid="{00000000-0005-0000-0000-000070020000}"/>
    <cellStyle name="Millares 5 3 3" xfId="626" xr:uid="{00000000-0005-0000-0000-000071020000}"/>
    <cellStyle name="Millares 5 3 3 2" xfId="627" xr:uid="{00000000-0005-0000-0000-000072020000}"/>
    <cellStyle name="Millares 5 3 3 2 2" xfId="628" xr:uid="{00000000-0005-0000-0000-000073020000}"/>
    <cellStyle name="Millares 5 3 4" xfId="629" xr:uid="{00000000-0005-0000-0000-000074020000}"/>
    <cellStyle name="Millares 5 3 4 2" xfId="630" xr:uid="{00000000-0005-0000-0000-000075020000}"/>
    <cellStyle name="Millares 5 4" xfId="631" xr:uid="{00000000-0005-0000-0000-000076020000}"/>
    <cellStyle name="Millares 5 4 2" xfId="632" xr:uid="{00000000-0005-0000-0000-000077020000}"/>
    <cellStyle name="Millares 5 4 2 2" xfId="633" xr:uid="{00000000-0005-0000-0000-000078020000}"/>
    <cellStyle name="Millares 5 4 2 2 2" xfId="634" xr:uid="{00000000-0005-0000-0000-000079020000}"/>
    <cellStyle name="Millares 5 4 3" xfId="635" xr:uid="{00000000-0005-0000-0000-00007A020000}"/>
    <cellStyle name="Millares 5 4 3 2" xfId="636" xr:uid="{00000000-0005-0000-0000-00007B020000}"/>
    <cellStyle name="Millares 5 4 4" xfId="1259" xr:uid="{5A5A2468-1A0B-405E-863E-BBAB661DC664}"/>
    <cellStyle name="Millares 5 5" xfId="637" xr:uid="{00000000-0005-0000-0000-00007C020000}"/>
    <cellStyle name="Millares 5 5 2" xfId="1260" xr:uid="{9F990B60-6345-4B0D-BB0A-81607E832120}"/>
    <cellStyle name="Millares 5 6" xfId="1257" xr:uid="{E27C9497-D778-42D1-BE6E-7BDB3217DD13}"/>
    <cellStyle name="Millares 50" xfId="638" xr:uid="{00000000-0005-0000-0000-00007D020000}"/>
    <cellStyle name="Millares 50 2" xfId="639" xr:uid="{00000000-0005-0000-0000-00007E020000}"/>
    <cellStyle name="Millares 50 2 2" xfId="640" xr:uid="{00000000-0005-0000-0000-00007F020000}"/>
    <cellStyle name="Millares 50 2 2 2" xfId="641" xr:uid="{00000000-0005-0000-0000-000080020000}"/>
    <cellStyle name="Millares 50 3" xfId="642" xr:uid="{00000000-0005-0000-0000-000081020000}"/>
    <cellStyle name="Millares 50 3 2" xfId="643" xr:uid="{00000000-0005-0000-0000-000082020000}"/>
    <cellStyle name="Millares 50 4" xfId="1261" xr:uid="{31B5FA0A-EB91-42C2-8FB8-2504CF7D51B1}"/>
    <cellStyle name="Millares 51" xfId="644" xr:uid="{00000000-0005-0000-0000-000083020000}"/>
    <cellStyle name="Millares 51 2" xfId="645" xr:uid="{00000000-0005-0000-0000-000084020000}"/>
    <cellStyle name="Millares 51 2 2" xfId="646" xr:uid="{00000000-0005-0000-0000-000085020000}"/>
    <cellStyle name="Millares 51 2 2 2" xfId="647" xr:uid="{00000000-0005-0000-0000-000086020000}"/>
    <cellStyle name="Millares 51 3" xfId="648" xr:uid="{00000000-0005-0000-0000-000087020000}"/>
    <cellStyle name="Millares 51 3 2" xfId="649" xr:uid="{00000000-0005-0000-0000-000088020000}"/>
    <cellStyle name="Millares 51 4" xfId="1262" xr:uid="{1B299F1E-E14C-4DEE-8A13-3046FDFE1974}"/>
    <cellStyle name="Millares 52" xfId="650" xr:uid="{00000000-0005-0000-0000-000089020000}"/>
    <cellStyle name="Millares 52 2" xfId="651" xr:uid="{00000000-0005-0000-0000-00008A020000}"/>
    <cellStyle name="Millares 52 2 2" xfId="652" xr:uid="{00000000-0005-0000-0000-00008B020000}"/>
    <cellStyle name="Millares 52 2 2 2" xfId="653" xr:uid="{00000000-0005-0000-0000-00008C020000}"/>
    <cellStyle name="Millares 52 3" xfId="654" xr:uid="{00000000-0005-0000-0000-00008D020000}"/>
    <cellStyle name="Millares 52 3 2" xfId="655" xr:uid="{00000000-0005-0000-0000-00008E020000}"/>
    <cellStyle name="Millares 52 4" xfId="1263" xr:uid="{25C60CEB-8EC2-47C2-9893-ABBBBF761CCB}"/>
    <cellStyle name="Millares 53" xfId="656" xr:uid="{00000000-0005-0000-0000-00008F020000}"/>
    <cellStyle name="Millares 53 2" xfId="657" xr:uid="{00000000-0005-0000-0000-000090020000}"/>
    <cellStyle name="Millares 53 2 2" xfId="658" xr:uid="{00000000-0005-0000-0000-000091020000}"/>
    <cellStyle name="Millares 53 2 2 2" xfId="659" xr:uid="{00000000-0005-0000-0000-000092020000}"/>
    <cellStyle name="Millares 53 3" xfId="660" xr:uid="{00000000-0005-0000-0000-000093020000}"/>
    <cellStyle name="Millares 53 3 2" xfId="661" xr:uid="{00000000-0005-0000-0000-000094020000}"/>
    <cellStyle name="Millares 53 4" xfId="1264" xr:uid="{89C1C83E-0251-4DAB-80A1-562F4D9C1A49}"/>
    <cellStyle name="Millares 54" xfId="662" xr:uid="{00000000-0005-0000-0000-000095020000}"/>
    <cellStyle name="Millares 54 2" xfId="663" xr:uid="{00000000-0005-0000-0000-000096020000}"/>
    <cellStyle name="Millares 54 2 2" xfId="664" xr:uid="{00000000-0005-0000-0000-000097020000}"/>
    <cellStyle name="Millares 54 2 2 2" xfId="665" xr:uid="{00000000-0005-0000-0000-000098020000}"/>
    <cellStyle name="Millares 54 3" xfId="666" xr:uid="{00000000-0005-0000-0000-000099020000}"/>
    <cellStyle name="Millares 54 3 2" xfId="667" xr:uid="{00000000-0005-0000-0000-00009A020000}"/>
    <cellStyle name="Millares 54 4" xfId="1265" xr:uid="{26B4DB0C-1D0C-4651-80E5-2A5FE55178E9}"/>
    <cellStyle name="Millares 55" xfId="668" xr:uid="{00000000-0005-0000-0000-00009B020000}"/>
    <cellStyle name="Millares 55 2" xfId="669" xr:uid="{00000000-0005-0000-0000-00009C020000}"/>
    <cellStyle name="Millares 55 2 2" xfId="670" xr:uid="{00000000-0005-0000-0000-00009D020000}"/>
    <cellStyle name="Millares 55 2 2 2" xfId="671" xr:uid="{00000000-0005-0000-0000-00009E020000}"/>
    <cellStyle name="Millares 55 3" xfId="672" xr:uid="{00000000-0005-0000-0000-00009F020000}"/>
    <cellStyle name="Millares 55 3 2" xfId="673" xr:uid="{00000000-0005-0000-0000-0000A0020000}"/>
    <cellStyle name="Millares 55 4" xfId="1266" xr:uid="{83540F95-DCA0-4732-A5EE-AFCC702C6956}"/>
    <cellStyle name="Millares 56" xfId="674" xr:uid="{00000000-0005-0000-0000-0000A1020000}"/>
    <cellStyle name="Millares 56 2" xfId="675" xr:uid="{00000000-0005-0000-0000-0000A2020000}"/>
    <cellStyle name="Millares 56 2 2" xfId="676" xr:uid="{00000000-0005-0000-0000-0000A3020000}"/>
    <cellStyle name="Millares 56 2 2 2" xfId="677" xr:uid="{00000000-0005-0000-0000-0000A4020000}"/>
    <cellStyle name="Millares 56 3" xfId="678" xr:uid="{00000000-0005-0000-0000-0000A5020000}"/>
    <cellStyle name="Millares 56 3 2" xfId="679" xr:uid="{00000000-0005-0000-0000-0000A6020000}"/>
    <cellStyle name="Millares 56 4" xfId="1267" xr:uid="{04A64B2B-4633-424F-BCAB-B0E8B3F80ADF}"/>
    <cellStyle name="Millares 57" xfId="680" xr:uid="{00000000-0005-0000-0000-0000A7020000}"/>
    <cellStyle name="Millares 57 2" xfId="681" xr:uid="{00000000-0005-0000-0000-0000A8020000}"/>
    <cellStyle name="Millares 57 2 2" xfId="682" xr:uid="{00000000-0005-0000-0000-0000A9020000}"/>
    <cellStyle name="Millares 57 2 2 2" xfId="683" xr:uid="{00000000-0005-0000-0000-0000AA020000}"/>
    <cellStyle name="Millares 57 3" xfId="684" xr:uid="{00000000-0005-0000-0000-0000AB020000}"/>
    <cellStyle name="Millares 57 3 2" xfId="685" xr:uid="{00000000-0005-0000-0000-0000AC020000}"/>
    <cellStyle name="Millares 57 4" xfId="1268" xr:uid="{7EF33A94-126F-492E-8C15-4EB050019998}"/>
    <cellStyle name="Millares 58" xfId="686" xr:uid="{00000000-0005-0000-0000-0000AD020000}"/>
    <cellStyle name="Millares 58 2" xfId="687" xr:uid="{00000000-0005-0000-0000-0000AE020000}"/>
    <cellStyle name="Millares 58 2 2" xfId="688" xr:uid="{00000000-0005-0000-0000-0000AF020000}"/>
    <cellStyle name="Millares 58 2 2 2" xfId="689" xr:uid="{00000000-0005-0000-0000-0000B0020000}"/>
    <cellStyle name="Millares 58 3" xfId="690" xr:uid="{00000000-0005-0000-0000-0000B1020000}"/>
    <cellStyle name="Millares 58 3 2" xfId="691" xr:uid="{00000000-0005-0000-0000-0000B2020000}"/>
    <cellStyle name="Millares 58 4" xfId="1269" xr:uid="{2BAF565C-3D9E-4345-88D9-64A5526BC357}"/>
    <cellStyle name="Millares 59" xfId="692" xr:uid="{00000000-0005-0000-0000-0000B3020000}"/>
    <cellStyle name="Millares 59 2" xfId="693" xr:uid="{00000000-0005-0000-0000-0000B4020000}"/>
    <cellStyle name="Millares 59 2 2" xfId="694" xr:uid="{00000000-0005-0000-0000-0000B5020000}"/>
    <cellStyle name="Millares 59 2 2 2" xfId="695" xr:uid="{00000000-0005-0000-0000-0000B6020000}"/>
    <cellStyle name="Millares 59 3" xfId="696" xr:uid="{00000000-0005-0000-0000-0000B7020000}"/>
    <cellStyle name="Millares 59 3 2" xfId="697" xr:uid="{00000000-0005-0000-0000-0000B8020000}"/>
    <cellStyle name="Millares 59 4" xfId="1270" xr:uid="{67D88C8C-6750-4C06-9BD1-686ECEEF2573}"/>
    <cellStyle name="Millares 6" xfId="698" xr:uid="{00000000-0005-0000-0000-0000B9020000}"/>
    <cellStyle name="Millares 6 2" xfId="699" xr:uid="{00000000-0005-0000-0000-0000BA020000}"/>
    <cellStyle name="Millares 6 2 2" xfId="700" xr:uid="{00000000-0005-0000-0000-0000BB020000}"/>
    <cellStyle name="Millares 6 2 2 2" xfId="701" xr:uid="{00000000-0005-0000-0000-0000BC020000}"/>
    <cellStyle name="Millares 6 2 2 2 2" xfId="702" xr:uid="{00000000-0005-0000-0000-0000BD020000}"/>
    <cellStyle name="Millares 6 2 2 3" xfId="1273" xr:uid="{764D449F-A21E-4661-8F49-71D3AF514D5E}"/>
    <cellStyle name="Millares 6 2 3" xfId="703" xr:uid="{00000000-0005-0000-0000-0000BE020000}"/>
    <cellStyle name="Millares 6 2 3 2" xfId="704" xr:uid="{00000000-0005-0000-0000-0000BF020000}"/>
    <cellStyle name="Millares 6 2 4" xfId="1272" xr:uid="{5B84C9C0-B5E1-4208-B4F2-68B3B5F7F6B1}"/>
    <cellStyle name="Millares 6 3" xfId="705" xr:uid="{00000000-0005-0000-0000-0000C0020000}"/>
    <cellStyle name="Millares 6 3 2" xfId="706" xr:uid="{00000000-0005-0000-0000-0000C1020000}"/>
    <cellStyle name="Millares 6 3 2 2" xfId="707" xr:uid="{00000000-0005-0000-0000-0000C2020000}"/>
    <cellStyle name="Millares 6 3 2 2 2" xfId="708" xr:uid="{00000000-0005-0000-0000-0000C3020000}"/>
    <cellStyle name="Millares 6 3 3" xfId="709" xr:uid="{00000000-0005-0000-0000-0000C4020000}"/>
    <cellStyle name="Millares 6 3 3 2" xfId="710" xr:uid="{00000000-0005-0000-0000-0000C5020000}"/>
    <cellStyle name="Millares 6 4" xfId="711" xr:uid="{00000000-0005-0000-0000-0000C6020000}"/>
    <cellStyle name="Millares 6 4 2" xfId="712" xr:uid="{00000000-0005-0000-0000-0000C7020000}"/>
    <cellStyle name="Millares 6 4 2 2" xfId="713" xr:uid="{00000000-0005-0000-0000-0000C8020000}"/>
    <cellStyle name="Millares 6 5" xfId="714" xr:uid="{00000000-0005-0000-0000-0000C9020000}"/>
    <cellStyle name="Millares 6 5 2" xfId="715" xr:uid="{00000000-0005-0000-0000-0000CA020000}"/>
    <cellStyle name="Millares 6 6" xfId="716" xr:uid="{00000000-0005-0000-0000-0000CB020000}"/>
    <cellStyle name="Millares 6 7" xfId="1271" xr:uid="{C72D84F9-7659-4B75-8306-8F1B783BE665}"/>
    <cellStyle name="Millares 60" xfId="717" xr:uid="{00000000-0005-0000-0000-0000CC020000}"/>
    <cellStyle name="Millares 60 2" xfId="718" xr:uid="{00000000-0005-0000-0000-0000CD020000}"/>
    <cellStyle name="Millares 60 2 2" xfId="719" xr:uid="{00000000-0005-0000-0000-0000CE020000}"/>
    <cellStyle name="Millares 60 2 2 2" xfId="720" xr:uid="{00000000-0005-0000-0000-0000CF020000}"/>
    <cellStyle name="Millares 60 3" xfId="721" xr:uid="{00000000-0005-0000-0000-0000D0020000}"/>
    <cellStyle name="Millares 60 3 2" xfId="722" xr:uid="{00000000-0005-0000-0000-0000D1020000}"/>
    <cellStyle name="Millares 60 4" xfId="1274" xr:uid="{664F076F-4B40-45E2-A4CD-39BDCE974B01}"/>
    <cellStyle name="Millares 61" xfId="723" xr:uid="{00000000-0005-0000-0000-0000D2020000}"/>
    <cellStyle name="Millares 61 2" xfId="724" xr:uid="{00000000-0005-0000-0000-0000D3020000}"/>
    <cellStyle name="Millares 61 2 2" xfId="725" xr:uid="{00000000-0005-0000-0000-0000D4020000}"/>
    <cellStyle name="Millares 61 2 2 2" xfId="726" xr:uid="{00000000-0005-0000-0000-0000D5020000}"/>
    <cellStyle name="Millares 61 3" xfId="727" xr:uid="{00000000-0005-0000-0000-0000D6020000}"/>
    <cellStyle name="Millares 61 3 2" xfId="728" xr:uid="{00000000-0005-0000-0000-0000D7020000}"/>
    <cellStyle name="Millares 61 4" xfId="1275" xr:uid="{D8B3D87E-3DE2-4ACB-8408-BF6B4BFF8FFC}"/>
    <cellStyle name="Millares 62" xfId="729" xr:uid="{00000000-0005-0000-0000-0000D8020000}"/>
    <cellStyle name="Millares 62 2" xfId="730" xr:uid="{00000000-0005-0000-0000-0000D9020000}"/>
    <cellStyle name="Millares 62 2 2" xfId="731" xr:uid="{00000000-0005-0000-0000-0000DA020000}"/>
    <cellStyle name="Millares 62 2 2 2" xfId="732" xr:uid="{00000000-0005-0000-0000-0000DB020000}"/>
    <cellStyle name="Millares 62 3" xfId="733" xr:uid="{00000000-0005-0000-0000-0000DC020000}"/>
    <cellStyle name="Millares 62 3 2" xfId="734" xr:uid="{00000000-0005-0000-0000-0000DD020000}"/>
    <cellStyle name="Millares 62 4" xfId="1276" xr:uid="{A04582F6-093C-4BE5-98B3-B31C7A731146}"/>
    <cellStyle name="Millares 63" xfId="735" xr:uid="{00000000-0005-0000-0000-0000DE020000}"/>
    <cellStyle name="Millares 63 2" xfId="736" xr:uid="{00000000-0005-0000-0000-0000DF020000}"/>
    <cellStyle name="Millares 63 2 2" xfId="737" xr:uid="{00000000-0005-0000-0000-0000E0020000}"/>
    <cellStyle name="Millares 63 2 2 2" xfId="738" xr:uid="{00000000-0005-0000-0000-0000E1020000}"/>
    <cellStyle name="Millares 63 3" xfId="739" xr:uid="{00000000-0005-0000-0000-0000E2020000}"/>
    <cellStyle name="Millares 63 3 2" xfId="740" xr:uid="{00000000-0005-0000-0000-0000E3020000}"/>
    <cellStyle name="Millares 63 4" xfId="1277" xr:uid="{00809C4A-5CDD-4FBD-8431-9BAB8142A807}"/>
    <cellStyle name="Millares 64" xfId="741" xr:uid="{00000000-0005-0000-0000-0000E4020000}"/>
    <cellStyle name="Millares 64 2" xfId="742" xr:uid="{00000000-0005-0000-0000-0000E5020000}"/>
    <cellStyle name="Millares 64 2 2" xfId="743" xr:uid="{00000000-0005-0000-0000-0000E6020000}"/>
    <cellStyle name="Millares 64 2 2 2" xfId="744" xr:uid="{00000000-0005-0000-0000-0000E7020000}"/>
    <cellStyle name="Millares 64 3" xfId="745" xr:uid="{00000000-0005-0000-0000-0000E8020000}"/>
    <cellStyle name="Millares 64 3 2" xfId="746" xr:uid="{00000000-0005-0000-0000-0000E9020000}"/>
    <cellStyle name="Millares 64 4" xfId="1278" xr:uid="{80728BAA-2E7A-4017-9C48-C75A275C4A58}"/>
    <cellStyle name="Millares 65" xfId="747" xr:uid="{00000000-0005-0000-0000-0000EA020000}"/>
    <cellStyle name="Millares 65 2" xfId="748" xr:uid="{00000000-0005-0000-0000-0000EB020000}"/>
    <cellStyle name="Millares 65 2 2" xfId="749" xr:uid="{00000000-0005-0000-0000-0000EC020000}"/>
    <cellStyle name="Millares 65 2 2 2" xfId="750" xr:uid="{00000000-0005-0000-0000-0000ED020000}"/>
    <cellStyle name="Millares 65 3" xfId="751" xr:uid="{00000000-0005-0000-0000-0000EE020000}"/>
    <cellStyle name="Millares 65 3 2" xfId="752" xr:uid="{00000000-0005-0000-0000-0000EF020000}"/>
    <cellStyle name="Millares 65 4" xfId="1279" xr:uid="{48E64E6C-3E3D-44C1-9D43-3A4E22D7B936}"/>
    <cellStyle name="Millares 66" xfId="753" xr:uid="{00000000-0005-0000-0000-0000F0020000}"/>
    <cellStyle name="Millares 66 2" xfId="754" xr:uid="{00000000-0005-0000-0000-0000F1020000}"/>
    <cellStyle name="Millares 66 2 2" xfId="755" xr:uid="{00000000-0005-0000-0000-0000F2020000}"/>
    <cellStyle name="Millares 66 2 2 2" xfId="756" xr:uid="{00000000-0005-0000-0000-0000F3020000}"/>
    <cellStyle name="Millares 66 3" xfId="757" xr:uid="{00000000-0005-0000-0000-0000F4020000}"/>
    <cellStyle name="Millares 66 3 2" xfId="758" xr:uid="{00000000-0005-0000-0000-0000F5020000}"/>
    <cellStyle name="Millares 66 4" xfId="1280" xr:uid="{A44693C3-1AE4-4296-BFC1-71BD0D74755E}"/>
    <cellStyle name="Millares 67" xfId="759" xr:uid="{00000000-0005-0000-0000-0000F6020000}"/>
    <cellStyle name="Millares 67 2" xfId="760" xr:uid="{00000000-0005-0000-0000-0000F7020000}"/>
    <cellStyle name="Millares 67 2 2" xfId="761" xr:uid="{00000000-0005-0000-0000-0000F8020000}"/>
    <cellStyle name="Millares 67 2 2 2" xfId="762" xr:uid="{00000000-0005-0000-0000-0000F9020000}"/>
    <cellStyle name="Millares 67 3" xfId="763" xr:uid="{00000000-0005-0000-0000-0000FA020000}"/>
    <cellStyle name="Millares 67 3 2" xfId="764" xr:uid="{00000000-0005-0000-0000-0000FB020000}"/>
    <cellStyle name="Millares 67 4" xfId="1281" xr:uid="{2C4029B5-7D5B-48A0-9E9F-37320B66F08C}"/>
    <cellStyle name="Millares 68" xfId="765" xr:uid="{00000000-0005-0000-0000-0000FC020000}"/>
    <cellStyle name="Millares 68 2" xfId="766" xr:uid="{00000000-0005-0000-0000-0000FD020000}"/>
    <cellStyle name="Millares 68 2 2" xfId="767" xr:uid="{00000000-0005-0000-0000-0000FE020000}"/>
    <cellStyle name="Millares 68 2 2 2" xfId="768" xr:uid="{00000000-0005-0000-0000-0000FF020000}"/>
    <cellStyle name="Millares 68 3" xfId="769" xr:uid="{00000000-0005-0000-0000-000000030000}"/>
    <cellStyle name="Millares 68 3 2" xfId="770" xr:uid="{00000000-0005-0000-0000-000001030000}"/>
    <cellStyle name="Millares 69" xfId="771" xr:uid="{00000000-0005-0000-0000-000002030000}"/>
    <cellStyle name="Millares 69 2" xfId="772" xr:uid="{00000000-0005-0000-0000-000003030000}"/>
    <cellStyle name="Millares 69 2 2" xfId="773" xr:uid="{00000000-0005-0000-0000-000004030000}"/>
    <cellStyle name="Millares 69 2 2 2" xfId="774" xr:uid="{00000000-0005-0000-0000-000005030000}"/>
    <cellStyle name="Millares 69 3" xfId="775" xr:uid="{00000000-0005-0000-0000-000006030000}"/>
    <cellStyle name="Millares 69 3 2" xfId="776" xr:uid="{00000000-0005-0000-0000-000007030000}"/>
    <cellStyle name="Millares 69 4" xfId="1282" xr:uid="{2153EC54-7DB8-403A-A6DF-D3507727E50B}"/>
    <cellStyle name="Millares 7" xfId="777" xr:uid="{00000000-0005-0000-0000-000008030000}"/>
    <cellStyle name="Millares 7 2" xfId="778" xr:uid="{00000000-0005-0000-0000-000009030000}"/>
    <cellStyle name="Millares 7 2 2" xfId="779" xr:uid="{00000000-0005-0000-0000-00000A030000}"/>
    <cellStyle name="Millares 7 2 2 2" xfId="780" xr:uid="{00000000-0005-0000-0000-00000B030000}"/>
    <cellStyle name="Millares 7 2 2 2 2" xfId="781" xr:uid="{00000000-0005-0000-0000-00000C030000}"/>
    <cellStyle name="Millares 7 2 3" xfId="782" xr:uid="{00000000-0005-0000-0000-00000D030000}"/>
    <cellStyle name="Millares 7 2 3 2" xfId="783" xr:uid="{00000000-0005-0000-0000-00000E030000}"/>
    <cellStyle name="Millares 7 2 4" xfId="784" xr:uid="{00000000-0005-0000-0000-00000F030000}"/>
    <cellStyle name="Millares 7 2 5" xfId="1284" xr:uid="{B98CB529-E7EE-473D-9A08-75800283D656}"/>
    <cellStyle name="Millares 7 3" xfId="785" xr:uid="{00000000-0005-0000-0000-000010030000}"/>
    <cellStyle name="Millares 7 3 2" xfId="786" xr:uid="{00000000-0005-0000-0000-000011030000}"/>
    <cellStyle name="Millares 7 3 2 2" xfId="787" xr:uid="{00000000-0005-0000-0000-000012030000}"/>
    <cellStyle name="Millares 7 4" xfId="788" xr:uid="{00000000-0005-0000-0000-000013030000}"/>
    <cellStyle name="Millares 7 4 2" xfId="789" xr:uid="{00000000-0005-0000-0000-000014030000}"/>
    <cellStyle name="Millares 7 5" xfId="790" xr:uid="{00000000-0005-0000-0000-000015030000}"/>
    <cellStyle name="Millares 7 6" xfId="1283" xr:uid="{C55644DF-8B5C-417F-AD3F-32EB0CF17066}"/>
    <cellStyle name="Millares 70" xfId="791" xr:uid="{00000000-0005-0000-0000-000016030000}"/>
    <cellStyle name="Millares 70 2" xfId="792" xr:uid="{00000000-0005-0000-0000-000017030000}"/>
    <cellStyle name="Millares 70 2 2" xfId="793" xr:uid="{00000000-0005-0000-0000-000018030000}"/>
    <cellStyle name="Millares 70 2 2 2" xfId="794" xr:uid="{00000000-0005-0000-0000-000019030000}"/>
    <cellStyle name="Millares 70 3" xfId="795" xr:uid="{00000000-0005-0000-0000-00001A030000}"/>
    <cellStyle name="Millares 70 3 2" xfId="796" xr:uid="{00000000-0005-0000-0000-00001B030000}"/>
    <cellStyle name="Millares 70 4" xfId="1285" xr:uid="{248789ED-CD2D-479D-A62F-FC3F1AB959D1}"/>
    <cellStyle name="Millares 71" xfId="797" xr:uid="{00000000-0005-0000-0000-00001C030000}"/>
    <cellStyle name="Millares 71 2" xfId="798" xr:uid="{00000000-0005-0000-0000-00001D030000}"/>
    <cellStyle name="Millares 71 2 2" xfId="799" xr:uid="{00000000-0005-0000-0000-00001E030000}"/>
    <cellStyle name="Millares 71 2 2 2" xfId="800" xr:uid="{00000000-0005-0000-0000-00001F030000}"/>
    <cellStyle name="Millares 71 2 2 2 2" xfId="801" xr:uid="{00000000-0005-0000-0000-000020030000}"/>
    <cellStyle name="Millares 71 2 3" xfId="802" xr:uid="{00000000-0005-0000-0000-000021030000}"/>
    <cellStyle name="Millares 71 2 3 2" xfId="803" xr:uid="{00000000-0005-0000-0000-000022030000}"/>
    <cellStyle name="Millares 71 3" xfId="804" xr:uid="{00000000-0005-0000-0000-000023030000}"/>
    <cellStyle name="Millares 71 3 2" xfId="805" xr:uid="{00000000-0005-0000-0000-000024030000}"/>
    <cellStyle name="Millares 71 3 2 2" xfId="806" xr:uid="{00000000-0005-0000-0000-000025030000}"/>
    <cellStyle name="Millares 71 3 2 2 2" xfId="807" xr:uid="{00000000-0005-0000-0000-000026030000}"/>
    <cellStyle name="Millares 71 3 3" xfId="808" xr:uid="{00000000-0005-0000-0000-000027030000}"/>
    <cellStyle name="Millares 71 3 3 2" xfId="809" xr:uid="{00000000-0005-0000-0000-000028030000}"/>
    <cellStyle name="Millares 71 4" xfId="810" xr:uid="{00000000-0005-0000-0000-000029030000}"/>
    <cellStyle name="Millares 71 4 2" xfId="811" xr:uid="{00000000-0005-0000-0000-00002A030000}"/>
    <cellStyle name="Millares 71 4 2 2" xfId="812" xr:uid="{00000000-0005-0000-0000-00002B030000}"/>
    <cellStyle name="Millares 71 5" xfId="813" xr:uid="{00000000-0005-0000-0000-00002C030000}"/>
    <cellStyle name="Millares 71 5 2" xfId="814" xr:uid="{00000000-0005-0000-0000-00002D030000}"/>
    <cellStyle name="Millares 72" xfId="815" xr:uid="{00000000-0005-0000-0000-00002E030000}"/>
    <cellStyle name="Millares 72 2" xfId="1286" xr:uid="{4ED7A3DB-8D86-4EC9-8320-864DAABF3ED8}"/>
    <cellStyle name="Millares 73" xfId="816" xr:uid="{00000000-0005-0000-0000-00002F030000}"/>
    <cellStyle name="Millares 73 2" xfId="1287" xr:uid="{563FBBBD-15CC-4BA9-A39C-FB92233EF247}"/>
    <cellStyle name="Millares 74" xfId="817" xr:uid="{00000000-0005-0000-0000-000030030000}"/>
    <cellStyle name="Millares 74 2" xfId="818" xr:uid="{00000000-0005-0000-0000-000031030000}"/>
    <cellStyle name="Millares 74 2 2" xfId="819" xr:uid="{00000000-0005-0000-0000-000032030000}"/>
    <cellStyle name="Millares 74 2 2 2" xfId="820" xr:uid="{00000000-0005-0000-0000-000033030000}"/>
    <cellStyle name="Millares 74 3" xfId="821" xr:uid="{00000000-0005-0000-0000-000034030000}"/>
    <cellStyle name="Millares 74 3 2" xfId="822" xr:uid="{00000000-0005-0000-0000-000035030000}"/>
    <cellStyle name="Millares 75" xfId="823" xr:uid="{00000000-0005-0000-0000-000036030000}"/>
    <cellStyle name="Millares 75 2" xfId="824" xr:uid="{00000000-0005-0000-0000-000037030000}"/>
    <cellStyle name="Millares 75 2 2" xfId="825" xr:uid="{00000000-0005-0000-0000-000038030000}"/>
    <cellStyle name="Millares 75 2 2 2" xfId="826" xr:uid="{00000000-0005-0000-0000-000039030000}"/>
    <cellStyle name="Millares 75 2 2 2 2" xfId="827" xr:uid="{00000000-0005-0000-0000-00003A030000}"/>
    <cellStyle name="Millares 75 2 3" xfId="828" xr:uid="{00000000-0005-0000-0000-00003B030000}"/>
    <cellStyle name="Millares 75 2 3 2" xfId="829" xr:uid="{00000000-0005-0000-0000-00003C030000}"/>
    <cellStyle name="Millares 75 3" xfId="830" xr:uid="{00000000-0005-0000-0000-00003D030000}"/>
    <cellStyle name="Millares 75 3 2" xfId="831" xr:uid="{00000000-0005-0000-0000-00003E030000}"/>
    <cellStyle name="Millares 75 3 2 2" xfId="832" xr:uid="{00000000-0005-0000-0000-00003F030000}"/>
    <cellStyle name="Millares 75 4" xfId="833" xr:uid="{00000000-0005-0000-0000-000040030000}"/>
    <cellStyle name="Millares 75 4 2" xfId="834" xr:uid="{00000000-0005-0000-0000-000041030000}"/>
    <cellStyle name="Millares 76" xfId="835" xr:uid="{00000000-0005-0000-0000-000042030000}"/>
    <cellStyle name="Millares 76 2" xfId="836" xr:uid="{00000000-0005-0000-0000-000043030000}"/>
    <cellStyle name="Millares 76 2 2" xfId="837" xr:uid="{00000000-0005-0000-0000-000044030000}"/>
    <cellStyle name="Millares 76 3" xfId="1288" xr:uid="{D998432E-95A6-46BE-BE9A-22C1D609A884}"/>
    <cellStyle name="Millares 77" xfId="838" xr:uid="{00000000-0005-0000-0000-000045030000}"/>
    <cellStyle name="Millares 77 2" xfId="839" xr:uid="{00000000-0005-0000-0000-000046030000}"/>
    <cellStyle name="Millares 77 2 2" xfId="840" xr:uid="{00000000-0005-0000-0000-000047030000}"/>
    <cellStyle name="Millares 78" xfId="841" xr:uid="{00000000-0005-0000-0000-000048030000}"/>
    <cellStyle name="Millares 78 2" xfId="842" xr:uid="{00000000-0005-0000-0000-000049030000}"/>
    <cellStyle name="Millares 78 2 2" xfId="843" xr:uid="{00000000-0005-0000-0000-00004A030000}"/>
    <cellStyle name="Millares 79" xfId="844" xr:uid="{00000000-0005-0000-0000-00004B030000}"/>
    <cellStyle name="Millares 79 2" xfId="845" xr:uid="{00000000-0005-0000-0000-00004C030000}"/>
    <cellStyle name="Millares 79 2 2" xfId="846" xr:uid="{00000000-0005-0000-0000-00004D030000}"/>
    <cellStyle name="Millares 8" xfId="847" xr:uid="{00000000-0005-0000-0000-00004E030000}"/>
    <cellStyle name="Millares 8 2" xfId="848" xr:uid="{00000000-0005-0000-0000-00004F030000}"/>
    <cellStyle name="Millares 8 2 2" xfId="849" xr:uid="{00000000-0005-0000-0000-000050030000}"/>
    <cellStyle name="Millares 8 2 2 2" xfId="850" xr:uid="{00000000-0005-0000-0000-000051030000}"/>
    <cellStyle name="Millares 8 2 3" xfId="1290" xr:uid="{04C36105-913B-41C5-A659-568D2006701D}"/>
    <cellStyle name="Millares 8 3" xfId="851" xr:uid="{00000000-0005-0000-0000-000052030000}"/>
    <cellStyle name="Millares 8 3 2" xfId="852" xr:uid="{00000000-0005-0000-0000-000053030000}"/>
    <cellStyle name="Millares 8 4" xfId="1289" xr:uid="{8542CE32-632C-4F05-8D0D-56BAAC63CF6E}"/>
    <cellStyle name="Millares 80" xfId="853" xr:uid="{00000000-0005-0000-0000-000054030000}"/>
    <cellStyle name="Millares 80 2" xfId="854" xr:uid="{00000000-0005-0000-0000-000055030000}"/>
    <cellStyle name="Millares 80 2 2" xfId="855" xr:uid="{00000000-0005-0000-0000-000056030000}"/>
    <cellStyle name="Millares 81" xfId="856" xr:uid="{00000000-0005-0000-0000-000057030000}"/>
    <cellStyle name="Millares 81 2" xfId="857" xr:uid="{00000000-0005-0000-0000-000058030000}"/>
    <cellStyle name="Millares 82" xfId="858" xr:uid="{00000000-0005-0000-0000-000059030000}"/>
    <cellStyle name="Millares 83" xfId="859" xr:uid="{00000000-0005-0000-0000-00005A030000}"/>
    <cellStyle name="Millares 84" xfId="860" xr:uid="{00000000-0005-0000-0000-00005B030000}"/>
    <cellStyle name="Millares 85" xfId="861" xr:uid="{00000000-0005-0000-0000-00005C030000}"/>
    <cellStyle name="Millares 86" xfId="862" xr:uid="{00000000-0005-0000-0000-00005D030000}"/>
    <cellStyle name="Millares 87" xfId="863" xr:uid="{00000000-0005-0000-0000-00005E030000}"/>
    <cellStyle name="Millares 88" xfId="864" xr:uid="{00000000-0005-0000-0000-00005F030000}"/>
    <cellStyle name="Millares 89" xfId="865" xr:uid="{00000000-0005-0000-0000-000060030000}"/>
    <cellStyle name="Millares 9" xfId="866" xr:uid="{00000000-0005-0000-0000-000061030000}"/>
    <cellStyle name="Millares 9 2" xfId="867" xr:uid="{00000000-0005-0000-0000-000062030000}"/>
    <cellStyle name="Millares 9 2 2" xfId="868" xr:uid="{00000000-0005-0000-0000-000063030000}"/>
    <cellStyle name="Millares 9 2 2 2" xfId="869" xr:uid="{00000000-0005-0000-0000-000064030000}"/>
    <cellStyle name="Millares 9 2 3" xfId="1292" xr:uid="{CD98CF96-793C-4CD9-81B3-5ED93402C891}"/>
    <cellStyle name="Millares 9 3" xfId="870" xr:uid="{00000000-0005-0000-0000-000065030000}"/>
    <cellStyle name="Millares 9 3 2" xfId="871" xr:uid="{00000000-0005-0000-0000-000066030000}"/>
    <cellStyle name="Millares 9 3 3" xfId="1293" xr:uid="{4BF0FA5B-8611-4550-9D3C-D2FE6F3C27DD}"/>
    <cellStyle name="Millares 9 4" xfId="1291" xr:uid="{69303B12-7E97-485B-AA45-C062E9F3429B}"/>
    <cellStyle name="Millares 90" xfId="872" xr:uid="{00000000-0005-0000-0000-000067030000}"/>
    <cellStyle name="Millares 91" xfId="873" xr:uid="{00000000-0005-0000-0000-000068030000}"/>
    <cellStyle name="Millares 92" xfId="874" xr:uid="{00000000-0005-0000-0000-000069030000}"/>
    <cellStyle name="Millares 93" xfId="875" xr:uid="{00000000-0005-0000-0000-00006A030000}"/>
    <cellStyle name="Millares 94" xfId="876" xr:uid="{00000000-0005-0000-0000-00006B030000}"/>
    <cellStyle name="Millares 95" xfId="877" xr:uid="{00000000-0005-0000-0000-00006C030000}"/>
    <cellStyle name="Millares 96" xfId="878" xr:uid="{00000000-0005-0000-0000-00006D030000}"/>
    <cellStyle name="Millares 97" xfId="879" xr:uid="{00000000-0005-0000-0000-00006E030000}"/>
    <cellStyle name="Millares 98" xfId="880" xr:uid="{00000000-0005-0000-0000-00006F030000}"/>
    <cellStyle name="Millares 99" xfId="881" xr:uid="{00000000-0005-0000-0000-000070030000}"/>
    <cellStyle name="Moneda" xfId="882" builtinId="4"/>
    <cellStyle name="Moneda 2" xfId="883" xr:uid="{00000000-0005-0000-0000-000072030000}"/>
    <cellStyle name="Moneda 2 2" xfId="884" xr:uid="{00000000-0005-0000-0000-000073030000}"/>
    <cellStyle name="Moneda 2 2 2" xfId="885" xr:uid="{00000000-0005-0000-0000-000074030000}"/>
    <cellStyle name="Moneda 2 2 2 2" xfId="1296" xr:uid="{FBA6A93D-9416-41BA-9C37-889F665AD566}"/>
    <cellStyle name="Moneda 2 2 3" xfId="1295" xr:uid="{93E0C5FA-5122-49FA-97AE-AD3E4658C2A4}"/>
    <cellStyle name="Moneda 2 3" xfId="886" xr:uid="{00000000-0005-0000-0000-000075030000}"/>
    <cellStyle name="Moneda 2 3 2" xfId="887" xr:uid="{00000000-0005-0000-0000-000076030000}"/>
    <cellStyle name="Moneda 2 3 2 2" xfId="1298" xr:uid="{F4F6ECDF-C78D-40FA-8D25-0AE5905E3F3F}"/>
    <cellStyle name="Moneda 2 3 3" xfId="1297" xr:uid="{0A6A48C4-4889-420A-B1E2-2B369CF5C10B}"/>
    <cellStyle name="Moneda 2 4" xfId="888" xr:uid="{00000000-0005-0000-0000-000077030000}"/>
    <cellStyle name="Moneda 2 4 2" xfId="1299" xr:uid="{BF8B984F-1D36-4599-8B28-D53D6EF7F1D1}"/>
    <cellStyle name="Moneda 2 5" xfId="1294" xr:uid="{7EBDF811-577D-462E-89E1-DBFF3A257A8B}"/>
    <cellStyle name="Moneda 3" xfId="889" xr:uid="{00000000-0005-0000-0000-000078030000}"/>
    <cellStyle name="Moneda 3 2" xfId="890" xr:uid="{00000000-0005-0000-0000-000079030000}"/>
    <cellStyle name="Moneda 3 2 2" xfId="891" xr:uid="{00000000-0005-0000-0000-00007A030000}"/>
    <cellStyle name="Moneda 3 2 2 2" xfId="892" xr:uid="{00000000-0005-0000-0000-00007B030000}"/>
    <cellStyle name="Moneda 3 2 3" xfId="893" xr:uid="{00000000-0005-0000-0000-00007C030000}"/>
    <cellStyle name="Moneda 3 3" xfId="894" xr:uid="{00000000-0005-0000-0000-00007D030000}"/>
    <cellStyle name="Moneda 3 3 2" xfId="895" xr:uid="{00000000-0005-0000-0000-00007E030000}"/>
    <cellStyle name="Moneda 3 4" xfId="896" xr:uid="{00000000-0005-0000-0000-00007F030000}"/>
    <cellStyle name="Moneda 3 5" xfId="897" xr:uid="{00000000-0005-0000-0000-000080030000}"/>
    <cellStyle name="Moneda 3 6" xfId="1300" xr:uid="{FABFAAE7-0D5F-4F31-B00D-7B3CAC4588A6}"/>
    <cellStyle name="Moneda 4" xfId="898" xr:uid="{00000000-0005-0000-0000-000081030000}"/>
    <cellStyle name="Moneda 4 2" xfId="899" xr:uid="{00000000-0005-0000-0000-000082030000}"/>
    <cellStyle name="Moneda 4 3" xfId="1301" xr:uid="{B2AFD258-F182-4E03-BA39-56DEADB9D81C}"/>
    <cellStyle name="Moneda 5" xfId="900" xr:uid="{00000000-0005-0000-0000-000083030000}"/>
    <cellStyle name="Moneda 5 2" xfId="901" xr:uid="{00000000-0005-0000-0000-000084030000}"/>
    <cellStyle name="Moneda 5 2 2" xfId="1303" xr:uid="{EEA6EF73-1136-4D06-9C5C-E6307598640D}"/>
    <cellStyle name="Moneda 5 3" xfId="1302" xr:uid="{985C0159-FA19-40A5-85FF-FA5640FFA565}"/>
    <cellStyle name="Moneda 6" xfId="902" xr:uid="{00000000-0005-0000-0000-000085030000}"/>
    <cellStyle name="Moneda 6 2" xfId="903" xr:uid="{00000000-0005-0000-0000-000086030000}"/>
    <cellStyle name="Moneda 6 2 2" xfId="1305" xr:uid="{C7314BE3-7319-4393-ABBE-662FFE4787EB}"/>
    <cellStyle name="Moneda 6 3" xfId="1304" xr:uid="{B60BA748-F148-429A-BF9E-E50E159DEBC1}"/>
    <cellStyle name="Moneda 7" xfId="904" xr:uid="{00000000-0005-0000-0000-000087030000}"/>
    <cellStyle name="Moneda 7 2" xfId="905" xr:uid="{00000000-0005-0000-0000-000088030000}"/>
    <cellStyle name="Moneda 7 2 2" xfId="1307" xr:uid="{F5183E33-18F1-4DAC-AD17-2EA171AE8CAE}"/>
    <cellStyle name="Moneda 7 3" xfId="1306" xr:uid="{B7A4767D-0871-4F05-B420-95872A21EAB8}"/>
    <cellStyle name="Moneda 8" xfId="906" xr:uid="{00000000-0005-0000-0000-000089030000}"/>
    <cellStyle name="Moneda 8 2" xfId="1308" xr:uid="{25B6E62C-57DE-4729-84E8-EE6930FA3F64}"/>
    <cellStyle name="Moneda 9" xfId="1309" xr:uid="{F46760B9-7ACF-4BEC-937B-941365465670}"/>
    <cellStyle name="Neutral" xfId="907" builtinId="28" customBuiltin="1"/>
    <cellStyle name="Neutral 2" xfId="908" xr:uid="{00000000-0005-0000-0000-00008B030000}"/>
    <cellStyle name="Neutral 2 2" xfId="909" xr:uid="{00000000-0005-0000-0000-00008C030000}"/>
    <cellStyle name="Normal" xfId="0" builtinId="0"/>
    <cellStyle name="Normal 10" xfId="910" xr:uid="{00000000-0005-0000-0000-00008E030000}"/>
    <cellStyle name="Normal 10 2" xfId="911" xr:uid="{00000000-0005-0000-0000-00008F030000}"/>
    <cellStyle name="Normal 10 3" xfId="912" xr:uid="{00000000-0005-0000-0000-000090030000}"/>
    <cellStyle name="Normal 10 4" xfId="1310" xr:uid="{01655CB8-913D-494A-BA03-2F5483E4F97B}"/>
    <cellStyle name="Normal 11" xfId="913" xr:uid="{00000000-0005-0000-0000-000091030000}"/>
    <cellStyle name="Normal 11 2" xfId="914" xr:uid="{00000000-0005-0000-0000-000092030000}"/>
    <cellStyle name="Normal 11 3" xfId="915" xr:uid="{00000000-0005-0000-0000-000093030000}"/>
    <cellStyle name="Normal 11 4" xfId="1311" xr:uid="{403D62DD-E902-446A-8AA0-71F175DEAB50}"/>
    <cellStyle name="Normal 12" xfId="916" xr:uid="{00000000-0005-0000-0000-000094030000}"/>
    <cellStyle name="Normal 12 2" xfId="917" xr:uid="{00000000-0005-0000-0000-000095030000}"/>
    <cellStyle name="Normal 12 2 2" xfId="1313" xr:uid="{3258D670-5382-433F-9242-CFA4B88D2EAC}"/>
    <cellStyle name="Normal 12 3" xfId="918" xr:uid="{00000000-0005-0000-0000-000096030000}"/>
    <cellStyle name="Normal 12 4" xfId="1312" xr:uid="{5EEFDCDD-4546-4343-A4F6-DD1E7F231A86}"/>
    <cellStyle name="Normal 13" xfId="919" xr:uid="{00000000-0005-0000-0000-000097030000}"/>
    <cellStyle name="Normal 13 2" xfId="920" xr:uid="{00000000-0005-0000-0000-000098030000}"/>
    <cellStyle name="Normal 13 3" xfId="1314" xr:uid="{5CAF7E05-2C20-40F9-97D9-02252647148F}"/>
    <cellStyle name="Normal 14" xfId="921" xr:uid="{00000000-0005-0000-0000-000099030000}"/>
    <cellStyle name="Normal 14 2" xfId="922" xr:uid="{00000000-0005-0000-0000-00009A030000}"/>
    <cellStyle name="Normal 15" xfId="923" xr:uid="{00000000-0005-0000-0000-00009B030000}"/>
    <cellStyle name="Normal 15 2" xfId="924" xr:uid="{00000000-0005-0000-0000-00009C030000}"/>
    <cellStyle name="Normal 15 3" xfId="1315" xr:uid="{161F8771-3A63-4F13-81CA-623A27B91C4A}"/>
    <cellStyle name="Normal 16" xfId="925" xr:uid="{00000000-0005-0000-0000-00009D030000}"/>
    <cellStyle name="Normal 16 2" xfId="926" xr:uid="{00000000-0005-0000-0000-00009E030000}"/>
    <cellStyle name="Normal 17" xfId="927" xr:uid="{00000000-0005-0000-0000-00009F030000}"/>
    <cellStyle name="Normal 17 2" xfId="928" xr:uid="{00000000-0005-0000-0000-0000A0030000}"/>
    <cellStyle name="Normal 17 3" xfId="1316" xr:uid="{B93A034B-D475-4546-BD2C-8F1801AE20A6}"/>
    <cellStyle name="Normal 18" xfId="929" xr:uid="{00000000-0005-0000-0000-0000A1030000}"/>
    <cellStyle name="Normal 18 2" xfId="930" xr:uid="{00000000-0005-0000-0000-0000A2030000}"/>
    <cellStyle name="Normal 18 2 2" xfId="931" xr:uid="{00000000-0005-0000-0000-0000A3030000}"/>
    <cellStyle name="Normal 19" xfId="932" xr:uid="{00000000-0005-0000-0000-0000A4030000}"/>
    <cellStyle name="Normal 19 2" xfId="933" xr:uid="{00000000-0005-0000-0000-0000A5030000}"/>
    <cellStyle name="Normal 2" xfId="934" xr:uid="{00000000-0005-0000-0000-0000A6030000}"/>
    <cellStyle name="Normal 2 2" xfId="935" xr:uid="{00000000-0005-0000-0000-0000A7030000}"/>
    <cellStyle name="Normal 2 2 2" xfId="936" xr:uid="{00000000-0005-0000-0000-0000A8030000}"/>
    <cellStyle name="Normal 2 2 2 2" xfId="1319" xr:uid="{B8DAC626-30CC-40ED-A37A-D8CD1282BC6C}"/>
    <cellStyle name="Normal 2 2 3" xfId="937" xr:uid="{00000000-0005-0000-0000-0000A9030000}"/>
    <cellStyle name="Normal 2 2 4" xfId="1318" xr:uid="{66D39789-682A-4A68-AD5D-CF3B9E956DE3}"/>
    <cellStyle name="Normal 2 3" xfId="938" xr:uid="{00000000-0005-0000-0000-0000AA030000}"/>
    <cellStyle name="Normal 2 3 2" xfId="939" xr:uid="{00000000-0005-0000-0000-0000AB030000}"/>
    <cellStyle name="Normal 2 3 3" xfId="1320" xr:uid="{30DE6F4F-1362-45FB-A73D-418A422D3438}"/>
    <cellStyle name="Normal 2 4" xfId="1317" xr:uid="{DB1BB314-3512-424F-B822-55E5F6E3A9E5}"/>
    <cellStyle name="Normal 20" xfId="940" xr:uid="{00000000-0005-0000-0000-0000AC030000}"/>
    <cellStyle name="Normal 20 2" xfId="941" xr:uid="{00000000-0005-0000-0000-0000AD030000}"/>
    <cellStyle name="Normal 20 2 2" xfId="1322" xr:uid="{BFA28EF1-2332-453C-AF88-D7E6B5307EFC}"/>
    <cellStyle name="Normal 20 3" xfId="942" xr:uid="{00000000-0005-0000-0000-0000AE030000}"/>
    <cellStyle name="Normal 20 4" xfId="1321" xr:uid="{B826EAD2-08B5-4E21-A43C-A52BF301E634}"/>
    <cellStyle name="Normal 21" xfId="943" xr:uid="{00000000-0005-0000-0000-0000AF030000}"/>
    <cellStyle name="Normal 22" xfId="944" xr:uid="{00000000-0005-0000-0000-0000B0030000}"/>
    <cellStyle name="Normal 22 2" xfId="945" xr:uid="{00000000-0005-0000-0000-0000B1030000}"/>
    <cellStyle name="Normal 23" xfId="946" xr:uid="{00000000-0005-0000-0000-0000B2030000}"/>
    <cellStyle name="Normal 23 2" xfId="947" xr:uid="{00000000-0005-0000-0000-0000B3030000}"/>
    <cellStyle name="Normal 24" xfId="948" xr:uid="{00000000-0005-0000-0000-0000B4030000}"/>
    <cellStyle name="Normal 24 2" xfId="949" xr:uid="{00000000-0005-0000-0000-0000B5030000}"/>
    <cellStyle name="Normal 25" xfId="950" xr:uid="{00000000-0005-0000-0000-0000B6030000}"/>
    <cellStyle name="Normal 25 2" xfId="951" xr:uid="{00000000-0005-0000-0000-0000B7030000}"/>
    <cellStyle name="Normal 25 3" xfId="952" xr:uid="{00000000-0005-0000-0000-0000B8030000}"/>
    <cellStyle name="Normal 26" xfId="953" xr:uid="{00000000-0005-0000-0000-0000B9030000}"/>
    <cellStyle name="Normal 26 2" xfId="954" xr:uid="{00000000-0005-0000-0000-0000BA030000}"/>
    <cellStyle name="Normal 27" xfId="955" xr:uid="{00000000-0005-0000-0000-0000BB030000}"/>
    <cellStyle name="Normal 27 2" xfId="956" xr:uid="{00000000-0005-0000-0000-0000BC030000}"/>
    <cellStyle name="Normal 28" xfId="957" xr:uid="{00000000-0005-0000-0000-0000BD030000}"/>
    <cellStyle name="Normal 28 2" xfId="958" xr:uid="{00000000-0005-0000-0000-0000BE030000}"/>
    <cellStyle name="Normal 29" xfId="959" xr:uid="{00000000-0005-0000-0000-0000BF030000}"/>
    <cellStyle name="Normal 29 2" xfId="960" xr:uid="{00000000-0005-0000-0000-0000C0030000}"/>
    <cellStyle name="Normal 29 3" xfId="961" xr:uid="{00000000-0005-0000-0000-0000C1030000}"/>
    <cellStyle name="Normal 3" xfId="962" xr:uid="{00000000-0005-0000-0000-0000C2030000}"/>
    <cellStyle name="Normal 3 2" xfId="963" xr:uid="{00000000-0005-0000-0000-0000C3030000}"/>
    <cellStyle name="Normal 3 2 2" xfId="964" xr:uid="{00000000-0005-0000-0000-0000C4030000}"/>
    <cellStyle name="Normal 3 2 2 2" xfId="1325" xr:uid="{A04B5269-BBEE-4175-85A0-22474095E545}"/>
    <cellStyle name="Normal 3 2 3" xfId="965" xr:uid="{00000000-0005-0000-0000-0000C5030000}"/>
    <cellStyle name="Normal 3 2 3 2" xfId="1326" xr:uid="{3BFF1FAA-E0FC-4C3D-BB2F-9C394F835500}"/>
    <cellStyle name="Normal 3 2 4" xfId="966" xr:uid="{00000000-0005-0000-0000-0000C6030000}"/>
    <cellStyle name="Normal 3 2 4 2" xfId="1327" xr:uid="{37838A90-DC03-47F5-8D23-835B1BA47AB0}"/>
    <cellStyle name="Normal 3 2 5" xfId="1324" xr:uid="{EB465767-A320-4799-BC53-FD54E7FA3B31}"/>
    <cellStyle name="Normal 3 3" xfId="967" xr:uid="{00000000-0005-0000-0000-0000C7030000}"/>
    <cellStyle name="Normal 3 3 2" xfId="968" xr:uid="{00000000-0005-0000-0000-0000C8030000}"/>
    <cellStyle name="Normal 3 3 3" xfId="1328" xr:uid="{AD2E101A-4072-402E-9838-48C538177F29}"/>
    <cellStyle name="Normal 3 4" xfId="969" xr:uid="{00000000-0005-0000-0000-0000C9030000}"/>
    <cellStyle name="Normal 3 4 2" xfId="1329" xr:uid="{D971B202-1A36-4F39-B72D-BC8D606B1229}"/>
    <cellStyle name="Normal 3 5" xfId="970" xr:uid="{00000000-0005-0000-0000-0000CA030000}"/>
    <cellStyle name="Normal 3 5 2" xfId="1330" xr:uid="{18DA9634-0FF9-45E6-83CA-464AFE87C881}"/>
    <cellStyle name="Normal 3 6" xfId="1323" xr:uid="{24DCD95E-680C-40E8-AB06-9B17BB80246B}"/>
    <cellStyle name="Normal 30" xfId="971" xr:uid="{00000000-0005-0000-0000-0000CB030000}"/>
    <cellStyle name="Normal 31" xfId="972" xr:uid="{00000000-0005-0000-0000-0000CC030000}"/>
    <cellStyle name="Normal 32" xfId="973" xr:uid="{00000000-0005-0000-0000-0000CD030000}"/>
    <cellStyle name="Normal 32 2" xfId="974" xr:uid="{00000000-0005-0000-0000-0000CE030000}"/>
    <cellStyle name="Normal 33" xfId="975" xr:uid="{00000000-0005-0000-0000-0000CF030000}"/>
    <cellStyle name="Normal 34" xfId="976" xr:uid="{00000000-0005-0000-0000-0000D0030000}"/>
    <cellStyle name="Normal 35" xfId="977" xr:uid="{00000000-0005-0000-0000-0000D1030000}"/>
    <cellStyle name="Normal 36" xfId="978" xr:uid="{00000000-0005-0000-0000-0000D2030000}"/>
    <cellStyle name="Normal 36 2" xfId="979" xr:uid="{00000000-0005-0000-0000-0000D3030000}"/>
    <cellStyle name="Normal 37" xfId="980" xr:uid="{00000000-0005-0000-0000-0000D4030000}"/>
    <cellStyle name="Normal 38" xfId="981" xr:uid="{00000000-0005-0000-0000-0000D5030000}"/>
    <cellStyle name="Normal 4" xfId="982" xr:uid="{00000000-0005-0000-0000-0000D6030000}"/>
    <cellStyle name="Normal 4 2" xfId="983" xr:uid="{00000000-0005-0000-0000-0000D7030000}"/>
    <cellStyle name="Normal 4 2 2" xfId="984" xr:uid="{00000000-0005-0000-0000-0000D8030000}"/>
    <cellStyle name="Normal 4 2 2 2" xfId="1333" xr:uid="{BB1165E7-9B90-4199-8CB7-3C99CD8AA829}"/>
    <cellStyle name="Normal 4 2 3" xfId="985" xr:uid="{00000000-0005-0000-0000-0000D9030000}"/>
    <cellStyle name="Normal 4 2 4" xfId="1332" xr:uid="{3B4DB0E0-EA0E-4CD3-AE24-EE1576402A2A}"/>
    <cellStyle name="Normal 4 3" xfId="986" xr:uid="{00000000-0005-0000-0000-0000DA030000}"/>
    <cellStyle name="Normal 4 3 2" xfId="1334" xr:uid="{B34CF76C-7008-44AC-BAFD-A0F9E73182B5}"/>
    <cellStyle name="Normal 4 4" xfId="987" xr:uid="{00000000-0005-0000-0000-0000DB030000}"/>
    <cellStyle name="Normal 4 4 2" xfId="1335" xr:uid="{263BA4E6-929E-46AD-AC45-768AFC6D4DE9}"/>
    <cellStyle name="Normal 4 5" xfId="988" xr:uid="{00000000-0005-0000-0000-0000DC030000}"/>
    <cellStyle name="Normal 4 5 2" xfId="1336" xr:uid="{04A07BD9-1646-4E30-A303-C78437354269}"/>
    <cellStyle name="Normal 4 6" xfId="1331" xr:uid="{B6E746C7-5037-4D2B-80EA-9BAC96651DF7}"/>
    <cellStyle name="Normal 5" xfId="989" xr:uid="{00000000-0005-0000-0000-0000DD030000}"/>
    <cellStyle name="Normal 5 2" xfId="990" xr:uid="{00000000-0005-0000-0000-0000DE030000}"/>
    <cellStyle name="Normal 5 2 2" xfId="991" xr:uid="{00000000-0005-0000-0000-0000DF030000}"/>
    <cellStyle name="Normal 5 2 2 2" xfId="1339" xr:uid="{BD75ECB0-AE64-48AF-B6BA-7BA2EC99D00A}"/>
    <cellStyle name="Normal 5 2 3" xfId="1338" xr:uid="{9F845E64-FFF1-481C-99FE-CBC0202C903A}"/>
    <cellStyle name="Normal 5 3" xfId="992" xr:uid="{00000000-0005-0000-0000-0000E0030000}"/>
    <cellStyle name="Normal 5 3 2" xfId="1340" xr:uid="{676C8F1C-E6A2-4083-A5FF-55AAB1D1DD43}"/>
    <cellStyle name="Normal 5 4" xfId="993" xr:uid="{00000000-0005-0000-0000-0000E1030000}"/>
    <cellStyle name="Normal 5 4 2" xfId="1341" xr:uid="{04F55916-4FAB-4B62-BE8B-1DBFDD69DB1F}"/>
    <cellStyle name="Normal 5 5" xfId="994" xr:uid="{00000000-0005-0000-0000-0000E2030000}"/>
    <cellStyle name="Normal 5 6" xfId="995" xr:uid="{00000000-0005-0000-0000-0000E3030000}"/>
    <cellStyle name="Normal 5 6 2" xfId="1342" xr:uid="{B7BAFD7D-5C07-4167-8862-143D50CD1AA4}"/>
    <cellStyle name="Normal 5 7" xfId="996" xr:uid="{00000000-0005-0000-0000-0000E4030000}"/>
    <cellStyle name="Normal 5 8" xfId="997" xr:uid="{00000000-0005-0000-0000-0000E5030000}"/>
    <cellStyle name="Normal 5 9" xfId="1337" xr:uid="{EB0E4580-AA21-4956-BE01-FD0648B76836}"/>
    <cellStyle name="Normal 6" xfId="998" xr:uid="{00000000-0005-0000-0000-0000E6030000}"/>
    <cellStyle name="Normal 6 2" xfId="999" xr:uid="{00000000-0005-0000-0000-0000E7030000}"/>
    <cellStyle name="Normal 6 2 2" xfId="1000" xr:uid="{00000000-0005-0000-0000-0000E8030000}"/>
    <cellStyle name="Normal 6 2 3" xfId="1344" xr:uid="{940813A6-3F03-49A9-ABCE-6BECB2D1D653}"/>
    <cellStyle name="Normal 6 3" xfId="1001" xr:uid="{00000000-0005-0000-0000-0000E9030000}"/>
    <cellStyle name="Normal 6 3 2" xfId="1345" xr:uid="{548B8DA0-B7F2-4476-A987-53E74ACD7B77}"/>
    <cellStyle name="Normal 6 4" xfId="1002" xr:uid="{00000000-0005-0000-0000-0000EA030000}"/>
    <cellStyle name="Normal 6 4 2" xfId="1346" xr:uid="{709E2334-0657-4D92-B82F-B05E7B0BC9F1}"/>
    <cellStyle name="Normal 6 5" xfId="1003" xr:uid="{00000000-0005-0000-0000-0000EB030000}"/>
    <cellStyle name="Normal 6 6" xfId="1343" xr:uid="{92087F9F-DCCF-4A7D-98B6-C09F9F3D25FD}"/>
    <cellStyle name="Normal 7" xfId="1004" xr:uid="{00000000-0005-0000-0000-0000EC030000}"/>
    <cellStyle name="Normal 7 2" xfId="1005" xr:uid="{00000000-0005-0000-0000-0000ED030000}"/>
    <cellStyle name="Normal 7 2 2" xfId="1348" xr:uid="{97740BEB-7EED-4D39-A0BE-F27AB9C0F0A7}"/>
    <cellStyle name="Normal 7 3" xfId="1006" xr:uid="{00000000-0005-0000-0000-0000EE030000}"/>
    <cellStyle name="Normal 7 3 2" xfId="1349" xr:uid="{1FF4965C-9490-4500-976F-299BBECE12BD}"/>
    <cellStyle name="Normal 7 4" xfId="1007" xr:uid="{00000000-0005-0000-0000-0000EF030000}"/>
    <cellStyle name="Normal 7 4 2" xfId="1350" xr:uid="{9B7B8E50-3C53-408E-9AD9-04CB71C50586}"/>
    <cellStyle name="Normal 7 5" xfId="1347" xr:uid="{9285B3CD-3BD6-4147-AF69-3C88E8CAE7DC}"/>
    <cellStyle name="Normal 8" xfId="1008" xr:uid="{00000000-0005-0000-0000-0000F0030000}"/>
    <cellStyle name="Normal 8 2" xfId="1009" xr:uid="{00000000-0005-0000-0000-0000F1030000}"/>
    <cellStyle name="Normal 8 2 2" xfId="1010" xr:uid="{00000000-0005-0000-0000-0000F2030000}"/>
    <cellStyle name="Normal 8 2 2 2" xfId="1011" xr:uid="{00000000-0005-0000-0000-0000F3030000}"/>
    <cellStyle name="Normal 8 2 3" xfId="1012" xr:uid="{00000000-0005-0000-0000-0000F4030000}"/>
    <cellStyle name="Normal 8 2 4" xfId="1013" xr:uid="{00000000-0005-0000-0000-0000F5030000}"/>
    <cellStyle name="Normal 8 3" xfId="1014" xr:uid="{00000000-0005-0000-0000-0000F6030000}"/>
    <cellStyle name="Normal 8 3 2" xfId="1015" xr:uid="{00000000-0005-0000-0000-0000F7030000}"/>
    <cellStyle name="Normal 8 4" xfId="1016" xr:uid="{00000000-0005-0000-0000-0000F8030000}"/>
    <cellStyle name="Normal 8 4 2" xfId="1351" xr:uid="{C1B21E74-0375-4F1C-9AD3-944B876D9B86}"/>
    <cellStyle name="Normal 8 5" xfId="1017" xr:uid="{00000000-0005-0000-0000-0000F9030000}"/>
    <cellStyle name="Normal 8 6" xfId="1018" xr:uid="{00000000-0005-0000-0000-0000FA030000}"/>
    <cellStyle name="Normal 9" xfId="1019" xr:uid="{00000000-0005-0000-0000-0000FB030000}"/>
    <cellStyle name="Normal 9 2" xfId="1020" xr:uid="{00000000-0005-0000-0000-0000FC030000}"/>
    <cellStyle name="Normal 9 2 2" xfId="1021" xr:uid="{00000000-0005-0000-0000-0000FD030000}"/>
    <cellStyle name="Normal 9 3" xfId="1022" xr:uid="{00000000-0005-0000-0000-0000FE030000}"/>
    <cellStyle name="Normal 9 4" xfId="1352" xr:uid="{2D579E30-5EA4-450A-9C55-1B81F5B8BBF4}"/>
    <cellStyle name="Notas 2" xfId="1023" xr:uid="{00000000-0005-0000-0000-0000FF030000}"/>
    <cellStyle name="Notas 2 2" xfId="1024" xr:uid="{00000000-0005-0000-0000-000000040000}"/>
    <cellStyle name="Notas 3" xfId="1025" xr:uid="{00000000-0005-0000-0000-000001040000}"/>
    <cellStyle name="Notas 3 10" xfId="1026" xr:uid="{00000000-0005-0000-0000-000002040000}"/>
    <cellStyle name="Notas 3 10 2" xfId="1354" xr:uid="{BE3EC70B-0220-4C57-ADC7-FA578E7E84F6}"/>
    <cellStyle name="Notas 3 11" xfId="1027" xr:uid="{00000000-0005-0000-0000-000003040000}"/>
    <cellStyle name="Notas 3 11 2" xfId="1355" xr:uid="{0C0FB9CC-371D-43A2-9C85-F3FA80747C00}"/>
    <cellStyle name="Notas 3 12" xfId="1028" xr:uid="{00000000-0005-0000-0000-000004040000}"/>
    <cellStyle name="Notas 3 12 2" xfId="1356" xr:uid="{1E3193CE-F4E9-470D-8404-B5AD2BBE2447}"/>
    <cellStyle name="Notas 3 13" xfId="1029" xr:uid="{00000000-0005-0000-0000-000005040000}"/>
    <cellStyle name="Notas 3 13 2" xfId="1357" xr:uid="{C5BBAB2E-6462-4452-85BE-1773E939A1CD}"/>
    <cellStyle name="Notas 3 14" xfId="1030" xr:uid="{00000000-0005-0000-0000-000006040000}"/>
    <cellStyle name="Notas 3 14 2" xfId="1358" xr:uid="{7F3F2899-221A-4A28-B69E-C63A776525BF}"/>
    <cellStyle name="Notas 3 15" xfId="1031" xr:uid="{00000000-0005-0000-0000-000007040000}"/>
    <cellStyle name="Notas 3 15 2" xfId="1359" xr:uid="{9DC7139A-C6C2-417F-93CE-F1FB944B3CCB}"/>
    <cellStyle name="Notas 3 16" xfId="1032" xr:uid="{00000000-0005-0000-0000-000008040000}"/>
    <cellStyle name="Notas 3 16 2" xfId="1360" xr:uid="{DFE289AF-8D4A-4C7B-A3CA-C9CB20FD5B7E}"/>
    <cellStyle name="Notas 3 17" xfId="1353" xr:uid="{605F2F57-9F7A-4210-A24C-000F922E9B4C}"/>
    <cellStyle name="Notas 3 2" xfId="1033" xr:uid="{00000000-0005-0000-0000-000009040000}"/>
    <cellStyle name="Notas 3 2 2" xfId="1034" xr:uid="{00000000-0005-0000-0000-00000A040000}"/>
    <cellStyle name="Notas 3 2 2 2" xfId="1362" xr:uid="{62D2A2BE-1A75-493F-AA4A-D5BAEAA9E65B}"/>
    <cellStyle name="Notas 3 2 3" xfId="1361" xr:uid="{6BABDC80-40A0-4C66-B6D9-053EBC53D390}"/>
    <cellStyle name="Notas 3 3" xfId="1035" xr:uid="{00000000-0005-0000-0000-00000B040000}"/>
    <cellStyle name="Notas 3 3 2" xfId="1036" xr:uid="{00000000-0005-0000-0000-00000C040000}"/>
    <cellStyle name="Notas 3 3 2 2" xfId="1364" xr:uid="{4980A734-A2F8-4CD6-A870-BAB714907D6E}"/>
    <cellStyle name="Notas 3 3 3" xfId="1363" xr:uid="{E969C848-26CF-4EED-A418-44A17EE1801B}"/>
    <cellStyle name="Notas 3 4" xfId="1037" xr:uid="{00000000-0005-0000-0000-00000D040000}"/>
    <cellStyle name="Notas 3 4 2" xfId="1038" xr:uid="{00000000-0005-0000-0000-00000E040000}"/>
    <cellStyle name="Notas 3 4 2 2" xfId="1366" xr:uid="{4162C346-EB73-4213-8E6F-7F208E502902}"/>
    <cellStyle name="Notas 3 4 3" xfId="1365" xr:uid="{5E66BC59-9C70-44B0-BF9E-57CDB0564BC6}"/>
    <cellStyle name="Notas 3 5" xfId="1039" xr:uid="{00000000-0005-0000-0000-00000F040000}"/>
    <cellStyle name="Notas 3 5 2" xfId="1040" xr:uid="{00000000-0005-0000-0000-000010040000}"/>
    <cellStyle name="Notas 3 5 2 2" xfId="1368" xr:uid="{C5706FE0-01E3-40C5-B18B-0136837A950D}"/>
    <cellStyle name="Notas 3 5 3" xfId="1367" xr:uid="{FD11288E-1880-41C3-8ED1-E21985CD9EB0}"/>
    <cellStyle name="Notas 3 6" xfId="1041" xr:uid="{00000000-0005-0000-0000-000011040000}"/>
    <cellStyle name="Notas 3 6 2" xfId="1042" xr:uid="{00000000-0005-0000-0000-000012040000}"/>
    <cellStyle name="Notas 3 6 2 2" xfId="1370" xr:uid="{F2220A07-98BC-478F-84CA-73572415B8FF}"/>
    <cellStyle name="Notas 3 6 3" xfId="1369" xr:uid="{C7262C23-E211-48BD-AFAC-2CF1CF4EE484}"/>
    <cellStyle name="Notas 3 7" xfId="1043" xr:uid="{00000000-0005-0000-0000-000013040000}"/>
    <cellStyle name="Notas 3 7 2" xfId="1371" xr:uid="{3F81F278-330E-432C-9A54-678719BBC930}"/>
    <cellStyle name="Notas 3 8" xfId="1044" xr:uid="{00000000-0005-0000-0000-000014040000}"/>
    <cellStyle name="Notas 3 8 2" xfId="1372" xr:uid="{98517138-A5C3-4233-8684-509571A79B8E}"/>
    <cellStyle name="Notas 3 9" xfId="1045" xr:uid="{00000000-0005-0000-0000-000015040000}"/>
    <cellStyle name="Notas 3 9 2" xfId="1373" xr:uid="{9082CF32-12F0-42D2-8DAD-839CBD9CD635}"/>
    <cellStyle name="Percent 2" xfId="1046" xr:uid="{00000000-0005-0000-0000-000016040000}"/>
    <cellStyle name="Percent 2 2" xfId="1374" xr:uid="{F4514CA8-5B72-4308-8BB2-06665DB13F54}"/>
    <cellStyle name="Percent_OPERATING" xfId="1047" xr:uid="{00000000-0005-0000-0000-000017040000}"/>
    <cellStyle name="Porcentaje" xfId="1048" builtinId="5"/>
    <cellStyle name="Porcentaje 10" xfId="1049" xr:uid="{00000000-0005-0000-0000-000019040000}"/>
    <cellStyle name="Porcentaje 10 2" xfId="1376" xr:uid="{9E6C58CF-5385-4019-96F8-065D4B8DC028}"/>
    <cellStyle name="Porcentaje 11" xfId="1377" xr:uid="{CBE11AAB-4223-406C-AEBA-0256384A041A}"/>
    <cellStyle name="Porcentaje 12" xfId="1375" xr:uid="{BDC2CD19-C288-4F1C-852B-D5E04E4D9A5E}"/>
    <cellStyle name="Porcentaje 2" xfId="1050" xr:uid="{00000000-0005-0000-0000-00001A040000}"/>
    <cellStyle name="Porcentaje 2 2" xfId="1051" xr:uid="{00000000-0005-0000-0000-00001B040000}"/>
    <cellStyle name="Porcentaje 2 2 2" xfId="1052" xr:uid="{00000000-0005-0000-0000-00001C040000}"/>
    <cellStyle name="Porcentaje 2 2 3" xfId="1379" xr:uid="{11C97172-AE00-483D-BE6B-D8C3AF9E0B36}"/>
    <cellStyle name="Porcentaje 2 3" xfId="1053" xr:uid="{00000000-0005-0000-0000-00001D040000}"/>
    <cellStyle name="Porcentaje 2 3 2" xfId="1380" xr:uid="{42E87D5F-5CA8-45EB-91D6-931D1040D21A}"/>
    <cellStyle name="Porcentaje 2 4" xfId="1054" xr:uid="{00000000-0005-0000-0000-00001E040000}"/>
    <cellStyle name="Porcentaje 2 4 2" xfId="1381" xr:uid="{697CD805-3D3D-46F7-BD35-72F508D39E63}"/>
    <cellStyle name="Porcentaje 2 5" xfId="1378" xr:uid="{8A8FC473-AE23-4A6A-9216-6E9C88CD2024}"/>
    <cellStyle name="Porcentaje 3" xfId="1055" xr:uid="{00000000-0005-0000-0000-00001F040000}"/>
    <cellStyle name="Porcentaje 3 2" xfId="1056" xr:uid="{00000000-0005-0000-0000-000020040000}"/>
    <cellStyle name="Porcentaje 3 2 2" xfId="1383" xr:uid="{41281A9C-365D-4206-8ED0-D8277198616A}"/>
    <cellStyle name="Porcentaje 3 3" xfId="1057" xr:uid="{00000000-0005-0000-0000-000021040000}"/>
    <cellStyle name="Porcentaje 3 3 2" xfId="1384" xr:uid="{6D76BCD1-064F-420B-9C4D-0EC58A5FE0AF}"/>
    <cellStyle name="Porcentaje 3 4" xfId="1382" xr:uid="{2125BAAF-9146-4D30-B17B-0AA8941B94D2}"/>
    <cellStyle name="Porcentaje 4" xfId="1058" xr:uid="{00000000-0005-0000-0000-000022040000}"/>
    <cellStyle name="Porcentaje 4 2" xfId="1059" xr:uid="{00000000-0005-0000-0000-000023040000}"/>
    <cellStyle name="Porcentaje 4 3" xfId="1060" xr:uid="{00000000-0005-0000-0000-000024040000}"/>
    <cellStyle name="Porcentaje 4 4" xfId="1385" xr:uid="{941E1735-4936-4CB8-8C27-EA1B4753B44B}"/>
    <cellStyle name="Porcentaje 5" xfId="1061" xr:uid="{00000000-0005-0000-0000-000025040000}"/>
    <cellStyle name="Porcentaje 5 2" xfId="1062" xr:uid="{00000000-0005-0000-0000-000026040000}"/>
    <cellStyle name="Porcentaje 5 3" xfId="1386" xr:uid="{B76D20BC-E24E-4C54-9966-B8CD3F36B03F}"/>
    <cellStyle name="Porcentaje 6" xfId="1063" xr:uid="{00000000-0005-0000-0000-000027040000}"/>
    <cellStyle name="Porcentaje 6 2" xfId="1064" xr:uid="{00000000-0005-0000-0000-000028040000}"/>
    <cellStyle name="Porcentaje 6 2 2" xfId="1388" xr:uid="{C1973069-6934-4060-B012-8C77EFCFC24B}"/>
    <cellStyle name="Porcentaje 6 3" xfId="1065" xr:uid="{00000000-0005-0000-0000-000029040000}"/>
    <cellStyle name="Porcentaje 6 3 2" xfId="1389" xr:uid="{10DAB5CC-37EF-46FF-B949-E1B358205B3D}"/>
    <cellStyle name="Porcentaje 6 4" xfId="1387" xr:uid="{997141DE-B4ED-43CA-BCBA-D43668D37BED}"/>
    <cellStyle name="Porcentaje 7" xfId="1066" xr:uid="{00000000-0005-0000-0000-00002A040000}"/>
    <cellStyle name="Porcentaje 7 2" xfId="1067" xr:uid="{00000000-0005-0000-0000-00002B040000}"/>
    <cellStyle name="Porcentaje 7 3" xfId="1390" xr:uid="{AB6333FA-FA97-46A4-AC84-737345E4CCC4}"/>
    <cellStyle name="Porcentaje 8" xfId="1068" xr:uid="{00000000-0005-0000-0000-00002C040000}"/>
    <cellStyle name="Porcentaje 8 2" xfId="1069" xr:uid="{00000000-0005-0000-0000-00002D040000}"/>
    <cellStyle name="Porcentaje 8 2 2" xfId="1392" xr:uid="{F0B6456F-96A9-4231-99F2-07DC6D66AF1F}"/>
    <cellStyle name="Porcentaje 8 3" xfId="1070" xr:uid="{00000000-0005-0000-0000-00002E040000}"/>
    <cellStyle name="Porcentaje 8 4" xfId="1391" xr:uid="{A8EAEB14-2045-41E5-A079-6FA4433F0EA0}"/>
    <cellStyle name="Porcentaje 9" xfId="1071" xr:uid="{00000000-0005-0000-0000-00002F040000}"/>
    <cellStyle name="Porcentaje 9 2" xfId="1072" xr:uid="{00000000-0005-0000-0000-000030040000}"/>
    <cellStyle name="Porcentaje 9 2 2" xfId="1073" xr:uid="{00000000-0005-0000-0000-000031040000}"/>
    <cellStyle name="Porcentaje 9 2 3" xfId="1394" xr:uid="{D22A55CE-F505-4719-80D4-A61B03A36DB1}"/>
    <cellStyle name="Porcentaje 9 3" xfId="1074" xr:uid="{00000000-0005-0000-0000-000032040000}"/>
    <cellStyle name="Porcentaje 9 4" xfId="1075" xr:uid="{00000000-0005-0000-0000-000033040000}"/>
    <cellStyle name="Porcentaje 9 5" xfId="1393" xr:uid="{38AB3ECE-26E5-4EE4-92BC-98DDBACF5EB7}"/>
    <cellStyle name="Porcentual 2" xfId="1076" xr:uid="{00000000-0005-0000-0000-000034040000}"/>
    <cellStyle name="Porcentual 2 2" xfId="1077" xr:uid="{00000000-0005-0000-0000-000035040000}"/>
    <cellStyle name="Porcentual 2 2 2" xfId="1397" xr:uid="{E93503EE-1B13-4AE0-982C-9D48BA4E8710}"/>
    <cellStyle name="Porcentual 2 3" xfId="1078" xr:uid="{00000000-0005-0000-0000-000036040000}"/>
    <cellStyle name="Porcentual 2 3 2" xfId="1079" xr:uid="{00000000-0005-0000-0000-000037040000}"/>
    <cellStyle name="Porcentual 2 4" xfId="1080" xr:uid="{00000000-0005-0000-0000-000038040000}"/>
    <cellStyle name="Porcentual 2 4 2" xfId="1399" xr:uid="{942575E5-EE07-4573-AF35-BF730887876E}"/>
    <cellStyle name="Porcentual 2 5" xfId="1396" xr:uid="{91B09225-22AD-4BAE-9DE2-89D144C3D3E5}"/>
    <cellStyle name="Porcentual 3" xfId="1081" xr:uid="{00000000-0005-0000-0000-000039040000}"/>
    <cellStyle name="Porcentual 3 2" xfId="1082" xr:uid="{00000000-0005-0000-0000-00003A040000}"/>
    <cellStyle name="Porcentual 3 2 2" xfId="1083" xr:uid="{00000000-0005-0000-0000-00003B040000}"/>
    <cellStyle name="Porcentual 3 3" xfId="1400" xr:uid="{0AB2071E-5E10-4570-92A3-3876E93364F1}"/>
    <cellStyle name="Porcentual 4" xfId="1084" xr:uid="{00000000-0005-0000-0000-00003C040000}"/>
    <cellStyle name="Porcentual 4 2" xfId="1085" xr:uid="{00000000-0005-0000-0000-00003D040000}"/>
    <cellStyle name="Porcentual 4 2 2" xfId="1086" xr:uid="{00000000-0005-0000-0000-00003E040000}"/>
    <cellStyle name="Porcentual 4 2 2 2" xfId="1087" xr:uid="{00000000-0005-0000-0000-00003F040000}"/>
    <cellStyle name="Porcentual 4 2 3" xfId="1088" xr:uid="{00000000-0005-0000-0000-000040040000}"/>
    <cellStyle name="Porcentual 4 3" xfId="1089" xr:uid="{00000000-0005-0000-0000-000041040000}"/>
    <cellStyle name="Porcentual 4 3 2" xfId="1090" xr:uid="{00000000-0005-0000-0000-000042040000}"/>
    <cellStyle name="Porcentual 4 4" xfId="1091" xr:uid="{00000000-0005-0000-0000-000043040000}"/>
    <cellStyle name="Porcentual 5" xfId="1092" xr:uid="{00000000-0005-0000-0000-000044040000}"/>
    <cellStyle name="Porcentual 5 2" xfId="1093" xr:uid="{00000000-0005-0000-0000-000045040000}"/>
    <cellStyle name="Porcentual 6" xfId="1094" xr:uid="{00000000-0005-0000-0000-000046040000}"/>
    <cellStyle name="Porcentual 6 2" xfId="1095" xr:uid="{00000000-0005-0000-0000-000047040000}"/>
    <cellStyle name="Porcentual 7" xfId="1096" xr:uid="{00000000-0005-0000-0000-000048040000}"/>
    <cellStyle name="Salida 2" xfId="1097" xr:uid="{00000000-0005-0000-0000-000049040000}"/>
    <cellStyle name="Salida 3" xfId="1098" xr:uid="{00000000-0005-0000-0000-00004A040000}"/>
    <cellStyle name="Salida 3 10" xfId="1099" xr:uid="{00000000-0005-0000-0000-00004B040000}"/>
    <cellStyle name="Salida 3 11" xfId="1100" xr:uid="{00000000-0005-0000-0000-00004C040000}"/>
    <cellStyle name="Salida 3 12" xfId="1101" xr:uid="{00000000-0005-0000-0000-00004D040000}"/>
    <cellStyle name="Salida 3 13" xfId="1102" xr:uid="{00000000-0005-0000-0000-00004E040000}"/>
    <cellStyle name="Salida 3 14" xfId="1103" xr:uid="{00000000-0005-0000-0000-00004F040000}"/>
    <cellStyle name="Salida 3 15" xfId="1104" xr:uid="{00000000-0005-0000-0000-000050040000}"/>
    <cellStyle name="Salida 3 16" xfId="1105" xr:uid="{00000000-0005-0000-0000-000051040000}"/>
    <cellStyle name="Salida 3 2" xfId="1106" xr:uid="{00000000-0005-0000-0000-000052040000}"/>
    <cellStyle name="Salida 3 2 2" xfId="1107" xr:uid="{00000000-0005-0000-0000-000053040000}"/>
    <cellStyle name="Salida 3 3" xfId="1108" xr:uid="{00000000-0005-0000-0000-000054040000}"/>
    <cellStyle name="Salida 3 3 2" xfId="1109" xr:uid="{00000000-0005-0000-0000-000055040000}"/>
    <cellStyle name="Salida 3 4" xfId="1110" xr:uid="{00000000-0005-0000-0000-000056040000}"/>
    <cellStyle name="Salida 3 4 2" xfId="1111" xr:uid="{00000000-0005-0000-0000-000057040000}"/>
    <cellStyle name="Salida 3 5" xfId="1112" xr:uid="{00000000-0005-0000-0000-000058040000}"/>
    <cellStyle name="Salida 3 5 2" xfId="1113" xr:uid="{00000000-0005-0000-0000-000059040000}"/>
    <cellStyle name="Salida 3 6" xfId="1114" xr:uid="{00000000-0005-0000-0000-00005A040000}"/>
    <cellStyle name="Salida 3 6 2" xfId="1115" xr:uid="{00000000-0005-0000-0000-00005B040000}"/>
    <cellStyle name="Salida 3 7" xfId="1116" xr:uid="{00000000-0005-0000-0000-00005C040000}"/>
    <cellStyle name="Salida 3 8" xfId="1117" xr:uid="{00000000-0005-0000-0000-00005D040000}"/>
    <cellStyle name="Salida 3 9" xfId="1118" xr:uid="{00000000-0005-0000-0000-00005E040000}"/>
    <cellStyle name="Texto de advertencia" xfId="1119" builtinId="11" customBuiltin="1"/>
    <cellStyle name="Texto de advertencia 2" xfId="1120" xr:uid="{00000000-0005-0000-0000-000060040000}"/>
    <cellStyle name="Texto explicativo" xfId="1121" builtinId="53" customBuiltin="1"/>
    <cellStyle name="Texto explicativo 2" xfId="1122" xr:uid="{00000000-0005-0000-0000-000062040000}"/>
    <cellStyle name="Título 1 2" xfId="1123" xr:uid="{00000000-0005-0000-0000-000063040000}"/>
    <cellStyle name="Título 1 3" xfId="1124" xr:uid="{00000000-0005-0000-0000-000064040000}"/>
    <cellStyle name="Título 2 2" xfId="1125" xr:uid="{00000000-0005-0000-0000-000065040000}"/>
    <cellStyle name="Título 2 3" xfId="1126" xr:uid="{00000000-0005-0000-0000-000066040000}"/>
    <cellStyle name="Título 3 2" xfId="1127" xr:uid="{00000000-0005-0000-0000-000067040000}"/>
    <cellStyle name="Título 3 3" xfId="1128" xr:uid="{00000000-0005-0000-0000-000068040000}"/>
    <cellStyle name="Título 4" xfId="1129" xr:uid="{00000000-0005-0000-0000-000069040000}"/>
    <cellStyle name="Título 5" xfId="1130" xr:uid="{00000000-0005-0000-0000-00006A040000}"/>
    <cellStyle name="Total 2" xfId="1131" xr:uid="{00000000-0005-0000-0000-00006B040000}"/>
    <cellStyle name="Total 2 10" xfId="1132" xr:uid="{00000000-0005-0000-0000-00006C040000}"/>
    <cellStyle name="Total 2 11" xfId="1133" xr:uid="{00000000-0005-0000-0000-00006D040000}"/>
    <cellStyle name="Total 2 12" xfId="1134" xr:uid="{00000000-0005-0000-0000-00006E040000}"/>
    <cellStyle name="Total 2 13" xfId="1135" xr:uid="{00000000-0005-0000-0000-00006F040000}"/>
    <cellStyle name="Total 2 14" xfId="1136" xr:uid="{00000000-0005-0000-0000-000070040000}"/>
    <cellStyle name="Total 2 15" xfId="1137" xr:uid="{00000000-0005-0000-0000-000071040000}"/>
    <cellStyle name="Total 2 16" xfId="1138" xr:uid="{00000000-0005-0000-0000-000072040000}"/>
    <cellStyle name="Total 2 17" xfId="1139" xr:uid="{00000000-0005-0000-0000-000073040000}"/>
    <cellStyle name="Total 2 2" xfId="1140" xr:uid="{00000000-0005-0000-0000-000074040000}"/>
    <cellStyle name="Total 2 2 10" xfId="1141" xr:uid="{00000000-0005-0000-0000-000075040000}"/>
    <cellStyle name="Total 2 2 11" xfId="1142" xr:uid="{00000000-0005-0000-0000-000076040000}"/>
    <cellStyle name="Total 2 2 12" xfId="1143" xr:uid="{00000000-0005-0000-0000-000077040000}"/>
    <cellStyle name="Total 2 2 13" xfId="1144" xr:uid="{00000000-0005-0000-0000-000078040000}"/>
    <cellStyle name="Total 2 2 14" xfId="1145" xr:uid="{00000000-0005-0000-0000-000079040000}"/>
    <cellStyle name="Total 2 2 15" xfId="1146" xr:uid="{00000000-0005-0000-0000-00007A040000}"/>
    <cellStyle name="Total 2 2 16" xfId="1147" xr:uid="{00000000-0005-0000-0000-00007B040000}"/>
    <cellStyle name="Total 2 2 2" xfId="1148" xr:uid="{00000000-0005-0000-0000-00007C040000}"/>
    <cellStyle name="Total 2 2 2 2" xfId="1149" xr:uid="{00000000-0005-0000-0000-00007D040000}"/>
    <cellStyle name="Total 2 2 3" xfId="1150" xr:uid="{00000000-0005-0000-0000-00007E040000}"/>
    <cellStyle name="Total 2 2 3 2" xfId="1151" xr:uid="{00000000-0005-0000-0000-00007F040000}"/>
    <cellStyle name="Total 2 2 4" xfId="1152" xr:uid="{00000000-0005-0000-0000-000080040000}"/>
    <cellStyle name="Total 2 2 4 2" xfId="1153" xr:uid="{00000000-0005-0000-0000-000081040000}"/>
    <cellStyle name="Total 2 2 5" xfId="1154" xr:uid="{00000000-0005-0000-0000-000082040000}"/>
    <cellStyle name="Total 2 2 5 2" xfId="1155" xr:uid="{00000000-0005-0000-0000-000083040000}"/>
    <cellStyle name="Total 2 2 6" xfId="1156" xr:uid="{00000000-0005-0000-0000-000084040000}"/>
    <cellStyle name="Total 2 2 6 2" xfId="1157" xr:uid="{00000000-0005-0000-0000-000085040000}"/>
    <cellStyle name="Total 2 2 7" xfId="1158" xr:uid="{00000000-0005-0000-0000-000086040000}"/>
    <cellStyle name="Total 2 2 8" xfId="1159" xr:uid="{00000000-0005-0000-0000-000087040000}"/>
    <cellStyle name="Total 2 2 9" xfId="1160" xr:uid="{00000000-0005-0000-0000-000088040000}"/>
    <cellStyle name="Total 2 3" xfId="1161" xr:uid="{00000000-0005-0000-0000-000089040000}"/>
    <cellStyle name="Total 2 3 2" xfId="1162" xr:uid="{00000000-0005-0000-0000-00008A040000}"/>
    <cellStyle name="Total 2 4" xfId="1163" xr:uid="{00000000-0005-0000-0000-00008B040000}"/>
    <cellStyle name="Total 2 4 2" xfId="1164" xr:uid="{00000000-0005-0000-0000-00008C040000}"/>
    <cellStyle name="Total 2 5" xfId="1165" xr:uid="{00000000-0005-0000-0000-00008D040000}"/>
    <cellStyle name="Total 2 5 2" xfId="1166" xr:uid="{00000000-0005-0000-0000-00008E040000}"/>
    <cellStyle name="Total 2 6" xfId="1167" xr:uid="{00000000-0005-0000-0000-00008F040000}"/>
    <cellStyle name="Total 2 6 2" xfId="1168" xr:uid="{00000000-0005-0000-0000-000090040000}"/>
    <cellStyle name="Total 2 7" xfId="1169" xr:uid="{00000000-0005-0000-0000-000091040000}"/>
    <cellStyle name="Total 2 7 2" xfId="1170" xr:uid="{00000000-0005-0000-0000-000092040000}"/>
    <cellStyle name="Total 2 8" xfId="1171" xr:uid="{00000000-0005-0000-0000-000093040000}"/>
    <cellStyle name="Total 2 9" xfId="1172" xr:uid="{00000000-0005-0000-0000-000094040000}"/>
    <cellStyle name="Total 3" xfId="1173" xr:uid="{00000000-0005-0000-0000-000095040000}"/>
    <cellStyle name="Total 3 10" xfId="1174" xr:uid="{00000000-0005-0000-0000-000096040000}"/>
    <cellStyle name="Total 3 11" xfId="1175" xr:uid="{00000000-0005-0000-0000-000097040000}"/>
    <cellStyle name="Total 3 12" xfId="1176" xr:uid="{00000000-0005-0000-0000-000098040000}"/>
    <cellStyle name="Total 3 13" xfId="1177" xr:uid="{00000000-0005-0000-0000-000099040000}"/>
    <cellStyle name="Total 3 14" xfId="1178" xr:uid="{00000000-0005-0000-0000-00009A040000}"/>
    <cellStyle name="Total 3 15" xfId="1179" xr:uid="{00000000-0005-0000-0000-00009B040000}"/>
    <cellStyle name="Total 3 16" xfId="1180" xr:uid="{00000000-0005-0000-0000-00009C040000}"/>
    <cellStyle name="Total 3 2" xfId="1181" xr:uid="{00000000-0005-0000-0000-00009D040000}"/>
    <cellStyle name="Total 3 2 2" xfId="1182" xr:uid="{00000000-0005-0000-0000-00009E040000}"/>
    <cellStyle name="Total 3 3" xfId="1183" xr:uid="{00000000-0005-0000-0000-00009F040000}"/>
    <cellStyle name="Total 3 3 2" xfId="1184" xr:uid="{00000000-0005-0000-0000-0000A0040000}"/>
    <cellStyle name="Total 3 4" xfId="1185" xr:uid="{00000000-0005-0000-0000-0000A1040000}"/>
    <cellStyle name="Total 3 4 2" xfId="1186" xr:uid="{00000000-0005-0000-0000-0000A2040000}"/>
    <cellStyle name="Total 3 5" xfId="1187" xr:uid="{00000000-0005-0000-0000-0000A3040000}"/>
    <cellStyle name="Total 3 5 2" xfId="1188" xr:uid="{00000000-0005-0000-0000-0000A4040000}"/>
    <cellStyle name="Total 3 6" xfId="1189" xr:uid="{00000000-0005-0000-0000-0000A5040000}"/>
    <cellStyle name="Total 3 6 2" xfId="1190" xr:uid="{00000000-0005-0000-0000-0000A6040000}"/>
    <cellStyle name="Total 3 7" xfId="1191" xr:uid="{00000000-0005-0000-0000-0000A7040000}"/>
    <cellStyle name="Total 3 8" xfId="1192" xr:uid="{00000000-0005-0000-0000-0000A8040000}"/>
    <cellStyle name="Total 3 9" xfId="1193" xr:uid="{00000000-0005-0000-0000-0000A9040000}"/>
  </cellStyles>
  <dxfs count="0"/>
  <tableStyles count="1" defaultTableStyle="TableStyleMedium9" defaultPivotStyle="PivotStyleLight16">
    <tableStyle name="Invisible" pivot="0" table="0" count="0" xr9:uid="{297E8FD5-13E8-47C7-AF52-078E16439A95}"/>
  </tableStyles>
  <colors>
    <mruColors>
      <color rgb="FFFFFF99"/>
      <color rgb="FFFFFF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50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3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eetMetadata" Target="metadata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600075</xdr:colOff>
      <xdr:row>4</xdr:row>
      <xdr:rowOff>57150</xdr:rowOff>
    </xdr:from>
    <xdr:to>
      <xdr:col>25</xdr:col>
      <xdr:colOff>39331</xdr:colOff>
      <xdr:row>21</xdr:row>
      <xdr:rowOff>78899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BF511B9-7584-4DAA-A667-CC9D43EE7D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44450" y="733425"/>
          <a:ext cx="7059255" cy="30221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14522450</xdr:colOff>
      <xdr:row>0</xdr:row>
      <xdr:rowOff>6350</xdr:rowOff>
    </xdr:from>
    <xdr:to>
      <xdr:col>1</xdr:col>
      <xdr:colOff>15875</xdr:colOff>
      <xdr:row>3</xdr:row>
      <xdr:rowOff>0</xdr:rowOff>
    </xdr:to>
    <xdr:pic>
      <xdr:nvPicPr>
        <xdr:cNvPr id="182338" name="Picture 2" descr="DTLGLGO2">
          <a:extLst>
            <a:ext uri="{FF2B5EF4-FFF2-40B4-BE49-F238E27FC236}">
              <a16:creationId xmlns:a16="http://schemas.microsoft.com/office/drawing/2014/main" id="{DACBA3AF-6BF6-A06D-E486-57CBCC3B80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6850" y="6350"/>
          <a:ext cx="19050" cy="58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3117850</xdr:colOff>
      <xdr:row>0</xdr:row>
      <xdr:rowOff>57150</xdr:rowOff>
    </xdr:from>
    <xdr:to>
      <xdr:col>1</xdr:col>
      <xdr:colOff>400050</xdr:colOff>
      <xdr:row>3</xdr:row>
      <xdr:rowOff>196850</xdr:rowOff>
    </xdr:to>
    <xdr:pic>
      <xdr:nvPicPr>
        <xdr:cNvPr id="179266" name="Picture 2" descr="DTLGLGO2">
          <a:extLst>
            <a:ext uri="{FF2B5EF4-FFF2-40B4-BE49-F238E27FC236}">
              <a16:creationId xmlns:a16="http://schemas.microsoft.com/office/drawing/2014/main" id="{3D57251F-F31E-AB23-6297-00F32E2DC1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6850" y="57150"/>
          <a:ext cx="400050" cy="73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0</xdr:colOff>
      <xdr:row>3</xdr:row>
      <xdr:rowOff>0</xdr:rowOff>
    </xdr:to>
    <xdr:pic>
      <xdr:nvPicPr>
        <xdr:cNvPr id="180290" name="Picture 2" descr="DTLGLGO2">
          <a:extLst>
            <a:ext uri="{FF2B5EF4-FFF2-40B4-BE49-F238E27FC236}">
              <a16:creationId xmlns:a16="http://schemas.microsoft.com/office/drawing/2014/main" id="{710FB88F-5FB4-94FF-E551-44477ECF69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6850" y="0"/>
          <a:ext cx="14605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0</xdr:colOff>
      <xdr:row>3</xdr:row>
      <xdr:rowOff>0</xdr:rowOff>
    </xdr:to>
    <xdr:pic>
      <xdr:nvPicPr>
        <xdr:cNvPr id="181314" name="Picture 2" descr="DTLGLGO2">
          <a:extLst>
            <a:ext uri="{FF2B5EF4-FFF2-40B4-BE49-F238E27FC236}">
              <a16:creationId xmlns:a16="http://schemas.microsoft.com/office/drawing/2014/main" id="{F2DC735F-9B9C-ED5E-BECE-58E0CC0212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6850" y="0"/>
          <a:ext cx="146050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hyperlink" Target="https://www.youtube.com/watch?v=YBk5I0q1XEk" TargetMode="External"/><Relationship Id="rId4" Type="http://schemas.openxmlformats.org/officeDocument/2006/relationships/comments" Target="../comments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3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>
    <tabColor rgb="FF66FF99"/>
    <pageSetUpPr fitToPage="1"/>
  </sheetPr>
  <dimension ref="A1:S56"/>
  <sheetViews>
    <sheetView workbookViewId="0"/>
  </sheetViews>
  <sheetFormatPr baseColWidth="10" defaultColWidth="9.140625" defaultRowHeight="12.75"/>
  <cols>
    <col min="1" max="1" width="37.42578125" style="25" customWidth="1"/>
    <col min="2" max="2" width="12.42578125" customWidth="1"/>
    <col min="3" max="3" width="11.85546875" customWidth="1"/>
    <col min="4" max="4" width="12.85546875" customWidth="1"/>
    <col min="5" max="5" width="7.140625" customWidth="1"/>
    <col min="6" max="8" width="12.85546875" customWidth="1"/>
    <col min="9" max="9" width="9.42578125" customWidth="1"/>
    <col min="10" max="12" width="12.85546875" customWidth="1"/>
    <col min="13" max="13" width="7.42578125" customWidth="1"/>
    <col min="14" max="14" width="11.85546875" customWidth="1"/>
    <col min="15" max="16" width="12.85546875" customWidth="1"/>
    <col min="17" max="17" width="8" customWidth="1"/>
    <col min="18" max="18" width="5.140625" customWidth="1"/>
    <col min="19" max="19" width="9.85546875" bestFit="1" customWidth="1"/>
  </cols>
  <sheetData>
    <row r="1" spans="1:19" ht="15.75">
      <c r="A1" s="426" t="str">
        <f>'SPL 25 USD'!A1</f>
        <v>2025 Performance</v>
      </c>
      <c r="B1" s="407"/>
      <c r="C1" s="407"/>
      <c r="D1" s="407"/>
      <c r="E1" s="407"/>
      <c r="F1" s="407"/>
      <c r="G1" s="427"/>
      <c r="H1" s="407"/>
      <c r="I1" s="407"/>
      <c r="J1" s="407"/>
      <c r="K1" s="407"/>
      <c r="L1" s="407"/>
      <c r="M1" s="407"/>
      <c r="N1" s="407"/>
      <c r="O1" s="407"/>
      <c r="P1" s="407"/>
      <c r="Q1" s="408"/>
    </row>
    <row r="2" spans="1:19" ht="15.75">
      <c r="A2" s="428" t="s">
        <v>0</v>
      </c>
      <c r="Q2" s="224"/>
    </row>
    <row r="3" spans="1:19" ht="15.75">
      <c r="A3" s="429" t="s">
        <v>1</v>
      </c>
      <c r="B3" s="484">
        <f>'FX Rates'!B2</f>
        <v>1</v>
      </c>
      <c r="C3" s="484">
        <f>'FX Rates'!C2</f>
        <v>1</v>
      </c>
      <c r="D3" s="485">
        <f>'FX Rates'!D2</f>
        <v>1</v>
      </c>
      <c r="E3" s="485"/>
      <c r="F3" s="485">
        <f>'FX Rates'!E2</f>
        <v>1</v>
      </c>
      <c r="G3" s="485">
        <f>'FX Rates'!F2</f>
        <v>1</v>
      </c>
      <c r="H3" s="485">
        <f>'FX Rates'!G2</f>
        <v>1</v>
      </c>
      <c r="I3" s="485"/>
      <c r="J3" s="485">
        <f>'FX Rates'!H2</f>
        <v>1</v>
      </c>
      <c r="K3" s="485">
        <f>'FX Rates'!I2</f>
        <v>1</v>
      </c>
      <c r="L3" s="485">
        <f>'FX Rates'!J2</f>
        <v>1</v>
      </c>
      <c r="M3" s="485"/>
      <c r="N3" s="485">
        <f>'FX Rates'!K2</f>
        <v>1</v>
      </c>
      <c r="O3" s="485">
        <f>'FX Rates'!L2</f>
        <v>1</v>
      </c>
      <c r="P3" s="485">
        <f>'FX Rates'!M2</f>
        <v>1</v>
      </c>
      <c r="Q3" s="486"/>
      <c r="R3" s="485"/>
    </row>
    <row r="4" spans="1:19" ht="18">
      <c r="A4" s="430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31"/>
      <c r="R4" s="51"/>
    </row>
    <row r="5" spans="1:19">
      <c r="A5" s="531"/>
      <c r="B5" s="21">
        <v>2024</v>
      </c>
      <c r="C5" s="21">
        <f>B5</f>
        <v>2024</v>
      </c>
      <c r="D5" s="21">
        <f t="shared" ref="D5:O5" si="0">C5</f>
        <v>2024</v>
      </c>
      <c r="E5" s="21"/>
      <c r="F5" s="21">
        <f>D5</f>
        <v>2024</v>
      </c>
      <c r="G5" s="21">
        <f t="shared" si="0"/>
        <v>2024</v>
      </c>
      <c r="H5" s="21">
        <f t="shared" si="0"/>
        <v>2024</v>
      </c>
      <c r="I5" s="21"/>
      <c r="J5" s="21">
        <f>H5</f>
        <v>2024</v>
      </c>
      <c r="K5" s="21">
        <f t="shared" si="0"/>
        <v>2024</v>
      </c>
      <c r="L5" s="21">
        <f t="shared" si="0"/>
        <v>2024</v>
      </c>
      <c r="M5" s="21"/>
      <c r="N5" s="21">
        <f>L5</f>
        <v>2024</v>
      </c>
      <c r="O5" s="21">
        <f t="shared" si="0"/>
        <v>2024</v>
      </c>
      <c r="P5" s="21">
        <f>+O5</f>
        <v>2024</v>
      </c>
      <c r="Q5" s="432"/>
      <c r="R5" s="21"/>
    </row>
    <row r="6" spans="1:19" ht="15">
      <c r="A6" s="433" t="s">
        <v>2</v>
      </c>
      <c r="B6" s="21" t="s">
        <v>3</v>
      </c>
      <c r="C6" s="21" t="s">
        <v>4</v>
      </c>
      <c r="D6" s="21" t="s">
        <v>5</v>
      </c>
      <c r="E6" s="21"/>
      <c r="F6" s="21" t="s">
        <v>6</v>
      </c>
      <c r="G6" s="21" t="s">
        <v>7</v>
      </c>
      <c r="H6" s="21" t="s">
        <v>8</v>
      </c>
      <c r="I6" s="21"/>
      <c r="J6" s="21" t="s">
        <v>9</v>
      </c>
      <c r="K6" s="21" t="s">
        <v>10</v>
      </c>
      <c r="L6" s="21" t="s">
        <v>11</v>
      </c>
      <c r="M6" s="21"/>
      <c r="N6" s="21" t="s">
        <v>12</v>
      </c>
      <c r="O6" s="21" t="s">
        <v>13</v>
      </c>
      <c r="P6" s="21" t="s">
        <v>14</v>
      </c>
      <c r="Q6" s="432"/>
      <c r="R6" s="21"/>
    </row>
    <row r="7" spans="1:19">
      <c r="A7" s="307" t="s">
        <v>15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434"/>
      <c r="R7" s="57"/>
    </row>
    <row r="8" spans="1:19">
      <c r="A8" s="531" t="s">
        <v>16</v>
      </c>
      <c r="B8" s="418"/>
      <c r="C8" s="418"/>
      <c r="D8" s="418"/>
      <c r="E8" s="435">
        <f>IFERROR(D8/$D$49,0)</f>
        <v>0</v>
      </c>
      <c r="F8" s="418"/>
      <c r="G8" s="164"/>
      <c r="H8" s="418"/>
      <c r="I8" s="435">
        <f>IFERROR(H8/$H$49,0)</f>
        <v>0</v>
      </c>
      <c r="J8" s="418"/>
      <c r="K8" s="418"/>
      <c r="L8" s="418"/>
      <c r="M8" s="435">
        <f>IFERROR(L8/$L$49,0)</f>
        <v>0</v>
      </c>
      <c r="N8" s="418"/>
      <c r="O8" s="436"/>
      <c r="P8" s="436"/>
      <c r="Q8" s="437">
        <f>IFERROR(P8/$P$49,0)</f>
        <v>0</v>
      </c>
      <c r="R8" s="435"/>
    </row>
    <row r="9" spans="1:19">
      <c r="A9" s="531" t="s">
        <v>17</v>
      </c>
      <c r="B9" s="418"/>
      <c r="C9" s="418"/>
      <c r="D9" s="418"/>
      <c r="E9" s="435">
        <f t="shared" ref="E9:E16" si="1">IFERROR(D9/$D$49,0)</f>
        <v>0</v>
      </c>
      <c r="F9" s="418"/>
      <c r="G9" s="164"/>
      <c r="H9" s="418"/>
      <c r="I9" s="435">
        <f t="shared" ref="I9:I16" si="2">IFERROR(H9/$H$49,0)</f>
        <v>0</v>
      </c>
      <c r="J9" s="418"/>
      <c r="K9" s="418"/>
      <c r="L9" s="418"/>
      <c r="M9" s="435">
        <f t="shared" ref="M9:M16" si="3">IFERROR(L9/$L$49,0)</f>
        <v>0</v>
      </c>
      <c r="N9" s="418"/>
      <c r="O9" s="436"/>
      <c r="P9" s="436"/>
      <c r="Q9" s="437">
        <f t="shared" ref="Q9:Q16" si="4">IFERROR(P9/$P$49,0)</f>
        <v>0</v>
      </c>
      <c r="R9" s="435"/>
    </row>
    <row r="10" spans="1:19">
      <c r="A10" s="531" t="s">
        <v>18</v>
      </c>
      <c r="B10" s="418"/>
      <c r="C10" s="418"/>
      <c r="D10" s="418"/>
      <c r="E10" s="435">
        <f t="shared" si="1"/>
        <v>0</v>
      </c>
      <c r="F10" s="418"/>
      <c r="G10" s="164"/>
      <c r="H10" s="418"/>
      <c r="I10" s="435">
        <f t="shared" si="2"/>
        <v>0</v>
      </c>
      <c r="J10" s="418"/>
      <c r="K10" s="418"/>
      <c r="L10" s="418"/>
      <c r="M10" s="435">
        <f t="shared" si="3"/>
        <v>0</v>
      </c>
      <c r="N10" s="418"/>
      <c r="O10" s="436"/>
      <c r="P10" s="436"/>
      <c r="Q10" s="437">
        <f t="shared" si="4"/>
        <v>0</v>
      </c>
      <c r="R10" s="435"/>
    </row>
    <row r="11" spans="1:19">
      <c r="A11" s="531" t="s">
        <v>19</v>
      </c>
      <c r="B11" s="418"/>
      <c r="C11" s="418"/>
      <c r="D11" s="418"/>
      <c r="E11" s="435">
        <f t="shared" si="1"/>
        <v>0</v>
      </c>
      <c r="F11" s="418"/>
      <c r="G11" s="164"/>
      <c r="H11" s="418"/>
      <c r="I11" s="435">
        <f t="shared" si="2"/>
        <v>0</v>
      </c>
      <c r="J11" s="418"/>
      <c r="K11" s="418"/>
      <c r="L11" s="418"/>
      <c r="M11" s="435">
        <f t="shared" si="3"/>
        <v>0</v>
      </c>
      <c r="N11" s="418"/>
      <c r="O11" s="436"/>
      <c r="P11" s="438"/>
      <c r="Q11" s="437">
        <f t="shared" si="4"/>
        <v>0</v>
      </c>
      <c r="R11" s="435"/>
    </row>
    <row r="12" spans="1:19">
      <c r="A12" s="531" t="s">
        <v>20</v>
      </c>
      <c r="B12" s="418"/>
      <c r="C12" s="418"/>
      <c r="D12" s="418"/>
      <c r="E12" s="435">
        <f t="shared" si="1"/>
        <v>0</v>
      </c>
      <c r="F12" s="418"/>
      <c r="G12" s="164"/>
      <c r="H12" s="418"/>
      <c r="I12" s="435">
        <f t="shared" si="2"/>
        <v>0</v>
      </c>
      <c r="J12" s="418"/>
      <c r="K12" s="418"/>
      <c r="L12" s="418"/>
      <c r="M12" s="435">
        <f t="shared" si="3"/>
        <v>0</v>
      </c>
      <c r="N12" s="418"/>
      <c r="O12" s="436"/>
      <c r="P12" s="418"/>
      <c r="Q12" s="437">
        <f t="shared" si="4"/>
        <v>0</v>
      </c>
      <c r="R12" s="435"/>
    </row>
    <row r="13" spans="1:19">
      <c r="A13" s="531" t="s">
        <v>21</v>
      </c>
      <c r="B13" s="418"/>
      <c r="C13" s="418"/>
      <c r="D13" s="418"/>
      <c r="E13" s="435">
        <f t="shared" si="1"/>
        <v>0</v>
      </c>
      <c r="F13" s="418"/>
      <c r="G13" s="164"/>
      <c r="H13" s="418"/>
      <c r="I13" s="435">
        <f t="shared" si="2"/>
        <v>0</v>
      </c>
      <c r="J13" s="418"/>
      <c r="K13" s="418"/>
      <c r="L13" s="418"/>
      <c r="M13" s="435">
        <f t="shared" si="3"/>
        <v>0</v>
      </c>
      <c r="N13" s="418"/>
      <c r="O13" s="436"/>
      <c r="P13" s="418"/>
      <c r="Q13" s="437">
        <f t="shared" si="4"/>
        <v>0</v>
      </c>
      <c r="R13" s="435"/>
    </row>
    <row r="14" spans="1:19">
      <c r="A14" s="531" t="s">
        <v>22</v>
      </c>
      <c r="B14" s="418"/>
      <c r="C14" s="418"/>
      <c r="D14" s="418"/>
      <c r="E14" s="435">
        <f t="shared" si="1"/>
        <v>0</v>
      </c>
      <c r="F14" s="418"/>
      <c r="G14" s="164"/>
      <c r="H14" s="418"/>
      <c r="I14" s="435">
        <f t="shared" si="2"/>
        <v>0</v>
      </c>
      <c r="J14" s="418"/>
      <c r="K14" s="418"/>
      <c r="L14" s="418"/>
      <c r="M14" s="435">
        <f t="shared" si="3"/>
        <v>0</v>
      </c>
      <c r="N14" s="418"/>
      <c r="O14" s="436"/>
      <c r="P14" s="418"/>
      <c r="Q14" s="437">
        <f t="shared" si="4"/>
        <v>0</v>
      </c>
      <c r="R14" s="435"/>
    </row>
    <row r="15" spans="1:19">
      <c r="A15" s="894" t="s">
        <v>23</v>
      </c>
      <c r="B15" s="132"/>
      <c r="C15" s="132"/>
      <c r="D15" s="132"/>
      <c r="E15" s="435">
        <f t="shared" si="1"/>
        <v>0</v>
      </c>
      <c r="F15" s="132"/>
      <c r="G15" s="163"/>
      <c r="H15" s="132"/>
      <c r="I15" s="435">
        <f t="shared" si="2"/>
        <v>0</v>
      </c>
      <c r="J15" s="132"/>
      <c r="K15" s="132"/>
      <c r="L15" s="132"/>
      <c r="M15" s="435">
        <f t="shared" si="3"/>
        <v>0</v>
      </c>
      <c r="N15" s="132"/>
      <c r="O15" s="409"/>
      <c r="P15" s="132"/>
      <c r="Q15" s="437">
        <f t="shared" si="4"/>
        <v>0</v>
      </c>
      <c r="R15" s="435"/>
      <c r="S15" s="168"/>
    </row>
    <row r="16" spans="1:19" s="52" customFormat="1">
      <c r="A16" s="531"/>
      <c r="B16" s="439">
        <f t="shared" ref="B16:P16" si="5">SUM(B8:B15)</f>
        <v>0</v>
      </c>
      <c r="C16" s="439">
        <f t="shared" si="5"/>
        <v>0</v>
      </c>
      <c r="D16" s="439">
        <f t="shared" si="5"/>
        <v>0</v>
      </c>
      <c r="E16" s="435">
        <f t="shared" si="1"/>
        <v>0</v>
      </c>
      <c r="F16" s="439">
        <f t="shared" si="5"/>
        <v>0</v>
      </c>
      <c r="G16" s="439">
        <f t="shared" si="5"/>
        <v>0</v>
      </c>
      <c r="H16" s="439">
        <f t="shared" si="5"/>
        <v>0</v>
      </c>
      <c r="I16" s="435">
        <f t="shared" si="2"/>
        <v>0</v>
      </c>
      <c r="J16" s="439">
        <f t="shared" si="5"/>
        <v>0</v>
      </c>
      <c r="K16" s="439">
        <f t="shared" si="5"/>
        <v>0</v>
      </c>
      <c r="L16" s="439">
        <f t="shared" si="5"/>
        <v>0</v>
      </c>
      <c r="M16" s="435">
        <f t="shared" si="3"/>
        <v>0</v>
      </c>
      <c r="N16" s="439">
        <f t="shared" si="5"/>
        <v>0</v>
      </c>
      <c r="O16" s="439">
        <f t="shared" si="5"/>
        <v>0</v>
      </c>
      <c r="P16" s="439">
        <f t="shared" si="5"/>
        <v>0</v>
      </c>
      <c r="Q16" s="437">
        <f t="shared" si="4"/>
        <v>0</v>
      </c>
      <c r="R16" s="435"/>
      <c r="S16" s="168"/>
    </row>
    <row r="17" spans="1:19">
      <c r="A17" s="531"/>
      <c r="B17" s="440"/>
      <c r="C17" s="440"/>
      <c r="D17" s="440"/>
      <c r="E17" s="440"/>
      <c r="F17" s="440"/>
      <c r="G17" s="440"/>
      <c r="H17" s="440"/>
      <c r="I17" s="440"/>
      <c r="J17" s="440"/>
      <c r="K17" s="440"/>
      <c r="L17" s="440"/>
      <c r="M17" s="440"/>
      <c r="N17" s="440"/>
      <c r="O17" s="440"/>
      <c r="P17" s="440"/>
      <c r="Q17" s="441"/>
      <c r="R17" s="440"/>
      <c r="S17" s="168"/>
    </row>
    <row r="18" spans="1:19">
      <c r="A18" s="531" t="s">
        <v>24</v>
      </c>
      <c r="B18" s="418"/>
      <c r="C18" s="418"/>
      <c r="D18" s="418"/>
      <c r="E18" s="435">
        <f>IFERROR(D18/$D$49,0)</f>
        <v>0</v>
      </c>
      <c r="F18" s="418"/>
      <c r="G18" s="164"/>
      <c r="H18" s="418"/>
      <c r="I18" s="435">
        <f>IFERROR(H18/$H$49,0)</f>
        <v>0</v>
      </c>
      <c r="J18" s="418"/>
      <c r="K18" s="418"/>
      <c r="L18" s="438"/>
      <c r="M18" s="435">
        <f>IFERROR(L18/$L$49,0)</f>
        <v>0</v>
      </c>
      <c r="N18" s="418"/>
      <c r="O18" s="418"/>
      <c r="P18" s="418"/>
      <c r="Q18" s="437">
        <f>IFERROR(P18/$P$49,0)</f>
        <v>0</v>
      </c>
      <c r="R18" s="435"/>
    </row>
    <row r="19" spans="1:19">
      <c r="A19" s="531"/>
      <c r="B19" s="440"/>
      <c r="C19" s="440"/>
      <c r="D19" s="440"/>
      <c r="E19" s="440"/>
      <c r="F19" s="440"/>
      <c r="G19" s="440"/>
      <c r="H19" s="440"/>
      <c r="I19" s="440"/>
      <c r="J19" s="440"/>
      <c r="K19" s="440"/>
      <c r="L19" s="440"/>
      <c r="M19" s="440"/>
      <c r="N19" s="440"/>
      <c r="O19" s="440"/>
      <c r="P19" s="440"/>
      <c r="Q19" s="441"/>
      <c r="R19" s="440"/>
    </row>
    <row r="20" spans="1:19">
      <c r="A20" s="531" t="s">
        <v>25</v>
      </c>
      <c r="B20" s="418"/>
      <c r="C20" s="418"/>
      <c r="D20" s="418"/>
      <c r="E20" s="435">
        <f>IFERROR(D20/$D$49,0)</f>
        <v>0</v>
      </c>
      <c r="F20" s="418"/>
      <c r="G20" s="418"/>
      <c r="H20" s="418"/>
      <c r="I20" s="435">
        <f>IFERROR(H20/$H$49,0)</f>
        <v>0</v>
      </c>
      <c r="J20" s="418"/>
      <c r="K20" s="418"/>
      <c r="L20" s="418"/>
      <c r="M20" s="418"/>
      <c r="N20" s="418"/>
      <c r="O20" s="418"/>
      <c r="P20" s="164"/>
      <c r="Q20" s="437">
        <f>IFERROR(P20/$P$49,0)</f>
        <v>0</v>
      </c>
      <c r="R20" s="435"/>
    </row>
    <row r="21" spans="1:19">
      <c r="A21" s="531"/>
      <c r="B21" s="440"/>
      <c r="C21" s="440"/>
      <c r="D21" s="440"/>
      <c r="E21" s="440"/>
      <c r="F21" s="440"/>
      <c r="G21" s="440"/>
      <c r="H21" s="440"/>
      <c r="I21" s="440"/>
      <c r="J21" s="440"/>
      <c r="K21" s="440"/>
      <c r="L21" s="440"/>
      <c r="M21" s="440"/>
      <c r="N21" s="440"/>
      <c r="O21" s="440"/>
      <c r="P21" s="418"/>
      <c r="Q21" s="441"/>
      <c r="R21" s="440"/>
    </row>
    <row r="22" spans="1:19" s="54" customFormat="1" ht="13.5" thickBot="1">
      <c r="A22" s="442" t="s">
        <v>26</v>
      </c>
      <c r="B22" s="133">
        <f>B16+B18+B20</f>
        <v>0</v>
      </c>
      <c r="C22" s="133">
        <f t="shared" ref="C22:P22" si="6">C16+C18+C20</f>
        <v>0</v>
      </c>
      <c r="D22" s="133">
        <f t="shared" si="6"/>
        <v>0</v>
      </c>
      <c r="E22" s="435">
        <f>IFERROR(D22/$D$49,0)</f>
        <v>0</v>
      </c>
      <c r="F22" s="133">
        <f t="shared" si="6"/>
        <v>0</v>
      </c>
      <c r="G22" s="133">
        <f t="shared" si="6"/>
        <v>0</v>
      </c>
      <c r="H22" s="133">
        <f t="shared" si="6"/>
        <v>0</v>
      </c>
      <c r="I22" s="435">
        <f>IFERROR(H22/$H$49,0)</f>
        <v>0</v>
      </c>
      <c r="J22" s="133">
        <f t="shared" si="6"/>
        <v>0</v>
      </c>
      <c r="K22" s="133">
        <f t="shared" si="6"/>
        <v>0</v>
      </c>
      <c r="L22" s="133">
        <f t="shared" si="6"/>
        <v>0</v>
      </c>
      <c r="M22" s="435">
        <f>IFERROR(L22/$L$49,0)</f>
        <v>0</v>
      </c>
      <c r="N22" s="133">
        <f t="shared" si="6"/>
        <v>0</v>
      </c>
      <c r="O22" s="133">
        <f t="shared" si="6"/>
        <v>0</v>
      </c>
      <c r="P22" s="133">
        <f t="shared" si="6"/>
        <v>0</v>
      </c>
      <c r="Q22" s="437">
        <f>IFERROR(P22/$P$49,0)</f>
        <v>0</v>
      </c>
      <c r="R22" s="435"/>
    </row>
    <row r="23" spans="1:19" ht="13.5" thickTop="1">
      <c r="A23" s="531"/>
      <c r="B23" s="440"/>
      <c r="C23" s="440"/>
      <c r="D23" s="440"/>
      <c r="E23" s="440"/>
      <c r="F23" s="440"/>
      <c r="G23" s="440"/>
      <c r="H23" s="440"/>
      <c r="I23" s="440"/>
      <c r="J23" s="440"/>
      <c r="K23" s="440"/>
      <c r="L23" s="440"/>
      <c r="M23" s="440"/>
      <c r="N23" s="440"/>
      <c r="O23" s="440"/>
      <c r="P23" s="440"/>
      <c r="Q23" s="441"/>
      <c r="R23" s="440"/>
    </row>
    <row r="24" spans="1:19">
      <c r="A24" s="531" t="s">
        <v>15</v>
      </c>
      <c r="B24" s="440"/>
      <c r="C24" s="440"/>
      <c r="D24" s="440"/>
      <c r="E24" s="440"/>
      <c r="F24" s="440"/>
      <c r="G24" s="440"/>
      <c r="H24" s="440"/>
      <c r="I24" s="440"/>
      <c r="J24" s="440"/>
      <c r="K24" s="440"/>
      <c r="L24" s="440"/>
      <c r="M24" s="440"/>
      <c r="N24" s="440"/>
      <c r="O24" s="440"/>
      <c r="P24" s="440"/>
      <c r="Q24" s="441"/>
      <c r="R24" s="440"/>
    </row>
    <row r="25" spans="1:19">
      <c r="A25" s="531" t="s">
        <v>27</v>
      </c>
      <c r="B25" s="418"/>
      <c r="C25" s="418"/>
      <c r="D25" s="418"/>
      <c r="E25" s="435">
        <f t="shared" ref="E25:E30" si="7">IFERROR(D25/$D$49,0)</f>
        <v>0</v>
      </c>
      <c r="F25" s="418"/>
      <c r="G25" s="418"/>
      <c r="H25" s="418"/>
      <c r="I25" s="435">
        <f t="shared" ref="I25:I30" si="8">IFERROR(H25/$H$49,0)</f>
        <v>0</v>
      </c>
      <c r="J25" s="418"/>
      <c r="K25" s="418"/>
      <c r="L25" s="418"/>
      <c r="M25" s="435">
        <f t="shared" ref="M25:M30" si="9">IFERROR(L25/$L$49,0)</f>
        <v>0</v>
      </c>
      <c r="N25" s="418"/>
      <c r="O25" s="436"/>
      <c r="P25" s="418"/>
      <c r="Q25" s="437">
        <f t="shared" ref="Q25:Q30" si="10">IFERROR(P25/$P$49,0)</f>
        <v>0</v>
      </c>
      <c r="R25" s="435"/>
    </row>
    <row r="26" spans="1:19">
      <c r="A26" s="531" t="s">
        <v>28</v>
      </c>
      <c r="B26" s="418"/>
      <c r="C26" s="418"/>
      <c r="D26" s="418"/>
      <c r="E26" s="435">
        <f t="shared" si="7"/>
        <v>0</v>
      </c>
      <c r="F26" s="418"/>
      <c r="G26" s="418"/>
      <c r="H26" s="418"/>
      <c r="I26" s="435">
        <f t="shared" si="8"/>
        <v>0</v>
      </c>
      <c r="J26" s="418"/>
      <c r="K26" s="418"/>
      <c r="L26" s="418"/>
      <c r="M26" s="435">
        <f t="shared" si="9"/>
        <v>0</v>
      </c>
      <c r="N26" s="418"/>
      <c r="O26" s="436"/>
      <c r="P26" s="418"/>
      <c r="Q26" s="437">
        <f t="shared" si="10"/>
        <v>0</v>
      </c>
      <c r="R26" s="440"/>
    </row>
    <row r="27" spans="1:19">
      <c r="A27" s="531" t="s">
        <v>29</v>
      </c>
      <c r="B27" s="418"/>
      <c r="C27" s="418"/>
      <c r="D27" s="418"/>
      <c r="E27" s="435">
        <f t="shared" si="7"/>
        <v>0</v>
      </c>
      <c r="F27" s="418"/>
      <c r="G27" s="418"/>
      <c r="H27" s="418"/>
      <c r="I27" s="435">
        <f t="shared" si="8"/>
        <v>0</v>
      </c>
      <c r="J27" s="418"/>
      <c r="K27" s="418"/>
      <c r="L27" s="418"/>
      <c r="M27" s="435">
        <f t="shared" si="9"/>
        <v>0</v>
      </c>
      <c r="N27" s="418"/>
      <c r="O27" s="436"/>
      <c r="P27" s="418"/>
      <c r="Q27" s="437">
        <f t="shared" si="10"/>
        <v>0</v>
      </c>
      <c r="R27" s="440"/>
    </row>
    <row r="28" spans="1:19">
      <c r="A28" s="531" t="s">
        <v>30</v>
      </c>
      <c r="B28" s="418"/>
      <c r="C28" s="418"/>
      <c r="D28" s="418"/>
      <c r="E28" s="435">
        <f t="shared" si="7"/>
        <v>0</v>
      </c>
      <c r="F28" s="418"/>
      <c r="G28" s="418"/>
      <c r="H28" s="418"/>
      <c r="I28" s="435">
        <f t="shared" si="8"/>
        <v>0</v>
      </c>
      <c r="J28" s="418"/>
      <c r="K28" s="418"/>
      <c r="L28" s="418"/>
      <c r="M28" s="435">
        <f t="shared" si="9"/>
        <v>0</v>
      </c>
      <c r="N28" s="418"/>
      <c r="O28" s="436"/>
      <c r="P28" s="418"/>
      <c r="Q28" s="437">
        <f t="shared" si="10"/>
        <v>0</v>
      </c>
      <c r="R28" s="440"/>
    </row>
    <row r="29" spans="1:19">
      <c r="A29" s="894" t="s">
        <v>31</v>
      </c>
      <c r="B29" s="132"/>
      <c r="C29" s="132"/>
      <c r="D29" s="132"/>
      <c r="E29" s="435">
        <f t="shared" si="7"/>
        <v>0</v>
      </c>
      <c r="F29" s="132"/>
      <c r="G29" s="132"/>
      <c r="H29" s="132"/>
      <c r="I29" s="435">
        <f t="shared" si="8"/>
        <v>0</v>
      </c>
      <c r="J29" s="132"/>
      <c r="K29" s="132"/>
      <c r="L29" s="132"/>
      <c r="M29" s="435">
        <f t="shared" si="9"/>
        <v>0</v>
      </c>
      <c r="N29" s="132"/>
      <c r="O29" s="409"/>
      <c r="P29" s="132"/>
      <c r="Q29" s="437">
        <f t="shared" si="10"/>
        <v>0</v>
      </c>
      <c r="R29" s="435"/>
    </row>
    <row r="30" spans="1:19" s="52" customFormat="1">
      <c r="A30" s="531"/>
      <c r="B30" s="440">
        <f>SUM(B25:B29)</f>
        <v>0</v>
      </c>
      <c r="C30" s="440">
        <f t="shared" ref="C30:P30" si="11">SUM(C25:C29)</f>
        <v>0</v>
      </c>
      <c r="D30" s="440">
        <f t="shared" si="11"/>
        <v>0</v>
      </c>
      <c r="E30" s="435">
        <f t="shared" si="7"/>
        <v>0</v>
      </c>
      <c r="F30" s="440">
        <f t="shared" si="11"/>
        <v>0</v>
      </c>
      <c r="G30" s="440">
        <f t="shared" si="11"/>
        <v>0</v>
      </c>
      <c r="H30" s="440">
        <f t="shared" si="11"/>
        <v>0</v>
      </c>
      <c r="I30" s="435">
        <f t="shared" si="8"/>
        <v>0</v>
      </c>
      <c r="J30" s="440">
        <f t="shared" si="11"/>
        <v>0</v>
      </c>
      <c r="K30" s="440">
        <f t="shared" si="11"/>
        <v>0</v>
      </c>
      <c r="L30" s="440">
        <f t="shared" si="11"/>
        <v>0</v>
      </c>
      <c r="M30" s="435">
        <f t="shared" si="9"/>
        <v>0</v>
      </c>
      <c r="N30" s="440">
        <f t="shared" si="11"/>
        <v>0</v>
      </c>
      <c r="O30" s="440">
        <f t="shared" si="11"/>
        <v>0</v>
      </c>
      <c r="P30" s="440">
        <f t="shared" si="11"/>
        <v>0</v>
      </c>
      <c r="Q30" s="437">
        <f t="shared" si="10"/>
        <v>0</v>
      </c>
      <c r="R30" s="435"/>
    </row>
    <row r="31" spans="1:19">
      <c r="A31" s="531"/>
      <c r="B31" s="440"/>
      <c r="C31" s="440"/>
      <c r="D31" s="440"/>
      <c r="E31" s="440"/>
      <c r="F31" s="440"/>
      <c r="G31" s="440"/>
      <c r="H31" s="440"/>
      <c r="I31" s="440"/>
      <c r="J31" s="440"/>
      <c r="K31" s="440"/>
      <c r="L31" s="440"/>
      <c r="M31" s="440"/>
      <c r="N31" s="440"/>
      <c r="O31" s="440"/>
      <c r="P31" s="440"/>
      <c r="Q31" s="441"/>
      <c r="R31" s="440"/>
    </row>
    <row r="32" spans="1:19">
      <c r="A32" s="531" t="s">
        <v>32</v>
      </c>
      <c r="B32" s="418"/>
      <c r="C32" s="418"/>
      <c r="D32" s="418"/>
      <c r="E32" s="435">
        <f>IFERROR(D32/$D$49,0)</f>
        <v>0</v>
      </c>
      <c r="F32" s="418"/>
      <c r="G32" s="164"/>
      <c r="H32" s="418"/>
      <c r="I32" s="435">
        <f>IFERROR(H32/$H$49,0)</f>
        <v>0</v>
      </c>
      <c r="J32" s="418"/>
      <c r="K32" s="164"/>
      <c r="L32" s="418"/>
      <c r="M32" s="435">
        <f>IFERROR(L32/$L$49,0)</f>
        <v>0</v>
      </c>
      <c r="N32" s="418"/>
      <c r="O32" s="436"/>
      <c r="P32" s="418"/>
      <c r="Q32" s="437">
        <f>IFERROR(P32/$P$49,0)</f>
        <v>0</v>
      </c>
      <c r="R32" s="435"/>
    </row>
    <row r="33" spans="1:18">
      <c r="A33" s="531"/>
      <c r="B33" s="418"/>
      <c r="C33" s="418"/>
      <c r="D33" s="418"/>
      <c r="E33" s="418"/>
      <c r="F33" s="418"/>
      <c r="G33" s="418"/>
      <c r="H33" s="418"/>
      <c r="I33" s="418"/>
      <c r="J33" s="418"/>
      <c r="K33" s="418"/>
      <c r="L33" s="418"/>
      <c r="M33" s="418"/>
      <c r="N33" s="418"/>
      <c r="O33" s="436"/>
      <c r="P33" s="418"/>
      <c r="Q33" s="443"/>
      <c r="R33" s="418"/>
    </row>
    <row r="34" spans="1:18">
      <c r="A34" s="531" t="s">
        <v>33</v>
      </c>
      <c r="B34" s="418"/>
      <c r="C34" s="418"/>
      <c r="D34" s="418"/>
      <c r="E34" s="418"/>
      <c r="F34" s="418"/>
      <c r="G34" s="418"/>
      <c r="H34" s="418"/>
      <c r="I34" s="418"/>
      <c r="J34" s="418"/>
      <c r="K34" s="418"/>
      <c r="L34" s="418"/>
      <c r="M34" s="418"/>
      <c r="N34" s="418"/>
      <c r="O34" s="436"/>
      <c r="P34" s="418"/>
      <c r="Q34" s="443"/>
      <c r="R34" s="418"/>
    </row>
    <row r="35" spans="1:18">
      <c r="A35" s="531"/>
      <c r="B35" s="418"/>
      <c r="C35" s="418"/>
      <c r="D35" s="418"/>
      <c r="E35" s="418"/>
      <c r="F35" s="418"/>
      <c r="G35" s="418"/>
      <c r="H35" s="418"/>
      <c r="I35" s="418"/>
      <c r="J35" s="418"/>
      <c r="K35" s="418"/>
      <c r="L35" s="418"/>
      <c r="M35" s="418"/>
      <c r="N35" s="418"/>
      <c r="O35" s="436"/>
      <c r="P35" s="418"/>
      <c r="Q35" s="443"/>
      <c r="R35" s="418"/>
    </row>
    <row r="36" spans="1:18">
      <c r="A36" s="531" t="s">
        <v>34</v>
      </c>
      <c r="B36" s="418"/>
      <c r="C36" s="418"/>
      <c r="D36" s="418"/>
      <c r="E36" s="435">
        <f>IFERROR(D36/$D$49,0)</f>
        <v>0</v>
      </c>
      <c r="F36" s="418"/>
      <c r="G36" s="418"/>
      <c r="H36" s="164"/>
      <c r="I36" s="435">
        <f>IFERROR(H36/$H$49,0)</f>
        <v>0</v>
      </c>
      <c r="J36" s="418"/>
      <c r="K36" s="418"/>
      <c r="L36" s="418"/>
      <c r="M36" s="435">
        <f>IFERROR(L36/$L$49,0)</f>
        <v>0</v>
      </c>
      <c r="N36" s="418"/>
      <c r="O36" s="436"/>
      <c r="P36" s="436"/>
      <c r="Q36" s="437">
        <f>IFERROR(P36/$P$49,0)</f>
        <v>0</v>
      </c>
      <c r="R36" s="435"/>
    </row>
    <row r="37" spans="1:18">
      <c r="A37" s="531"/>
      <c r="B37" s="418"/>
      <c r="C37" s="418"/>
      <c r="D37" s="418"/>
      <c r="E37" s="418"/>
      <c r="F37" s="418"/>
      <c r="G37" s="418"/>
      <c r="H37" s="58"/>
      <c r="I37" s="418"/>
      <c r="J37" s="418"/>
      <c r="K37" s="418"/>
      <c r="L37" s="418"/>
      <c r="M37" s="418"/>
      <c r="N37" s="418"/>
      <c r="O37" s="436"/>
      <c r="P37" s="418"/>
      <c r="Q37" s="443"/>
      <c r="R37" s="418"/>
    </row>
    <row r="38" spans="1:18">
      <c r="A38" s="531" t="s">
        <v>35</v>
      </c>
      <c r="B38" s="418"/>
      <c r="C38" s="418"/>
      <c r="D38" s="418"/>
      <c r="E38" s="435">
        <f>IFERROR(D38/$D$49,0)</f>
        <v>0</v>
      </c>
      <c r="F38" s="418"/>
      <c r="G38" s="418"/>
      <c r="H38" s="164"/>
      <c r="I38" s="435">
        <f>IFERROR(H38/$H$49,0)</f>
        <v>0</v>
      </c>
      <c r="J38" s="418"/>
      <c r="K38" s="418"/>
      <c r="L38" s="418"/>
      <c r="M38" s="435">
        <f>IFERROR(L38/$L$49,0)</f>
        <v>0</v>
      </c>
      <c r="N38" s="418"/>
      <c r="O38" s="436"/>
      <c r="P38" s="418"/>
      <c r="Q38" s="437">
        <f>IFERROR(P38/$P$49,0)</f>
        <v>0</v>
      </c>
      <c r="R38" s="435"/>
    </row>
    <row r="39" spans="1:18">
      <c r="A39" s="531"/>
      <c r="B39" s="440"/>
      <c r="C39" s="440"/>
      <c r="D39" s="440"/>
      <c r="E39" s="440"/>
      <c r="F39" s="440"/>
      <c r="G39" s="440"/>
      <c r="H39" s="440"/>
      <c r="I39" s="440"/>
      <c r="J39" s="440"/>
      <c r="K39" s="440"/>
      <c r="L39" s="440"/>
      <c r="M39" s="440"/>
      <c r="N39" s="440"/>
      <c r="O39" s="440"/>
      <c r="P39" s="440"/>
      <c r="Q39" s="441"/>
      <c r="R39" s="440"/>
    </row>
    <row r="40" spans="1:18" s="56" customFormat="1">
      <c r="A40" s="379" t="s">
        <v>36</v>
      </c>
      <c r="B40" s="134">
        <f>SUM(B30:B38)</f>
        <v>0</v>
      </c>
      <c r="C40" s="134">
        <f t="shared" ref="C40:P40" si="12">SUM(C30:C38)</f>
        <v>0</v>
      </c>
      <c r="D40" s="134">
        <f t="shared" si="12"/>
        <v>0</v>
      </c>
      <c r="E40" s="435">
        <f>IFERROR(D40/$D$49,0)</f>
        <v>0</v>
      </c>
      <c r="F40" s="134">
        <f t="shared" si="12"/>
        <v>0</v>
      </c>
      <c r="G40" s="134">
        <f t="shared" si="12"/>
        <v>0</v>
      </c>
      <c r="H40" s="134">
        <f t="shared" si="12"/>
        <v>0</v>
      </c>
      <c r="I40" s="435">
        <f>IFERROR(H40/$H$49,0)</f>
        <v>0</v>
      </c>
      <c r="J40" s="134">
        <f t="shared" si="12"/>
        <v>0</v>
      </c>
      <c r="K40" s="134">
        <f t="shared" si="12"/>
        <v>0</v>
      </c>
      <c r="L40" s="134">
        <f t="shared" si="12"/>
        <v>0</v>
      </c>
      <c r="M40" s="435">
        <f>IFERROR(L40/$L$49,0)</f>
        <v>0</v>
      </c>
      <c r="N40" s="134">
        <f t="shared" si="12"/>
        <v>0</v>
      </c>
      <c r="O40" s="134">
        <f t="shared" si="12"/>
        <v>0</v>
      </c>
      <c r="P40" s="134">
        <f t="shared" si="12"/>
        <v>0</v>
      </c>
      <c r="Q40" s="437">
        <f>IFERROR(P40/$P$49,0)</f>
        <v>0</v>
      </c>
      <c r="R40" s="435"/>
    </row>
    <row r="41" spans="1:18">
      <c r="A41" s="531"/>
      <c r="B41" s="440"/>
      <c r="C41" s="440"/>
      <c r="D41" s="440"/>
      <c r="E41" s="440"/>
      <c r="F41" s="440"/>
      <c r="G41" s="440"/>
      <c r="H41" s="440"/>
      <c r="I41" s="440"/>
      <c r="J41" s="440"/>
      <c r="K41" s="440"/>
      <c r="L41" s="440"/>
      <c r="M41" s="440"/>
      <c r="N41" s="440"/>
      <c r="O41" s="440"/>
      <c r="P41" s="440"/>
      <c r="Q41" s="441"/>
      <c r="R41" s="440"/>
    </row>
    <row r="42" spans="1:18">
      <c r="A42" s="531" t="s">
        <v>37</v>
      </c>
      <c r="B42" s="440"/>
      <c r="C42" s="440"/>
      <c r="D42" s="440"/>
      <c r="E42" s="435">
        <f>IFERROR(D42/$D$49,0)</f>
        <v>0</v>
      </c>
      <c r="F42" s="440"/>
      <c r="G42" s="58"/>
      <c r="H42" s="440"/>
      <c r="I42" s="435">
        <f>IFERROR(H42/$H$49,0)</f>
        <v>0</v>
      </c>
      <c r="J42" s="440"/>
      <c r="K42" s="440"/>
      <c r="L42" s="440"/>
      <c r="M42" s="435">
        <f>IFERROR(L42/$L$49,0)</f>
        <v>0</v>
      </c>
      <c r="N42" s="440"/>
      <c r="O42" s="440"/>
      <c r="P42" s="58"/>
      <c r="Q42" s="437">
        <f>IFERROR(P42/$P$49,0)</f>
        <v>0</v>
      </c>
      <c r="R42" s="435"/>
    </row>
    <row r="43" spans="1:18">
      <c r="A43" s="531" t="s">
        <v>38</v>
      </c>
      <c r="B43" s="440"/>
      <c r="C43" s="440"/>
      <c r="D43" s="440"/>
      <c r="E43" s="435">
        <f>IFERROR(D43/$D$49,0)</f>
        <v>0</v>
      </c>
      <c r="F43" s="440"/>
      <c r="G43" s="440"/>
      <c r="H43" s="440"/>
      <c r="I43" s="435">
        <f>IFERROR(H43/$H$49,0)</f>
        <v>0</v>
      </c>
      <c r="J43" s="440"/>
      <c r="K43" s="440"/>
      <c r="L43" s="440"/>
      <c r="M43" s="435">
        <f>IFERROR(L43/$L$49,0)</f>
        <v>0</v>
      </c>
      <c r="N43" s="440"/>
      <c r="O43" s="440"/>
      <c r="P43" s="440"/>
      <c r="Q43" s="437">
        <f>IFERROR(P43/$P$49,0)</f>
        <v>0</v>
      </c>
      <c r="R43" s="435"/>
    </row>
    <row r="44" spans="1:18">
      <c r="A44" s="531" t="s">
        <v>39</v>
      </c>
      <c r="B44" s="440"/>
      <c r="C44" s="440"/>
      <c r="D44" s="440"/>
      <c r="E44" s="435">
        <f>IFERROR(D44/$D$49,0)</f>
        <v>0</v>
      </c>
      <c r="F44" s="440"/>
      <c r="G44" s="58"/>
      <c r="H44" s="440"/>
      <c r="I44" s="435">
        <f>IFERROR(H44/$H$49,0)</f>
        <v>0</v>
      </c>
      <c r="J44" s="440"/>
      <c r="K44" s="440"/>
      <c r="L44" s="440"/>
      <c r="M44" s="435">
        <f>IFERROR(L44/$L$49,0)</f>
        <v>0</v>
      </c>
      <c r="N44" s="440"/>
      <c r="O44" s="440"/>
      <c r="P44" s="58"/>
      <c r="Q44" s="437">
        <f>IFERROR(P44/$P$49,0)</f>
        <v>0</v>
      </c>
      <c r="R44" s="435"/>
    </row>
    <row r="45" spans="1:18">
      <c r="A45" s="531" t="s">
        <v>40</v>
      </c>
      <c r="B45" s="418"/>
      <c r="C45" s="418"/>
      <c r="D45" s="418"/>
      <c r="E45" s="435">
        <f>IFERROR(D45/$D$49,0)</f>
        <v>0</v>
      </c>
      <c r="F45" s="418"/>
      <c r="G45" s="164"/>
      <c r="H45" s="418"/>
      <c r="I45" s="435">
        <f>IFERROR(H45/$H$49,0)</f>
        <v>0</v>
      </c>
      <c r="J45" s="418"/>
      <c r="K45" s="418"/>
      <c r="L45" s="418"/>
      <c r="M45" s="435">
        <f>IFERROR(L45/$L$49,0)</f>
        <v>0</v>
      </c>
      <c r="N45" s="418"/>
      <c r="O45" s="418"/>
      <c r="P45" s="164"/>
      <c r="Q45" s="437">
        <f>IFERROR(P45/$P$49,0)</f>
        <v>0</v>
      </c>
      <c r="R45" s="435"/>
    </row>
    <row r="46" spans="1:18">
      <c r="A46" s="531"/>
      <c r="B46" s="58"/>
      <c r="C46" s="58"/>
      <c r="D46" s="58"/>
      <c r="E46" s="435"/>
      <c r="F46" s="58"/>
      <c r="G46" s="58"/>
      <c r="H46" s="58"/>
      <c r="I46" s="435"/>
      <c r="J46" s="58"/>
      <c r="K46" s="58"/>
      <c r="L46" s="58"/>
      <c r="M46" s="58"/>
      <c r="N46" s="58"/>
      <c r="O46" s="58"/>
      <c r="P46" s="58"/>
      <c r="Q46" s="444"/>
      <c r="R46" s="58"/>
    </row>
    <row r="47" spans="1:18" s="56" customFormat="1">
      <c r="A47" s="379" t="s">
        <v>41</v>
      </c>
      <c r="B47" s="59">
        <f t="shared" ref="B47:P47" si="13">SUM(B42:B45)</f>
        <v>0</v>
      </c>
      <c r="C47" s="59">
        <f t="shared" si="13"/>
        <v>0</v>
      </c>
      <c r="D47" s="59">
        <f t="shared" si="13"/>
        <v>0</v>
      </c>
      <c r="E47" s="435"/>
      <c r="F47" s="59">
        <f t="shared" si="13"/>
        <v>0</v>
      </c>
      <c r="G47" s="59">
        <f t="shared" si="13"/>
        <v>0</v>
      </c>
      <c r="H47" s="59">
        <f t="shared" si="13"/>
        <v>0</v>
      </c>
      <c r="I47" s="435">
        <f>IFERROR(H47/$H$49,0)</f>
        <v>0</v>
      </c>
      <c r="J47" s="59">
        <f t="shared" si="13"/>
        <v>0</v>
      </c>
      <c r="K47" s="59">
        <f t="shared" si="13"/>
        <v>0</v>
      </c>
      <c r="L47" s="59">
        <f t="shared" si="13"/>
        <v>0</v>
      </c>
      <c r="M47" s="435">
        <f>IFERROR(L47/$L$49,0)</f>
        <v>0</v>
      </c>
      <c r="N47" s="59">
        <f t="shared" si="13"/>
        <v>0</v>
      </c>
      <c r="O47" s="59">
        <f t="shared" si="13"/>
        <v>0</v>
      </c>
      <c r="P47" s="59">
        <f t="shared" si="13"/>
        <v>0</v>
      </c>
      <c r="Q47" s="437">
        <f>IFERROR(P47/$P$49,0)</f>
        <v>0</v>
      </c>
      <c r="R47" s="435"/>
    </row>
    <row r="48" spans="1:18" s="52" customFormat="1">
      <c r="A48" s="531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444"/>
      <c r="R48" s="58"/>
    </row>
    <row r="49" spans="1:18" s="54" customFormat="1" ht="13.5" thickBot="1">
      <c r="A49" s="445" t="s">
        <v>42</v>
      </c>
      <c r="B49" s="446">
        <f t="shared" ref="B49:P49" si="14">+B47+B40</f>
        <v>0</v>
      </c>
      <c r="C49" s="446">
        <f t="shared" si="14"/>
        <v>0</v>
      </c>
      <c r="D49" s="446">
        <f t="shared" si="14"/>
        <v>0</v>
      </c>
      <c r="E49" s="435">
        <f>IFERROR(D49/$D$49,0)</f>
        <v>0</v>
      </c>
      <c r="F49" s="446">
        <f t="shared" si="14"/>
        <v>0</v>
      </c>
      <c r="G49" s="446">
        <f t="shared" si="14"/>
        <v>0</v>
      </c>
      <c r="H49" s="446">
        <f t="shared" si="14"/>
        <v>0</v>
      </c>
      <c r="I49" s="435">
        <f>IFERROR(H49/$H$49,0)</f>
        <v>0</v>
      </c>
      <c r="J49" s="446">
        <f t="shared" si="14"/>
        <v>0</v>
      </c>
      <c r="K49" s="446">
        <f t="shared" si="14"/>
        <v>0</v>
      </c>
      <c r="L49" s="446">
        <f t="shared" si="14"/>
        <v>0</v>
      </c>
      <c r="M49" s="435">
        <f>IFERROR(L49/$L$49,0)</f>
        <v>0</v>
      </c>
      <c r="N49" s="446">
        <f t="shared" si="14"/>
        <v>0</v>
      </c>
      <c r="O49" s="446">
        <f t="shared" si="14"/>
        <v>0</v>
      </c>
      <c r="P49" s="446">
        <f t="shared" si="14"/>
        <v>0</v>
      </c>
      <c r="Q49" s="437">
        <f>IFERROR(P49/$P$49,0)</f>
        <v>0</v>
      </c>
      <c r="R49" s="435"/>
    </row>
    <row r="50" spans="1:18">
      <c r="A50" s="493"/>
      <c r="B50" s="58">
        <f t="shared" ref="B50:P50" si="15">+B49-B22</f>
        <v>0</v>
      </c>
      <c r="C50" s="58">
        <f t="shared" si="15"/>
        <v>0</v>
      </c>
      <c r="D50" s="58">
        <f t="shared" si="15"/>
        <v>0</v>
      </c>
      <c r="E50" s="58"/>
      <c r="F50" s="58">
        <f t="shared" si="15"/>
        <v>0</v>
      </c>
      <c r="G50" s="58">
        <f t="shared" si="15"/>
        <v>0</v>
      </c>
      <c r="H50" s="58">
        <f t="shared" si="15"/>
        <v>0</v>
      </c>
      <c r="I50" s="58"/>
      <c r="J50" s="58">
        <f t="shared" si="15"/>
        <v>0</v>
      </c>
      <c r="K50" s="58">
        <f t="shared" si="15"/>
        <v>0</v>
      </c>
      <c r="L50" s="58">
        <f t="shared" si="15"/>
        <v>0</v>
      </c>
      <c r="M50" s="58"/>
      <c r="N50" s="58">
        <f t="shared" si="15"/>
        <v>0</v>
      </c>
      <c r="O50" s="58">
        <f t="shared" si="15"/>
        <v>0</v>
      </c>
      <c r="P50" s="58">
        <f t="shared" si="15"/>
        <v>0</v>
      </c>
      <c r="Q50" s="58"/>
      <c r="R50" s="58"/>
    </row>
    <row r="51" spans="1:18" ht="13.5" thickBot="1">
      <c r="A51" s="493"/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</row>
    <row r="52" spans="1:18">
      <c r="A52" s="185" t="s">
        <v>16</v>
      </c>
      <c r="B52" s="180">
        <f>+B8</f>
        <v>0</v>
      </c>
      <c r="C52" s="180">
        <f t="shared" ref="C52:P52" si="16">+C8</f>
        <v>0</v>
      </c>
      <c r="D52" s="180">
        <f t="shared" si="16"/>
        <v>0</v>
      </c>
      <c r="E52" s="180"/>
      <c r="F52" s="180">
        <f t="shared" si="16"/>
        <v>0</v>
      </c>
      <c r="G52" s="180">
        <f t="shared" si="16"/>
        <v>0</v>
      </c>
      <c r="H52" s="180">
        <f t="shared" si="16"/>
        <v>0</v>
      </c>
      <c r="I52" s="180"/>
      <c r="J52" s="180">
        <f t="shared" si="16"/>
        <v>0</v>
      </c>
      <c r="K52" s="180">
        <f t="shared" si="16"/>
        <v>0</v>
      </c>
      <c r="L52" s="180">
        <f t="shared" si="16"/>
        <v>0</v>
      </c>
      <c r="M52" s="180"/>
      <c r="N52" s="180">
        <f t="shared" si="16"/>
        <v>0</v>
      </c>
      <c r="O52" s="180">
        <f t="shared" si="16"/>
        <v>0</v>
      </c>
      <c r="P52" s="181">
        <f t="shared" si="16"/>
        <v>0</v>
      </c>
      <c r="Q52" s="419"/>
      <c r="R52" s="419"/>
    </row>
    <row r="53" spans="1:18" ht="13.5" thickBot="1">
      <c r="A53" s="186" t="s">
        <v>43</v>
      </c>
      <c r="B53" s="182">
        <f ca="1">+'SPL 25 USD'!B44</f>
        <v>1203</v>
      </c>
      <c r="C53" s="182">
        <f ca="1">+B53+'SPL 25 USD'!D44</f>
        <v>2755</v>
      </c>
      <c r="D53" s="182">
        <f ca="1">+C53+'SPL 25 USD'!F44</f>
        <v>4307</v>
      </c>
      <c r="E53" s="182"/>
      <c r="F53" s="182">
        <f ca="1">+D53+'SPL 25 USD'!H44</f>
        <v>3925</v>
      </c>
      <c r="G53" s="182" t="e">
        <f ca="1">+F53+'SPL 25 USD'!J44</f>
        <v>#REF!</v>
      </c>
      <c r="H53" s="182" t="e">
        <f ca="1">+G53+'SPL 25 USD'!L44</f>
        <v>#REF!</v>
      </c>
      <c r="I53" s="182"/>
      <c r="J53" s="182" t="e">
        <f ca="1">+H53+'SPL 25 USD'!N44</f>
        <v>#REF!</v>
      </c>
      <c r="K53" s="182" t="e">
        <f ca="1">+J53+'SPL 25 USD'!P44</f>
        <v>#REF!</v>
      </c>
      <c r="L53" s="182" t="e">
        <f ca="1">+K53+'SPL 25 USD'!R44</f>
        <v>#REF!</v>
      </c>
      <c r="M53" s="182"/>
      <c r="N53" s="182" t="e">
        <f ca="1">+L53+'SPL 25 USD'!T44</f>
        <v>#REF!</v>
      </c>
      <c r="O53" s="183"/>
      <c r="P53" s="184"/>
      <c r="Q53" s="420"/>
      <c r="R53" s="420"/>
    </row>
    <row r="54" spans="1:18">
      <c r="A54" s="510"/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</row>
    <row r="55" spans="1:18">
      <c r="A55" s="493"/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</row>
    <row r="56" spans="1:18">
      <c r="A56" s="510"/>
    </row>
  </sheetData>
  <phoneticPr fontId="29" type="noConversion"/>
  <pageMargins left="0.75" right="0.75" top="1" bottom="1" header="0.5" footer="0.5"/>
  <pageSetup scale="36" fitToHeight="2" orientation="portrait" horizontalDpi="300" verticalDpi="300" r:id="rId1"/>
  <headerFooter alignWithMargins="0">
    <oddFooter>&amp;L&amp;Z&amp;F&amp;R&amp;A</oddFooter>
  </headerFooter>
  <ignoredErrors>
    <ignoredError sqref="E17:Q17 E21 E19 Q19 E31:Q31 E39:Q39 E33:E35 Q33:Q35 E48:Q48 I33:I35 M33:M35 M19 F16:H16 E23:Q24 F22:H22 F30:H30 E37 E41:Q41 F40:H40 F46:Q46 F47:H47 F49:H49 J16:L16 J22:L22 J30:L30 I37 J40:L40 J47:L47 J49:L49 N16:P16 N22:P22 N30:P30 M37 N40:P40 N47:P47 N49:P49 Q37 I19 M20 I21 M21:O21 Q21" formula="1" unlockedFormula="1"/>
    <ignoredError sqref="E50:Q5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>
    <tabColor rgb="FFFFFF66"/>
    <pageSetUpPr fitToPage="1"/>
  </sheetPr>
  <dimension ref="A1:BO55"/>
  <sheetViews>
    <sheetView workbookViewId="0"/>
  </sheetViews>
  <sheetFormatPr baseColWidth="10" defaultColWidth="9.140625" defaultRowHeight="12.75"/>
  <cols>
    <col min="1" max="1" width="31.85546875" style="25" customWidth="1"/>
    <col min="2" max="2" width="14.42578125" style="25" customWidth="1"/>
    <col min="3" max="3" width="15.85546875" style="25" customWidth="1"/>
    <col min="4" max="4" width="14.5703125" style="25" customWidth="1"/>
    <col min="5" max="5" width="7.42578125" style="25" customWidth="1"/>
    <col min="6" max="6" width="15" style="25" customWidth="1"/>
    <col min="7" max="7" width="15.85546875" style="25" customWidth="1"/>
    <col min="8" max="8" width="14.42578125" style="25" customWidth="1"/>
    <col min="9" max="9" width="6.85546875" style="25" customWidth="1"/>
    <col min="10" max="10" width="14.85546875" style="25" customWidth="1"/>
    <col min="11" max="11" width="14.42578125" style="25" customWidth="1"/>
    <col min="12" max="12" width="14.85546875" style="25" customWidth="1"/>
    <col min="13" max="14" width="16" style="25" customWidth="1"/>
    <col min="15" max="15" width="16.42578125" style="25" customWidth="1"/>
    <col min="16" max="16" width="5" style="25" customWidth="1"/>
    <col min="17" max="67" width="9.140625" customWidth="1"/>
  </cols>
  <sheetData>
    <row r="1" spans="1:16" ht="15.75">
      <c r="A1" s="11" t="str">
        <f>'SPL 25 USD'!A1</f>
        <v>2025 Performance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</row>
    <row r="2" spans="1:16" ht="15.75">
      <c r="A2" s="11" t="s">
        <v>0</v>
      </c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</row>
    <row r="3" spans="1:16" ht="15.75">
      <c r="A3" s="18" t="s">
        <v>1</v>
      </c>
      <c r="B3" s="493"/>
      <c r="C3" s="493"/>
      <c r="D3" s="493"/>
      <c r="E3" s="493"/>
      <c r="F3" s="493"/>
      <c r="G3" s="493"/>
      <c r="H3" s="493"/>
      <c r="I3" s="493"/>
      <c r="J3" s="493"/>
      <c r="K3" s="493"/>
      <c r="L3" s="493"/>
      <c r="M3" s="493"/>
      <c r="N3" s="493"/>
      <c r="O3" s="493"/>
      <c r="P3" s="493"/>
    </row>
    <row r="4" spans="1:16">
      <c r="A4" s="493"/>
      <c r="B4" s="21">
        <v>2024</v>
      </c>
      <c r="C4" s="21">
        <f>B4</f>
        <v>2024</v>
      </c>
      <c r="D4" s="21">
        <f t="shared" ref="D4:O4" si="0">C4</f>
        <v>2024</v>
      </c>
      <c r="E4" s="21"/>
      <c r="F4" s="21">
        <f>D4</f>
        <v>2024</v>
      </c>
      <c r="G4" s="21">
        <f>F4</f>
        <v>2024</v>
      </c>
      <c r="H4" s="21">
        <f t="shared" si="0"/>
        <v>2024</v>
      </c>
      <c r="I4" s="21"/>
      <c r="J4" s="21">
        <f>H4</f>
        <v>2024</v>
      </c>
      <c r="K4" s="21">
        <f t="shared" si="0"/>
        <v>2024</v>
      </c>
      <c r="L4" s="21">
        <f t="shared" si="0"/>
        <v>2024</v>
      </c>
      <c r="M4" s="21">
        <f t="shared" si="0"/>
        <v>2024</v>
      </c>
      <c r="N4" s="21">
        <f t="shared" si="0"/>
        <v>2024</v>
      </c>
      <c r="O4" s="21">
        <f t="shared" si="0"/>
        <v>2024</v>
      </c>
      <c r="P4" s="21"/>
    </row>
    <row r="5" spans="1:16" ht="15.75">
      <c r="A5" s="18" t="s">
        <v>44</v>
      </c>
      <c r="B5" s="21" t="s">
        <v>3</v>
      </c>
      <c r="C5" s="21" t="s">
        <v>4</v>
      </c>
      <c r="D5" s="21" t="s">
        <v>5</v>
      </c>
      <c r="E5" s="21"/>
      <c r="F5" s="21" t="s">
        <v>6</v>
      </c>
      <c r="G5" s="21" t="s">
        <v>7</v>
      </c>
      <c r="H5" s="21" t="s">
        <v>8</v>
      </c>
      <c r="I5" s="21"/>
      <c r="J5" s="21" t="s">
        <v>9</v>
      </c>
      <c r="K5" s="21" t="s">
        <v>10</v>
      </c>
      <c r="L5" s="21" t="s">
        <v>11</v>
      </c>
      <c r="M5" s="21" t="s">
        <v>12</v>
      </c>
      <c r="N5" s="21" t="s">
        <v>13</v>
      </c>
      <c r="O5" s="21" t="s">
        <v>14</v>
      </c>
      <c r="P5" s="21"/>
    </row>
    <row r="6" spans="1:16">
      <c r="A6" s="1" t="s">
        <v>15</v>
      </c>
      <c r="B6" s="493"/>
      <c r="C6" s="493"/>
      <c r="D6" s="493"/>
      <c r="E6" s="493"/>
      <c r="F6" s="493"/>
      <c r="G6" s="493"/>
      <c r="H6" s="493"/>
      <c r="I6" s="493"/>
      <c r="J6" s="493"/>
      <c r="K6" s="493"/>
      <c r="L6" s="493"/>
      <c r="M6" s="493"/>
      <c r="N6" s="493"/>
      <c r="O6" s="493"/>
      <c r="P6" s="493"/>
    </row>
    <row r="7" spans="1:16">
      <c r="A7" s="493" t="s">
        <v>16</v>
      </c>
      <c r="B7" s="895"/>
      <c r="C7" s="895"/>
      <c r="D7" s="895"/>
      <c r="E7" s="435">
        <f>IFERROR(D7/$D$48,0)</f>
        <v>0</v>
      </c>
      <c r="F7" s="895"/>
      <c r="G7" s="895"/>
      <c r="H7" s="895"/>
      <c r="I7" s="435">
        <f>IFERROR(H7/$H$48,0)</f>
        <v>0</v>
      </c>
      <c r="J7" s="895"/>
      <c r="K7" s="895"/>
      <c r="L7" s="895"/>
      <c r="M7" s="895"/>
      <c r="N7" s="895"/>
      <c r="O7" s="895"/>
      <c r="P7" s="895"/>
    </row>
    <row r="8" spans="1:16">
      <c r="A8" s="493" t="s">
        <v>17</v>
      </c>
      <c r="B8" s="895"/>
      <c r="C8" s="895"/>
      <c r="D8" s="895"/>
      <c r="E8" s="435">
        <f t="shared" ref="E8:E15" si="1">IFERROR(D8/$D$48,0)</f>
        <v>0</v>
      </c>
      <c r="F8" s="895"/>
      <c r="G8" s="895"/>
      <c r="H8" s="895"/>
      <c r="I8" s="435">
        <f t="shared" ref="I8:I15" si="2">IFERROR(H8/$H$48,0)</f>
        <v>0</v>
      </c>
      <c r="J8" s="895"/>
      <c r="K8" s="895"/>
      <c r="L8" s="895"/>
      <c r="M8" s="895"/>
      <c r="N8" s="895"/>
      <c r="O8" s="895"/>
      <c r="P8" s="895"/>
    </row>
    <row r="9" spans="1:16">
      <c r="A9" s="493" t="s">
        <v>45</v>
      </c>
      <c r="B9" s="895"/>
      <c r="C9" s="895"/>
      <c r="D9" s="895"/>
      <c r="E9" s="435">
        <f t="shared" si="1"/>
        <v>0</v>
      </c>
      <c r="F9" s="895"/>
      <c r="G9" s="895"/>
      <c r="H9" s="895"/>
      <c r="I9" s="435">
        <f t="shared" si="2"/>
        <v>0</v>
      </c>
      <c r="J9" s="895"/>
      <c r="K9" s="895"/>
      <c r="L9" s="895"/>
      <c r="M9" s="895"/>
      <c r="N9" s="895"/>
      <c r="O9" s="895"/>
      <c r="P9" s="895"/>
    </row>
    <row r="10" spans="1:16">
      <c r="A10" s="493" t="s">
        <v>19</v>
      </c>
      <c r="B10" s="896"/>
      <c r="C10" s="896"/>
      <c r="D10" s="896"/>
      <c r="E10" s="435">
        <f t="shared" si="1"/>
        <v>0</v>
      </c>
      <c r="F10" s="896"/>
      <c r="G10" s="896"/>
      <c r="H10" s="896"/>
      <c r="I10" s="435">
        <f t="shared" si="2"/>
        <v>0</v>
      </c>
      <c r="J10" s="896"/>
      <c r="K10" s="896"/>
      <c r="L10" s="896"/>
      <c r="M10" s="896"/>
      <c r="N10" s="896"/>
      <c r="O10" s="896"/>
      <c r="P10" s="896"/>
    </row>
    <row r="11" spans="1:16">
      <c r="A11" s="493" t="s">
        <v>20</v>
      </c>
      <c r="B11" s="895"/>
      <c r="C11" s="895"/>
      <c r="D11" s="895"/>
      <c r="E11" s="435">
        <f t="shared" si="1"/>
        <v>0</v>
      </c>
      <c r="F11" s="895"/>
      <c r="G11" s="895"/>
      <c r="H11" s="895"/>
      <c r="I11" s="435">
        <f t="shared" si="2"/>
        <v>0</v>
      </c>
      <c r="J11" s="895"/>
      <c r="K11" s="895"/>
      <c r="L11" s="895"/>
      <c r="M11" s="895"/>
      <c r="N11" s="895"/>
      <c r="O11" s="895"/>
      <c r="P11" s="895"/>
    </row>
    <row r="12" spans="1:16">
      <c r="A12" s="493" t="s">
        <v>21</v>
      </c>
      <c r="B12" s="895"/>
      <c r="C12" s="895"/>
      <c r="D12" s="895"/>
      <c r="E12" s="435">
        <f t="shared" si="1"/>
        <v>0</v>
      </c>
      <c r="F12" s="895"/>
      <c r="G12" s="895"/>
      <c r="H12" s="895"/>
      <c r="I12" s="435">
        <f t="shared" si="2"/>
        <v>0</v>
      </c>
      <c r="J12" s="895"/>
      <c r="K12" s="895"/>
      <c r="L12" s="895"/>
      <c r="M12" s="895"/>
      <c r="N12" s="895"/>
      <c r="O12" s="895"/>
      <c r="P12" s="895"/>
    </row>
    <row r="13" spans="1:16">
      <c r="A13" s="493" t="s">
        <v>22</v>
      </c>
      <c r="B13" s="895"/>
      <c r="C13" s="895"/>
      <c r="D13" s="895"/>
      <c r="E13" s="435">
        <f t="shared" si="1"/>
        <v>0</v>
      </c>
      <c r="F13" s="895"/>
      <c r="G13" s="895"/>
      <c r="H13" s="895"/>
      <c r="I13" s="435">
        <f t="shared" si="2"/>
        <v>0</v>
      </c>
      <c r="J13" s="895"/>
      <c r="K13" s="895"/>
      <c r="L13" s="895"/>
      <c r="M13" s="895"/>
      <c r="N13" s="895"/>
      <c r="O13" s="895"/>
      <c r="P13" s="895"/>
    </row>
    <row r="14" spans="1:16">
      <c r="A14" s="714" t="s">
        <v>23</v>
      </c>
      <c r="B14" s="897"/>
      <c r="C14" s="897"/>
      <c r="D14" s="897"/>
      <c r="E14" s="435">
        <f t="shared" si="1"/>
        <v>0</v>
      </c>
      <c r="F14" s="897"/>
      <c r="G14" s="897"/>
      <c r="H14" s="897"/>
      <c r="I14" s="435">
        <f t="shared" si="2"/>
        <v>0</v>
      </c>
      <c r="J14" s="897"/>
      <c r="K14" s="897"/>
      <c r="L14" s="897"/>
      <c r="M14" s="897"/>
      <c r="N14" s="897"/>
      <c r="O14" s="897"/>
      <c r="P14" s="897"/>
    </row>
    <row r="15" spans="1:16" s="52" customFormat="1">
      <c r="A15" s="493"/>
      <c r="B15" s="898">
        <f>SUM(B7:B14)</f>
        <v>0</v>
      </c>
      <c r="C15" s="898">
        <f t="shared" ref="C15:O15" si="3">SUM(C7:C14)</f>
        <v>0</v>
      </c>
      <c r="D15" s="898">
        <f t="shared" si="3"/>
        <v>0</v>
      </c>
      <c r="E15" s="435">
        <f t="shared" si="1"/>
        <v>0</v>
      </c>
      <c r="F15" s="898">
        <f t="shared" si="3"/>
        <v>0</v>
      </c>
      <c r="G15" s="898">
        <f t="shared" si="3"/>
        <v>0</v>
      </c>
      <c r="H15" s="898">
        <f t="shared" si="3"/>
        <v>0</v>
      </c>
      <c r="I15" s="435">
        <f t="shared" si="2"/>
        <v>0</v>
      </c>
      <c r="J15" s="898">
        <f t="shared" si="3"/>
        <v>0</v>
      </c>
      <c r="K15" s="898">
        <f t="shared" si="3"/>
        <v>0</v>
      </c>
      <c r="L15" s="898">
        <f t="shared" si="3"/>
        <v>0</v>
      </c>
      <c r="M15" s="898">
        <f t="shared" si="3"/>
        <v>0</v>
      </c>
      <c r="N15" s="898">
        <f t="shared" si="3"/>
        <v>0</v>
      </c>
      <c r="O15" s="898">
        <f t="shared" si="3"/>
        <v>0</v>
      </c>
      <c r="P15" s="898"/>
    </row>
    <row r="16" spans="1:16">
      <c r="A16" s="493"/>
      <c r="B16" s="898"/>
      <c r="C16" s="898"/>
      <c r="D16" s="898"/>
      <c r="E16" s="898"/>
      <c r="F16" s="898"/>
      <c r="G16" s="898"/>
      <c r="H16" s="898"/>
      <c r="I16" s="898"/>
      <c r="J16" s="898"/>
      <c r="K16" s="898"/>
      <c r="L16" s="898"/>
      <c r="M16" s="898"/>
      <c r="N16" s="898"/>
      <c r="O16" s="898"/>
      <c r="P16" s="898"/>
    </row>
    <row r="17" spans="1:67">
      <c r="A17" s="493" t="s">
        <v>24</v>
      </c>
      <c r="B17" s="895"/>
      <c r="C17" s="895"/>
      <c r="D17" s="895"/>
      <c r="E17" s="435">
        <f>IFERROR(D17/$D$48,0)</f>
        <v>0</v>
      </c>
      <c r="F17" s="895"/>
      <c r="G17" s="895"/>
      <c r="H17" s="895"/>
      <c r="I17" s="435">
        <f>IFERROR(H17/$H$48,0)</f>
        <v>0</v>
      </c>
      <c r="J17" s="895"/>
      <c r="K17" s="895"/>
      <c r="L17" s="895"/>
      <c r="M17" s="895"/>
      <c r="N17" s="895"/>
      <c r="O17" s="895"/>
      <c r="P17" s="895"/>
    </row>
    <row r="18" spans="1:67">
      <c r="A18" s="493"/>
      <c r="B18" s="898"/>
      <c r="C18" s="898"/>
      <c r="D18" s="898"/>
      <c r="E18" s="898"/>
      <c r="F18" s="898"/>
      <c r="G18" s="898"/>
      <c r="H18" s="898"/>
      <c r="I18" s="898"/>
      <c r="J18" s="898"/>
      <c r="K18" s="898"/>
      <c r="L18" s="898"/>
      <c r="M18" s="898"/>
      <c r="N18" s="898"/>
      <c r="O18" s="898"/>
      <c r="P18" s="898"/>
    </row>
    <row r="19" spans="1:67">
      <c r="A19" s="493" t="s">
        <v>46</v>
      </c>
      <c r="B19" s="895"/>
      <c r="C19" s="895"/>
      <c r="D19" s="895"/>
      <c r="E19" s="435">
        <f>IFERROR(D19/$D$48,0)</f>
        <v>0</v>
      </c>
      <c r="F19" s="895"/>
      <c r="G19" s="895"/>
      <c r="H19" s="895"/>
      <c r="I19" s="435">
        <f>IFERROR(H19/$H$48,0)</f>
        <v>0</v>
      </c>
      <c r="J19" s="895"/>
      <c r="K19" s="895"/>
      <c r="L19" s="895"/>
      <c r="M19" s="895"/>
      <c r="N19" s="895"/>
      <c r="O19" s="895"/>
      <c r="P19" s="895"/>
    </row>
    <row r="20" spans="1:67">
      <c r="A20" s="493"/>
      <c r="B20" s="898"/>
      <c r="C20" s="898"/>
      <c r="D20" s="898"/>
      <c r="E20" s="898"/>
      <c r="F20" s="898"/>
      <c r="G20" s="898"/>
      <c r="H20" s="898"/>
      <c r="I20" s="898"/>
      <c r="J20" s="898"/>
      <c r="K20" s="898"/>
      <c r="L20" s="898"/>
      <c r="M20" s="898"/>
      <c r="N20" s="898"/>
      <c r="O20" s="898"/>
      <c r="P20" s="898"/>
    </row>
    <row r="21" spans="1:67" s="54" customFormat="1" ht="13.5" thickBot="1">
      <c r="A21" s="53" t="s">
        <v>26</v>
      </c>
      <c r="B21" s="899">
        <f t="shared" ref="B21:O21" si="4">B15+B17+B19</f>
        <v>0</v>
      </c>
      <c r="C21" s="899">
        <f t="shared" si="4"/>
        <v>0</v>
      </c>
      <c r="D21" s="899">
        <f t="shared" si="4"/>
        <v>0</v>
      </c>
      <c r="E21" s="435">
        <f>IFERROR(D21/$D$48,0)</f>
        <v>0</v>
      </c>
      <c r="F21" s="899">
        <f t="shared" si="4"/>
        <v>0</v>
      </c>
      <c r="G21" s="899">
        <f t="shared" si="4"/>
        <v>0</v>
      </c>
      <c r="H21" s="899">
        <f t="shared" si="4"/>
        <v>0</v>
      </c>
      <c r="I21" s="435">
        <f>IFERROR(H21/$H$48,0)</f>
        <v>0</v>
      </c>
      <c r="J21" s="899">
        <f t="shared" si="4"/>
        <v>0</v>
      </c>
      <c r="K21" s="899">
        <f t="shared" si="4"/>
        <v>0</v>
      </c>
      <c r="L21" s="899">
        <f t="shared" si="4"/>
        <v>0</v>
      </c>
      <c r="M21" s="899">
        <f t="shared" si="4"/>
        <v>0</v>
      </c>
      <c r="N21" s="899">
        <f t="shared" si="4"/>
        <v>0</v>
      </c>
      <c r="O21" s="899">
        <f t="shared" si="4"/>
        <v>0</v>
      </c>
      <c r="P21" s="899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</row>
    <row r="22" spans="1:67" ht="13.5" thickTop="1">
      <c r="A22" s="493"/>
      <c r="B22" s="898"/>
      <c r="C22" s="898"/>
      <c r="D22" s="898"/>
      <c r="E22" s="898"/>
      <c r="F22" s="898"/>
      <c r="G22" s="898"/>
      <c r="H22" s="898"/>
      <c r="I22" s="898"/>
      <c r="J22" s="898"/>
      <c r="K22" s="898"/>
      <c r="L22" s="898"/>
      <c r="M22" s="898"/>
      <c r="N22" s="898"/>
      <c r="O22" s="898"/>
      <c r="P22" s="898"/>
    </row>
    <row r="23" spans="1:67">
      <c r="A23" s="493" t="s">
        <v>15</v>
      </c>
      <c r="B23" s="898"/>
      <c r="C23" s="898"/>
      <c r="D23" s="898"/>
      <c r="E23" s="898"/>
      <c r="F23" s="898"/>
      <c r="G23" s="898"/>
      <c r="H23" s="898"/>
      <c r="I23" s="898"/>
      <c r="J23" s="898"/>
      <c r="K23" s="898"/>
      <c r="L23" s="898"/>
      <c r="M23" s="898"/>
      <c r="N23" s="898"/>
      <c r="O23" s="898"/>
      <c r="P23" s="898"/>
    </row>
    <row r="24" spans="1:67">
      <c r="A24" s="493" t="s">
        <v>27</v>
      </c>
      <c r="B24" s="895"/>
      <c r="C24" s="895"/>
      <c r="D24" s="895"/>
      <c r="E24" s="435">
        <f t="shared" ref="E24:E29" si="5">IFERROR(D24/$D$48,0)</f>
        <v>0</v>
      </c>
      <c r="F24" s="895"/>
      <c r="G24" s="895"/>
      <c r="H24" s="895"/>
      <c r="I24" s="435">
        <f t="shared" ref="I24:I29" si="6">IFERROR(H24/$H$48,0)</f>
        <v>0</v>
      </c>
      <c r="J24" s="895"/>
      <c r="K24" s="895"/>
      <c r="L24" s="895"/>
      <c r="M24" s="895"/>
      <c r="N24" s="895"/>
      <c r="O24" s="895"/>
      <c r="P24" s="895"/>
    </row>
    <row r="25" spans="1:67">
      <c r="A25" s="493" t="s">
        <v>28</v>
      </c>
      <c r="B25" s="895"/>
      <c r="C25" s="895"/>
      <c r="D25" s="895"/>
      <c r="E25" s="435">
        <f t="shared" si="5"/>
        <v>0</v>
      </c>
      <c r="F25" s="895"/>
      <c r="G25" s="895"/>
      <c r="H25" s="895"/>
      <c r="I25" s="435">
        <f t="shared" si="6"/>
        <v>0</v>
      </c>
      <c r="J25" s="895"/>
      <c r="K25" s="895"/>
      <c r="L25" s="895"/>
      <c r="M25" s="895"/>
      <c r="N25" s="895"/>
      <c r="O25" s="895"/>
      <c r="P25" s="895"/>
    </row>
    <row r="26" spans="1:67">
      <c r="A26" s="493" t="s">
        <v>29</v>
      </c>
      <c r="B26" s="895"/>
      <c r="C26" s="895"/>
      <c r="D26" s="895"/>
      <c r="E26" s="435">
        <f t="shared" si="5"/>
        <v>0</v>
      </c>
      <c r="F26" s="895"/>
      <c r="G26" s="895"/>
      <c r="H26" s="895"/>
      <c r="I26" s="435">
        <f t="shared" si="6"/>
        <v>0</v>
      </c>
      <c r="J26" s="895"/>
      <c r="K26" s="895"/>
      <c r="L26" s="895"/>
      <c r="M26" s="895"/>
      <c r="N26" s="895"/>
      <c r="O26" s="895"/>
      <c r="P26" s="895"/>
    </row>
    <row r="27" spans="1:67">
      <c r="A27" s="493" t="s">
        <v>30</v>
      </c>
      <c r="B27" s="895"/>
      <c r="C27" s="895"/>
      <c r="D27" s="895"/>
      <c r="E27" s="435">
        <f t="shared" si="5"/>
        <v>0</v>
      </c>
      <c r="F27" s="895"/>
      <c r="G27" s="895"/>
      <c r="H27" s="895"/>
      <c r="I27" s="435">
        <f t="shared" si="6"/>
        <v>0</v>
      </c>
      <c r="J27" s="895"/>
      <c r="K27" s="895"/>
      <c r="L27" s="895"/>
      <c r="M27" s="895"/>
      <c r="N27" s="895"/>
      <c r="O27" s="895"/>
      <c r="P27" s="895"/>
    </row>
    <row r="28" spans="1:67">
      <c r="A28" s="714" t="s">
        <v>31</v>
      </c>
      <c r="B28" s="897"/>
      <c r="C28" s="897"/>
      <c r="D28" s="897"/>
      <c r="E28" s="435">
        <f t="shared" si="5"/>
        <v>0</v>
      </c>
      <c r="F28" s="897"/>
      <c r="G28" s="897"/>
      <c r="H28" s="897"/>
      <c r="I28" s="435">
        <f t="shared" si="6"/>
        <v>0</v>
      </c>
      <c r="J28" s="897"/>
      <c r="K28" s="897"/>
      <c r="L28" s="897"/>
      <c r="M28" s="897"/>
      <c r="N28" s="897"/>
      <c r="O28" s="897"/>
      <c r="P28" s="897"/>
    </row>
    <row r="29" spans="1:67" s="52" customFormat="1">
      <c r="A29" s="493"/>
      <c r="B29" s="898">
        <f t="shared" ref="B29:O29" si="7">SUM(B24:B28)</f>
        <v>0</v>
      </c>
      <c r="C29" s="898">
        <f t="shared" si="7"/>
        <v>0</v>
      </c>
      <c r="D29" s="898">
        <f t="shared" si="7"/>
        <v>0</v>
      </c>
      <c r="E29" s="435">
        <f t="shared" si="5"/>
        <v>0</v>
      </c>
      <c r="F29" s="898">
        <f t="shared" si="7"/>
        <v>0</v>
      </c>
      <c r="G29" s="898">
        <f t="shared" si="7"/>
        <v>0</v>
      </c>
      <c r="H29" s="898">
        <f t="shared" si="7"/>
        <v>0</v>
      </c>
      <c r="I29" s="435">
        <f t="shared" si="6"/>
        <v>0</v>
      </c>
      <c r="J29" s="898">
        <f t="shared" si="7"/>
        <v>0</v>
      </c>
      <c r="K29" s="898">
        <f t="shared" si="7"/>
        <v>0</v>
      </c>
      <c r="L29" s="898">
        <f t="shared" si="7"/>
        <v>0</v>
      </c>
      <c r="M29" s="898">
        <f t="shared" si="7"/>
        <v>0</v>
      </c>
      <c r="N29" s="898">
        <f t="shared" si="7"/>
        <v>0</v>
      </c>
      <c r="O29" s="898">
        <f t="shared" si="7"/>
        <v>0</v>
      </c>
      <c r="P29" s="898"/>
    </row>
    <row r="30" spans="1:67">
      <c r="A30" s="493"/>
      <c r="B30" s="898"/>
      <c r="C30" s="898"/>
      <c r="D30" s="898"/>
      <c r="E30" s="898"/>
      <c r="F30" s="898"/>
      <c r="G30" s="898"/>
      <c r="H30" s="898"/>
      <c r="I30" s="898"/>
      <c r="J30" s="898"/>
      <c r="K30" s="898"/>
      <c r="L30" s="898"/>
      <c r="M30" s="898"/>
      <c r="N30" s="898"/>
      <c r="O30" s="898"/>
      <c r="P30" s="898"/>
    </row>
    <row r="31" spans="1:67">
      <c r="A31" s="493" t="s">
        <v>32</v>
      </c>
      <c r="B31" s="895"/>
      <c r="C31" s="895"/>
      <c r="D31" s="895"/>
      <c r="E31" s="435">
        <f>IFERROR(D31/$D$48,0)</f>
        <v>0</v>
      </c>
      <c r="F31" s="895"/>
      <c r="G31" s="895"/>
      <c r="H31" s="895"/>
      <c r="I31" s="435">
        <f>IFERROR(H31/$H$48,0)</f>
        <v>0</v>
      </c>
      <c r="J31" s="895"/>
      <c r="K31" s="895"/>
      <c r="L31" s="895"/>
      <c r="M31" s="895"/>
      <c r="N31" s="895"/>
      <c r="O31" s="895"/>
      <c r="P31" s="895"/>
    </row>
    <row r="32" spans="1:67">
      <c r="A32" s="493"/>
      <c r="B32" s="898"/>
      <c r="C32" s="898"/>
      <c r="D32" s="898"/>
      <c r="E32" s="898"/>
      <c r="F32" s="898"/>
      <c r="G32" s="898"/>
      <c r="H32" s="898"/>
      <c r="I32" s="898"/>
      <c r="J32" s="898"/>
      <c r="K32" s="898"/>
      <c r="L32" s="898"/>
      <c r="M32" s="898"/>
      <c r="N32" s="898"/>
      <c r="O32" s="898"/>
      <c r="P32" s="898"/>
    </row>
    <row r="33" spans="1:67">
      <c r="A33" s="493" t="s">
        <v>33</v>
      </c>
      <c r="B33" s="895"/>
      <c r="C33" s="895"/>
      <c r="D33" s="895"/>
      <c r="E33" s="895"/>
      <c r="F33" s="895"/>
      <c r="G33" s="895"/>
      <c r="H33" s="895"/>
      <c r="I33" s="895"/>
      <c r="J33" s="895"/>
      <c r="K33" s="895"/>
      <c r="L33" s="895"/>
      <c r="M33" s="895"/>
      <c r="N33" s="895"/>
      <c r="O33" s="895"/>
      <c r="P33" s="895"/>
    </row>
    <row r="34" spans="1:67">
      <c r="A34" s="493"/>
      <c r="B34" s="898"/>
      <c r="C34" s="898"/>
      <c r="D34" s="898"/>
      <c r="E34" s="898"/>
      <c r="F34" s="898"/>
      <c r="G34" s="898"/>
      <c r="H34" s="898"/>
      <c r="I34" s="898"/>
      <c r="J34" s="898"/>
      <c r="K34" s="898"/>
      <c r="L34" s="898"/>
      <c r="M34" s="898"/>
      <c r="N34" s="898"/>
      <c r="O34" s="898"/>
      <c r="P34" s="898"/>
    </row>
    <row r="35" spans="1:67">
      <c r="A35" s="493" t="s">
        <v>34</v>
      </c>
      <c r="B35" s="895"/>
      <c r="C35" s="895"/>
      <c r="D35" s="895"/>
      <c r="E35" s="435">
        <f>IFERROR(D35/$D$48,0)</f>
        <v>0</v>
      </c>
      <c r="F35" s="895"/>
      <c r="G35" s="895"/>
      <c r="H35" s="895"/>
      <c r="I35" s="435">
        <f>IFERROR(H35/$H$48,0)</f>
        <v>0</v>
      </c>
      <c r="J35" s="895"/>
      <c r="K35" s="895"/>
      <c r="L35" s="895"/>
      <c r="M35" s="895"/>
      <c r="N35" s="895"/>
      <c r="O35" s="895"/>
      <c r="P35" s="895"/>
    </row>
    <row r="36" spans="1:67">
      <c r="A36" s="493"/>
      <c r="B36" s="898"/>
      <c r="C36" s="898"/>
      <c r="D36" s="898"/>
      <c r="E36" s="898"/>
      <c r="F36" s="898"/>
      <c r="G36" s="898"/>
      <c r="H36" s="898"/>
      <c r="I36" s="898"/>
      <c r="J36" s="898"/>
      <c r="K36" s="898"/>
      <c r="L36" s="898"/>
      <c r="M36" s="898"/>
      <c r="N36" s="898"/>
      <c r="O36" s="898"/>
      <c r="P36" s="898"/>
    </row>
    <row r="37" spans="1:67">
      <c r="A37" s="493" t="s">
        <v>35</v>
      </c>
      <c r="B37" s="895"/>
      <c r="C37" s="895"/>
      <c r="D37" s="895"/>
      <c r="E37" s="435">
        <f>IFERROR(D37/$D$48,0)</f>
        <v>0</v>
      </c>
      <c r="F37" s="895"/>
      <c r="G37" s="895"/>
      <c r="H37" s="895"/>
      <c r="I37" s="435">
        <f>IFERROR(H37/$H$48,0)</f>
        <v>0</v>
      </c>
      <c r="J37" s="895"/>
      <c r="K37" s="895"/>
      <c r="L37" s="895"/>
      <c r="M37" s="895"/>
      <c r="N37" s="895"/>
      <c r="O37" s="895"/>
      <c r="P37" s="895"/>
    </row>
    <row r="38" spans="1:67">
      <c r="A38" s="493"/>
      <c r="B38" s="898"/>
      <c r="C38" s="898"/>
      <c r="D38" s="898"/>
      <c r="E38" s="898"/>
      <c r="F38" s="898"/>
      <c r="G38" s="898"/>
      <c r="H38" s="898"/>
      <c r="I38" s="898"/>
      <c r="J38" s="898"/>
      <c r="K38" s="898"/>
      <c r="L38" s="898"/>
      <c r="M38" s="898"/>
      <c r="N38" s="898"/>
      <c r="O38" s="898"/>
      <c r="P38" s="898"/>
    </row>
    <row r="39" spans="1:67" s="56" customFormat="1">
      <c r="A39" s="55" t="s">
        <v>36</v>
      </c>
      <c r="B39" s="900">
        <f t="shared" ref="B39:O39" si="8">SUM(B29:B37)</f>
        <v>0</v>
      </c>
      <c r="C39" s="900">
        <f t="shared" si="8"/>
        <v>0</v>
      </c>
      <c r="D39" s="900">
        <f t="shared" si="8"/>
        <v>0</v>
      </c>
      <c r="E39" s="435">
        <f>IFERROR(D39/$D$48,0)</f>
        <v>0</v>
      </c>
      <c r="F39" s="900">
        <f t="shared" si="8"/>
        <v>0</v>
      </c>
      <c r="G39" s="900">
        <f t="shared" si="8"/>
        <v>0</v>
      </c>
      <c r="H39" s="900">
        <f t="shared" si="8"/>
        <v>0</v>
      </c>
      <c r="I39" s="435">
        <f>IFERROR(H39/$H$48,0)</f>
        <v>0</v>
      </c>
      <c r="J39" s="900">
        <f t="shared" si="8"/>
        <v>0</v>
      </c>
      <c r="K39" s="900">
        <f t="shared" si="8"/>
        <v>0</v>
      </c>
      <c r="L39" s="900">
        <f t="shared" si="8"/>
        <v>0</v>
      </c>
      <c r="M39" s="900">
        <f t="shared" si="8"/>
        <v>0</v>
      </c>
      <c r="N39" s="900">
        <f t="shared" si="8"/>
        <v>0</v>
      </c>
      <c r="O39" s="900">
        <f t="shared" si="8"/>
        <v>0</v>
      </c>
      <c r="P39" s="900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</row>
    <row r="40" spans="1:67">
      <c r="A40" s="493"/>
      <c r="B40" s="898"/>
      <c r="C40" s="898"/>
      <c r="D40" s="898"/>
      <c r="E40" s="898"/>
      <c r="F40" s="898"/>
      <c r="G40" s="898"/>
      <c r="H40" s="898"/>
      <c r="I40" s="898"/>
      <c r="J40" s="898"/>
      <c r="K40" s="898"/>
      <c r="L40" s="898"/>
      <c r="M40" s="898"/>
      <c r="N40" s="898"/>
      <c r="O40" s="898"/>
      <c r="P40" s="898"/>
    </row>
    <row r="41" spans="1:67">
      <c r="A41" s="493" t="s">
        <v>37</v>
      </c>
      <c r="B41" s="898"/>
      <c r="C41" s="898"/>
      <c r="D41" s="898"/>
      <c r="E41" s="435">
        <f>IFERROR(D41/$D$48,0)</f>
        <v>0</v>
      </c>
      <c r="F41" s="898"/>
      <c r="G41" s="898"/>
      <c r="H41" s="898"/>
      <c r="I41" s="435">
        <f>IFERROR(H41/$H$48,0)</f>
        <v>0</v>
      </c>
      <c r="J41" s="898"/>
      <c r="K41" s="898"/>
      <c r="L41" s="898"/>
      <c r="M41" s="898"/>
      <c r="N41" s="898"/>
      <c r="O41" s="898"/>
      <c r="P41" s="898"/>
    </row>
    <row r="42" spans="1:67">
      <c r="A42" s="493" t="s">
        <v>47</v>
      </c>
      <c r="B42" s="895"/>
      <c r="C42" s="895"/>
      <c r="D42" s="895"/>
      <c r="E42" s="435">
        <f>IFERROR(D42/$D$48,0)</f>
        <v>0</v>
      </c>
      <c r="F42" s="895"/>
      <c r="G42" s="895"/>
      <c r="H42" s="895"/>
      <c r="I42" s="435">
        <f>IFERROR(H42/$H$48,0)</f>
        <v>0</v>
      </c>
      <c r="J42" s="895"/>
      <c r="K42" s="895"/>
      <c r="L42" s="895"/>
      <c r="M42" s="895"/>
      <c r="N42" s="895"/>
      <c r="O42" s="895"/>
      <c r="P42" s="895"/>
    </row>
    <row r="43" spans="1:67">
      <c r="A43" s="493" t="s">
        <v>39</v>
      </c>
      <c r="B43" s="895"/>
      <c r="C43" s="895"/>
      <c r="D43" s="895"/>
      <c r="E43" s="435">
        <f>IFERROR(D43/$D$48,0)</f>
        <v>0</v>
      </c>
      <c r="F43" s="895"/>
      <c r="G43" s="895"/>
      <c r="H43" s="895"/>
      <c r="I43" s="435">
        <f>IFERROR(H43/$H$48,0)</f>
        <v>0</v>
      </c>
      <c r="J43" s="895"/>
      <c r="K43" s="895"/>
      <c r="L43" s="895"/>
      <c r="M43" s="895"/>
      <c r="N43" s="895"/>
      <c r="O43" s="895"/>
      <c r="P43" s="895"/>
    </row>
    <row r="44" spans="1:67">
      <c r="A44" s="493" t="s">
        <v>40</v>
      </c>
      <c r="B44" s="895"/>
      <c r="C44" s="895"/>
      <c r="D44" s="895"/>
      <c r="E44" s="435">
        <f>IFERROR(D44/$D$48,0)</f>
        <v>0</v>
      </c>
      <c r="F44" s="895"/>
      <c r="G44" s="895"/>
      <c r="H44" s="895"/>
      <c r="I44" s="435">
        <f>IFERROR(H44/$H$48,0)</f>
        <v>0</v>
      </c>
      <c r="J44" s="895"/>
      <c r="K44" s="895"/>
      <c r="L44" s="895"/>
      <c r="M44" s="895"/>
      <c r="N44" s="895"/>
      <c r="O44" s="895"/>
      <c r="P44" s="895"/>
    </row>
    <row r="45" spans="1:67">
      <c r="A45" s="493"/>
      <c r="B45" s="898"/>
      <c r="C45" s="898"/>
      <c r="D45" s="898"/>
      <c r="E45" s="898"/>
      <c r="F45" s="898"/>
      <c r="G45" s="898"/>
      <c r="H45" s="898"/>
      <c r="I45" s="898"/>
      <c r="J45" s="898"/>
      <c r="K45" s="898"/>
      <c r="L45" s="898"/>
      <c r="M45" s="898"/>
      <c r="N45" s="898"/>
      <c r="O45" s="898"/>
      <c r="P45" s="898"/>
    </row>
    <row r="46" spans="1:67" s="56" customFormat="1">
      <c r="A46" s="55" t="s">
        <v>41</v>
      </c>
      <c r="B46" s="900">
        <f t="shared" ref="B46:O46" si="9">SUM(B41:B44)</f>
        <v>0</v>
      </c>
      <c r="C46" s="900">
        <f t="shared" si="9"/>
        <v>0</v>
      </c>
      <c r="D46" s="900">
        <f t="shared" si="9"/>
        <v>0</v>
      </c>
      <c r="E46" s="435">
        <f>IFERROR(D46/$D$48,0)</f>
        <v>0</v>
      </c>
      <c r="F46" s="900">
        <f t="shared" si="9"/>
        <v>0</v>
      </c>
      <c r="G46" s="900">
        <f t="shared" si="9"/>
        <v>0</v>
      </c>
      <c r="H46" s="900">
        <f t="shared" si="9"/>
        <v>0</v>
      </c>
      <c r="I46" s="435">
        <f>IFERROR(H46/$H$48,0)</f>
        <v>0</v>
      </c>
      <c r="J46" s="900">
        <f t="shared" si="9"/>
        <v>0</v>
      </c>
      <c r="K46" s="900">
        <f t="shared" si="9"/>
        <v>0</v>
      </c>
      <c r="L46" s="900">
        <f t="shared" si="9"/>
        <v>0</v>
      </c>
      <c r="M46" s="900">
        <f t="shared" si="9"/>
        <v>0</v>
      </c>
      <c r="N46" s="900">
        <f t="shared" si="9"/>
        <v>0</v>
      </c>
      <c r="O46" s="900">
        <f t="shared" si="9"/>
        <v>0</v>
      </c>
      <c r="P46" s="900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</row>
    <row r="47" spans="1:67" s="52" customFormat="1">
      <c r="A47" s="493"/>
      <c r="B47" s="898"/>
      <c r="C47" s="898"/>
      <c r="D47" s="898"/>
      <c r="E47" s="898"/>
      <c r="F47" s="898"/>
      <c r="G47" s="898"/>
      <c r="H47" s="898"/>
      <c r="I47" s="898"/>
      <c r="J47" s="898"/>
      <c r="K47" s="898"/>
      <c r="L47" s="898"/>
      <c r="M47" s="898"/>
      <c r="N47" s="898"/>
      <c r="O47" s="898"/>
      <c r="P47" s="898"/>
    </row>
    <row r="48" spans="1:67" s="54" customFormat="1" ht="13.5" thickBot="1">
      <c r="A48" s="53" t="s">
        <v>42</v>
      </c>
      <c r="B48" s="899">
        <f t="shared" ref="B48:O48" si="10">+B46+B39</f>
        <v>0</v>
      </c>
      <c r="C48" s="899">
        <f t="shared" si="10"/>
        <v>0</v>
      </c>
      <c r="D48" s="899">
        <f t="shared" si="10"/>
        <v>0</v>
      </c>
      <c r="E48" s="435">
        <f>IFERROR(D48/$D$48,0)</f>
        <v>0</v>
      </c>
      <c r="F48" s="899">
        <f t="shared" si="10"/>
        <v>0</v>
      </c>
      <c r="G48" s="899">
        <f t="shared" si="10"/>
        <v>0</v>
      </c>
      <c r="H48" s="899">
        <f t="shared" si="10"/>
        <v>0</v>
      </c>
      <c r="I48" s="435">
        <f>IFERROR(H48/$H$48,0)</f>
        <v>0</v>
      </c>
      <c r="J48" s="899">
        <f t="shared" si="10"/>
        <v>0</v>
      </c>
      <c r="K48" s="899">
        <f t="shared" si="10"/>
        <v>0</v>
      </c>
      <c r="L48" s="899">
        <f t="shared" si="10"/>
        <v>0</v>
      </c>
      <c r="M48" s="899">
        <f t="shared" si="10"/>
        <v>0</v>
      </c>
      <c r="N48" s="899">
        <f t="shared" si="10"/>
        <v>0</v>
      </c>
      <c r="O48" s="899">
        <f t="shared" si="10"/>
        <v>0</v>
      </c>
      <c r="P48" s="899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</row>
    <row r="49" spans="1:16" ht="13.5" thickTop="1">
      <c r="A49" s="493"/>
      <c r="B49" s="898">
        <f t="shared" ref="B49:O49" si="11">+B48-B21</f>
        <v>0</v>
      </c>
      <c r="C49" s="898">
        <f t="shared" si="11"/>
        <v>0</v>
      </c>
      <c r="D49" s="898">
        <f t="shared" si="11"/>
        <v>0</v>
      </c>
      <c r="E49" s="898"/>
      <c r="F49" s="898">
        <f t="shared" si="11"/>
        <v>0</v>
      </c>
      <c r="G49" s="898">
        <f t="shared" si="11"/>
        <v>0</v>
      </c>
      <c r="H49" s="898">
        <f t="shared" si="11"/>
        <v>0</v>
      </c>
      <c r="I49" s="898"/>
      <c r="J49" s="898">
        <f t="shared" si="11"/>
        <v>0</v>
      </c>
      <c r="K49" s="898">
        <f t="shared" si="11"/>
        <v>0</v>
      </c>
      <c r="L49" s="898">
        <f t="shared" si="11"/>
        <v>0</v>
      </c>
      <c r="M49" s="898">
        <f t="shared" si="11"/>
        <v>0</v>
      </c>
      <c r="N49" s="898">
        <f t="shared" si="11"/>
        <v>0</v>
      </c>
      <c r="O49" s="898">
        <f t="shared" si="11"/>
        <v>0</v>
      </c>
      <c r="P49" s="898"/>
    </row>
    <row r="53" spans="1:16">
      <c r="A53" s="510"/>
      <c r="B53" s="493"/>
      <c r="C53" s="493"/>
      <c r="D53" s="493"/>
      <c r="E53" s="493"/>
      <c r="F53" s="493"/>
      <c r="G53" s="493"/>
      <c r="H53" s="493"/>
      <c r="I53" s="493"/>
      <c r="J53" s="493"/>
      <c r="K53" s="493"/>
      <c r="L53" s="493"/>
      <c r="M53" s="493"/>
      <c r="N53" s="493"/>
      <c r="O53" s="493"/>
      <c r="P53" s="493"/>
    </row>
    <row r="55" spans="1:16">
      <c r="A55" s="510"/>
      <c r="B55" s="493"/>
      <c r="C55" s="493"/>
      <c r="D55" s="493"/>
      <c r="E55" s="493"/>
      <c r="F55" s="493"/>
      <c r="G55" s="493"/>
      <c r="H55" s="493"/>
      <c r="I55" s="493"/>
      <c r="J55" s="493"/>
      <c r="K55" s="493"/>
      <c r="L55" s="493"/>
      <c r="M55" s="493"/>
      <c r="N55" s="493"/>
      <c r="O55" s="493"/>
      <c r="P55" s="493"/>
    </row>
  </sheetData>
  <phoneticPr fontId="29" type="noConversion"/>
  <pageMargins left="0.75" right="0.75" top="1" bottom="1" header="0.5" footer="0.5"/>
  <pageSetup scale="57" fitToHeight="2" orientation="landscape" horizontalDpi="300" verticalDpi="300" r:id="rId1"/>
  <headerFooter alignWithMargins="0">
    <oddFooter>&amp;L&amp;Z&amp;F&amp;R&amp;A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">
    <tabColor indexed="55"/>
    <pageSetUpPr fitToPage="1"/>
  </sheetPr>
  <dimension ref="A1:AE47"/>
  <sheetViews>
    <sheetView workbookViewId="0"/>
  </sheetViews>
  <sheetFormatPr baseColWidth="10" defaultColWidth="9.140625" defaultRowHeight="12.75"/>
  <cols>
    <col min="1" max="1" width="40.42578125" customWidth="1"/>
    <col min="2" max="2" width="13" style="2" customWidth="1"/>
    <col min="3" max="3" width="5.42578125" style="244" customWidth="1"/>
    <col min="4" max="4" width="11.42578125" customWidth="1"/>
    <col min="5" max="5" width="8.85546875" style="230" customWidth="1"/>
    <col min="6" max="6" width="10.42578125" customWidth="1"/>
    <col min="7" max="7" width="6.85546875" style="230" customWidth="1"/>
    <col min="8" max="8" width="11.140625" customWidth="1"/>
    <col min="9" max="9" width="6.140625" customWidth="1"/>
    <col min="10" max="10" width="11.140625" customWidth="1"/>
    <col min="11" max="11" width="6.85546875" customWidth="1"/>
    <col min="12" max="12" width="10.85546875" customWidth="1"/>
    <col min="13" max="13" width="5.42578125" customWidth="1"/>
    <col min="14" max="14" width="11.42578125" customWidth="1"/>
    <col min="15" max="15" width="5.42578125" customWidth="1"/>
    <col min="16" max="16" width="11.85546875" customWidth="1"/>
    <col min="17" max="17" width="6.42578125" customWidth="1"/>
    <col min="18" max="18" width="12.42578125" customWidth="1"/>
    <col min="19" max="19" width="6.85546875" customWidth="1"/>
    <col min="20" max="20" width="13.42578125" customWidth="1"/>
    <col min="21" max="21" width="7.140625" customWidth="1"/>
    <col min="22" max="22" width="9.140625" customWidth="1"/>
    <col min="23" max="23" width="8.140625" customWidth="1"/>
    <col min="24" max="24" width="12.85546875" customWidth="1"/>
    <col min="25" max="25" width="9.42578125" customWidth="1"/>
    <col min="26" max="26" width="16.85546875" style="1" customWidth="1"/>
    <col min="27" max="27" width="7.42578125" style="21" customWidth="1"/>
    <col min="28" max="28" width="4.42578125" customWidth="1"/>
    <col min="29" max="29" width="13.42578125" style="96" customWidth="1"/>
  </cols>
  <sheetData>
    <row r="1" spans="1:31" ht="15.75">
      <c r="A1" s="18" t="s">
        <v>48</v>
      </c>
      <c r="C1" s="901"/>
      <c r="E1" s="494"/>
      <c r="G1" s="494"/>
    </row>
    <row r="2" spans="1:31" ht="15.75">
      <c r="A2" s="11"/>
      <c r="C2" s="901"/>
      <c r="E2" s="494"/>
      <c r="G2" s="494"/>
    </row>
    <row r="3" spans="1:31" ht="15.75">
      <c r="A3" s="18" t="s">
        <v>49</v>
      </c>
      <c r="C3" s="901"/>
      <c r="E3" s="494"/>
      <c r="G3" s="494"/>
    </row>
    <row r="4" spans="1:31" ht="18">
      <c r="A4" s="19"/>
      <c r="B4" s="29">
        <v>2025</v>
      </c>
      <c r="C4" s="232"/>
      <c r="D4" s="29">
        <f>B4</f>
        <v>2025</v>
      </c>
      <c r="E4" s="232"/>
      <c r="F4" s="29">
        <f>D4</f>
        <v>2025</v>
      </c>
      <c r="G4" s="232"/>
      <c r="H4" s="29">
        <f>F4</f>
        <v>2025</v>
      </c>
      <c r="I4" s="29"/>
      <c r="J4" s="29">
        <f>H4</f>
        <v>2025</v>
      </c>
      <c r="K4" s="29"/>
      <c r="L4" s="29">
        <f>J4</f>
        <v>2025</v>
      </c>
      <c r="M4" s="29"/>
      <c r="N4" s="29">
        <f>L4</f>
        <v>2025</v>
      </c>
      <c r="O4" s="29"/>
      <c r="P4" s="29">
        <f>N4</f>
        <v>2025</v>
      </c>
      <c r="Q4" s="29"/>
      <c r="R4" s="29">
        <f>P4</f>
        <v>2025</v>
      </c>
      <c r="S4" s="29"/>
      <c r="T4" s="29">
        <f>R4</f>
        <v>2025</v>
      </c>
      <c r="U4" s="29"/>
      <c r="V4" s="29">
        <f>T4</f>
        <v>2025</v>
      </c>
      <c r="W4" s="29"/>
      <c r="X4" s="29">
        <f>V4</f>
        <v>2025</v>
      </c>
      <c r="Y4" s="29"/>
      <c r="Z4" s="29">
        <f>X4</f>
        <v>2025</v>
      </c>
      <c r="AA4" s="232"/>
      <c r="AC4" s="102" t="s">
        <v>50</v>
      </c>
    </row>
    <row r="5" spans="1:31" ht="15.75">
      <c r="A5" s="18" t="s">
        <v>2</v>
      </c>
      <c r="B5" s="23" t="s">
        <v>3</v>
      </c>
      <c r="C5" s="233"/>
      <c r="D5" s="9" t="s">
        <v>4</v>
      </c>
      <c r="E5" s="21"/>
      <c r="F5" s="9" t="s">
        <v>5</v>
      </c>
      <c r="G5" s="21"/>
      <c r="H5" s="9" t="s">
        <v>6</v>
      </c>
      <c r="I5" s="9"/>
      <c r="J5" s="9" t="s">
        <v>7</v>
      </c>
      <c r="K5" s="9"/>
      <c r="L5" s="9" t="s">
        <v>8</v>
      </c>
      <c r="M5" s="9"/>
      <c r="N5" s="9" t="s">
        <v>9</v>
      </c>
      <c r="O5" s="9"/>
      <c r="P5" s="9" t="s">
        <v>10</v>
      </c>
      <c r="Q5" s="9"/>
      <c r="R5" s="9" t="s">
        <v>11</v>
      </c>
      <c r="S5" s="9"/>
      <c r="T5" s="9" t="s">
        <v>12</v>
      </c>
      <c r="U5" s="9"/>
      <c r="V5" s="9" t="s">
        <v>13</v>
      </c>
      <c r="W5" s="9"/>
      <c r="X5" s="9" t="s">
        <v>14</v>
      </c>
      <c r="Y5" s="9"/>
      <c r="Z5" s="9" t="s">
        <v>51</v>
      </c>
      <c r="AC5" s="102" t="s">
        <v>52</v>
      </c>
    </row>
    <row r="7" spans="1:31" s="1" customFormat="1" ht="13.5" thickBot="1">
      <c r="A7" s="24" t="s">
        <v>53</v>
      </c>
      <c r="B7" s="41">
        <f ca="1">+'DPL25 Summary USD'!B13</f>
        <v>2728</v>
      </c>
      <c r="C7" s="246"/>
      <c r="D7" s="41">
        <f ca="1">+'DPL25 Summary USD'!D13</f>
        <v>2728</v>
      </c>
      <c r="E7" s="246"/>
      <c r="F7" s="41">
        <f ca="1">+'DPL25 Summary USD'!F13</f>
        <v>2728</v>
      </c>
      <c r="G7" s="246"/>
      <c r="H7" s="41">
        <f ca="1">+'DPL25 Summary USD'!H13</f>
        <v>2728</v>
      </c>
      <c r="I7" s="41"/>
      <c r="J7" s="41" t="e">
        <f>+'DPL25 Summary USD'!J13</f>
        <v>#REF!</v>
      </c>
      <c r="K7" s="41"/>
      <c r="L7" s="41" t="e">
        <f>+'DPL25 Summary USD'!L13</f>
        <v>#REF!</v>
      </c>
      <c r="M7" s="41"/>
      <c r="N7" s="41" t="e">
        <f>+'DPL25 Summary USD'!N13</f>
        <v>#REF!</v>
      </c>
      <c r="O7" s="41"/>
      <c r="P7" s="41" t="e">
        <f>+'DPL25 Summary USD'!P13</f>
        <v>#REF!</v>
      </c>
      <c r="Q7" s="41"/>
      <c r="R7" s="41" t="e">
        <f>+'DPL25 Summary USD'!R13</f>
        <v>#REF!</v>
      </c>
      <c r="S7" s="41"/>
      <c r="T7" s="41" t="e">
        <f>+'DPL25 Summary USD'!T13</f>
        <v>#REF!</v>
      </c>
      <c r="U7" s="41"/>
      <c r="V7" s="41" t="e">
        <f>+'DPL25 Summary USD'!V13</f>
        <v>#REF!</v>
      </c>
      <c r="W7" s="41"/>
      <c r="X7" s="41" t="e">
        <f>+'DPL25 Summary USD'!X13</f>
        <v>#REF!</v>
      </c>
      <c r="Y7" s="41"/>
      <c r="Z7" s="41" t="e">
        <f ca="1">+B7+D7+F7+H7+J7+L7+N7+P7+R7+T7+V7+X7</f>
        <v>#REF!</v>
      </c>
      <c r="AA7" s="236"/>
      <c r="AC7" s="112">
        <f>'DPL25 Summary USD'!AB13</f>
        <v>10004233</v>
      </c>
      <c r="AE7" s="156" t="e">
        <f ca="1">+AC7-Z7</f>
        <v>#REF!</v>
      </c>
    </row>
    <row r="8" spans="1:31" ht="13.5" thickTop="1">
      <c r="A8" s="493"/>
      <c r="B8" s="14"/>
      <c r="C8" s="902"/>
      <c r="D8" s="14"/>
      <c r="E8" s="902"/>
      <c r="F8" s="14"/>
      <c r="G8" s="902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5"/>
      <c r="AA8" s="236"/>
      <c r="AC8" s="103"/>
    </row>
    <row r="9" spans="1:31">
      <c r="A9" s="1" t="s">
        <v>54</v>
      </c>
      <c r="B9" s="14"/>
      <c r="C9" s="902"/>
      <c r="D9" s="14"/>
      <c r="E9" s="902"/>
      <c r="F9" s="14"/>
      <c r="G9" s="902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5"/>
      <c r="AA9" s="236"/>
      <c r="AC9" s="103"/>
    </row>
    <row r="10" spans="1:31">
      <c r="A10" s="744" t="s">
        <v>55</v>
      </c>
      <c r="B10" s="14">
        <f ca="1">'DPL25 Summary USD'!B49-'DPL25 Summary USD'!B46-'DPL25 Summary USD'!B45</f>
        <v>475</v>
      </c>
      <c r="C10" s="903">
        <f ca="1">+B10/$B$7</f>
        <v>0.17</v>
      </c>
      <c r="D10" s="14">
        <f ca="1">'DPL25 Summary USD'!D49-'DPL25 Summary USD'!D46-'DPL25 Summary USD'!D45</f>
        <v>126</v>
      </c>
      <c r="E10" s="903">
        <f ca="1">IFERROR(D10/D7,0)</f>
        <v>0.05</v>
      </c>
      <c r="F10" s="14">
        <f ca="1">'DPL25 Summary USD'!F49-'DPL25 Summary USD'!F46-'DPL25 Summary USD'!F45</f>
        <v>126</v>
      </c>
      <c r="G10" s="903">
        <f ca="1">IFERROR(F10/F7,0)</f>
        <v>0.05</v>
      </c>
      <c r="H10" s="14">
        <f ca="1">'DPL25 Summary USD'!H49-'DPL25 Summary USD'!H46-'DPL25 Summary USD'!H45</f>
        <v>2060</v>
      </c>
      <c r="I10" s="903">
        <f ca="1">IFERROR(H10/H7,0)</f>
        <v>0.76</v>
      </c>
      <c r="J10" s="14">
        <f>'DPL25 Summary USD'!J49-'DPL25 Summary USD'!J46-'DPL25 Summary USD'!J45</f>
        <v>0</v>
      </c>
      <c r="K10" s="903">
        <f>IFERROR(J10/J7,0)</f>
        <v>0</v>
      </c>
      <c r="L10" s="14">
        <f>'DPL25 Summary USD'!L49-'DPL25 Summary USD'!L46-'DPL25 Summary USD'!L45</f>
        <v>0</v>
      </c>
      <c r="M10" s="903">
        <f>IFERROR(L10/L7,0)</f>
        <v>0</v>
      </c>
      <c r="N10" s="14">
        <f>'DPL25 Summary USD'!N49-'DPL25 Summary USD'!N46-'DPL25 Summary USD'!N45</f>
        <v>0</v>
      </c>
      <c r="O10" s="903">
        <f>IFERROR(N10/N7,0)</f>
        <v>0</v>
      </c>
      <c r="P10" s="14">
        <f>'DPL25 Summary USD'!P49-'DPL25 Summary USD'!P46-'DPL25 Summary USD'!P45</f>
        <v>0</v>
      </c>
      <c r="Q10" s="903">
        <f>IFERROR(P10/P7,0)</f>
        <v>0</v>
      </c>
      <c r="R10" s="14">
        <f>'DPL25 Summary USD'!R49-'DPL25 Summary USD'!R46-'DPL25 Summary USD'!R45</f>
        <v>0</v>
      </c>
      <c r="S10" s="903">
        <f>IFERROR(R10/R7,0)</f>
        <v>0</v>
      </c>
      <c r="T10" s="14">
        <f>'DPL25 Summary USD'!T49-'DPL25 Summary USD'!T46-'DPL25 Summary USD'!T45</f>
        <v>0</v>
      </c>
      <c r="U10" s="903">
        <f>IFERROR(T10/T7,0)</f>
        <v>0</v>
      </c>
      <c r="V10" s="14">
        <f>'DPL25 Summary USD'!V49-'DPL25 Summary USD'!V46-'DPL25 Summary USD'!V45</f>
        <v>0</v>
      </c>
      <c r="W10" s="903">
        <f>IFERROR(V10/V7,0)</f>
        <v>0</v>
      </c>
      <c r="X10" s="14">
        <f>'DPL25 Summary USD'!X49-'DPL25 Summary USD'!X46-'DPL25 Summary USD'!X45</f>
        <v>0</v>
      </c>
      <c r="Y10" s="903">
        <f>IFERROR(X10/X7,0)</f>
        <v>0</v>
      </c>
      <c r="Z10" s="15">
        <f ca="1">+B10+D10+F10+H10+J10+L10+N10+P10+R10+T10+V10+X10</f>
        <v>2787</v>
      </c>
      <c r="AA10" s="191" t="e">
        <f ca="1">+Z10/$Z$7</f>
        <v>#REF!</v>
      </c>
      <c r="AC10" s="103">
        <f>'DPL25 Summary USD'!AB49-'DPL25 Summary USD'!AB45-'DPL25 Summary USD'!AB46</f>
        <v>5622684</v>
      </c>
      <c r="AD10" s="231">
        <f>+AC10/$AC$7</f>
        <v>0.56000000000000005</v>
      </c>
    </row>
    <row r="11" spans="1:31">
      <c r="A11" s="744" t="s">
        <v>56</v>
      </c>
      <c r="B11" s="14">
        <f>'DPL25 Summary USD'!B46+'DPL25 Summary USD'!B45</f>
        <v>0</v>
      </c>
      <c r="C11" s="903">
        <f ca="1">+B11/$B$7</f>
        <v>0</v>
      </c>
      <c r="D11" s="14">
        <f>'DPL25 Summary USD'!D46+'DPL25 Summary USD'!D45</f>
        <v>0</v>
      </c>
      <c r="E11" s="903">
        <f ca="1">IFERROR(D11/D7,0)</f>
        <v>0</v>
      </c>
      <c r="F11" s="14">
        <f>'DPL25 Summary USD'!F46+'DPL25 Summary USD'!F45</f>
        <v>0</v>
      </c>
      <c r="G11" s="903">
        <f ca="1">IFERROR(F11/F7,0)</f>
        <v>0</v>
      </c>
      <c r="H11" s="14">
        <f>'DPL25 Summary USD'!H46+'DPL25 Summary USD'!H45</f>
        <v>0</v>
      </c>
      <c r="I11" s="903">
        <f ca="1">IFERROR(H11/H7,0)</f>
        <v>0</v>
      </c>
      <c r="J11" s="14">
        <f>'DPL25 Summary USD'!J46+'DPL25 Summary USD'!J45</f>
        <v>0</v>
      </c>
      <c r="K11" s="903">
        <f>IFERROR(J11/J7,0)</f>
        <v>0</v>
      </c>
      <c r="L11" s="14">
        <f>'DPL25 Summary USD'!L46+'DPL25 Summary USD'!L45</f>
        <v>0</v>
      </c>
      <c r="M11" s="903">
        <f>IFERROR(L11/L7,0)</f>
        <v>0</v>
      </c>
      <c r="N11" s="14">
        <f>'DPL25 Summary USD'!N46+'DPL25 Summary USD'!N45</f>
        <v>0</v>
      </c>
      <c r="O11" s="903">
        <f>IFERROR(N11/N7,0)</f>
        <v>0</v>
      </c>
      <c r="P11" s="14">
        <f>'DPL25 Summary USD'!P46+'DPL25 Summary USD'!P45</f>
        <v>0</v>
      </c>
      <c r="Q11" s="903">
        <f>IFERROR(P11/P7,0)</f>
        <v>0</v>
      </c>
      <c r="R11" s="14">
        <f>'DPL25 Summary USD'!R46+'DPL25 Summary USD'!R45</f>
        <v>0</v>
      </c>
      <c r="S11" s="903">
        <f>IFERROR(R11/R7,0)</f>
        <v>0</v>
      </c>
      <c r="T11" s="14">
        <f>'DPL25 Summary USD'!T46+'DPL25 Summary USD'!T45</f>
        <v>0</v>
      </c>
      <c r="U11" s="903">
        <f>IFERROR(T11/T7,0)</f>
        <v>0</v>
      </c>
      <c r="V11" s="14">
        <f>'DPL25 Summary USD'!V46+'DPL25 Summary USD'!V45</f>
        <v>0</v>
      </c>
      <c r="W11" s="903">
        <f>IFERROR(V11/V7,0)</f>
        <v>0</v>
      </c>
      <c r="X11" s="14">
        <f>'DPL25 Summary USD'!X46+'DPL25 Summary USD'!X45</f>
        <v>0</v>
      </c>
      <c r="Y11" s="903">
        <f>IFERROR(X11/X7,0)</f>
        <v>0</v>
      </c>
      <c r="Z11" s="15">
        <f>+B11+D11+F11+H11+J11+L11+N11+P11+R11+T11+V11+X11</f>
        <v>0</v>
      </c>
      <c r="AA11" s="191" t="e">
        <f ca="1">+Z11/$Z$7</f>
        <v>#REF!</v>
      </c>
      <c r="AC11" s="103">
        <f>'DPL25 Summary USD'!AB45+'DPL25 Summary USD'!AB46</f>
        <v>328388</v>
      </c>
      <c r="AD11" s="231">
        <f>+AC11/$AC$7</f>
        <v>0.03</v>
      </c>
    </row>
    <row r="12" spans="1:31" s="1" customFormat="1" ht="13.5" thickBot="1">
      <c r="A12" s="1" t="s">
        <v>57</v>
      </c>
      <c r="B12" s="38">
        <f t="shared" ref="B12:X12" ca="1" si="0">+SUM(B10:B11)</f>
        <v>475</v>
      </c>
      <c r="C12" s="903">
        <f ca="1">+B12/$B$7</f>
        <v>0.17</v>
      </c>
      <c r="D12" s="38">
        <f t="shared" ca="1" si="0"/>
        <v>126</v>
      </c>
      <c r="E12" s="903">
        <f ca="1">IFERROR(D12/D7,0)</f>
        <v>0.05</v>
      </c>
      <c r="F12" s="38">
        <f t="shared" ca="1" si="0"/>
        <v>126</v>
      </c>
      <c r="G12" s="903">
        <f ca="1">IFERROR(F12/F7,0)</f>
        <v>0.05</v>
      </c>
      <c r="H12" s="38">
        <f t="shared" ca="1" si="0"/>
        <v>2060</v>
      </c>
      <c r="I12" s="903">
        <f ca="1">IFERROR(H12/H7,0)</f>
        <v>0.76</v>
      </c>
      <c r="J12" s="38">
        <f t="shared" si="0"/>
        <v>0</v>
      </c>
      <c r="K12" s="903">
        <f>IFERROR(J12/J7,0)</f>
        <v>0</v>
      </c>
      <c r="L12" s="38">
        <f t="shared" si="0"/>
        <v>0</v>
      </c>
      <c r="M12" s="903">
        <f>IFERROR(L12/L7,0)</f>
        <v>0</v>
      </c>
      <c r="N12" s="38">
        <f t="shared" si="0"/>
        <v>0</v>
      </c>
      <c r="O12" s="903">
        <f>IFERROR(N12/N7,0)</f>
        <v>0</v>
      </c>
      <c r="P12" s="38">
        <f t="shared" si="0"/>
        <v>0</v>
      </c>
      <c r="Q12" s="903">
        <f>IFERROR(P12/P7,0)</f>
        <v>0</v>
      </c>
      <c r="R12" s="38">
        <f t="shared" si="0"/>
        <v>0</v>
      </c>
      <c r="S12" s="903">
        <f>IFERROR(R12/R7,0)</f>
        <v>0</v>
      </c>
      <c r="T12" s="38">
        <f t="shared" si="0"/>
        <v>0</v>
      </c>
      <c r="U12" s="903">
        <f>IFERROR(T12/T7,0)</f>
        <v>0</v>
      </c>
      <c r="V12" s="38">
        <f t="shared" si="0"/>
        <v>0</v>
      </c>
      <c r="W12" s="903">
        <f>IFERROR(V12/V7,0)</f>
        <v>0</v>
      </c>
      <c r="X12" s="38">
        <f t="shared" si="0"/>
        <v>0</v>
      </c>
      <c r="Y12" s="903">
        <f>IFERROR(X12/X7,0)</f>
        <v>0</v>
      </c>
      <c r="Z12" s="38">
        <f ca="1">+B12+D12+F12+H12+J12+L12+N12+P12+R12+T12+V12+X12</f>
        <v>2787</v>
      </c>
      <c r="AA12" s="191" t="e">
        <f ca="1">+Z12/$Z$7</f>
        <v>#REF!</v>
      </c>
      <c r="AC12" s="109">
        <f>AC11+AC10</f>
        <v>5951072</v>
      </c>
      <c r="AD12" s="231">
        <f>+AC12/$AC$7</f>
        <v>0.59</v>
      </c>
      <c r="AE12" s="156">
        <f ca="1">+AC12-Z12</f>
        <v>5948285</v>
      </c>
    </row>
    <row r="13" spans="1:31" s="1" customFormat="1" ht="13.5" thickTop="1">
      <c r="B13" s="14"/>
      <c r="C13" s="902"/>
      <c r="D13" s="14"/>
      <c r="E13" s="902"/>
      <c r="F13" s="14"/>
      <c r="G13" s="902"/>
      <c r="H13" s="14"/>
      <c r="I13" s="903"/>
      <c r="J13" s="14"/>
      <c r="K13" s="903"/>
      <c r="L13" s="14"/>
      <c r="M13" s="903"/>
      <c r="N13" s="14"/>
      <c r="O13" s="903"/>
      <c r="P13" s="14"/>
      <c r="Q13" s="903"/>
      <c r="R13" s="14"/>
      <c r="S13" s="14"/>
      <c r="T13" s="14"/>
      <c r="U13" s="14"/>
      <c r="V13" s="14"/>
      <c r="W13" s="14"/>
      <c r="X13" s="14"/>
      <c r="Y13" s="14"/>
      <c r="Z13" s="15"/>
      <c r="AA13" s="236"/>
      <c r="AC13" s="103"/>
    </row>
    <row r="14" spans="1:31" s="49" customFormat="1">
      <c r="A14" s="49" t="s">
        <v>58</v>
      </c>
      <c r="B14" s="50">
        <f ca="1">IF(B$7=0,0,(B7-B12)/B$7)</f>
        <v>0.83</v>
      </c>
      <c r="C14" s="234"/>
      <c r="D14" s="50">
        <f ca="1">IF(D$7=0,0,(D7-D12)/D$7)</f>
        <v>0.95</v>
      </c>
      <c r="E14" s="234"/>
      <c r="F14" s="50">
        <f ca="1">IF(F$7=0,0,(F7-F12)/F$7)</f>
        <v>0.95</v>
      </c>
      <c r="G14" s="234"/>
      <c r="H14" s="50">
        <f ca="1">IF(H$7=0,0,(H7-H12)/H$7)</f>
        <v>0.24</v>
      </c>
      <c r="I14" s="903"/>
      <c r="J14" s="50" t="e">
        <f>IF(J$7=0,0,(J7-J12)/J$7)</f>
        <v>#REF!</v>
      </c>
      <c r="K14" s="903"/>
      <c r="L14" s="50" t="e">
        <f>IF(L$7=0,0,(L7-L12)/L$7)</f>
        <v>#REF!</v>
      </c>
      <c r="M14" s="903"/>
      <c r="N14" s="50" t="e">
        <f>IF(N$7=0,0,(N7-N12)/N$7)</f>
        <v>#REF!</v>
      </c>
      <c r="O14" s="903"/>
      <c r="P14" s="50" t="e">
        <f>IF(P$7=0,0,(P7-P12)/P$7)</f>
        <v>#REF!</v>
      </c>
      <c r="Q14" s="903" t="e">
        <f>+P14/$P$7</f>
        <v>#REF!</v>
      </c>
      <c r="R14" s="50" t="e">
        <f>IF(R$7=0,0,(R7-R12)/R$7)</f>
        <v>#REF!</v>
      </c>
      <c r="S14" s="50"/>
      <c r="T14" s="50" t="e">
        <f>IF(T$7=0,0,(T7-T12)/T$7)</f>
        <v>#REF!</v>
      </c>
      <c r="U14" s="50"/>
      <c r="V14" s="50" t="e">
        <f>IF(V$7=0,0,(V7-V12)/V$7)</f>
        <v>#REF!</v>
      </c>
      <c r="W14" s="50"/>
      <c r="X14" s="50" t="e">
        <f>IF(X$7=0,0,(X7-X12)/X$7)</f>
        <v>#REF!</v>
      </c>
      <c r="Y14" s="50"/>
      <c r="Z14" s="50" t="e">
        <f ca="1">IF(Z$7=0,0,(Z7-Z12)/Z$7)</f>
        <v>#REF!</v>
      </c>
      <c r="AA14" s="234"/>
      <c r="AC14" s="50">
        <f>IF(AC$7=0,0,(AC7-AC12)/AC$7)</f>
        <v>0.41</v>
      </c>
    </row>
    <row r="15" spans="1:31">
      <c r="A15" s="493" t="s">
        <v>59</v>
      </c>
      <c r="B15" s="14"/>
      <c r="C15" s="902"/>
      <c r="D15" s="14"/>
      <c r="E15" s="902"/>
      <c r="F15" s="14"/>
      <c r="G15" s="902"/>
      <c r="H15" s="14"/>
      <c r="I15" s="903"/>
      <c r="J15" s="14"/>
      <c r="K15" s="903"/>
      <c r="L15" s="14"/>
      <c r="M15" s="903"/>
      <c r="N15" s="14"/>
      <c r="O15" s="903"/>
      <c r="P15" s="14"/>
      <c r="Q15" s="903"/>
      <c r="R15" s="14"/>
      <c r="S15" s="14"/>
      <c r="T15" s="14"/>
      <c r="U15" s="14"/>
      <c r="V15" s="14"/>
      <c r="W15" s="14"/>
      <c r="X15" s="14"/>
      <c r="Y15" s="14"/>
      <c r="Z15" s="15"/>
      <c r="AA15" s="236"/>
      <c r="AC15" s="103"/>
    </row>
    <row r="16" spans="1:31">
      <c r="A16" s="1" t="s">
        <v>60</v>
      </c>
      <c r="B16" s="14"/>
      <c r="C16" s="902"/>
      <c r="D16" s="14"/>
      <c r="E16" s="902"/>
      <c r="F16" s="14"/>
      <c r="G16" s="902"/>
      <c r="H16" s="14"/>
      <c r="I16" s="903"/>
      <c r="J16" s="14"/>
      <c r="K16" s="903"/>
      <c r="L16" s="14"/>
      <c r="M16" s="903"/>
      <c r="N16" s="14"/>
      <c r="O16" s="903"/>
      <c r="P16" s="14"/>
      <c r="Q16" s="903"/>
      <c r="R16" s="14"/>
      <c r="S16" s="14"/>
      <c r="T16" s="14"/>
      <c r="U16" s="14"/>
      <c r="V16" s="14"/>
      <c r="W16" s="14"/>
      <c r="X16" s="14"/>
      <c r="Y16" s="14"/>
      <c r="Z16" s="15"/>
      <c r="AA16" s="236"/>
      <c r="AC16" s="103"/>
    </row>
    <row r="17" spans="1:30">
      <c r="A17" s="744" t="s">
        <v>61</v>
      </c>
      <c r="B17" s="14">
        <f>'DPL25 Summary USD'!B53+'DPL25 Summary USD'!B54+'DPL25 Summary USD'!B55+'DPL25 Summary USD'!B70</f>
        <v>0</v>
      </c>
      <c r="C17" s="903">
        <f t="shared" ref="C17:C25" ca="1" si="1">+B17/$B$7</f>
        <v>0</v>
      </c>
      <c r="D17" s="14">
        <f>'DPL25 Summary USD'!D53+'DPL25 Summary USD'!D54+'DPL25 Summary USD'!D55+'DPL25 Summary USD'!D70</f>
        <v>0</v>
      </c>
      <c r="E17" s="903">
        <f ca="1">IFERROR(D17/$D$7,0)</f>
        <v>0</v>
      </c>
      <c r="F17" s="14">
        <f>'DPL25 Summary USD'!F53+'DPL25 Summary USD'!F54+'DPL25 Summary USD'!F55+'DPL25 Summary USD'!F70</f>
        <v>0</v>
      </c>
      <c r="G17" s="903">
        <f ca="1">IFERROR(F17/$F$7,0)</f>
        <v>0</v>
      </c>
      <c r="H17" s="14">
        <f>'DPL25 Summary USD'!H53+'DPL25 Summary USD'!H54+'DPL25 Summary USD'!H55+'DPL25 Summary USD'!H70</f>
        <v>0</v>
      </c>
      <c r="I17" s="903">
        <f ca="1">IFERROR(H17/$H$7,0)</f>
        <v>0</v>
      </c>
      <c r="J17" s="14">
        <f>'DPL25 Summary USD'!J53+'DPL25 Summary USD'!J54+'DPL25 Summary USD'!J55+'DPL25 Summary USD'!J70</f>
        <v>0</v>
      </c>
      <c r="K17" s="903">
        <f>IFERROR(J17/$J$7,0)</f>
        <v>0</v>
      </c>
      <c r="L17" s="14">
        <f>'DPL25 Summary USD'!L53+'DPL25 Summary USD'!L54+'DPL25 Summary USD'!L55+'DPL25 Summary USD'!L70</f>
        <v>0</v>
      </c>
      <c r="M17" s="903">
        <f>IFERROR(L17/$L$7,0)</f>
        <v>0</v>
      </c>
      <c r="N17" s="14">
        <f>'DPL25 Summary USD'!N53+'DPL25 Summary USD'!N54+'DPL25 Summary USD'!N55+'DPL25 Summary USD'!N70</f>
        <v>0</v>
      </c>
      <c r="O17" s="903">
        <f>IFERROR(N17/$N$7,0)</f>
        <v>0</v>
      </c>
      <c r="P17" s="14">
        <f>'DPL25 Summary USD'!P53+'DPL25 Summary USD'!P54+'DPL25 Summary USD'!P55+'DPL25 Summary USD'!P70</f>
        <v>0</v>
      </c>
      <c r="Q17" s="903">
        <f>IFERROR(P17/$P$7,0)</f>
        <v>0</v>
      </c>
      <c r="R17" s="14">
        <f>'DPL25 Summary USD'!R53+'DPL25 Summary USD'!R54+'DPL25 Summary USD'!R55+'DPL25 Summary USD'!R70</f>
        <v>0</v>
      </c>
      <c r="S17" s="903">
        <f>IFERROR(R17/$R$7,0)</f>
        <v>0</v>
      </c>
      <c r="T17" s="14">
        <f>'DPL25 Summary USD'!T53+'DPL25 Summary USD'!T54+'DPL25 Summary USD'!T55+'DPL25 Summary USD'!T70</f>
        <v>0</v>
      </c>
      <c r="U17" s="903">
        <f>IFERROR(T17/$T$7,0)</f>
        <v>0</v>
      </c>
      <c r="V17" s="14">
        <f>'DPL25 Summary USD'!V53+'DPL25 Summary USD'!V54+'DPL25 Summary USD'!V55+'DPL25 Summary USD'!V70</f>
        <v>0</v>
      </c>
      <c r="W17" s="903">
        <f>IFERROR(V17/$V$7,0)</f>
        <v>0</v>
      </c>
      <c r="X17" s="14">
        <f>'DPL25 Summary USD'!X53+'DPL25 Summary USD'!X54+'DPL25 Summary USD'!X55+'DPL25 Summary USD'!X70</f>
        <v>0</v>
      </c>
      <c r="Y17" s="903">
        <f>IFERROR(X17/$X$7,0)</f>
        <v>0</v>
      </c>
      <c r="Z17" s="15">
        <f t="shared" ref="Z17:Z25" si="2">+B17+D17+F17+H17+J17+L17+N17+P17+R17+T17+V17+X17</f>
        <v>0</v>
      </c>
      <c r="AA17" s="191" t="e">
        <f t="shared" ref="AA17:AA25" ca="1" si="3">+Z17/$Z$7</f>
        <v>#REF!</v>
      </c>
      <c r="AC17" s="103">
        <f>'DPL25 Summary USD'!AB53+'DPL25 Summary USD'!AB54+'DPL25 Summary USD'!AB55</f>
        <v>464853</v>
      </c>
      <c r="AD17" s="231">
        <f t="shared" ref="AD17:AD25" si="4">+AC17/$AC$7</f>
        <v>0.05</v>
      </c>
    </row>
    <row r="18" spans="1:30">
      <c r="A18" s="744" t="s">
        <v>62</v>
      </c>
      <c r="B18" s="14">
        <f>'DPL25 Summary USD'!B56</f>
        <v>1000</v>
      </c>
      <c r="C18" s="903">
        <f t="shared" ca="1" si="1"/>
        <v>0.37</v>
      </c>
      <c r="D18" s="14">
        <f>'DPL25 Summary USD'!D56</f>
        <v>1000</v>
      </c>
      <c r="E18" s="903">
        <f t="shared" ref="E18:E25" ca="1" si="5">IFERROR(D18/$D$7,0)</f>
        <v>0.37</v>
      </c>
      <c r="F18" s="14">
        <f>'DPL25 Summary USD'!F56</f>
        <v>1000</v>
      </c>
      <c r="G18" s="903">
        <f t="shared" ref="G18:G25" ca="1" si="6">IFERROR(F18/$F$7,0)</f>
        <v>0.37</v>
      </c>
      <c r="H18" s="14">
        <f>'DPL25 Summary USD'!H56</f>
        <v>1000</v>
      </c>
      <c r="I18" s="903">
        <f t="shared" ref="I18:I25" ca="1" si="7">IFERROR(H18/$H$7,0)</f>
        <v>0.37</v>
      </c>
      <c r="J18" s="14">
        <f>'DPL25 Summary USD'!J56</f>
        <v>1000</v>
      </c>
      <c r="K18" s="903">
        <f t="shared" ref="K18:K25" si="8">IFERROR(J18/$J$7,0)</f>
        <v>0</v>
      </c>
      <c r="L18" s="14">
        <f>'DPL25 Summary USD'!L56</f>
        <v>1000</v>
      </c>
      <c r="M18" s="903">
        <f t="shared" ref="M18:M25" si="9">IFERROR(L18/$L$7,0)</f>
        <v>0</v>
      </c>
      <c r="N18" s="14">
        <f>'DPL25 Summary USD'!N56</f>
        <v>1000</v>
      </c>
      <c r="O18" s="903">
        <f t="shared" ref="O18:O25" si="10">IFERROR(N18/$N$7,0)</f>
        <v>0</v>
      </c>
      <c r="P18" s="14">
        <f>'DPL25 Summary USD'!P56</f>
        <v>1000</v>
      </c>
      <c r="Q18" s="903">
        <f t="shared" ref="Q18:Q25" si="11">IFERROR(P18/$P$7,0)</f>
        <v>0</v>
      </c>
      <c r="R18" s="14">
        <f>'DPL25 Summary USD'!R56</f>
        <v>1000</v>
      </c>
      <c r="S18" s="903">
        <f t="shared" ref="S18:S25" si="12">IFERROR(R18/$R$7,0)</f>
        <v>0</v>
      </c>
      <c r="T18" s="14">
        <f>'DPL25 Summary USD'!T56</f>
        <v>1000</v>
      </c>
      <c r="U18" s="903">
        <f t="shared" ref="U18:U25" si="13">IFERROR(T18/$T$7,0)</f>
        <v>0</v>
      </c>
      <c r="V18" s="14">
        <f>'DPL25 Summary USD'!V56</f>
        <v>1000</v>
      </c>
      <c r="W18" s="903">
        <f t="shared" ref="W18:W25" si="14">IFERROR(V18/$V$7,0)</f>
        <v>0</v>
      </c>
      <c r="X18" s="14">
        <f>'DPL25 Summary USD'!X56</f>
        <v>1000</v>
      </c>
      <c r="Y18" s="903">
        <f t="shared" ref="Y18:Y25" si="15">IFERROR(X18/$X$7,0)</f>
        <v>0</v>
      </c>
      <c r="Z18" s="15">
        <f t="shared" si="2"/>
        <v>12000</v>
      </c>
      <c r="AA18" s="191" t="e">
        <f t="shared" ca="1" si="3"/>
        <v>#REF!</v>
      </c>
      <c r="AC18" s="103">
        <f>'DPL25 Summary USD'!AB56</f>
        <v>104187</v>
      </c>
      <c r="AD18" s="231">
        <f t="shared" si="4"/>
        <v>0.01</v>
      </c>
    </row>
    <row r="19" spans="1:30">
      <c r="A19" s="744" t="s">
        <v>63</v>
      </c>
      <c r="B19" s="14">
        <f>'DPL25 Summary USD'!B57+'DPL25 Summary USD'!B58</f>
        <v>50</v>
      </c>
      <c r="C19" s="903">
        <f t="shared" ca="1" si="1"/>
        <v>0.02</v>
      </c>
      <c r="D19" s="14">
        <f>'DPL25 Summary USD'!D57+'DPL25 Summary USD'!D58</f>
        <v>50</v>
      </c>
      <c r="E19" s="903">
        <f t="shared" ca="1" si="5"/>
        <v>0.02</v>
      </c>
      <c r="F19" s="14">
        <f>'DPL25 Summary USD'!F57+'DPL25 Summary USD'!F58</f>
        <v>50</v>
      </c>
      <c r="G19" s="903">
        <f t="shared" ca="1" si="6"/>
        <v>0.02</v>
      </c>
      <c r="H19" s="14">
        <f>'DPL25 Summary USD'!H57+'DPL25 Summary USD'!H58</f>
        <v>50</v>
      </c>
      <c r="I19" s="903">
        <f t="shared" ca="1" si="7"/>
        <v>0.02</v>
      </c>
      <c r="J19" s="14">
        <f>'DPL25 Summary USD'!J57+'DPL25 Summary USD'!J58</f>
        <v>50</v>
      </c>
      <c r="K19" s="903">
        <f t="shared" si="8"/>
        <v>0</v>
      </c>
      <c r="L19" s="14">
        <f>'DPL25 Summary USD'!L57+'DPL25 Summary USD'!L58</f>
        <v>50</v>
      </c>
      <c r="M19" s="903">
        <f t="shared" si="9"/>
        <v>0</v>
      </c>
      <c r="N19" s="14">
        <f>'DPL25 Summary USD'!N57+'DPL25 Summary USD'!N58</f>
        <v>50</v>
      </c>
      <c r="O19" s="903">
        <f t="shared" si="10"/>
        <v>0</v>
      </c>
      <c r="P19" s="14">
        <f>'DPL25 Summary USD'!P57+'DPL25 Summary USD'!P58</f>
        <v>50</v>
      </c>
      <c r="Q19" s="903">
        <f t="shared" si="11"/>
        <v>0</v>
      </c>
      <c r="R19" s="14">
        <f>'DPL25 Summary USD'!R57+'DPL25 Summary USD'!R58</f>
        <v>50</v>
      </c>
      <c r="S19" s="903">
        <f t="shared" si="12"/>
        <v>0</v>
      </c>
      <c r="T19" s="14">
        <f>'DPL25 Summary USD'!T57+'DPL25 Summary USD'!T58</f>
        <v>50</v>
      </c>
      <c r="U19" s="903">
        <f t="shared" si="13"/>
        <v>0</v>
      </c>
      <c r="V19" s="14">
        <f>'DPL25 Summary USD'!V57+'DPL25 Summary USD'!V58</f>
        <v>50</v>
      </c>
      <c r="W19" s="903">
        <f t="shared" si="14"/>
        <v>0</v>
      </c>
      <c r="X19" s="14">
        <f>'DPL25 Summary USD'!X57+'DPL25 Summary USD'!X58</f>
        <v>50</v>
      </c>
      <c r="Y19" s="903">
        <f t="shared" si="15"/>
        <v>0</v>
      </c>
      <c r="Z19" s="15">
        <f t="shared" si="2"/>
        <v>600</v>
      </c>
      <c r="AA19" s="191" t="e">
        <f t="shared" ca="1" si="3"/>
        <v>#REF!</v>
      </c>
      <c r="AC19" s="103">
        <f>'DPL25 Summary USD'!AB57+'DPL25 Summary USD'!AB65</f>
        <v>15022</v>
      </c>
      <c r="AD19" s="231">
        <f t="shared" si="4"/>
        <v>0</v>
      </c>
    </row>
    <row r="20" spans="1:30">
      <c r="A20" s="744" t="s">
        <v>64</v>
      </c>
      <c r="B20" s="14">
        <f>'DPL25 Summary USD'!B59+'DPL25 Summary USD'!B60+'DPL25 Summary USD'!B61+'DPL25 Summary USD'!B62+'DPL25 Summary USD'!B64+'DPL25 Summary USD'!B65+'DPL25 Summary USD'!B68</f>
        <v>0</v>
      </c>
      <c r="C20" s="903">
        <f t="shared" ca="1" si="1"/>
        <v>0</v>
      </c>
      <c r="D20" s="14">
        <f>'DPL25 Summary USD'!D59+'DPL25 Summary USD'!D60+'DPL25 Summary USD'!D61+'DPL25 Summary USD'!D62+'DPL25 Summary USD'!D64+'DPL25 Summary USD'!D65+'DPL25 Summary USD'!D68</f>
        <v>0</v>
      </c>
      <c r="E20" s="903">
        <f t="shared" ca="1" si="5"/>
        <v>0</v>
      </c>
      <c r="F20" s="14">
        <f>'DPL25 Summary USD'!F59+'DPL25 Summary USD'!F60+'DPL25 Summary USD'!F61+'DPL25 Summary USD'!F62+'DPL25 Summary USD'!F64+'DPL25 Summary USD'!F65+'DPL25 Summary USD'!F68</f>
        <v>0</v>
      </c>
      <c r="G20" s="903">
        <f t="shared" ca="1" si="6"/>
        <v>0</v>
      </c>
      <c r="H20" s="14">
        <f>'DPL25 Summary USD'!H59+'DPL25 Summary USD'!H60+'DPL25 Summary USD'!H61+'DPL25 Summary USD'!H62+'DPL25 Summary USD'!H64+'DPL25 Summary USD'!H65+'DPL25 Summary USD'!H68</f>
        <v>0</v>
      </c>
      <c r="I20" s="903">
        <f t="shared" ca="1" si="7"/>
        <v>0</v>
      </c>
      <c r="J20" s="14">
        <f>'DPL25 Summary USD'!J59+'DPL25 Summary USD'!J60+'DPL25 Summary USD'!J61+'DPL25 Summary USD'!J62+'DPL25 Summary USD'!J64+'DPL25 Summary USD'!J65+'DPL25 Summary USD'!J68</f>
        <v>0</v>
      </c>
      <c r="K20" s="903">
        <f t="shared" si="8"/>
        <v>0</v>
      </c>
      <c r="L20" s="14">
        <f>'DPL25 Summary USD'!L59+'DPL25 Summary USD'!L60+'DPL25 Summary USD'!L61+'DPL25 Summary USD'!L62+'DPL25 Summary USD'!L64+'DPL25 Summary USD'!L65+'DPL25 Summary USD'!L68</f>
        <v>0</v>
      </c>
      <c r="M20" s="903">
        <f t="shared" si="9"/>
        <v>0</v>
      </c>
      <c r="N20" s="14">
        <f>'DPL25 Summary USD'!N59+'DPL25 Summary USD'!N60+'DPL25 Summary USD'!N61+'DPL25 Summary USD'!N62+'DPL25 Summary USD'!N64+'DPL25 Summary USD'!N65+'DPL25 Summary USD'!N68</f>
        <v>0</v>
      </c>
      <c r="O20" s="903">
        <f t="shared" si="10"/>
        <v>0</v>
      </c>
      <c r="P20" s="14">
        <f>'DPL25 Summary USD'!P59+'DPL25 Summary USD'!P60+'DPL25 Summary USD'!P61+'DPL25 Summary USD'!P62+'DPL25 Summary USD'!P64+'DPL25 Summary USD'!P65+'DPL25 Summary USD'!P68</f>
        <v>0</v>
      </c>
      <c r="Q20" s="903">
        <f t="shared" si="11"/>
        <v>0</v>
      </c>
      <c r="R20" s="14">
        <f>'DPL25 Summary USD'!R59+'DPL25 Summary USD'!R60+'DPL25 Summary USD'!R61+'DPL25 Summary USD'!R62+'DPL25 Summary USD'!R64+'DPL25 Summary USD'!R65+'DPL25 Summary USD'!R68</f>
        <v>0</v>
      </c>
      <c r="S20" s="903">
        <f t="shared" si="12"/>
        <v>0</v>
      </c>
      <c r="T20" s="14">
        <f>'DPL25 Summary USD'!T59+'DPL25 Summary USD'!T60+'DPL25 Summary USD'!T61+'DPL25 Summary USD'!T62+'DPL25 Summary USD'!T64+'DPL25 Summary USD'!T65+'DPL25 Summary USD'!T68</f>
        <v>0</v>
      </c>
      <c r="U20" s="903">
        <f t="shared" si="13"/>
        <v>0</v>
      </c>
      <c r="V20" s="14">
        <f>'DPL25 Summary USD'!V59+'DPL25 Summary USD'!V60+'DPL25 Summary USD'!V61+'DPL25 Summary USD'!V62+'DPL25 Summary USD'!V64+'DPL25 Summary USD'!V65+'DPL25 Summary USD'!V68</f>
        <v>0</v>
      </c>
      <c r="W20" s="903">
        <f t="shared" si="14"/>
        <v>0</v>
      </c>
      <c r="X20" s="14">
        <f>'DPL25 Summary USD'!X59+'DPL25 Summary USD'!X60+'DPL25 Summary USD'!X61+'DPL25 Summary USD'!X62+'DPL25 Summary USD'!X64+'DPL25 Summary USD'!X65+'DPL25 Summary USD'!X68</f>
        <v>0</v>
      </c>
      <c r="Y20" s="903">
        <f t="shared" si="15"/>
        <v>0</v>
      </c>
      <c r="Z20" s="15">
        <f t="shared" si="2"/>
        <v>0</v>
      </c>
      <c r="AA20" s="191" t="e">
        <f t="shared" ca="1" si="3"/>
        <v>#REF!</v>
      </c>
      <c r="AC20" s="103">
        <f>SUM('DPL25 Summary USD'!AB58:AB64)-'DPL25 Summary USD'!AB63+'DPL25 Summary USD'!AB70+'DPL25 Summary USD'!AB68</f>
        <v>141888</v>
      </c>
      <c r="AD20" s="231">
        <f t="shared" si="4"/>
        <v>0.01</v>
      </c>
    </row>
    <row r="21" spans="1:30">
      <c r="A21" s="744" t="s">
        <v>65</v>
      </c>
      <c r="B21" s="14">
        <f>'DPL25 Summary USD'!B63</f>
        <v>0</v>
      </c>
      <c r="C21" s="903">
        <f t="shared" ca="1" si="1"/>
        <v>0</v>
      </c>
      <c r="D21" s="14">
        <f>'DPL25 Summary USD'!D63</f>
        <v>0</v>
      </c>
      <c r="E21" s="903">
        <f t="shared" ca="1" si="5"/>
        <v>0</v>
      </c>
      <c r="F21" s="14">
        <f>'DPL25 Summary USD'!F63</f>
        <v>0</v>
      </c>
      <c r="G21" s="903">
        <f t="shared" ca="1" si="6"/>
        <v>0</v>
      </c>
      <c r="H21" s="14">
        <f>'DPL25 Summary USD'!H63</f>
        <v>0</v>
      </c>
      <c r="I21" s="903">
        <f t="shared" ca="1" si="7"/>
        <v>0</v>
      </c>
      <c r="J21" s="14">
        <f>'DPL25 Summary USD'!J63</f>
        <v>0</v>
      </c>
      <c r="K21" s="903">
        <f t="shared" si="8"/>
        <v>0</v>
      </c>
      <c r="L21" s="14">
        <f>'DPL25 Summary USD'!L63</f>
        <v>0</v>
      </c>
      <c r="M21" s="903">
        <f t="shared" si="9"/>
        <v>0</v>
      </c>
      <c r="N21" s="14">
        <f>'DPL25 Summary USD'!N63</f>
        <v>0</v>
      </c>
      <c r="O21" s="903">
        <f t="shared" si="10"/>
        <v>0</v>
      </c>
      <c r="P21" s="14">
        <f>'DPL25 Summary USD'!P63</f>
        <v>0</v>
      </c>
      <c r="Q21" s="903">
        <f t="shared" si="11"/>
        <v>0</v>
      </c>
      <c r="R21" s="14">
        <f>'DPL25 Summary USD'!R63</f>
        <v>0</v>
      </c>
      <c r="S21" s="903">
        <f t="shared" si="12"/>
        <v>0</v>
      </c>
      <c r="T21" s="14">
        <f>'DPL25 Summary USD'!T63</f>
        <v>0</v>
      </c>
      <c r="U21" s="903">
        <f t="shared" si="13"/>
        <v>0</v>
      </c>
      <c r="V21" s="14">
        <f>'DPL25 Summary USD'!V63</f>
        <v>0</v>
      </c>
      <c r="W21" s="903">
        <f t="shared" si="14"/>
        <v>0</v>
      </c>
      <c r="X21" s="14">
        <f>'DPL25 Summary USD'!X63</f>
        <v>0</v>
      </c>
      <c r="Y21" s="903">
        <f t="shared" si="15"/>
        <v>0</v>
      </c>
      <c r="Z21" s="15">
        <f t="shared" si="2"/>
        <v>0</v>
      </c>
      <c r="AA21" s="191" t="e">
        <f t="shared" ca="1" si="3"/>
        <v>#REF!</v>
      </c>
      <c r="AC21" s="103">
        <f>'DPL25 Summary USD'!AB63</f>
        <v>39732</v>
      </c>
      <c r="AD21" s="231">
        <f t="shared" si="4"/>
        <v>0</v>
      </c>
    </row>
    <row r="22" spans="1:30">
      <c r="A22" s="744" t="s">
        <v>66</v>
      </c>
      <c r="B22" s="14">
        <f>'DPL25 Summary USD'!B66</f>
        <v>0</v>
      </c>
      <c r="C22" s="903">
        <f t="shared" ca="1" si="1"/>
        <v>0</v>
      </c>
      <c r="D22" s="14">
        <f>'DPL25 Summary USD'!D66</f>
        <v>0</v>
      </c>
      <c r="E22" s="903">
        <f t="shared" ca="1" si="5"/>
        <v>0</v>
      </c>
      <c r="F22" s="14">
        <f>'DPL25 Summary USD'!F66</f>
        <v>0</v>
      </c>
      <c r="G22" s="903">
        <f t="shared" ca="1" si="6"/>
        <v>0</v>
      </c>
      <c r="H22" s="14">
        <f>'DPL25 Summary USD'!H66</f>
        <v>0</v>
      </c>
      <c r="I22" s="903">
        <f t="shared" ca="1" si="7"/>
        <v>0</v>
      </c>
      <c r="J22" s="14">
        <f>'DPL25 Summary USD'!J66</f>
        <v>0</v>
      </c>
      <c r="K22" s="903">
        <f t="shared" si="8"/>
        <v>0</v>
      </c>
      <c r="L22" s="14">
        <f>'DPL25 Summary USD'!L66</f>
        <v>0</v>
      </c>
      <c r="M22" s="903">
        <f t="shared" si="9"/>
        <v>0</v>
      </c>
      <c r="N22" s="14">
        <f>'DPL25 Summary USD'!N66</f>
        <v>0</v>
      </c>
      <c r="O22" s="903">
        <f t="shared" si="10"/>
        <v>0</v>
      </c>
      <c r="P22" s="14">
        <f>'DPL25 Summary USD'!P66</f>
        <v>0</v>
      </c>
      <c r="Q22" s="903">
        <f t="shared" si="11"/>
        <v>0</v>
      </c>
      <c r="R22" s="14">
        <f>'DPL25 Summary USD'!R66</f>
        <v>0</v>
      </c>
      <c r="S22" s="903">
        <f t="shared" si="12"/>
        <v>0</v>
      </c>
      <c r="T22" s="14">
        <f>'DPL25 Summary USD'!T66</f>
        <v>0</v>
      </c>
      <c r="U22" s="903">
        <f t="shared" si="13"/>
        <v>0</v>
      </c>
      <c r="V22" s="14">
        <f>'DPL25 Summary USD'!V66</f>
        <v>0</v>
      </c>
      <c r="W22" s="903">
        <f t="shared" si="14"/>
        <v>0</v>
      </c>
      <c r="X22" s="14">
        <f>'DPL25 Summary USD'!X66</f>
        <v>0</v>
      </c>
      <c r="Y22" s="903">
        <f t="shared" si="15"/>
        <v>0</v>
      </c>
      <c r="Z22" s="15">
        <f t="shared" si="2"/>
        <v>0</v>
      </c>
      <c r="AA22" s="191" t="e">
        <f t="shared" ca="1" si="3"/>
        <v>#REF!</v>
      </c>
      <c r="AC22" s="103">
        <f>'DPL25 Summary USD'!AB66</f>
        <v>0</v>
      </c>
      <c r="AD22" s="231">
        <f t="shared" si="4"/>
        <v>0</v>
      </c>
    </row>
    <row r="23" spans="1:30">
      <c r="A23" s="744" t="s">
        <v>67</v>
      </c>
      <c r="B23" s="14">
        <f>'DPL25 Summary USD'!B67</f>
        <v>0</v>
      </c>
      <c r="C23" s="903">
        <f t="shared" ca="1" si="1"/>
        <v>0</v>
      </c>
      <c r="D23" s="14">
        <f>'DPL25 Summary USD'!D67</f>
        <v>0</v>
      </c>
      <c r="E23" s="903">
        <f t="shared" ca="1" si="5"/>
        <v>0</v>
      </c>
      <c r="F23" s="14">
        <f>'DPL25 Summary USD'!F67</f>
        <v>0</v>
      </c>
      <c r="G23" s="903">
        <f t="shared" ca="1" si="6"/>
        <v>0</v>
      </c>
      <c r="H23" s="14">
        <f>'DPL25 Summary USD'!H67</f>
        <v>0</v>
      </c>
      <c r="I23" s="903">
        <f t="shared" ca="1" si="7"/>
        <v>0</v>
      </c>
      <c r="J23" s="14">
        <f>'DPL25 Summary USD'!J67</f>
        <v>0</v>
      </c>
      <c r="K23" s="903">
        <f t="shared" si="8"/>
        <v>0</v>
      </c>
      <c r="L23" s="14">
        <f>'DPL25 Summary USD'!L67</f>
        <v>0</v>
      </c>
      <c r="M23" s="903">
        <f t="shared" si="9"/>
        <v>0</v>
      </c>
      <c r="N23" s="14">
        <f>'DPL25 Summary USD'!N67</f>
        <v>0</v>
      </c>
      <c r="O23" s="903">
        <f t="shared" si="10"/>
        <v>0</v>
      </c>
      <c r="P23" s="14">
        <f>'DPL25 Summary USD'!P67</f>
        <v>0</v>
      </c>
      <c r="Q23" s="903">
        <f t="shared" si="11"/>
        <v>0</v>
      </c>
      <c r="R23" s="14">
        <f>'DPL25 Summary USD'!R67</f>
        <v>0</v>
      </c>
      <c r="S23" s="903">
        <f t="shared" si="12"/>
        <v>0</v>
      </c>
      <c r="T23" s="14">
        <f>'DPL25 Summary USD'!T67</f>
        <v>0</v>
      </c>
      <c r="U23" s="903">
        <f t="shared" si="13"/>
        <v>0</v>
      </c>
      <c r="V23" s="14">
        <f>'DPL25 Summary USD'!V67</f>
        <v>0</v>
      </c>
      <c r="W23" s="903">
        <f t="shared" si="14"/>
        <v>0</v>
      </c>
      <c r="X23" s="14">
        <f>'DPL25 Summary USD'!X67</f>
        <v>0</v>
      </c>
      <c r="Y23" s="903">
        <f t="shared" si="15"/>
        <v>0</v>
      </c>
      <c r="Z23" s="15">
        <f t="shared" si="2"/>
        <v>0</v>
      </c>
      <c r="AA23" s="191" t="e">
        <f t="shared" ca="1" si="3"/>
        <v>#REF!</v>
      </c>
      <c r="AC23" s="103">
        <f>'DPL25 Summary USD'!AB67</f>
        <v>46557</v>
      </c>
      <c r="AD23" s="231">
        <f t="shared" si="4"/>
        <v>0</v>
      </c>
    </row>
    <row r="24" spans="1:30">
      <c r="A24" s="744" t="s">
        <v>68</v>
      </c>
      <c r="B24" s="14">
        <f>'DPL25 Summary USD'!B69</f>
        <v>0</v>
      </c>
      <c r="C24" s="903">
        <f t="shared" ca="1" si="1"/>
        <v>0</v>
      </c>
      <c r="D24" s="14">
        <f>'DPL25 Summary USD'!D69</f>
        <v>0</v>
      </c>
      <c r="E24" s="903">
        <f t="shared" ca="1" si="5"/>
        <v>0</v>
      </c>
      <c r="F24" s="14">
        <f>'DPL25 Summary USD'!F69</f>
        <v>0</v>
      </c>
      <c r="G24" s="903">
        <f t="shared" ca="1" si="6"/>
        <v>0</v>
      </c>
      <c r="H24" s="14">
        <f>'DPL25 Summary USD'!H69</f>
        <v>0</v>
      </c>
      <c r="I24" s="903">
        <f t="shared" ca="1" si="7"/>
        <v>0</v>
      </c>
      <c r="J24" s="14">
        <f>'DPL25 Summary USD'!J69</f>
        <v>0</v>
      </c>
      <c r="K24" s="903">
        <f t="shared" si="8"/>
        <v>0</v>
      </c>
      <c r="L24" s="14">
        <f>'DPL25 Summary USD'!L69</f>
        <v>0</v>
      </c>
      <c r="M24" s="903">
        <f t="shared" si="9"/>
        <v>0</v>
      </c>
      <c r="N24" s="14">
        <f>'DPL25 Summary USD'!N69</f>
        <v>0</v>
      </c>
      <c r="O24" s="903">
        <f t="shared" si="10"/>
        <v>0</v>
      </c>
      <c r="P24" s="14">
        <f>'DPL25 Summary USD'!P69</f>
        <v>0</v>
      </c>
      <c r="Q24" s="903">
        <f t="shared" si="11"/>
        <v>0</v>
      </c>
      <c r="R24" s="14">
        <f>'DPL25 Summary USD'!R69</f>
        <v>0</v>
      </c>
      <c r="S24" s="903">
        <f t="shared" si="12"/>
        <v>0</v>
      </c>
      <c r="T24" s="14">
        <f>'DPL25 Summary USD'!T69</f>
        <v>0</v>
      </c>
      <c r="U24" s="903">
        <f t="shared" si="13"/>
        <v>0</v>
      </c>
      <c r="V24" s="14">
        <f>'DPL25 Summary USD'!V69</f>
        <v>0</v>
      </c>
      <c r="W24" s="903">
        <f t="shared" si="14"/>
        <v>0</v>
      </c>
      <c r="X24" s="14">
        <f>'DPL25 Summary USD'!X69</f>
        <v>0</v>
      </c>
      <c r="Y24" s="903">
        <f t="shared" si="15"/>
        <v>0</v>
      </c>
      <c r="Z24" s="15">
        <f t="shared" si="2"/>
        <v>0</v>
      </c>
      <c r="AA24" s="191" t="e">
        <f t="shared" ca="1" si="3"/>
        <v>#REF!</v>
      </c>
      <c r="AC24" s="103">
        <f>+'DPL25 Summary USD'!AB69</f>
        <v>20298</v>
      </c>
      <c r="AD24" s="231">
        <f t="shared" si="4"/>
        <v>0</v>
      </c>
    </row>
    <row r="25" spans="1:30" ht="13.5" thickBot="1">
      <c r="A25" s="1" t="s">
        <v>69</v>
      </c>
      <c r="B25" s="38">
        <f t="shared" ref="B25:X25" si="16">SUM(B17:B24)</f>
        <v>1050</v>
      </c>
      <c r="C25" s="903">
        <f t="shared" ca="1" si="1"/>
        <v>0.38</v>
      </c>
      <c r="D25" s="38">
        <f t="shared" si="16"/>
        <v>1050</v>
      </c>
      <c r="E25" s="903">
        <f t="shared" ca="1" si="5"/>
        <v>0.38</v>
      </c>
      <c r="F25" s="38">
        <f t="shared" si="16"/>
        <v>1050</v>
      </c>
      <c r="G25" s="903">
        <f t="shared" ca="1" si="6"/>
        <v>0.38</v>
      </c>
      <c r="H25" s="38">
        <f t="shared" si="16"/>
        <v>1050</v>
      </c>
      <c r="I25" s="903">
        <f t="shared" ca="1" si="7"/>
        <v>0.38</v>
      </c>
      <c r="J25" s="38">
        <f t="shared" si="16"/>
        <v>1050</v>
      </c>
      <c r="K25" s="903">
        <f t="shared" si="8"/>
        <v>0</v>
      </c>
      <c r="L25" s="38">
        <f t="shared" si="16"/>
        <v>1050</v>
      </c>
      <c r="M25" s="903">
        <f t="shared" si="9"/>
        <v>0</v>
      </c>
      <c r="N25" s="38">
        <f t="shared" si="16"/>
        <v>1050</v>
      </c>
      <c r="O25" s="903">
        <f t="shared" si="10"/>
        <v>0</v>
      </c>
      <c r="P25" s="38">
        <f t="shared" si="16"/>
        <v>1050</v>
      </c>
      <c r="Q25" s="903">
        <f t="shared" si="11"/>
        <v>0</v>
      </c>
      <c r="R25" s="38">
        <f t="shared" si="16"/>
        <v>1050</v>
      </c>
      <c r="S25" s="903">
        <f t="shared" si="12"/>
        <v>0</v>
      </c>
      <c r="T25" s="38">
        <f t="shared" si="16"/>
        <v>1050</v>
      </c>
      <c r="U25" s="903">
        <f t="shared" si="13"/>
        <v>0</v>
      </c>
      <c r="V25" s="38">
        <f t="shared" si="16"/>
        <v>1050</v>
      </c>
      <c r="W25" s="903">
        <f t="shared" si="14"/>
        <v>0</v>
      </c>
      <c r="X25" s="38">
        <f t="shared" si="16"/>
        <v>1050</v>
      </c>
      <c r="Y25" s="903">
        <f t="shared" si="15"/>
        <v>0</v>
      </c>
      <c r="Z25" s="38">
        <f t="shared" si="2"/>
        <v>12600</v>
      </c>
      <c r="AA25" s="191" t="e">
        <f t="shared" ca="1" si="3"/>
        <v>#REF!</v>
      </c>
      <c r="AC25" s="109">
        <f>SUM(AC17:AC24)</f>
        <v>832537</v>
      </c>
      <c r="AD25" s="231">
        <f t="shared" si="4"/>
        <v>0.08</v>
      </c>
    </row>
    <row r="26" spans="1:30" ht="11.25" customHeight="1" thickTop="1">
      <c r="B26" s="14"/>
      <c r="C26" s="902"/>
      <c r="D26" s="14"/>
      <c r="E26" s="902"/>
      <c r="F26" s="14"/>
      <c r="G26" s="902"/>
      <c r="H26" s="14"/>
      <c r="I26" s="903"/>
      <c r="J26" s="14"/>
      <c r="K26" s="903"/>
      <c r="L26" s="14"/>
      <c r="M26" s="903"/>
      <c r="N26" s="14"/>
      <c r="O26" s="903"/>
      <c r="P26" s="14"/>
      <c r="Q26" s="903"/>
      <c r="R26" s="14"/>
      <c r="S26" s="455"/>
      <c r="T26" s="14"/>
      <c r="U26" s="14"/>
      <c r="V26" s="14"/>
      <c r="W26" s="14"/>
      <c r="X26" s="14"/>
      <c r="Y26" s="903"/>
      <c r="Z26" s="15"/>
      <c r="AA26" s="236"/>
      <c r="AC26" s="103"/>
    </row>
    <row r="27" spans="1:30" ht="13.5" thickBot="1">
      <c r="A27" s="1" t="s">
        <v>70</v>
      </c>
      <c r="B27" s="26">
        <f t="shared" ref="B27:X27" ca="1" si="17">B7-B12-B25</f>
        <v>1203</v>
      </c>
      <c r="C27" s="903">
        <f ca="1">+B27/$B$7</f>
        <v>0.44</v>
      </c>
      <c r="D27" s="26">
        <f t="shared" ca="1" si="17"/>
        <v>1552</v>
      </c>
      <c r="E27" s="903">
        <f ca="1">IFERROR(D27/$D$7,0)</f>
        <v>0.56999999999999995</v>
      </c>
      <c r="F27" s="26">
        <f t="shared" ca="1" si="17"/>
        <v>1552</v>
      </c>
      <c r="G27" s="903">
        <f ca="1">IFERROR(F27/$F$7,0)</f>
        <v>0.56999999999999995</v>
      </c>
      <c r="H27" s="26">
        <f t="shared" ca="1" si="17"/>
        <v>-382</v>
      </c>
      <c r="I27" s="903">
        <f ca="1">IFERROR(H27/$H$7,0)</f>
        <v>-0.14000000000000001</v>
      </c>
      <c r="J27" s="26" t="e">
        <f t="shared" si="17"/>
        <v>#REF!</v>
      </c>
      <c r="K27" s="903">
        <f>IFERROR(J27/$J$7,0)</f>
        <v>0</v>
      </c>
      <c r="L27" s="26" t="e">
        <f t="shared" si="17"/>
        <v>#REF!</v>
      </c>
      <c r="M27" s="903">
        <f>IFERROR(L27/$L$7,0)</f>
        <v>0</v>
      </c>
      <c r="N27" s="26" t="e">
        <f t="shared" si="17"/>
        <v>#REF!</v>
      </c>
      <c r="O27" s="903">
        <f>IFERROR(N27/$N$7,0)</f>
        <v>0</v>
      </c>
      <c r="P27" s="26" t="e">
        <f t="shared" si="17"/>
        <v>#REF!</v>
      </c>
      <c r="Q27" s="903">
        <f>IFERROR(P27/$P$7,0)</f>
        <v>0</v>
      </c>
      <c r="R27" s="26" t="e">
        <f t="shared" si="17"/>
        <v>#REF!</v>
      </c>
      <c r="S27" s="903">
        <f>IFERROR(R27/$R$7,0)</f>
        <v>0</v>
      </c>
      <c r="T27" s="26" t="e">
        <f t="shared" si="17"/>
        <v>#REF!</v>
      </c>
      <c r="U27" s="903">
        <f>IFERROR(T27/$T$7,0)</f>
        <v>0</v>
      </c>
      <c r="V27" s="26" t="e">
        <f>V7-V12-V25</f>
        <v>#REF!</v>
      </c>
      <c r="W27" s="903">
        <f>IFERROR(V27/$V$7,0)</f>
        <v>0</v>
      </c>
      <c r="X27" s="26" t="e">
        <f t="shared" si="17"/>
        <v>#REF!</v>
      </c>
      <c r="Y27" s="903">
        <f>IFERROR(X27/$X$7,0)</f>
        <v>0</v>
      </c>
      <c r="Z27" s="26" t="e">
        <f ca="1">Z7-Z12-Z25</f>
        <v>#REF!</v>
      </c>
      <c r="AA27" s="191" t="e">
        <f ca="1">+Z27/$Z$7</f>
        <v>#REF!</v>
      </c>
      <c r="AC27" s="110">
        <f>AC7-AC12-AC25</f>
        <v>3220624</v>
      </c>
      <c r="AD27" s="231">
        <f>+AC27/$AC$7</f>
        <v>0.32</v>
      </c>
    </row>
    <row r="28" spans="1:30">
      <c r="B28" s="14"/>
      <c r="C28" s="902"/>
      <c r="D28" s="14"/>
      <c r="E28" s="902"/>
      <c r="F28" s="14"/>
      <c r="G28" s="902"/>
      <c r="H28" s="14"/>
      <c r="I28" s="903"/>
      <c r="J28" s="14"/>
      <c r="K28" s="903"/>
      <c r="L28" s="14"/>
      <c r="M28" s="903"/>
      <c r="N28" s="14"/>
      <c r="O28" s="903"/>
      <c r="P28" s="14"/>
      <c r="Q28" s="903"/>
      <c r="R28" s="14"/>
      <c r="S28" s="455"/>
      <c r="T28" s="14"/>
      <c r="U28" s="14"/>
      <c r="V28" s="14"/>
      <c r="W28" s="14"/>
      <c r="X28" s="14"/>
      <c r="Y28" s="903"/>
      <c r="Z28" s="15"/>
      <c r="AA28" s="236"/>
      <c r="AC28" s="103"/>
    </row>
    <row r="29" spans="1:30">
      <c r="A29" s="744" t="s">
        <v>71</v>
      </c>
      <c r="B29" s="14">
        <f>+'DPL25 Summary USD'!B76+'DPL25 Summary USD'!B77</f>
        <v>0</v>
      </c>
      <c r="C29" s="903">
        <f t="shared" ref="C29:C34" ca="1" si="18">+B29/$B$7</f>
        <v>0</v>
      </c>
      <c r="D29" s="14">
        <f>+'DPL25 Summary USD'!D76+'DPL25 Summary USD'!D77</f>
        <v>0</v>
      </c>
      <c r="E29" s="903">
        <f t="shared" ref="E29:E34" ca="1" si="19">IFERROR(D29/$D$7,0)</f>
        <v>0</v>
      </c>
      <c r="F29" s="14">
        <f>+'DPL25 Summary USD'!F76+'DPL25 Summary USD'!F77</f>
        <v>0</v>
      </c>
      <c r="G29" s="903">
        <f t="shared" ref="G29:G34" ca="1" si="20">IFERROR(F29/$F$7,0)</f>
        <v>0</v>
      </c>
      <c r="H29" s="14">
        <f>+'DPL25 Summary USD'!H76+'DPL25 Summary USD'!H77</f>
        <v>0</v>
      </c>
      <c r="I29" s="903">
        <f t="shared" ref="I29:I34" ca="1" si="21">IFERROR(H29/$H$7,0)</f>
        <v>0</v>
      </c>
      <c r="J29" s="14">
        <f>+'DPL25 Summary USD'!J76+'DPL25 Summary USD'!J77</f>
        <v>0</v>
      </c>
      <c r="K29" s="903">
        <f t="shared" ref="K29:K34" si="22">IFERROR(J29/$J$7,0)</f>
        <v>0</v>
      </c>
      <c r="L29" s="14">
        <f>+'DPL25 Summary USD'!L76+'DPL25 Summary USD'!L77</f>
        <v>0</v>
      </c>
      <c r="M29" s="903">
        <f t="shared" ref="M29:M34" si="23">IFERROR(L29/$L$7,0)</f>
        <v>0</v>
      </c>
      <c r="N29" s="14">
        <f>+'DPL25 Summary USD'!N76+'DPL25 Summary USD'!N77</f>
        <v>0</v>
      </c>
      <c r="O29" s="903">
        <f t="shared" ref="O29:O34" si="24">IFERROR(N29/$N$7,0)</f>
        <v>0</v>
      </c>
      <c r="P29" s="14">
        <f>+'DPL25 Summary USD'!P76+'DPL25 Summary USD'!P77</f>
        <v>0</v>
      </c>
      <c r="Q29" s="903">
        <f t="shared" ref="Q29:Q34" si="25">IFERROR(P29/$P$7,0)</f>
        <v>0</v>
      </c>
      <c r="R29" s="14">
        <f>+'DPL25 Summary USD'!R76+'DPL25 Summary USD'!R77</f>
        <v>0</v>
      </c>
      <c r="S29" s="903">
        <f t="shared" ref="S29:S34" si="26">IFERROR(R29/$R$7,0)</f>
        <v>0</v>
      </c>
      <c r="T29" s="14">
        <f>+'DPL25 Summary USD'!T76+'DPL25 Summary USD'!T77</f>
        <v>0</v>
      </c>
      <c r="U29" s="903">
        <f t="shared" ref="U29:U34" si="27">IFERROR(T29/$T$7,0)</f>
        <v>0</v>
      </c>
      <c r="V29" s="14">
        <f>+'DPL25 Summary USD'!V76+'DPL25 Summary USD'!V77</f>
        <v>0</v>
      </c>
      <c r="W29" s="903">
        <f t="shared" ref="W29:W34" si="28">IFERROR(V29/$V$7,0)</f>
        <v>0</v>
      </c>
      <c r="X29" s="14">
        <f>+'DPL25 Summary USD'!X76+'DPL25 Summary USD'!X77</f>
        <v>0</v>
      </c>
      <c r="Y29" s="903">
        <f t="shared" ref="Y29:Y34" si="29">IFERROR(X29/$X$7,0)</f>
        <v>0</v>
      </c>
      <c r="Z29" s="15">
        <f>+B29+D29+F29+H29+J29+L29+N29+P29+R29+T29+V29+X29</f>
        <v>0</v>
      </c>
      <c r="AA29" s="191" t="e">
        <f t="shared" ref="AA29:AA34" ca="1" si="30">+Z29/$Z$7</f>
        <v>#REF!</v>
      </c>
      <c r="AC29" s="103">
        <f>'DPL25 Summary USD'!AB76+'DPL25 Summary USD'!AB77</f>
        <v>-2093</v>
      </c>
      <c r="AD29" s="231">
        <f t="shared" ref="AD29:AD34" si="31">+AC29/$AC$7</f>
        <v>0</v>
      </c>
    </row>
    <row r="30" spans="1:30">
      <c r="A30" s="744" t="s">
        <v>72</v>
      </c>
      <c r="B30" s="14">
        <f>+'DPL25 Summary USD'!B78</f>
        <v>0</v>
      </c>
      <c r="C30" s="903">
        <f t="shared" ca="1" si="18"/>
        <v>0</v>
      </c>
      <c r="D30" s="14">
        <f>+'DPL25 Summary USD'!D78</f>
        <v>0</v>
      </c>
      <c r="E30" s="903">
        <f t="shared" ca="1" si="19"/>
        <v>0</v>
      </c>
      <c r="F30" s="14">
        <f>+'DPL25 Summary USD'!F78</f>
        <v>0</v>
      </c>
      <c r="G30" s="903">
        <f t="shared" ca="1" si="20"/>
        <v>0</v>
      </c>
      <c r="H30" s="14">
        <f>+'DPL25 Summary USD'!H78</f>
        <v>0</v>
      </c>
      <c r="I30" s="903">
        <f t="shared" ca="1" si="21"/>
        <v>0</v>
      </c>
      <c r="J30" s="14">
        <f>+'DPL25 Summary USD'!J78</f>
        <v>0</v>
      </c>
      <c r="K30" s="903">
        <f t="shared" si="22"/>
        <v>0</v>
      </c>
      <c r="L30" s="14">
        <f>+'DPL25 Summary USD'!L78</f>
        <v>0</v>
      </c>
      <c r="M30" s="903">
        <f t="shared" si="23"/>
        <v>0</v>
      </c>
      <c r="N30" s="14">
        <f>+'DPL25 Summary USD'!N78</f>
        <v>0</v>
      </c>
      <c r="O30" s="903">
        <f t="shared" si="24"/>
        <v>0</v>
      </c>
      <c r="P30" s="14">
        <f>+'DPL25 Summary USD'!P78</f>
        <v>0</v>
      </c>
      <c r="Q30" s="903">
        <f t="shared" si="25"/>
        <v>0</v>
      </c>
      <c r="R30" s="14">
        <f>+'DPL25 Summary USD'!R78</f>
        <v>0</v>
      </c>
      <c r="S30" s="903">
        <f t="shared" si="26"/>
        <v>0</v>
      </c>
      <c r="T30" s="14">
        <f>+'DPL25 Summary USD'!T78</f>
        <v>0</v>
      </c>
      <c r="U30" s="903">
        <f t="shared" si="27"/>
        <v>0</v>
      </c>
      <c r="V30" s="14">
        <f>+'DPL25 Summary USD'!V78</f>
        <v>0</v>
      </c>
      <c r="W30" s="903">
        <f t="shared" si="28"/>
        <v>0</v>
      </c>
      <c r="X30" s="14">
        <f>+'DPL25 Summary USD'!X78</f>
        <v>0</v>
      </c>
      <c r="Y30" s="903">
        <f t="shared" si="29"/>
        <v>0</v>
      </c>
      <c r="Z30" s="15">
        <f>+B30+D30+F30+H30+J30+L30+N30+P30+R30+T30+V30+X30</f>
        <v>0</v>
      </c>
      <c r="AA30" s="191" t="e">
        <f t="shared" ca="1" si="30"/>
        <v>#REF!</v>
      </c>
      <c r="AC30" s="103">
        <f>'DPL25 Summary USD'!AB78</f>
        <v>87867</v>
      </c>
      <c r="AD30" s="231">
        <f t="shared" si="31"/>
        <v>0.01</v>
      </c>
    </row>
    <row r="31" spans="1:30">
      <c r="A31" s="744" t="s">
        <v>73</v>
      </c>
      <c r="B31" s="14">
        <f>+'DPL25 Summary USD'!B79+'DPL25 Summary USD'!B80</f>
        <v>0</v>
      </c>
      <c r="C31" s="903">
        <f t="shared" ca="1" si="18"/>
        <v>0</v>
      </c>
      <c r="D31" s="14">
        <f>+'DPL25 Summary USD'!D79+'DPL25 Summary USD'!D80</f>
        <v>0</v>
      </c>
      <c r="E31" s="903">
        <f t="shared" ca="1" si="19"/>
        <v>0</v>
      </c>
      <c r="F31" s="14">
        <f>+'DPL25 Summary USD'!F79+'DPL25 Summary USD'!F80</f>
        <v>0</v>
      </c>
      <c r="G31" s="903">
        <f t="shared" ca="1" si="20"/>
        <v>0</v>
      </c>
      <c r="H31" s="14">
        <f>+'DPL25 Summary USD'!H79+'DPL25 Summary USD'!H80</f>
        <v>0</v>
      </c>
      <c r="I31" s="903">
        <f t="shared" ca="1" si="21"/>
        <v>0</v>
      </c>
      <c r="J31" s="14">
        <f>+'DPL25 Summary USD'!J79+'DPL25 Summary USD'!J80</f>
        <v>0</v>
      </c>
      <c r="K31" s="903">
        <f t="shared" si="22"/>
        <v>0</v>
      </c>
      <c r="L31" s="14">
        <f>+'DPL25 Summary USD'!L79+'DPL25 Summary USD'!L80</f>
        <v>0</v>
      </c>
      <c r="M31" s="903">
        <f t="shared" si="23"/>
        <v>0</v>
      </c>
      <c r="N31" s="14">
        <f>+'DPL25 Summary USD'!N79+'DPL25 Summary USD'!N80</f>
        <v>0</v>
      </c>
      <c r="O31" s="903">
        <f t="shared" si="24"/>
        <v>0</v>
      </c>
      <c r="P31" s="14">
        <f>+'DPL25 Summary USD'!P79+'DPL25 Summary USD'!P80</f>
        <v>0</v>
      </c>
      <c r="Q31" s="903">
        <f t="shared" si="25"/>
        <v>0</v>
      </c>
      <c r="R31" s="14">
        <f>+'DPL25 Summary USD'!R79+'DPL25 Summary USD'!R80</f>
        <v>0</v>
      </c>
      <c r="S31" s="903">
        <f t="shared" si="26"/>
        <v>0</v>
      </c>
      <c r="T31" s="14">
        <f>+'DPL25 Summary USD'!T79+'DPL25 Summary USD'!T80</f>
        <v>0</v>
      </c>
      <c r="U31" s="903">
        <f t="shared" si="27"/>
        <v>0</v>
      </c>
      <c r="V31" s="14">
        <f>+'DPL25 Summary USD'!V79+'DPL25 Summary USD'!V80</f>
        <v>0</v>
      </c>
      <c r="W31" s="903">
        <f t="shared" si="28"/>
        <v>0</v>
      </c>
      <c r="X31" s="14">
        <f>+'DPL25 Summary USD'!X79+'DPL25 Summary USD'!X80</f>
        <v>0</v>
      </c>
      <c r="Y31" s="903">
        <f t="shared" si="29"/>
        <v>0</v>
      </c>
      <c r="Z31" s="15">
        <f>+B31+D31+F31+H31+J31+L31+N31+P31+R31+T31+V31+X31</f>
        <v>0</v>
      </c>
      <c r="AA31" s="191" t="e">
        <f t="shared" ca="1" si="30"/>
        <v>#REF!</v>
      </c>
      <c r="AC31" s="103">
        <f>'DPL25 Summary USD'!AB79+'DPL25 Summary USD'!AB80</f>
        <v>121650</v>
      </c>
      <c r="AD31" s="231">
        <f t="shared" si="31"/>
        <v>0.01</v>
      </c>
    </row>
    <row r="32" spans="1:30">
      <c r="A32" s="423" t="s">
        <v>74</v>
      </c>
      <c r="B32" s="14">
        <f ca="1">+'DPL25 Summary USD'!B81</f>
        <v>1134</v>
      </c>
      <c r="C32" s="903">
        <f t="shared" ca="1" si="18"/>
        <v>0.42</v>
      </c>
      <c r="D32" s="14">
        <f ca="1">+'DPL25 Summary USD'!D81</f>
        <v>1112</v>
      </c>
      <c r="E32" s="903">
        <f t="shared" ca="1" si="19"/>
        <v>0.41</v>
      </c>
      <c r="F32" s="14">
        <f ca="1">+'DPL25 Summary USD'!F81</f>
        <v>1112</v>
      </c>
      <c r="G32" s="903">
        <f t="shared" ca="1" si="20"/>
        <v>0.41</v>
      </c>
      <c r="H32" s="14">
        <f ca="1">+'DPL25 Summary USD'!H81</f>
        <v>302</v>
      </c>
      <c r="I32" s="903">
        <f t="shared" ca="1" si="21"/>
        <v>0.11</v>
      </c>
      <c r="J32" s="14" t="e">
        <f>+'DPL25 Summary USD'!J81</f>
        <v>#REF!</v>
      </c>
      <c r="K32" s="903">
        <f t="shared" si="22"/>
        <v>0</v>
      </c>
      <c r="L32" s="14" t="e">
        <f>+'DPL25 Summary USD'!L81</f>
        <v>#REF!</v>
      </c>
      <c r="M32" s="903">
        <f t="shared" si="23"/>
        <v>0</v>
      </c>
      <c r="N32" s="14" t="e">
        <f>+'DPL25 Summary USD'!N81</f>
        <v>#REF!</v>
      </c>
      <c r="O32" s="903">
        <f t="shared" si="24"/>
        <v>0</v>
      </c>
      <c r="P32" s="14" t="e">
        <f>+'DPL25 Summary USD'!P81</f>
        <v>#REF!</v>
      </c>
      <c r="Q32" s="903">
        <f t="shared" si="25"/>
        <v>0</v>
      </c>
      <c r="R32" s="14" t="e">
        <f>+'DPL25 Summary USD'!R81</f>
        <v>#REF!</v>
      </c>
      <c r="S32" s="903">
        <f t="shared" si="26"/>
        <v>0</v>
      </c>
      <c r="T32" s="14" t="e">
        <f>+'DPL25 Summary USD'!T81</f>
        <v>#REF!</v>
      </c>
      <c r="U32" s="903">
        <f t="shared" si="27"/>
        <v>0</v>
      </c>
      <c r="V32" s="14" t="e">
        <f>+'DPL25 Summary USD'!V81</f>
        <v>#REF!</v>
      </c>
      <c r="W32" s="903">
        <f t="shared" si="28"/>
        <v>0</v>
      </c>
      <c r="X32" s="14" t="e">
        <f>+'DPL25 Summary USD'!X81</f>
        <v>#REF!</v>
      </c>
      <c r="Y32" s="903">
        <f t="shared" si="29"/>
        <v>0</v>
      </c>
      <c r="Z32" s="15" t="e">
        <f ca="1">+B32+D32+F32+H32+J32+L32+N32+P32+R32+T32+V32+X32</f>
        <v>#REF!</v>
      </c>
      <c r="AA32" s="191" t="e">
        <f t="shared" ca="1" si="30"/>
        <v>#REF!</v>
      </c>
      <c r="AC32" s="103">
        <f>'DPL25 Summary USD'!AB81</f>
        <v>0</v>
      </c>
      <c r="AD32" s="231">
        <f t="shared" si="31"/>
        <v>0</v>
      </c>
    </row>
    <row r="33" spans="1:30">
      <c r="A33" s="840" t="s">
        <v>75</v>
      </c>
      <c r="B33" s="27">
        <f>+'DPL25 Summary USD'!B82</f>
        <v>0</v>
      </c>
      <c r="C33" s="903">
        <f t="shared" ca="1" si="18"/>
        <v>0</v>
      </c>
      <c r="D33" s="27">
        <f>+'DPL25 Summary USD'!D82</f>
        <v>0</v>
      </c>
      <c r="E33" s="903">
        <f t="shared" ca="1" si="19"/>
        <v>0</v>
      </c>
      <c r="F33" s="27">
        <f>+'DPL25 Summary USD'!F82</f>
        <v>0</v>
      </c>
      <c r="G33" s="903">
        <f t="shared" ca="1" si="20"/>
        <v>0</v>
      </c>
      <c r="H33" s="27">
        <f>+'DPL25 Summary USD'!H82</f>
        <v>0</v>
      </c>
      <c r="I33" s="903">
        <f t="shared" ca="1" si="21"/>
        <v>0</v>
      </c>
      <c r="J33" s="27">
        <f>+'DPL25 Summary USD'!J82</f>
        <v>0</v>
      </c>
      <c r="K33" s="903">
        <f t="shared" si="22"/>
        <v>0</v>
      </c>
      <c r="L33" s="27">
        <f>+'DPL25 Summary USD'!L82</f>
        <v>0</v>
      </c>
      <c r="M33" s="903">
        <f t="shared" si="23"/>
        <v>0</v>
      </c>
      <c r="N33" s="27">
        <f>+'DPL25 Summary USD'!N82</f>
        <v>0</v>
      </c>
      <c r="O33" s="903">
        <f t="shared" si="24"/>
        <v>0</v>
      </c>
      <c r="P33" s="27">
        <f>+'DPL25 Summary USD'!P82</f>
        <v>0</v>
      </c>
      <c r="Q33" s="903">
        <f t="shared" si="25"/>
        <v>0</v>
      </c>
      <c r="R33" s="27">
        <f>+'DPL25 Summary USD'!R82</f>
        <v>0</v>
      </c>
      <c r="S33" s="903">
        <f t="shared" si="26"/>
        <v>0</v>
      </c>
      <c r="T33" s="27">
        <f>+'DPL25 Summary USD'!T82</f>
        <v>0</v>
      </c>
      <c r="U33" s="903">
        <f t="shared" si="27"/>
        <v>0</v>
      </c>
      <c r="V33" s="27">
        <f>+'DPL25 Summary USD'!V82</f>
        <v>0</v>
      </c>
      <c r="W33" s="903">
        <f t="shared" si="28"/>
        <v>0</v>
      </c>
      <c r="X33" s="27">
        <f>+'DPL25 Summary USD'!X82</f>
        <v>0</v>
      </c>
      <c r="Y33" s="903">
        <f t="shared" si="29"/>
        <v>0</v>
      </c>
      <c r="Z33" s="15">
        <f>+B33+D33+F33+H33+J33+L33+N33+P33+R33+T33+V33+X33</f>
        <v>0</v>
      </c>
      <c r="AA33" s="191" t="e">
        <f t="shared" ca="1" si="30"/>
        <v>#REF!</v>
      </c>
      <c r="AC33" s="103">
        <f>'DPL25 Summary USD'!AB82</f>
        <v>35</v>
      </c>
      <c r="AD33" s="231">
        <f t="shared" si="31"/>
        <v>0</v>
      </c>
    </row>
    <row r="34" spans="1:30" ht="13.5" thickBot="1">
      <c r="B34" s="38">
        <f ca="1">SUM(B29:B33)</f>
        <v>1134</v>
      </c>
      <c r="C34" s="903">
        <f t="shared" ca="1" si="18"/>
        <v>0.42</v>
      </c>
      <c r="D34" s="38">
        <f t="shared" ref="D34:Z34" ca="1" si="32">SUM(D29:D33)</f>
        <v>1112</v>
      </c>
      <c r="E34" s="903">
        <f t="shared" ca="1" si="19"/>
        <v>0.41</v>
      </c>
      <c r="F34" s="38">
        <f t="shared" ca="1" si="32"/>
        <v>1112</v>
      </c>
      <c r="G34" s="903">
        <f t="shared" ca="1" si="20"/>
        <v>0.41</v>
      </c>
      <c r="H34" s="38">
        <f t="shared" ca="1" si="32"/>
        <v>302</v>
      </c>
      <c r="I34" s="903">
        <f t="shared" ca="1" si="21"/>
        <v>0.11</v>
      </c>
      <c r="J34" s="38" t="e">
        <f t="shared" si="32"/>
        <v>#REF!</v>
      </c>
      <c r="K34" s="903">
        <f t="shared" si="22"/>
        <v>0</v>
      </c>
      <c r="L34" s="38" t="e">
        <f t="shared" si="32"/>
        <v>#REF!</v>
      </c>
      <c r="M34" s="903">
        <f t="shared" si="23"/>
        <v>0</v>
      </c>
      <c r="N34" s="38" t="e">
        <f t="shared" si="32"/>
        <v>#REF!</v>
      </c>
      <c r="O34" s="903">
        <f t="shared" si="24"/>
        <v>0</v>
      </c>
      <c r="P34" s="38" t="e">
        <f t="shared" si="32"/>
        <v>#REF!</v>
      </c>
      <c r="Q34" s="903">
        <f t="shared" si="25"/>
        <v>0</v>
      </c>
      <c r="R34" s="38" t="e">
        <f t="shared" si="32"/>
        <v>#REF!</v>
      </c>
      <c r="S34" s="903">
        <f t="shared" si="26"/>
        <v>0</v>
      </c>
      <c r="T34" s="38" t="e">
        <f t="shared" si="32"/>
        <v>#REF!</v>
      </c>
      <c r="U34" s="903">
        <f t="shared" si="27"/>
        <v>0</v>
      </c>
      <c r="V34" s="38" t="e">
        <f t="shared" si="32"/>
        <v>#REF!</v>
      </c>
      <c r="W34" s="903">
        <f t="shared" si="28"/>
        <v>0</v>
      </c>
      <c r="X34" s="38" t="e">
        <f t="shared" si="32"/>
        <v>#REF!</v>
      </c>
      <c r="Y34" s="903">
        <f t="shared" si="29"/>
        <v>0</v>
      </c>
      <c r="Z34" s="16" t="e">
        <f t="shared" ca="1" si="32"/>
        <v>#REF!</v>
      </c>
      <c r="AA34" s="191" t="e">
        <f t="shared" ca="1" si="30"/>
        <v>#REF!</v>
      </c>
      <c r="AC34" s="109">
        <f>SUM(AC29:AC33)</f>
        <v>207459</v>
      </c>
      <c r="AD34" s="231">
        <f t="shared" si="31"/>
        <v>0.02</v>
      </c>
    </row>
    <row r="35" spans="1:30" ht="13.5" thickTop="1">
      <c r="B35" s="14"/>
      <c r="C35" s="902"/>
      <c r="D35" s="14"/>
      <c r="E35" s="902"/>
      <c r="F35" s="14"/>
      <c r="G35" s="902"/>
      <c r="H35" s="14"/>
      <c r="I35" s="903"/>
      <c r="J35" s="14"/>
      <c r="K35" s="903"/>
      <c r="L35" s="14"/>
      <c r="M35" s="903"/>
      <c r="N35" s="14"/>
      <c r="O35" s="903"/>
      <c r="P35" s="14"/>
      <c r="Q35" s="903"/>
      <c r="R35" s="14"/>
      <c r="S35" s="455"/>
      <c r="T35" s="14"/>
      <c r="U35" s="903"/>
      <c r="V35" s="14"/>
      <c r="W35" s="14"/>
      <c r="X35" s="14"/>
      <c r="Y35" s="903"/>
      <c r="Z35" s="15"/>
      <c r="AA35" s="236"/>
      <c r="AC35" s="103"/>
    </row>
    <row r="36" spans="1:30" s="1" customFormat="1" ht="13.5" thickBot="1">
      <c r="A36" s="1" t="s">
        <v>76</v>
      </c>
      <c r="B36" s="26">
        <f ca="1">B27-B34</f>
        <v>69</v>
      </c>
      <c r="C36" s="903">
        <f ca="1">+B36/$B$7</f>
        <v>0.03</v>
      </c>
      <c r="D36" s="26">
        <f t="shared" ref="D36:Z36" ca="1" si="33">D27-D34</f>
        <v>440</v>
      </c>
      <c r="E36" s="903">
        <f ca="1">IFERROR(D36/$D$7,0)</f>
        <v>0.16</v>
      </c>
      <c r="F36" s="26">
        <f t="shared" ca="1" si="33"/>
        <v>440</v>
      </c>
      <c r="G36" s="903">
        <f ca="1">IFERROR(F36/$F$7,0)</f>
        <v>0.16</v>
      </c>
      <c r="H36" s="26">
        <f t="shared" ca="1" si="33"/>
        <v>-684</v>
      </c>
      <c r="I36" s="903">
        <f ca="1">IFERROR(H36/$H$7,0)</f>
        <v>-0.25</v>
      </c>
      <c r="J36" s="26" t="e">
        <f t="shared" si="33"/>
        <v>#REF!</v>
      </c>
      <c r="K36" s="903">
        <f>IFERROR(J36/$J$7,0)</f>
        <v>0</v>
      </c>
      <c r="L36" s="26" t="e">
        <f t="shared" si="33"/>
        <v>#REF!</v>
      </c>
      <c r="M36" s="903">
        <f>IFERROR(L36/$L$7,0)</f>
        <v>0</v>
      </c>
      <c r="N36" s="26" t="e">
        <f t="shared" si="33"/>
        <v>#REF!</v>
      </c>
      <c r="O36" s="903">
        <f>IFERROR(N36/$N$7,0)</f>
        <v>0</v>
      </c>
      <c r="P36" s="26" t="e">
        <f t="shared" si="33"/>
        <v>#REF!</v>
      </c>
      <c r="Q36" s="903">
        <f>IFERROR(P36/$P$7,0)</f>
        <v>0</v>
      </c>
      <c r="R36" s="26" t="e">
        <f t="shared" si="33"/>
        <v>#REF!</v>
      </c>
      <c r="S36" s="903">
        <f>IFERROR(R36/$R$7,0)</f>
        <v>0</v>
      </c>
      <c r="T36" s="26" t="e">
        <f t="shared" si="33"/>
        <v>#REF!</v>
      </c>
      <c r="U36" s="903">
        <f>IFERROR(T36/$T$7,0)</f>
        <v>0</v>
      </c>
      <c r="V36" s="26" t="e">
        <f t="shared" si="33"/>
        <v>#REF!</v>
      </c>
      <c r="W36" s="903">
        <f>IFERROR(V36/$V$7,0)</f>
        <v>0</v>
      </c>
      <c r="X36" s="26" t="e">
        <f t="shared" si="33"/>
        <v>#REF!</v>
      </c>
      <c r="Y36" s="903">
        <f>IFERROR(X36/$X$7,0)</f>
        <v>0</v>
      </c>
      <c r="Z36" s="26" t="e">
        <f t="shared" ca="1" si="33"/>
        <v>#REF!</v>
      </c>
      <c r="AA36" s="191" t="e">
        <f ca="1">+Z36/$Z$7</f>
        <v>#REF!</v>
      </c>
      <c r="AC36" s="110">
        <f>AC27-AC34</f>
        <v>3013165</v>
      </c>
      <c r="AD36" s="231">
        <f>+AC36/$AC$7</f>
        <v>0.3</v>
      </c>
    </row>
    <row r="37" spans="1:30">
      <c r="B37" s="14"/>
      <c r="C37" s="902"/>
      <c r="D37" s="14"/>
      <c r="E37" s="902"/>
      <c r="F37" s="14"/>
      <c r="G37" s="902"/>
      <c r="H37" s="14"/>
      <c r="I37" s="903"/>
      <c r="J37" s="14"/>
      <c r="K37" s="903"/>
      <c r="L37" s="14"/>
      <c r="M37" s="903"/>
      <c r="N37" s="14"/>
      <c r="O37" s="903"/>
      <c r="P37" s="14"/>
      <c r="Q37" s="903"/>
      <c r="R37" s="14"/>
      <c r="S37" s="455"/>
      <c r="T37" s="14"/>
      <c r="U37" s="903"/>
      <c r="V37" s="14"/>
      <c r="W37" s="14"/>
      <c r="X37" s="14"/>
      <c r="Y37" s="903"/>
      <c r="Z37" s="15"/>
      <c r="AA37" s="236"/>
      <c r="AC37" s="103"/>
    </row>
    <row r="38" spans="1:30" ht="13.5" thickBot="1">
      <c r="A38" s="1" t="s">
        <v>77</v>
      </c>
      <c r="B38" s="42">
        <f>+'DPL25 Summary USD'!B87</f>
        <v>0</v>
      </c>
      <c r="C38" s="903">
        <f ca="1">+B38/$B$7</f>
        <v>0</v>
      </c>
      <c r="D38" s="42">
        <f>+'DPL25 Summary USD'!D87</f>
        <v>0</v>
      </c>
      <c r="E38" s="903">
        <f ca="1">IFERROR(D38/$D$7,0)</f>
        <v>0</v>
      </c>
      <c r="F38" s="42">
        <f>+'DPL25 Summary USD'!F87</f>
        <v>0</v>
      </c>
      <c r="G38" s="903">
        <f ca="1">IFERROR(F38/$F$7,0)</f>
        <v>0</v>
      </c>
      <c r="H38" s="42">
        <f>+'DPL25 Summary USD'!H87</f>
        <v>0</v>
      </c>
      <c r="I38" s="903">
        <f ca="1">IFERROR(H38/$H$7,0)</f>
        <v>0</v>
      </c>
      <c r="J38" s="42">
        <f>+'DPL25 Summary USD'!J87</f>
        <v>0</v>
      </c>
      <c r="K38" s="903">
        <f>IFERROR(J38/$J$7,0)</f>
        <v>0</v>
      </c>
      <c r="L38" s="42">
        <f>+'DPL25 Summary USD'!L87</f>
        <v>0</v>
      </c>
      <c r="M38" s="903">
        <f>IFERROR(L38/$L$7,0)</f>
        <v>0</v>
      </c>
      <c r="N38" s="42">
        <f>+'DPL25 Summary USD'!N87</f>
        <v>0</v>
      </c>
      <c r="O38" s="903">
        <f>IFERROR(N38/$N$7,0)</f>
        <v>0</v>
      </c>
      <c r="P38" s="42">
        <f>+'DPL25 Summary USD'!P87</f>
        <v>0</v>
      </c>
      <c r="Q38" s="903">
        <f>IFERROR(P38/$P$7,0)</f>
        <v>0</v>
      </c>
      <c r="R38" s="42">
        <f>+'DPL25 Summary USD'!R87</f>
        <v>0</v>
      </c>
      <c r="S38" s="903">
        <f>IFERROR(R38/$R$7,0)</f>
        <v>0</v>
      </c>
      <c r="T38" s="42">
        <f>+'DPL25 Summary USD'!T87</f>
        <v>0</v>
      </c>
      <c r="U38" s="903">
        <f>IFERROR(T38/$T$7,0)</f>
        <v>0</v>
      </c>
      <c r="V38" s="42">
        <f>+'DPL25 Summary USD'!V87</f>
        <v>0</v>
      </c>
      <c r="W38" s="903">
        <f>IFERROR(V38/$V$7,0)</f>
        <v>0</v>
      </c>
      <c r="X38" s="42">
        <f>+'DPL25 Summary USD'!X87</f>
        <v>0</v>
      </c>
      <c r="Y38" s="903">
        <f>IFERROR(X38/$X$7,0)</f>
        <v>0</v>
      </c>
      <c r="Z38" s="42">
        <f>+B38+D38+F38+H38+J38+L38+N38+P38+R38+T38+V38+X38</f>
        <v>0</v>
      </c>
      <c r="AA38" s="191" t="e">
        <f ca="1">+Z38/$Z$7</f>
        <v>#REF!</v>
      </c>
      <c r="AB38" s="904" t="e">
        <f ca="1">+Z38/Z36</f>
        <v>#REF!</v>
      </c>
      <c r="AC38" s="112">
        <f>'DPL25 Summary USD'!AB87</f>
        <v>1059833</v>
      </c>
      <c r="AD38" s="231">
        <f>+AC38/$AC$7</f>
        <v>0.11</v>
      </c>
    </row>
    <row r="39" spans="1:30" ht="13.5" thickTop="1">
      <c r="B39" s="14"/>
      <c r="C39" s="902"/>
      <c r="D39" s="14"/>
      <c r="E39" s="902"/>
      <c r="F39" s="14"/>
      <c r="G39" s="902"/>
      <c r="H39" s="14"/>
      <c r="I39" s="903"/>
      <c r="J39" s="14"/>
      <c r="K39" s="903"/>
      <c r="L39" s="14"/>
      <c r="M39" s="903"/>
      <c r="N39" s="14"/>
      <c r="O39" s="903"/>
      <c r="P39" s="14"/>
      <c r="Q39" s="903"/>
      <c r="R39" s="14"/>
      <c r="S39" s="455"/>
      <c r="T39" s="14"/>
      <c r="U39" s="903"/>
      <c r="V39" s="14"/>
      <c r="W39" s="14"/>
      <c r="X39" s="14"/>
      <c r="Y39" s="903"/>
      <c r="Z39" s="15"/>
      <c r="AA39" s="236"/>
      <c r="AC39" s="103"/>
    </row>
    <row r="40" spans="1:30" ht="13.5" thickBot="1">
      <c r="A40" s="1" t="s">
        <v>78</v>
      </c>
      <c r="B40" s="26">
        <f t="shared" ref="B40:Z40" ca="1" si="34">B36-B38</f>
        <v>69</v>
      </c>
      <c r="C40" s="903">
        <f ca="1">+B40/$B$7</f>
        <v>0.03</v>
      </c>
      <c r="D40" s="26">
        <f t="shared" ca="1" si="34"/>
        <v>440</v>
      </c>
      <c r="E40" s="903">
        <f ca="1">IFERROR(D40/$D$7,0)</f>
        <v>0.16</v>
      </c>
      <c r="F40" s="26">
        <f t="shared" ca="1" si="34"/>
        <v>440</v>
      </c>
      <c r="G40" s="903">
        <f ca="1">IFERROR(F40/$F$7,0)</f>
        <v>0.16</v>
      </c>
      <c r="H40" s="26">
        <f t="shared" ca="1" si="34"/>
        <v>-684</v>
      </c>
      <c r="I40" s="903">
        <f ca="1">IFERROR(H40/$H$7,0)</f>
        <v>-0.25</v>
      </c>
      <c r="J40" s="26" t="e">
        <f t="shared" si="34"/>
        <v>#REF!</v>
      </c>
      <c r="K40" s="903">
        <f>IFERROR(J40/$J$7,0)</f>
        <v>0</v>
      </c>
      <c r="L40" s="26" t="e">
        <f t="shared" si="34"/>
        <v>#REF!</v>
      </c>
      <c r="M40" s="903">
        <f>IFERROR(L40/$L$7,0)</f>
        <v>0</v>
      </c>
      <c r="N40" s="26" t="e">
        <f t="shared" si="34"/>
        <v>#REF!</v>
      </c>
      <c r="O40" s="903">
        <f>IFERROR(N40/$N$7,0)</f>
        <v>0</v>
      </c>
      <c r="P40" s="26" t="e">
        <f t="shared" si="34"/>
        <v>#REF!</v>
      </c>
      <c r="Q40" s="903">
        <f>IFERROR(P40/$P$7,0)</f>
        <v>0</v>
      </c>
      <c r="R40" s="26" t="e">
        <f t="shared" si="34"/>
        <v>#REF!</v>
      </c>
      <c r="S40" s="903">
        <f>IFERROR(R40/$R$7,0)</f>
        <v>0</v>
      </c>
      <c r="T40" s="26" t="e">
        <f t="shared" si="34"/>
        <v>#REF!</v>
      </c>
      <c r="U40" s="903">
        <f>IFERROR(T40/$T$7,0)</f>
        <v>0</v>
      </c>
      <c r="V40" s="26" t="e">
        <f t="shared" si="34"/>
        <v>#REF!</v>
      </c>
      <c r="W40" s="903">
        <f>IFERROR(V40/$V$7,0)</f>
        <v>0</v>
      </c>
      <c r="X40" s="26" t="e">
        <f t="shared" si="34"/>
        <v>#REF!</v>
      </c>
      <c r="Y40" s="903">
        <f>IFERROR(X40/$X$7,0)</f>
        <v>0</v>
      </c>
      <c r="Z40" s="26" t="e">
        <f t="shared" ca="1" si="34"/>
        <v>#REF!</v>
      </c>
      <c r="AA40" s="191" t="e">
        <f ca="1">+Z40/$Z$7</f>
        <v>#REF!</v>
      </c>
      <c r="AC40" s="110">
        <f>AC36-AC38</f>
        <v>1953332</v>
      </c>
      <c r="AD40" s="231">
        <f>+AC40/$AC$7</f>
        <v>0.2</v>
      </c>
    </row>
    <row r="41" spans="1:30">
      <c r="B41" s="14"/>
      <c r="C41" s="902"/>
      <c r="D41" s="14"/>
      <c r="E41" s="902"/>
      <c r="F41" s="14"/>
      <c r="G41" s="902"/>
      <c r="H41" s="14"/>
      <c r="I41" s="903"/>
      <c r="J41" s="14"/>
      <c r="K41" s="14"/>
      <c r="L41" s="14"/>
      <c r="M41" s="14"/>
      <c r="N41" s="14"/>
      <c r="O41" s="903"/>
      <c r="P41" s="14"/>
      <c r="Q41" s="903"/>
      <c r="R41" s="14"/>
      <c r="S41" s="455"/>
      <c r="T41" s="14"/>
      <c r="U41" s="14"/>
      <c r="V41" s="14"/>
      <c r="W41" s="14"/>
      <c r="X41" s="14"/>
      <c r="Y41" s="14"/>
      <c r="Z41" s="15"/>
      <c r="AA41" s="236"/>
      <c r="AC41" s="103"/>
    </row>
    <row r="42" spans="1:30">
      <c r="B42" s="14"/>
      <c r="C42" s="902"/>
      <c r="D42" s="14"/>
      <c r="E42" s="902"/>
      <c r="F42" s="14"/>
      <c r="G42" s="902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455"/>
      <c r="T42" s="14"/>
      <c r="U42" s="14"/>
      <c r="V42" s="14"/>
      <c r="W42" s="14"/>
      <c r="X42" s="14"/>
      <c r="Y42" s="14"/>
      <c r="Z42" s="148" t="e">
        <f ca="1">+Z40/Z7</f>
        <v>#REF!</v>
      </c>
      <c r="AA42" s="247"/>
      <c r="AC42" s="103"/>
    </row>
    <row r="43" spans="1:30">
      <c r="B43" s="14"/>
      <c r="C43" s="902"/>
      <c r="D43" s="14"/>
      <c r="E43" s="902"/>
      <c r="F43" s="14"/>
      <c r="G43" s="902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5"/>
      <c r="AA43" s="236"/>
      <c r="AC43" s="103"/>
    </row>
    <row r="44" spans="1:30">
      <c r="A44" s="44" t="s">
        <v>79</v>
      </c>
      <c r="B44" s="45">
        <f ca="1">'DPL25 Summary USD'!B92</f>
        <v>1203</v>
      </c>
      <c r="C44" s="905"/>
      <c r="D44" s="45">
        <f ca="1">'DPL25 Summary USD'!D92</f>
        <v>1552</v>
      </c>
      <c r="E44" s="905"/>
      <c r="F44" s="45">
        <f ca="1">'DPL25 Summary USD'!F92</f>
        <v>1552</v>
      </c>
      <c r="G44" s="905"/>
      <c r="H44" s="45">
        <f ca="1">'DPL25 Summary USD'!H92</f>
        <v>-382</v>
      </c>
      <c r="I44" s="45"/>
      <c r="J44" s="45" t="e">
        <f>'DPL25 Summary USD'!J92</f>
        <v>#REF!</v>
      </c>
      <c r="K44" s="45"/>
      <c r="L44" s="45" t="e">
        <f>'DPL25 Summary USD'!L92</f>
        <v>#REF!</v>
      </c>
      <c r="M44" s="45"/>
      <c r="N44" s="45" t="e">
        <f>'DPL25 Summary USD'!N92</f>
        <v>#REF!</v>
      </c>
      <c r="O44" s="45"/>
      <c r="P44" s="45" t="e">
        <f>'DPL25 Summary USD'!P92</f>
        <v>#REF!</v>
      </c>
      <c r="Q44" s="45"/>
      <c r="R44" s="45" t="e">
        <f>'DPL25 Summary USD'!R92</f>
        <v>#REF!</v>
      </c>
      <c r="S44" s="45"/>
      <c r="T44" s="45" t="e">
        <f>'DPL25 Summary USD'!T92</f>
        <v>#REF!</v>
      </c>
      <c r="U44" s="45"/>
      <c r="V44" s="45" t="e">
        <f>'DPL25 Summary USD'!V92</f>
        <v>#REF!</v>
      </c>
      <c r="W44" s="45"/>
      <c r="X44" s="45" t="e">
        <f>'DPL25 Summary USD'!X92</f>
        <v>#REF!</v>
      </c>
      <c r="Y44" s="45"/>
      <c r="Z44" s="45" t="e">
        <f ca="1">+B44+D44+F44+H44+J44+L44+N44+P44+R44+T44+V44+X44</f>
        <v>#REF!</v>
      </c>
      <c r="AA44" s="906"/>
      <c r="AC44" s="111"/>
    </row>
    <row r="45" spans="1:30">
      <c r="A45" s="43"/>
      <c r="B45" s="14"/>
      <c r="C45" s="902"/>
      <c r="D45" s="14"/>
      <c r="E45" s="902"/>
      <c r="F45" s="14"/>
      <c r="G45" s="902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5"/>
      <c r="AA45" s="236"/>
      <c r="AC45" s="103"/>
    </row>
    <row r="46" spans="1:30">
      <c r="C46" s="901"/>
      <c r="E46" s="494"/>
      <c r="G46" s="494"/>
      <c r="AC46" s="103"/>
    </row>
    <row r="47" spans="1:30">
      <c r="C47" s="901"/>
      <c r="E47" s="494"/>
      <c r="G47" s="494"/>
      <c r="AC47" s="103"/>
    </row>
  </sheetData>
  <phoneticPr fontId="29" type="noConversion"/>
  <pageMargins left="0.25" right="0" top="1" bottom="1" header="0.5" footer="0.5"/>
  <pageSetup scale="57" orientation="landscape" horizontalDpi="300" verticalDpi="300" r:id="rId1"/>
  <headerFooter alignWithMargins="0"/>
  <ignoredErrors>
    <ignoredError sqref="C12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5A78E-0722-4D99-92F9-A804C3C1018E}">
  <sheetPr>
    <tabColor rgb="FF00B050"/>
  </sheetPr>
  <dimension ref="A1:K61"/>
  <sheetViews>
    <sheetView zoomScaleNormal="100" workbookViewId="0">
      <selection activeCell="H53" sqref="H53"/>
    </sheetView>
  </sheetViews>
  <sheetFormatPr baseColWidth="10" defaultColWidth="11.42578125" defaultRowHeight="12.75"/>
  <cols>
    <col min="1" max="1" width="52.42578125" style="739" customWidth="1"/>
    <col min="2" max="2" width="14.140625" style="739" customWidth="1"/>
    <col min="3" max="3" width="12.28515625" style="739" customWidth="1"/>
    <col min="4" max="4" width="13.28515625" style="739" bestFit="1" customWidth="1"/>
    <col min="5" max="5" width="11.42578125" style="739"/>
    <col min="6" max="6" width="12" style="739" customWidth="1"/>
    <col min="7" max="7" width="10.140625" style="739" customWidth="1"/>
    <col min="8" max="8" width="16.42578125" style="739" customWidth="1"/>
    <col min="9" max="9" width="13.85546875" style="739" customWidth="1"/>
    <col min="10" max="10" width="13.5703125" style="739" customWidth="1"/>
    <col min="11" max="11" width="12.28515625" style="739" bestFit="1" customWidth="1"/>
    <col min="12" max="16384" width="11.42578125" style="739"/>
  </cols>
  <sheetData>
    <row r="1" spans="1:11">
      <c r="A1" s="747" t="s">
        <v>80</v>
      </c>
      <c r="I1" s="746"/>
    </row>
    <row r="2" spans="1:11">
      <c r="B2" s="762" t="s">
        <v>81</v>
      </c>
      <c r="C2" s="762" t="s">
        <v>82</v>
      </c>
      <c r="D2" s="763"/>
      <c r="E2" s="763"/>
      <c r="F2" s="764"/>
      <c r="G2" s="764"/>
      <c r="K2" s="823"/>
    </row>
    <row r="3" spans="1:11" s="747" customFormat="1">
      <c r="A3" s="747" t="s">
        <v>83</v>
      </c>
      <c r="B3" s="762">
        <f>B4+B15+B16</f>
        <v>50190366</v>
      </c>
      <c r="C3" s="762">
        <f>C4+C15+C16</f>
        <v>10084</v>
      </c>
      <c r="D3" s="766">
        <f>B3/$B$47</f>
        <v>0.58489999999999998</v>
      </c>
      <c r="E3" s="766"/>
      <c r="F3" s="765">
        <f>B3/Cost!$D$7</f>
        <v>12242</v>
      </c>
      <c r="G3" s="765">
        <f t="shared" ref="G3:G47" si="0">C3-F3</f>
        <v>-2158</v>
      </c>
    </row>
    <row r="4" spans="1:11">
      <c r="A4" s="984" t="s">
        <v>84</v>
      </c>
      <c r="B4" s="763">
        <f>SUM(B5:B14)</f>
        <v>50190366</v>
      </c>
      <c r="C4" s="763">
        <f>SUM(C5:C12)</f>
        <v>10084</v>
      </c>
      <c r="D4" s="767">
        <f t="shared" ref="D4" si="1">B4/$B$47</f>
        <v>0.58489999999999998</v>
      </c>
      <c r="E4" s="767"/>
      <c r="F4" s="765">
        <f>B4/Cost!$D$7</f>
        <v>12242</v>
      </c>
      <c r="G4" s="765">
        <f t="shared" si="0"/>
        <v>-2158</v>
      </c>
    </row>
    <row r="5" spans="1:11" ht="25.5">
      <c r="A5" s="985" t="s">
        <v>85</v>
      </c>
      <c r="B5" s="763">
        <v>5829688</v>
      </c>
      <c r="C5" s="764">
        <f>B5/Cost!$D$7</f>
        <v>1422</v>
      </c>
      <c r="D5" s="767">
        <f t="shared" ref="D5:D12" si="2">B5/$B$47</f>
        <v>6.7900000000000002E-2</v>
      </c>
      <c r="E5" s="767"/>
      <c r="F5" s="765">
        <f>B5/Cost!$D$7</f>
        <v>1422</v>
      </c>
      <c r="G5" s="765">
        <f t="shared" si="0"/>
        <v>0</v>
      </c>
      <c r="H5" s="807" t="s">
        <v>86</v>
      </c>
      <c r="I5" s="807" t="s">
        <v>87</v>
      </c>
      <c r="J5" s="807" t="s">
        <v>88</v>
      </c>
      <c r="K5" s="746"/>
    </row>
    <row r="6" spans="1:11" ht="24" customHeight="1">
      <c r="A6" s="985" t="s">
        <v>89</v>
      </c>
      <c r="B6" s="763">
        <v>7104385</v>
      </c>
      <c r="C6" s="764">
        <f>B6/Cost!$D$7</f>
        <v>1733</v>
      </c>
      <c r="D6" s="767">
        <f t="shared" si="2"/>
        <v>8.2799999999999999E-2</v>
      </c>
      <c r="E6" s="767"/>
      <c r="F6" s="765"/>
      <c r="G6" s="765"/>
      <c r="H6" s="807"/>
      <c r="I6" s="807"/>
      <c r="J6" s="807"/>
      <c r="K6" s="746"/>
    </row>
    <row r="7" spans="1:11">
      <c r="A7" s="985" t="s">
        <v>90</v>
      </c>
      <c r="B7" s="763">
        <v>6745603</v>
      </c>
      <c r="C7" s="764">
        <f>B7/Cost!$D$7</f>
        <v>1645</v>
      </c>
      <c r="D7" s="767">
        <f t="shared" si="2"/>
        <v>7.8600000000000003E-2</v>
      </c>
      <c r="E7" s="767"/>
      <c r="F7" s="765">
        <f>B7/Cost!$D$7</f>
        <v>1645</v>
      </c>
      <c r="G7" s="765">
        <f t="shared" si="0"/>
        <v>0</v>
      </c>
      <c r="H7" s="807">
        <f>9000000</f>
        <v>9000000</v>
      </c>
      <c r="I7" s="807">
        <f>9000000</f>
        <v>9000000</v>
      </c>
      <c r="J7" s="739">
        <f>11000000</f>
        <v>11000000</v>
      </c>
      <c r="K7" s="746"/>
    </row>
    <row r="8" spans="1:11">
      <c r="A8" s="985" t="s">
        <v>91</v>
      </c>
      <c r="B8" s="763">
        <v>2172808</v>
      </c>
      <c r="C8" s="764">
        <f>B8/Cost!$D$7</f>
        <v>530</v>
      </c>
      <c r="D8" s="767">
        <f t="shared" si="2"/>
        <v>2.53E-2</v>
      </c>
      <c r="E8" s="767"/>
      <c r="F8" s="765">
        <f>B8/Cost!$D$7</f>
        <v>530</v>
      </c>
      <c r="G8" s="765">
        <f t="shared" si="0"/>
        <v>0</v>
      </c>
      <c r="H8" s="807"/>
      <c r="I8" s="807"/>
      <c r="J8" s="807"/>
      <c r="K8" s="746"/>
    </row>
    <row r="9" spans="1:11">
      <c r="A9" s="985" t="s">
        <v>92</v>
      </c>
      <c r="B9" s="763">
        <v>952000</v>
      </c>
      <c r="C9" s="764">
        <f>B9/Cost!$D$7</f>
        <v>232</v>
      </c>
      <c r="D9" s="767">
        <f t="shared" si="2"/>
        <v>1.11E-2</v>
      </c>
      <c r="E9" s="767"/>
      <c r="F9" s="765">
        <f>B9/Cost!$D$7</f>
        <v>232</v>
      </c>
      <c r="G9" s="765">
        <f t="shared" si="0"/>
        <v>0</v>
      </c>
    </row>
    <row r="10" spans="1:11">
      <c r="A10" s="985" t="s">
        <v>93</v>
      </c>
      <c r="B10" s="763">
        <v>15790333</v>
      </c>
      <c r="C10" s="764">
        <f>B10/Cost!$D$7</f>
        <v>3851</v>
      </c>
      <c r="D10" s="767">
        <f t="shared" si="2"/>
        <v>0.184</v>
      </c>
      <c r="E10" s="767"/>
      <c r="F10" s="765">
        <f>B10/Cost!$D$7</f>
        <v>3851</v>
      </c>
      <c r="G10" s="765">
        <f t="shared" si="0"/>
        <v>0</v>
      </c>
      <c r="H10" s="739">
        <v>430000</v>
      </c>
    </row>
    <row r="11" spans="1:11">
      <c r="A11" s="985" t="s">
        <v>94</v>
      </c>
      <c r="B11" s="763">
        <v>217600</v>
      </c>
      <c r="C11" s="764">
        <f>B11/Cost!$D$7</f>
        <v>53</v>
      </c>
      <c r="D11" s="767">
        <f t="shared" si="2"/>
        <v>2.5000000000000001E-3</v>
      </c>
      <c r="E11" s="767"/>
      <c r="F11" s="765">
        <f>B11/Cost!$D$7</f>
        <v>53</v>
      </c>
      <c r="G11" s="765">
        <f t="shared" si="0"/>
        <v>0</v>
      </c>
      <c r="H11" s="739">
        <v>900000</v>
      </c>
    </row>
    <row r="12" spans="1:11">
      <c r="A12" s="985" t="s">
        <v>95</v>
      </c>
      <c r="B12" s="763">
        <v>2535720</v>
      </c>
      <c r="C12" s="764">
        <f>B12/Cost!$D$7</f>
        <v>618</v>
      </c>
      <c r="D12" s="767">
        <f t="shared" si="2"/>
        <v>2.9600000000000001E-2</v>
      </c>
      <c r="E12" s="767"/>
      <c r="F12" s="765">
        <f>B12/Cost!$D$7</f>
        <v>618</v>
      </c>
      <c r="G12" s="765">
        <f t="shared" si="0"/>
        <v>0</v>
      </c>
    </row>
    <row r="13" spans="1:11">
      <c r="A13" s="985" t="s">
        <v>96</v>
      </c>
      <c r="B13" s="763">
        <v>2496850</v>
      </c>
      <c r="C13" s="764">
        <f>B13/Cost!$D$7</f>
        <v>609</v>
      </c>
      <c r="D13" s="767">
        <f t="shared" ref="D13:D14" si="3">B13/$B$47</f>
        <v>2.9100000000000001E-2</v>
      </c>
      <c r="E13" s="767"/>
      <c r="F13" s="765"/>
      <c r="G13" s="765"/>
    </row>
    <row r="14" spans="1:11">
      <c r="A14" s="985" t="s">
        <v>97</v>
      </c>
      <c r="B14" s="763">
        <v>6345379</v>
      </c>
      <c r="C14" s="764">
        <f>B14/Cost!$D$7</f>
        <v>1548</v>
      </c>
      <c r="D14" s="767">
        <f t="shared" si="3"/>
        <v>7.3999999999999996E-2</v>
      </c>
      <c r="E14" s="767"/>
      <c r="F14" s="765"/>
      <c r="G14" s="765"/>
    </row>
    <row r="15" spans="1:11">
      <c r="A15" s="987" t="s">
        <v>98</v>
      </c>
      <c r="B15" s="763">
        <v>0</v>
      </c>
      <c r="C15" s="764">
        <v>0</v>
      </c>
      <c r="D15" s="767"/>
      <c r="E15" s="767"/>
      <c r="F15" s="765">
        <f>B13/Cost!$D$7</f>
        <v>609</v>
      </c>
      <c r="G15" s="765">
        <f t="shared" si="0"/>
        <v>-609</v>
      </c>
    </row>
    <row r="16" spans="1:11">
      <c r="A16" s="988" t="s">
        <v>99</v>
      </c>
      <c r="B16" s="763">
        <v>0</v>
      </c>
      <c r="C16" s="764">
        <v>0</v>
      </c>
      <c r="D16" s="767"/>
      <c r="E16" s="767"/>
      <c r="F16" s="765">
        <f>B16/Cost!$D$7</f>
        <v>0</v>
      </c>
      <c r="G16" s="765">
        <f t="shared" si="0"/>
        <v>0</v>
      </c>
    </row>
    <row r="17" spans="1:9" s="747" customFormat="1">
      <c r="A17" s="756" t="s">
        <v>100</v>
      </c>
      <c r="B17" s="762">
        <f>B18+B19+B25+B35+B42</f>
        <v>17520744</v>
      </c>
      <c r="C17" s="762">
        <f>C18+C19+C25+C35+C42</f>
        <v>3929</v>
      </c>
      <c r="D17" s="766">
        <f t="shared" ref="D17:D38" si="4">B17/$B$47</f>
        <v>0.20419999999999999</v>
      </c>
      <c r="E17" s="766"/>
      <c r="F17" s="765">
        <f>B17/Cost!$D$7</f>
        <v>4273</v>
      </c>
      <c r="G17" s="765">
        <f t="shared" si="0"/>
        <v>-344</v>
      </c>
    </row>
    <row r="18" spans="1:9" s="747" customFormat="1">
      <c r="A18" s="808" t="s">
        <v>101</v>
      </c>
      <c r="B18" s="763">
        <v>173333</v>
      </c>
      <c r="C18" s="764">
        <v>0</v>
      </c>
      <c r="D18" s="767">
        <f t="shared" si="4"/>
        <v>2E-3</v>
      </c>
      <c r="E18" s="767"/>
      <c r="F18" s="765">
        <f>B18/Cost!$D$7</f>
        <v>42</v>
      </c>
      <c r="G18" s="765">
        <f t="shared" si="0"/>
        <v>-42</v>
      </c>
    </row>
    <row r="19" spans="1:9" s="747" customFormat="1">
      <c r="A19" s="808" t="s">
        <v>102</v>
      </c>
      <c r="B19" s="762">
        <f>SUM(B20:B24)</f>
        <v>4982667</v>
      </c>
      <c r="C19" s="762">
        <f>SUM(C20:C24)</f>
        <v>912</v>
      </c>
      <c r="D19" s="766">
        <f t="shared" si="4"/>
        <v>5.8099999999999999E-2</v>
      </c>
      <c r="E19" s="766"/>
      <c r="F19" s="765">
        <f>B19/Cost!$D$7</f>
        <v>1215</v>
      </c>
      <c r="G19" s="765">
        <f t="shared" si="0"/>
        <v>-303</v>
      </c>
    </row>
    <row r="20" spans="1:9" s="747" customFormat="1">
      <c r="A20" s="985" t="s">
        <v>103</v>
      </c>
      <c r="B20" s="763">
        <v>800000</v>
      </c>
      <c r="C20" s="764">
        <f>B20/Cost!D7</f>
        <v>195</v>
      </c>
      <c r="D20" s="767">
        <f t="shared" si="4"/>
        <v>9.2999999999999992E-3</v>
      </c>
      <c r="E20" s="767"/>
      <c r="F20" s="765">
        <f>B20/Cost!$D$7</f>
        <v>195</v>
      </c>
      <c r="G20" s="765">
        <f t="shared" si="0"/>
        <v>0</v>
      </c>
    </row>
    <row r="21" spans="1:9" s="747" customFormat="1">
      <c r="A21" s="985" t="s">
        <v>104</v>
      </c>
      <c r="B21" s="763">
        <v>666667</v>
      </c>
      <c r="C21" s="764">
        <f>B21/Cost!$D$7</f>
        <v>163</v>
      </c>
      <c r="D21" s="767">
        <f t="shared" si="4"/>
        <v>7.7999999999999996E-3</v>
      </c>
      <c r="E21" s="767"/>
      <c r="F21" s="765">
        <f>B21/Cost!$D$7</f>
        <v>163</v>
      </c>
      <c r="G21" s="765">
        <f t="shared" si="0"/>
        <v>0</v>
      </c>
    </row>
    <row r="22" spans="1:9" s="747" customFormat="1">
      <c r="A22" s="985" t="s">
        <v>105</v>
      </c>
      <c r="B22" s="763">
        <v>1066667</v>
      </c>
      <c r="C22" s="764"/>
      <c r="D22" s="767">
        <f t="shared" si="4"/>
        <v>1.24E-2</v>
      </c>
      <c r="E22" s="767"/>
      <c r="F22" s="765"/>
      <c r="G22" s="765"/>
    </row>
    <row r="23" spans="1:9" s="747" customFormat="1">
      <c r="A23" s="985" t="s">
        <v>106</v>
      </c>
      <c r="B23" s="763">
        <v>176000</v>
      </c>
      <c r="C23" s="764"/>
      <c r="D23" s="767">
        <f t="shared" si="4"/>
        <v>2.0999999999999999E-3</v>
      </c>
      <c r="E23" s="767"/>
      <c r="F23" s="765"/>
      <c r="G23" s="765"/>
    </row>
    <row r="24" spans="1:9" s="747" customFormat="1">
      <c r="A24" s="985" t="s">
        <v>107</v>
      </c>
      <c r="B24" s="763">
        <v>2273333</v>
      </c>
      <c r="C24" s="764">
        <f>B24/Cost!$D$7</f>
        <v>554</v>
      </c>
      <c r="D24" s="767">
        <f t="shared" si="4"/>
        <v>2.6499999999999999E-2</v>
      </c>
      <c r="E24" s="767"/>
      <c r="F24" s="765">
        <f>B24/Cost!$D$7</f>
        <v>554</v>
      </c>
      <c r="G24" s="765">
        <f t="shared" si="0"/>
        <v>0</v>
      </c>
    </row>
    <row r="25" spans="1:9">
      <c r="A25" s="808" t="s">
        <v>108</v>
      </c>
      <c r="B25" s="762">
        <f>SUM(B26:B34)</f>
        <v>6014744</v>
      </c>
      <c r="C25" s="762">
        <f>SUM(C26:C34)</f>
        <v>1468</v>
      </c>
      <c r="D25" s="766">
        <f t="shared" si="4"/>
        <v>7.0099999999999996E-2</v>
      </c>
      <c r="E25" s="766"/>
      <c r="F25" s="765">
        <f>B25/Cost!$D$7</f>
        <v>1467</v>
      </c>
      <c r="G25" s="765">
        <f t="shared" si="0"/>
        <v>1</v>
      </c>
    </row>
    <row r="26" spans="1:9">
      <c r="A26" s="985" t="s">
        <v>109</v>
      </c>
      <c r="B26" s="763">
        <v>2755000</v>
      </c>
      <c r="C26" s="764">
        <f>B26/Cost!$D$7</f>
        <v>672</v>
      </c>
      <c r="D26" s="767">
        <f t="shared" si="4"/>
        <v>3.2099999999999997E-2</v>
      </c>
      <c r="E26" s="767"/>
      <c r="F26" s="765">
        <f>B26/Cost!$D$7</f>
        <v>672</v>
      </c>
      <c r="G26" s="765">
        <f t="shared" si="0"/>
        <v>0</v>
      </c>
      <c r="H26" s="739">
        <f>79083943+9516720</f>
        <v>88600663</v>
      </c>
      <c r="I26" s="739">
        <f>B26-H26</f>
        <v>-85845663</v>
      </c>
    </row>
    <row r="27" spans="1:9">
      <c r="A27" s="985" t="s">
        <v>110</v>
      </c>
      <c r="B27" s="763">
        <v>1500000</v>
      </c>
      <c r="C27" s="764">
        <f>B27/Cost!$D$7</f>
        <v>366</v>
      </c>
      <c r="D27" s="767">
        <f t="shared" si="4"/>
        <v>1.7500000000000002E-2</v>
      </c>
      <c r="E27" s="767"/>
      <c r="F27" s="765">
        <f>B27/Cost!$D$7</f>
        <v>366</v>
      </c>
      <c r="G27" s="765">
        <f t="shared" si="0"/>
        <v>0</v>
      </c>
      <c r="H27" s="739">
        <f>32825606+5150108+320000</f>
        <v>38295714</v>
      </c>
      <c r="I27" s="739">
        <f>B27-H27</f>
        <v>-36795714</v>
      </c>
    </row>
    <row r="28" spans="1:9">
      <c r="A28" s="985" t="s">
        <v>111</v>
      </c>
      <c r="B28" s="763">
        <v>474744</v>
      </c>
      <c r="C28" s="764">
        <f>B28/Cost!$D$7</f>
        <v>116</v>
      </c>
      <c r="D28" s="767">
        <f t="shared" si="4"/>
        <v>5.4999999999999997E-3</v>
      </c>
      <c r="E28" s="767"/>
      <c r="F28" s="765">
        <f>B28/Cost!$D$7</f>
        <v>116</v>
      </c>
      <c r="G28" s="765">
        <f t="shared" si="0"/>
        <v>0</v>
      </c>
      <c r="H28" s="739">
        <v>474744</v>
      </c>
      <c r="I28" s="739">
        <f t="shared" ref="I28:I47" si="5">B28-H28</f>
        <v>0</v>
      </c>
    </row>
    <row r="29" spans="1:9">
      <c r="A29" s="985" t="s">
        <v>112</v>
      </c>
      <c r="B29" s="763">
        <v>165000</v>
      </c>
      <c r="C29" s="764">
        <f>B29/Cost!$D$7</f>
        <v>40</v>
      </c>
      <c r="D29" s="767">
        <f t="shared" si="4"/>
        <v>1.9E-3</v>
      </c>
      <c r="E29" s="767"/>
      <c r="F29" s="765">
        <f>B29/Cost!$D$7</f>
        <v>40</v>
      </c>
      <c r="G29" s="765">
        <f t="shared" si="0"/>
        <v>0</v>
      </c>
      <c r="H29" s="739">
        <v>909031</v>
      </c>
      <c r="I29" s="739">
        <f t="shared" si="5"/>
        <v>-744031</v>
      </c>
    </row>
    <row r="30" spans="1:9">
      <c r="A30" s="985" t="s">
        <v>113</v>
      </c>
      <c r="B30" s="763">
        <v>650000</v>
      </c>
      <c r="C30" s="764">
        <f>B30/Cost!$D$7</f>
        <v>159</v>
      </c>
      <c r="D30" s="767">
        <f t="shared" si="4"/>
        <v>7.6E-3</v>
      </c>
      <c r="E30" s="767"/>
      <c r="F30" s="765">
        <f>B30/Cost!$D$7</f>
        <v>159</v>
      </c>
      <c r="G30" s="765">
        <f t="shared" si="0"/>
        <v>0</v>
      </c>
      <c r="I30" s="739">
        <f t="shared" si="5"/>
        <v>650000</v>
      </c>
    </row>
    <row r="31" spans="1:9">
      <c r="A31" s="985" t="s">
        <v>114</v>
      </c>
      <c r="B31" s="763"/>
      <c r="C31" s="764">
        <f>B31/Cost!$D$7</f>
        <v>0</v>
      </c>
      <c r="D31" s="767">
        <f t="shared" si="4"/>
        <v>0</v>
      </c>
      <c r="E31" s="767"/>
      <c r="F31" s="765">
        <f>B31/Cost!$D$7</f>
        <v>0</v>
      </c>
      <c r="G31" s="765">
        <f t="shared" si="0"/>
        <v>0</v>
      </c>
      <c r="I31" s="739">
        <f t="shared" si="5"/>
        <v>0</v>
      </c>
    </row>
    <row r="32" spans="1:9">
      <c r="A32" s="985" t="s">
        <v>115</v>
      </c>
      <c r="B32" s="763"/>
      <c r="C32" s="764">
        <f>B32/Cost!$D$7</f>
        <v>0</v>
      </c>
      <c r="D32" s="767">
        <f t="shared" si="4"/>
        <v>0</v>
      </c>
      <c r="E32" s="767"/>
      <c r="F32" s="765">
        <f>B32/Cost!$D$7</f>
        <v>0</v>
      </c>
      <c r="G32" s="765">
        <f t="shared" si="0"/>
        <v>0</v>
      </c>
      <c r="I32" s="739">
        <f t="shared" si="5"/>
        <v>0</v>
      </c>
    </row>
    <row r="33" spans="1:9">
      <c r="A33" s="985" t="s">
        <v>116</v>
      </c>
      <c r="B33" s="763"/>
      <c r="C33" s="764">
        <f>B33/Cost!$D$7</f>
        <v>0</v>
      </c>
      <c r="D33" s="767">
        <f t="shared" si="4"/>
        <v>0</v>
      </c>
      <c r="E33" s="767"/>
      <c r="F33" s="765">
        <f>B33/Cost!$D$7</f>
        <v>0</v>
      </c>
      <c r="G33" s="765">
        <f t="shared" si="0"/>
        <v>0</v>
      </c>
      <c r="I33" s="739">
        <f t="shared" si="5"/>
        <v>0</v>
      </c>
    </row>
    <row r="34" spans="1:9">
      <c r="A34" s="985" t="s">
        <v>117</v>
      </c>
      <c r="B34" s="763">
        <v>470000</v>
      </c>
      <c r="C34" s="764">
        <f>B34/Cost!$D$7</f>
        <v>115</v>
      </c>
      <c r="D34" s="767">
        <f t="shared" si="4"/>
        <v>5.4999999999999997E-3</v>
      </c>
      <c r="E34" s="767"/>
      <c r="F34" s="765">
        <f>B34/Cost!$D$7</f>
        <v>115</v>
      </c>
      <c r="G34" s="765">
        <f t="shared" si="0"/>
        <v>0</v>
      </c>
      <c r="H34" s="739">
        <v>630946</v>
      </c>
      <c r="I34" s="739">
        <f t="shared" si="5"/>
        <v>-160946</v>
      </c>
    </row>
    <row r="35" spans="1:9">
      <c r="A35" s="808" t="s">
        <v>118</v>
      </c>
      <c r="B35" s="762">
        <f>SUM(B36:B41)</f>
        <v>4300000</v>
      </c>
      <c r="C35" s="762">
        <f>SUM(C36:C41)</f>
        <v>1049</v>
      </c>
      <c r="D35" s="766">
        <f t="shared" si="4"/>
        <v>5.0099999999999999E-2</v>
      </c>
      <c r="E35" s="766"/>
      <c r="F35" s="765">
        <f>B35/Cost!$D$7</f>
        <v>1049</v>
      </c>
      <c r="G35" s="765">
        <f t="shared" si="0"/>
        <v>0</v>
      </c>
      <c r="I35" s="739">
        <f t="shared" si="5"/>
        <v>4300000</v>
      </c>
    </row>
    <row r="36" spans="1:9">
      <c r="A36" s="985" t="s">
        <v>119</v>
      </c>
      <c r="B36" s="763">
        <v>0</v>
      </c>
      <c r="C36" s="764">
        <f>B36/Cost!$D$7</f>
        <v>0</v>
      </c>
      <c r="D36" s="767">
        <f t="shared" si="4"/>
        <v>0</v>
      </c>
      <c r="E36" s="767"/>
      <c r="F36" s="765">
        <f>B36/Cost!$D$7</f>
        <v>0</v>
      </c>
      <c r="G36" s="765">
        <f t="shared" si="0"/>
        <v>0</v>
      </c>
      <c r="I36" s="739">
        <f t="shared" si="5"/>
        <v>0</v>
      </c>
    </row>
    <row r="37" spans="1:9">
      <c r="A37" s="985" t="s">
        <v>120</v>
      </c>
      <c r="B37" s="763">
        <v>1800000</v>
      </c>
      <c r="C37" s="764">
        <f>B37/Cost!$D$7</f>
        <v>439</v>
      </c>
      <c r="D37" s="767">
        <f t="shared" si="4"/>
        <v>2.1000000000000001E-2</v>
      </c>
      <c r="E37" s="767"/>
      <c r="F37" s="765">
        <f>B37/Cost!$D$7</f>
        <v>439</v>
      </c>
      <c r="G37" s="765">
        <f t="shared" si="0"/>
        <v>0</v>
      </c>
      <c r="I37" s="739">
        <f t="shared" si="5"/>
        <v>1800000</v>
      </c>
    </row>
    <row r="38" spans="1:9">
      <c r="A38" s="985" t="s">
        <v>121</v>
      </c>
      <c r="B38" s="763">
        <v>2000000</v>
      </c>
      <c r="C38" s="764">
        <f>B38/Cost!$D$7</f>
        <v>488</v>
      </c>
      <c r="D38" s="767">
        <f t="shared" si="4"/>
        <v>2.3300000000000001E-2</v>
      </c>
      <c r="E38" s="767"/>
      <c r="F38" s="765">
        <f>B38/Cost!$D$7</f>
        <v>488</v>
      </c>
      <c r="G38" s="765">
        <f t="shared" si="0"/>
        <v>0</v>
      </c>
      <c r="I38" s="739">
        <f t="shared" si="5"/>
        <v>2000000</v>
      </c>
    </row>
    <row r="39" spans="1:9">
      <c r="A39" s="985" t="s">
        <v>122</v>
      </c>
      <c r="B39" s="763">
        <v>500000</v>
      </c>
      <c r="C39" s="764">
        <f>B39/Cost!$D$7</f>
        <v>122</v>
      </c>
      <c r="D39" s="767">
        <f t="shared" ref="D39" si="6">B39/$B$47</f>
        <v>5.7999999999999996E-3</v>
      </c>
      <c r="E39" s="767"/>
      <c r="F39" s="765">
        <f>B39/Cost!$D$7</f>
        <v>122</v>
      </c>
      <c r="G39" s="765">
        <f t="shared" si="0"/>
        <v>0</v>
      </c>
      <c r="I39" s="739">
        <f t="shared" si="5"/>
        <v>500000</v>
      </c>
    </row>
    <row r="40" spans="1:9">
      <c r="A40" s="986" t="s">
        <v>123</v>
      </c>
      <c r="B40" s="763">
        <v>0</v>
      </c>
      <c r="C40" s="764">
        <f>B40/Cost!$D$7</f>
        <v>0</v>
      </c>
      <c r="D40" s="767">
        <f t="shared" ref="D40:D47" si="7">B40/$B$47</f>
        <v>0</v>
      </c>
      <c r="E40" s="767"/>
      <c r="F40" s="765">
        <f>B40/Cost!$D$7</f>
        <v>0</v>
      </c>
      <c r="G40" s="765">
        <f t="shared" si="0"/>
        <v>0</v>
      </c>
      <c r="I40" s="739">
        <f t="shared" si="5"/>
        <v>0</v>
      </c>
    </row>
    <row r="41" spans="1:9">
      <c r="A41" s="986" t="s">
        <v>124</v>
      </c>
      <c r="B41" s="763">
        <v>0</v>
      </c>
      <c r="C41" s="764">
        <f>B41/Cost!$D$7</f>
        <v>0</v>
      </c>
      <c r="D41" s="767">
        <f t="shared" si="7"/>
        <v>0</v>
      </c>
      <c r="E41" s="767"/>
      <c r="F41" s="765">
        <f>B41/Cost!$D$7</f>
        <v>0</v>
      </c>
      <c r="G41" s="765">
        <f t="shared" si="0"/>
        <v>0</v>
      </c>
      <c r="I41" s="739">
        <f t="shared" si="5"/>
        <v>0</v>
      </c>
    </row>
    <row r="42" spans="1:9">
      <c r="A42" s="835" t="s">
        <v>125</v>
      </c>
      <c r="B42" s="762">
        <f>SUM(B43:B44)</f>
        <v>2050000</v>
      </c>
      <c r="C42" s="762">
        <f>SUM(C43:C44)</f>
        <v>500</v>
      </c>
      <c r="D42" s="766">
        <f t="shared" si="7"/>
        <v>2.3900000000000001E-2</v>
      </c>
      <c r="E42" s="766"/>
      <c r="F42" s="765">
        <f>B42/Cost!$D$7</f>
        <v>500</v>
      </c>
      <c r="G42" s="765">
        <f t="shared" si="0"/>
        <v>0</v>
      </c>
      <c r="I42" s="739">
        <f t="shared" si="5"/>
        <v>2050000</v>
      </c>
    </row>
    <row r="43" spans="1:9">
      <c r="A43" s="985" t="s">
        <v>126</v>
      </c>
      <c r="B43" s="763">
        <v>800000</v>
      </c>
      <c r="C43" s="764">
        <f>B43/Cost!$D$7</f>
        <v>195</v>
      </c>
      <c r="D43" s="767">
        <f t="shared" si="7"/>
        <v>9.2999999999999992E-3</v>
      </c>
      <c r="E43" s="767"/>
      <c r="F43" s="765">
        <f>B43/Cost!$D$7</f>
        <v>195</v>
      </c>
      <c r="G43" s="765">
        <f t="shared" si="0"/>
        <v>0</v>
      </c>
      <c r="I43" s="739">
        <f t="shared" si="5"/>
        <v>800000</v>
      </c>
    </row>
    <row r="44" spans="1:9">
      <c r="A44" s="986" t="s">
        <v>127</v>
      </c>
      <c r="B44" s="763">
        <v>1250000</v>
      </c>
      <c r="C44" s="764">
        <f>B44/Cost!$D$7</f>
        <v>305</v>
      </c>
      <c r="D44" s="767">
        <f t="shared" si="7"/>
        <v>1.46E-2</v>
      </c>
      <c r="E44" s="767"/>
      <c r="F44" s="765">
        <f>B44/Cost!$D$7</f>
        <v>305</v>
      </c>
      <c r="G44" s="765">
        <f t="shared" si="0"/>
        <v>0</v>
      </c>
      <c r="I44" s="739">
        <f t="shared" si="5"/>
        <v>1250000</v>
      </c>
    </row>
    <row r="45" spans="1:9" s="747" customFormat="1">
      <c r="A45" s="747" t="s">
        <v>128</v>
      </c>
      <c r="B45" s="762">
        <f>C45*Cost!D7</f>
        <v>18093300</v>
      </c>
      <c r="C45" s="765">
        <f>C46</f>
        <v>4413</v>
      </c>
      <c r="D45" s="766">
        <f t="shared" si="7"/>
        <v>0.2109</v>
      </c>
      <c r="E45" s="766"/>
      <c r="F45" s="765">
        <f>B45/Cost!$D$7</f>
        <v>4413</v>
      </c>
      <c r="G45" s="765">
        <f t="shared" si="0"/>
        <v>0</v>
      </c>
      <c r="I45" s="739">
        <f t="shared" si="5"/>
        <v>18093300</v>
      </c>
    </row>
    <row r="46" spans="1:9">
      <c r="A46" s="748" t="s">
        <v>129</v>
      </c>
      <c r="B46" s="837">
        <v>0</v>
      </c>
      <c r="C46" s="1011">
        <v>4413</v>
      </c>
      <c r="D46" s="767">
        <f t="shared" si="7"/>
        <v>0</v>
      </c>
      <c r="E46" s="767"/>
      <c r="F46" s="765">
        <f>B46/Cost!$D$7</f>
        <v>0</v>
      </c>
      <c r="G46" s="765">
        <f t="shared" si="0"/>
        <v>4413</v>
      </c>
      <c r="I46" s="739">
        <f t="shared" si="5"/>
        <v>0</v>
      </c>
    </row>
    <row r="47" spans="1:9" s="747" customFormat="1">
      <c r="A47" s="747" t="s">
        <v>51</v>
      </c>
      <c r="B47" s="762">
        <f>B3+B17+B45</f>
        <v>85804410</v>
      </c>
      <c r="C47" s="762">
        <f>C3+C17+C45</f>
        <v>18426</v>
      </c>
      <c r="D47" s="766">
        <f t="shared" si="7"/>
        <v>1</v>
      </c>
      <c r="E47" s="766"/>
      <c r="F47" s="765">
        <f>B47/Cost!$D$7</f>
        <v>20928</v>
      </c>
      <c r="G47" s="765">
        <f t="shared" si="0"/>
        <v>-2502</v>
      </c>
      <c r="I47" s="739">
        <f t="shared" si="5"/>
        <v>85804410</v>
      </c>
    </row>
    <row r="48" spans="1:9">
      <c r="B48" s="764"/>
      <c r="C48" s="764"/>
      <c r="D48" s="764"/>
      <c r="E48" s="764"/>
      <c r="F48" s="764"/>
      <c r="G48" s="764"/>
    </row>
    <row r="49" spans="1:7">
      <c r="A49" s="809" t="s">
        <v>130</v>
      </c>
      <c r="B49" s="764">
        <f>B47-B46</f>
        <v>85804410</v>
      </c>
      <c r="C49" s="764"/>
      <c r="D49" s="764"/>
      <c r="E49" s="764"/>
      <c r="F49" s="764"/>
      <c r="G49" s="764"/>
    </row>
    <row r="50" spans="1:7">
      <c r="B50" s="764">
        <f>B49-B43-B44</f>
        <v>83754410</v>
      </c>
      <c r="C50" s="764"/>
      <c r="D50" s="764"/>
      <c r="E50" s="764"/>
      <c r="F50" s="764"/>
      <c r="G50" s="764"/>
    </row>
    <row r="53" spans="1:7">
      <c r="B53" s="739">
        <f>88*302</f>
        <v>26576</v>
      </c>
    </row>
    <row r="54" spans="1:7">
      <c r="B54" s="739">
        <f>B53*4054</f>
        <v>107739104</v>
      </c>
    </row>
    <row r="56" spans="1:7">
      <c r="B56" s="142">
        <v>0.25</v>
      </c>
      <c r="C56" s="739" t="s">
        <v>810</v>
      </c>
    </row>
    <row r="59" spans="1:7">
      <c r="B59" s="739">
        <f>B47*(1+B56)</f>
        <v>107255513</v>
      </c>
    </row>
    <row r="60" spans="1:7" ht="13.5" thickBot="1">
      <c r="B60" s="739">
        <f>B59/302</f>
        <v>355151</v>
      </c>
    </row>
    <row r="61" spans="1:7" ht="13.5" thickBot="1">
      <c r="B61" s="1016">
        <f>B60/4054</f>
        <v>88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B50EC-586B-4732-BF38-1A6BDB4DDBFE}">
  <sheetPr>
    <tabColor rgb="FF00B050"/>
  </sheetPr>
  <dimension ref="A1:O10"/>
  <sheetViews>
    <sheetView workbookViewId="0">
      <selection activeCell="D9" sqref="D9"/>
    </sheetView>
  </sheetViews>
  <sheetFormatPr baseColWidth="10" defaultColWidth="11.42578125" defaultRowHeight="12.75"/>
  <cols>
    <col min="1" max="1" width="48.42578125" style="619" customWidth="1"/>
    <col min="2" max="16384" width="11.42578125" style="619"/>
  </cols>
  <sheetData>
    <row r="1" spans="1:15">
      <c r="B1" s="623" t="s">
        <v>131</v>
      </c>
      <c r="C1" s="623" t="s">
        <v>132</v>
      </c>
      <c r="D1" s="623" t="s">
        <v>133</v>
      </c>
      <c r="E1" s="623" t="s">
        <v>134</v>
      </c>
      <c r="F1" s="623" t="s">
        <v>135</v>
      </c>
      <c r="G1" s="623" t="s">
        <v>136</v>
      </c>
      <c r="H1" s="623" t="s">
        <v>137</v>
      </c>
      <c r="I1" s="623" t="s">
        <v>138</v>
      </c>
      <c r="J1" s="623" t="s">
        <v>139</v>
      </c>
      <c r="K1" s="623" t="s">
        <v>140</v>
      </c>
      <c r="L1" s="623" t="s">
        <v>141</v>
      </c>
      <c r="M1" s="623" t="s">
        <v>142</v>
      </c>
      <c r="N1" s="623" t="s">
        <v>143</v>
      </c>
    </row>
    <row r="2" spans="1:15">
      <c r="A2" s="989" t="str">
        <f>'Presupuesto Inversión'!A5</f>
        <v>Paneles LONGI LR5-72HPH 550Wp</v>
      </c>
      <c r="B2" s="750">
        <f>'Presupuesto Inversión'!C5</f>
        <v>1422</v>
      </c>
      <c r="C2" s="619">
        <v>10</v>
      </c>
      <c r="D2" s="751">
        <f>B2/(12*C2)</f>
        <v>11.85</v>
      </c>
      <c r="E2" s="752">
        <f>D2*12</f>
        <v>142</v>
      </c>
      <c r="F2" s="752">
        <f t="shared" ref="F2:N2" si="0">E2</f>
        <v>142</v>
      </c>
      <c r="G2" s="752">
        <f t="shared" si="0"/>
        <v>142</v>
      </c>
      <c r="H2" s="752">
        <f t="shared" si="0"/>
        <v>142</v>
      </c>
      <c r="I2" s="752">
        <f t="shared" si="0"/>
        <v>142</v>
      </c>
      <c r="J2" s="752">
        <f t="shared" si="0"/>
        <v>142</v>
      </c>
      <c r="K2" s="752">
        <f t="shared" si="0"/>
        <v>142</v>
      </c>
      <c r="L2" s="752">
        <f t="shared" si="0"/>
        <v>142</v>
      </c>
      <c r="M2" s="752">
        <f t="shared" si="0"/>
        <v>142</v>
      </c>
      <c r="N2" s="752">
        <f t="shared" si="0"/>
        <v>142</v>
      </c>
      <c r="O2" s="752">
        <f>SUM(E2:N2)</f>
        <v>1420</v>
      </c>
    </row>
    <row r="3" spans="1:15">
      <c r="A3" s="989" t="str">
        <f>'Presupuesto Inversión'!A6</f>
        <v>Inversores Inversor/cargador Multiplus-II 48/5000</v>
      </c>
      <c r="B3" s="750">
        <f>'Presupuesto Inversión'!C6</f>
        <v>1733</v>
      </c>
      <c r="C3" s="619">
        <v>10</v>
      </c>
      <c r="D3" s="751">
        <f>B3/(12*C3)</f>
        <v>14.44</v>
      </c>
      <c r="E3" s="752">
        <f>D3*12</f>
        <v>173</v>
      </c>
      <c r="F3" s="752">
        <f>E3</f>
        <v>173</v>
      </c>
      <c r="G3" s="752">
        <f>F3</f>
        <v>173</v>
      </c>
      <c r="H3" s="752">
        <f>G3</f>
        <v>173</v>
      </c>
      <c r="I3" s="752">
        <f>H3</f>
        <v>173</v>
      </c>
      <c r="J3" s="752"/>
      <c r="K3" s="752"/>
      <c r="L3" s="752"/>
      <c r="M3" s="752"/>
      <c r="N3" s="752"/>
      <c r="O3" s="752">
        <f>SUM(E3:N3)</f>
        <v>865</v>
      </c>
    </row>
    <row r="4" spans="1:15">
      <c r="A4" s="989" t="str">
        <f>'Presupuesto Inversión'!A9</f>
        <v>Cajas Combinadoras</v>
      </c>
      <c r="B4" s="750">
        <f>'Presupuesto Inversión'!C9</f>
        <v>232</v>
      </c>
      <c r="C4" s="619">
        <v>5</v>
      </c>
      <c r="D4" s="751">
        <f>B4/(12*C4)</f>
        <v>3.87</v>
      </c>
      <c r="E4" s="752">
        <f>D4*12</f>
        <v>46</v>
      </c>
      <c r="F4" s="752">
        <f t="shared" ref="F4:I4" si="1">E4</f>
        <v>46</v>
      </c>
      <c r="G4" s="752">
        <f t="shared" si="1"/>
        <v>46</v>
      </c>
      <c r="H4" s="753">
        <f t="shared" si="1"/>
        <v>46</v>
      </c>
      <c r="I4" s="752">
        <f t="shared" si="1"/>
        <v>46</v>
      </c>
      <c r="J4" s="752"/>
      <c r="K4" s="752"/>
      <c r="L4" s="752"/>
      <c r="M4" s="752"/>
      <c r="N4" s="752"/>
      <c r="O4" s="752">
        <f>SUM(E4:N4)</f>
        <v>230</v>
      </c>
    </row>
    <row r="5" spans="1:15">
      <c r="A5" s="989" t="str">
        <f>'Presupuesto Inversión'!A10</f>
        <v>Baterías Narada - Litio 48V/50Ah</v>
      </c>
      <c r="B5" s="750">
        <f>'Presupuesto Inversión'!C10</f>
        <v>3851</v>
      </c>
      <c r="C5" s="619">
        <v>10</v>
      </c>
      <c r="D5" s="751">
        <f>B5/(12*C5)</f>
        <v>32.090000000000003</v>
      </c>
      <c r="E5" s="752">
        <f>D5*12</f>
        <v>385</v>
      </c>
      <c r="F5" s="752"/>
      <c r="G5" s="752"/>
      <c r="H5" s="753"/>
      <c r="I5" s="752"/>
      <c r="J5" s="752"/>
      <c r="K5" s="752"/>
      <c r="L5" s="752"/>
      <c r="M5" s="752"/>
      <c r="N5" s="752"/>
      <c r="O5" s="752"/>
    </row>
    <row r="6" spans="1:15">
      <c r="A6" s="989" t="str">
        <f>'Presupuesto Inversión'!A13</f>
        <v>Controlador de Carga SmartSolar MPPT 250/60-Tr</v>
      </c>
      <c r="B6" s="750">
        <f>'Presupuesto Inversión'!C13</f>
        <v>609</v>
      </c>
      <c r="C6" s="619">
        <v>5</v>
      </c>
      <c r="D6" s="751">
        <f>B6/(12*C6)</f>
        <v>10.15</v>
      </c>
      <c r="E6" s="752">
        <f>D6*12</f>
        <v>122</v>
      </c>
      <c r="F6" s="752"/>
      <c r="G6" s="752"/>
      <c r="H6" s="753"/>
      <c r="I6" s="752"/>
      <c r="J6" s="752"/>
      <c r="K6" s="752"/>
      <c r="L6" s="752"/>
      <c r="M6" s="752"/>
      <c r="N6" s="752"/>
      <c r="O6" s="752"/>
    </row>
    <row r="7" spans="1:15">
      <c r="A7" s="749"/>
      <c r="B7" s="750"/>
      <c r="D7" s="751"/>
      <c r="E7" s="752"/>
      <c r="F7" s="752"/>
      <c r="G7" s="752"/>
      <c r="H7" s="753"/>
      <c r="I7" s="752"/>
      <c r="J7" s="752"/>
      <c r="K7" s="752"/>
      <c r="L7" s="752"/>
      <c r="M7" s="752"/>
      <c r="N7" s="752"/>
      <c r="O7" s="752"/>
    </row>
    <row r="8" spans="1:15">
      <c r="A8" s="749"/>
      <c r="B8" s="750"/>
      <c r="D8" s="751"/>
      <c r="E8" s="752"/>
      <c r="F8" s="752"/>
      <c r="G8" s="752"/>
      <c r="H8" s="752"/>
      <c r="I8" s="752"/>
      <c r="J8" s="752"/>
      <c r="K8" s="752"/>
      <c r="L8" s="752"/>
      <c r="M8" s="752"/>
      <c r="N8" s="752"/>
      <c r="O8" s="752"/>
    </row>
    <row r="9" spans="1:15">
      <c r="B9" s="754">
        <f>SUM(B2:B8)</f>
        <v>7847</v>
      </c>
      <c r="D9" s="755">
        <f t="shared" ref="D9:I9" si="2">SUM(D2:D8)</f>
        <v>72.400000000000006</v>
      </c>
      <c r="E9" s="752">
        <f>SUM(E2:E8)</f>
        <v>868</v>
      </c>
      <c r="F9" s="752">
        <f t="shared" si="2"/>
        <v>361</v>
      </c>
      <c r="G9" s="752">
        <f t="shared" si="2"/>
        <v>361</v>
      </c>
      <c r="H9" s="752">
        <f t="shared" si="2"/>
        <v>361</v>
      </c>
      <c r="I9" s="752">
        <f t="shared" si="2"/>
        <v>361</v>
      </c>
      <c r="J9" s="752"/>
      <c r="K9" s="752"/>
      <c r="L9" s="752"/>
      <c r="M9" s="752"/>
      <c r="N9" s="752"/>
      <c r="O9" s="752"/>
    </row>
    <row r="10" spans="1:15">
      <c r="D10" s="623" t="s">
        <v>144</v>
      </c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0DEB0-5688-4EF0-B1EC-9AC380CA0563}">
  <sheetPr>
    <tabColor rgb="FF00B050"/>
  </sheetPr>
  <dimension ref="A1:O67"/>
  <sheetViews>
    <sheetView workbookViewId="0">
      <selection activeCell="F2" sqref="F2"/>
    </sheetView>
  </sheetViews>
  <sheetFormatPr baseColWidth="10" defaultColWidth="11.42578125" defaultRowHeight="12.75"/>
  <cols>
    <col min="1" max="1" width="4.5703125" customWidth="1"/>
    <col min="2" max="2" width="15.140625" style="739" customWidth="1"/>
    <col min="3" max="3" width="15.140625" style="739" bestFit="1" customWidth="1"/>
    <col min="4" max="4" width="12.5703125" style="739" bestFit="1" customWidth="1"/>
    <col min="5" max="5" width="12.28515625" style="739" bestFit="1" customWidth="1"/>
    <col min="6" max="6" width="15.140625" style="739" bestFit="1" customWidth="1"/>
    <col min="7" max="7" width="4.85546875" style="739" customWidth="1"/>
    <col min="8" max="8" width="23.85546875" style="739" customWidth="1"/>
    <col min="9" max="9" width="15" customWidth="1"/>
    <col min="10" max="14" width="15" bestFit="1" customWidth="1"/>
    <col min="15" max="15" width="14.28515625" bestFit="1" customWidth="1"/>
  </cols>
  <sheetData>
    <row r="1" spans="1:15" ht="15">
      <c r="A1" s="797" t="s">
        <v>145</v>
      </c>
      <c r="B1"/>
      <c r="C1"/>
      <c r="D1"/>
      <c r="E1"/>
      <c r="F1"/>
      <c r="G1"/>
      <c r="H1"/>
    </row>
    <row r="2" spans="1:15">
      <c r="A2" s="1020" t="s">
        <v>146</v>
      </c>
      <c r="B2" s="1020"/>
      <c r="C2" s="739">
        <f>'Presupuesto Inversión'!B47*F2</f>
        <v>0</v>
      </c>
      <c r="D2"/>
      <c r="E2" s="493" t="s">
        <v>147</v>
      </c>
      <c r="F2" s="990">
        <v>0</v>
      </c>
      <c r="G2"/>
      <c r="H2"/>
    </row>
    <row r="3" spans="1:15">
      <c r="A3" s="1020" t="s">
        <v>148</v>
      </c>
      <c r="B3" s="1020"/>
      <c r="C3">
        <f>5*12</f>
        <v>60</v>
      </c>
      <c r="D3"/>
      <c r="E3"/>
      <c r="F3"/>
      <c r="G3"/>
      <c r="H3"/>
    </row>
    <row r="4" spans="1:15">
      <c r="A4" s="1020" t="s">
        <v>149</v>
      </c>
      <c r="B4" s="1020"/>
      <c r="C4" s="30">
        <f>(1+F4)^(1/12)-1</f>
        <v>9.4999999999999998E-3</v>
      </c>
      <c r="D4" s="493" t="s">
        <v>150</v>
      </c>
      <c r="E4"/>
      <c r="F4" s="798">
        <v>0.12</v>
      </c>
      <c r="G4" t="s">
        <v>151</v>
      </c>
      <c r="H4"/>
    </row>
    <row r="5" spans="1:15">
      <c r="A5" s="1020" t="s">
        <v>152</v>
      </c>
      <c r="B5" s="1020"/>
      <c r="C5" t="s">
        <v>153</v>
      </c>
      <c r="D5"/>
      <c r="E5"/>
      <c r="F5"/>
      <c r="G5" s="780"/>
      <c r="H5" s="780"/>
    </row>
    <row r="6" spans="1:15" ht="15">
      <c r="A6" s="799" t="s">
        <v>154</v>
      </c>
      <c r="B6" s="799" t="s">
        <v>155</v>
      </c>
      <c r="C6" s="799" t="s">
        <v>156</v>
      </c>
      <c r="D6" s="799" t="s">
        <v>157</v>
      </c>
      <c r="E6" s="799" t="s">
        <v>158</v>
      </c>
      <c r="F6" s="799" t="s">
        <v>159</v>
      </c>
      <c r="G6" s="780"/>
      <c r="H6" s="780"/>
      <c r="I6" s="820" t="s">
        <v>154</v>
      </c>
      <c r="J6" s="821" t="s">
        <v>134</v>
      </c>
      <c r="K6" s="821" t="s">
        <v>135</v>
      </c>
      <c r="L6" s="821" t="s">
        <v>136</v>
      </c>
      <c r="M6" s="821" t="s">
        <v>137</v>
      </c>
      <c r="N6" s="821" t="s">
        <v>138</v>
      </c>
    </row>
    <row r="7" spans="1:15" ht="15">
      <c r="A7" s="281">
        <v>0</v>
      </c>
      <c r="B7" s="800">
        <f>C2</f>
        <v>0</v>
      </c>
      <c r="C7" s="800"/>
      <c r="D7" s="800"/>
      <c r="E7" s="800"/>
      <c r="F7" s="800">
        <f>B7</f>
        <v>0</v>
      </c>
      <c r="G7" s="780"/>
      <c r="H7" s="780"/>
      <c r="I7" s="799" t="s">
        <v>155</v>
      </c>
      <c r="J7" s="736">
        <f>B8</f>
        <v>0</v>
      </c>
      <c r="K7" s="736">
        <f>J11</f>
        <v>0</v>
      </c>
      <c r="L7" s="736">
        <f>K11</f>
        <v>0</v>
      </c>
      <c r="M7" s="736">
        <f>L11</f>
        <v>0</v>
      </c>
      <c r="N7" s="736">
        <f>M11</f>
        <v>0</v>
      </c>
    </row>
    <row r="8" spans="1:15" ht="15">
      <c r="A8" s="281">
        <v>1</v>
      </c>
      <c r="B8" s="800">
        <f>F7</f>
        <v>0</v>
      </c>
      <c r="C8" s="800">
        <f>E8-D8</f>
        <v>0</v>
      </c>
      <c r="D8" s="800">
        <f>B8*($C$4)</f>
        <v>0</v>
      </c>
      <c r="E8" s="800">
        <f>PMT($C$4,$C$3,-$C$2)</f>
        <v>0</v>
      </c>
      <c r="F8" s="800">
        <f>B8-C8</f>
        <v>0</v>
      </c>
      <c r="G8" s="780"/>
      <c r="H8" s="780"/>
      <c r="I8" s="799" t="s">
        <v>156</v>
      </c>
      <c r="J8" s="736">
        <f>SUM(C8:C19)</f>
        <v>0</v>
      </c>
      <c r="K8" s="736">
        <f>SUM(C20:C31)</f>
        <v>0</v>
      </c>
      <c r="L8" s="736">
        <f>SUM(C32:C43)</f>
        <v>0</v>
      </c>
      <c r="M8" s="736">
        <f>SUM(C44:C55)</f>
        <v>0</v>
      </c>
      <c r="N8" s="736">
        <f>SUM(C56:C67)</f>
        <v>0</v>
      </c>
    </row>
    <row r="9" spans="1:15" ht="15">
      <c r="A9" s="281">
        <v>2</v>
      </c>
      <c r="B9" s="800">
        <f t="shared" ref="B9:B67" si="0">F8</f>
        <v>0</v>
      </c>
      <c r="C9" s="800">
        <f t="shared" ref="C9:C67" si="1">E9-D9</f>
        <v>0</v>
      </c>
      <c r="D9" s="800">
        <f t="shared" ref="D9:D67" si="2">B9*($C$4)</f>
        <v>0</v>
      </c>
      <c r="E9" s="800">
        <f t="shared" ref="E9:E67" si="3">PMT($C$4,$C$3,-$C$2)</f>
        <v>0</v>
      </c>
      <c r="F9" s="800">
        <f t="shared" ref="F9:F67" si="4">B9-C9</f>
        <v>0</v>
      </c>
      <c r="G9" s="780"/>
      <c r="H9" s="780"/>
      <c r="I9" s="799" t="s">
        <v>157</v>
      </c>
      <c r="J9" s="736">
        <f>SUM(D8:D19)</f>
        <v>0</v>
      </c>
      <c r="K9" s="736">
        <f>SUM(D20:D31)</f>
        <v>0</v>
      </c>
      <c r="L9" s="736">
        <f>SUM(D32:D43)</f>
        <v>0</v>
      </c>
      <c r="M9" s="736">
        <f>SUM(D44:D55)</f>
        <v>0</v>
      </c>
      <c r="N9" s="736">
        <f>SUM(D56:D67)</f>
        <v>0</v>
      </c>
    </row>
    <row r="10" spans="1:15" ht="15">
      <c r="A10" s="281">
        <v>3</v>
      </c>
      <c r="B10" s="800">
        <f t="shared" si="0"/>
        <v>0</v>
      </c>
      <c r="C10" s="800">
        <f t="shared" si="1"/>
        <v>0</v>
      </c>
      <c r="D10" s="800">
        <f t="shared" si="2"/>
        <v>0</v>
      </c>
      <c r="E10" s="800">
        <f t="shared" si="3"/>
        <v>0</v>
      </c>
      <c r="F10" s="800">
        <f t="shared" si="4"/>
        <v>0</v>
      </c>
      <c r="G10" s="780"/>
      <c r="H10" s="780"/>
      <c r="I10" s="799" t="s">
        <v>158</v>
      </c>
      <c r="J10" s="801">
        <f>SUM(E8:E19)</f>
        <v>0</v>
      </c>
      <c r="K10" s="801">
        <f>SUM(E20:E31)</f>
        <v>0</v>
      </c>
      <c r="L10" s="801">
        <f>SUM(E32:E43)</f>
        <v>0</v>
      </c>
      <c r="M10" s="801">
        <f>SUM(E44:E55)</f>
        <v>0</v>
      </c>
      <c r="N10" s="801">
        <f>SUM(E56:E67)</f>
        <v>0</v>
      </c>
      <c r="O10" s="493" t="s">
        <v>160</v>
      </c>
    </row>
    <row r="11" spans="1:15" ht="15">
      <c r="A11" s="281">
        <v>4</v>
      </c>
      <c r="B11" s="800">
        <f t="shared" si="0"/>
        <v>0</v>
      </c>
      <c r="C11" s="800">
        <f t="shared" si="1"/>
        <v>0</v>
      </c>
      <c r="D11" s="800">
        <f t="shared" si="2"/>
        <v>0</v>
      </c>
      <c r="E11" s="800">
        <f t="shared" si="3"/>
        <v>0</v>
      </c>
      <c r="F11" s="800">
        <f t="shared" si="4"/>
        <v>0</v>
      </c>
      <c r="G11" s="780"/>
      <c r="H11" s="780"/>
      <c r="I11" s="799" t="s">
        <v>159</v>
      </c>
      <c r="J11" s="736">
        <f>J7-J8</f>
        <v>0</v>
      </c>
      <c r="K11" s="736">
        <f t="shared" ref="K11" si="5">K7-K8</f>
        <v>0</v>
      </c>
      <c r="L11" s="736">
        <f>L7-L8</f>
        <v>0</v>
      </c>
      <c r="M11" s="736">
        <f>M7-M8</f>
        <v>0</v>
      </c>
      <c r="N11" s="736">
        <f>N7-N8</f>
        <v>0</v>
      </c>
    </row>
    <row r="12" spans="1:15">
      <c r="A12" s="281">
        <v>5</v>
      </c>
      <c r="B12" s="800">
        <f t="shared" si="0"/>
        <v>0</v>
      </c>
      <c r="C12" s="800">
        <f t="shared" si="1"/>
        <v>0</v>
      </c>
      <c r="D12" s="800">
        <f t="shared" si="2"/>
        <v>0</v>
      </c>
      <c r="E12" s="800">
        <f t="shared" si="3"/>
        <v>0</v>
      </c>
      <c r="F12" s="800">
        <f t="shared" si="4"/>
        <v>0</v>
      </c>
      <c r="G12" s="780"/>
      <c r="H12" s="780"/>
      <c r="J12" s="736"/>
    </row>
    <row r="13" spans="1:15">
      <c r="A13" s="281">
        <v>6</v>
      </c>
      <c r="B13" s="800">
        <f t="shared" si="0"/>
        <v>0</v>
      </c>
      <c r="C13" s="800">
        <f t="shared" si="1"/>
        <v>0</v>
      </c>
      <c r="D13" s="800">
        <f>B13*($C$4)</f>
        <v>0</v>
      </c>
      <c r="E13" s="800">
        <f t="shared" si="3"/>
        <v>0</v>
      </c>
      <c r="F13" s="800">
        <f t="shared" si="4"/>
        <v>0</v>
      </c>
      <c r="G13" s="780"/>
      <c r="H13" s="780"/>
    </row>
    <row r="14" spans="1:15">
      <c r="A14" s="281">
        <v>7</v>
      </c>
      <c r="B14" s="800">
        <f t="shared" si="0"/>
        <v>0</v>
      </c>
      <c r="C14" s="800">
        <f t="shared" si="1"/>
        <v>0</v>
      </c>
      <c r="D14" s="800">
        <f t="shared" si="2"/>
        <v>0</v>
      </c>
      <c r="E14" s="800">
        <f t="shared" si="3"/>
        <v>0</v>
      </c>
      <c r="F14" s="800">
        <f t="shared" si="4"/>
        <v>0</v>
      </c>
      <c r="G14" s="780"/>
      <c r="H14" s="780"/>
      <c r="I14" s="759" t="s">
        <v>161</v>
      </c>
    </row>
    <row r="15" spans="1:15">
      <c r="A15" s="281">
        <v>8</v>
      </c>
      <c r="B15" s="800">
        <f t="shared" si="0"/>
        <v>0</v>
      </c>
      <c r="C15" s="800">
        <f t="shared" si="1"/>
        <v>0</v>
      </c>
      <c r="D15" s="800">
        <f t="shared" si="2"/>
        <v>0</v>
      </c>
      <c r="E15" s="800">
        <f t="shared" si="3"/>
        <v>0</v>
      </c>
      <c r="F15" s="800">
        <f t="shared" si="4"/>
        <v>0</v>
      </c>
      <c r="G15" s="780"/>
      <c r="H15" s="780"/>
    </row>
    <row r="16" spans="1:15">
      <c r="A16" s="281">
        <v>9</v>
      </c>
      <c r="B16" s="800">
        <f t="shared" si="0"/>
        <v>0</v>
      </c>
      <c r="C16" s="800">
        <f t="shared" si="1"/>
        <v>0</v>
      </c>
      <c r="D16" s="800">
        <f t="shared" si="2"/>
        <v>0</v>
      </c>
      <c r="E16" s="800">
        <f t="shared" si="3"/>
        <v>0</v>
      </c>
      <c r="F16" s="800">
        <f t="shared" si="4"/>
        <v>0</v>
      </c>
      <c r="G16" s="780"/>
      <c r="H16" s="780"/>
    </row>
    <row r="17" spans="1:14" ht="15.75" thickBot="1">
      <c r="A17" s="281">
        <v>10</v>
      </c>
      <c r="B17" s="800">
        <f t="shared" si="0"/>
        <v>0</v>
      </c>
      <c r="C17" s="800">
        <f t="shared" si="1"/>
        <v>0</v>
      </c>
      <c r="D17" s="800">
        <f t="shared" si="2"/>
        <v>0</v>
      </c>
      <c r="E17" s="800">
        <f t="shared" si="3"/>
        <v>0</v>
      </c>
      <c r="F17" s="800">
        <f t="shared" si="4"/>
        <v>0</v>
      </c>
      <c r="G17" s="780"/>
      <c r="H17" s="1017" t="s">
        <v>162</v>
      </c>
      <c r="I17" s="1018"/>
      <c r="J17" s="1018"/>
      <c r="K17" s="1018"/>
      <c r="L17" s="1018"/>
      <c r="M17" s="1018"/>
      <c r="N17" s="1019"/>
    </row>
    <row r="18" spans="1:14" ht="26.25" customHeight="1">
      <c r="A18" s="281">
        <v>11</v>
      </c>
      <c r="B18" s="800">
        <f t="shared" si="0"/>
        <v>0</v>
      </c>
      <c r="C18" s="800">
        <f t="shared" si="1"/>
        <v>0</v>
      </c>
      <c r="D18" s="800">
        <f t="shared" si="2"/>
        <v>0</v>
      </c>
      <c r="E18" s="800">
        <f t="shared" si="3"/>
        <v>0</v>
      </c>
      <c r="F18" s="800">
        <f t="shared" si="4"/>
        <v>0</v>
      </c>
      <c r="G18" s="780"/>
      <c r="H18" s="814" t="s">
        <v>163</v>
      </c>
      <c r="I18" s="815"/>
      <c r="J18" s="815">
        <f>J9*(1-0.35)</f>
        <v>0</v>
      </c>
      <c r="K18" s="815">
        <f t="shared" ref="K18:N18" si="6">K9*(1-0.35)</f>
        <v>0</v>
      </c>
      <c r="L18" s="815">
        <f t="shared" si="6"/>
        <v>0</v>
      </c>
      <c r="M18" s="815">
        <f t="shared" si="6"/>
        <v>0</v>
      </c>
      <c r="N18" s="815">
        <f t="shared" si="6"/>
        <v>0</v>
      </c>
    </row>
    <row r="19" spans="1:14" ht="15.75" customHeight="1" thickBot="1">
      <c r="A19" s="281">
        <v>12</v>
      </c>
      <c r="B19" s="800">
        <f t="shared" si="0"/>
        <v>0</v>
      </c>
      <c r="C19" s="800">
        <f t="shared" si="1"/>
        <v>0</v>
      </c>
      <c r="D19" s="800">
        <f t="shared" si="2"/>
        <v>0</v>
      </c>
      <c r="E19" s="800">
        <f t="shared" si="3"/>
        <v>0</v>
      </c>
      <c r="F19" s="800">
        <f t="shared" si="4"/>
        <v>0</v>
      </c>
      <c r="G19" s="780"/>
      <c r="H19" s="816" t="s">
        <v>164</v>
      </c>
      <c r="I19" s="817">
        <f>+C2</f>
        <v>0</v>
      </c>
      <c r="J19" s="818">
        <f>-(J18+J8)</f>
        <v>0</v>
      </c>
      <c r="K19" s="818">
        <f t="shared" ref="K19:N19" si="7">-(K18+K8)</f>
        <v>0</v>
      </c>
      <c r="L19" s="818">
        <f t="shared" si="7"/>
        <v>0</v>
      </c>
      <c r="M19" s="818">
        <f t="shared" si="7"/>
        <v>0</v>
      </c>
      <c r="N19" s="818">
        <f t="shared" si="7"/>
        <v>0</v>
      </c>
    </row>
    <row r="20" spans="1:14">
      <c r="A20" s="281">
        <v>13</v>
      </c>
      <c r="B20" s="800">
        <f t="shared" si="0"/>
        <v>0</v>
      </c>
      <c r="C20" s="800">
        <f t="shared" si="1"/>
        <v>0</v>
      </c>
      <c r="D20" s="800">
        <f t="shared" si="2"/>
        <v>0</v>
      </c>
      <c r="E20" s="800">
        <f t="shared" si="3"/>
        <v>0</v>
      </c>
      <c r="F20" s="800">
        <f t="shared" si="4"/>
        <v>0</v>
      </c>
      <c r="G20" s="780"/>
      <c r="H20" s="780"/>
    </row>
    <row r="21" spans="1:14">
      <c r="A21" s="281">
        <v>14</v>
      </c>
      <c r="B21" s="800">
        <f t="shared" si="0"/>
        <v>0</v>
      </c>
      <c r="C21" s="800">
        <f t="shared" si="1"/>
        <v>0</v>
      </c>
      <c r="D21" s="800">
        <f t="shared" si="2"/>
        <v>0</v>
      </c>
      <c r="E21" s="800">
        <f t="shared" si="3"/>
        <v>0</v>
      </c>
      <c r="F21" s="800">
        <f t="shared" si="4"/>
        <v>0</v>
      </c>
      <c r="G21" s="780"/>
      <c r="H21" s="780"/>
    </row>
    <row r="22" spans="1:14">
      <c r="A22" s="281">
        <v>15</v>
      </c>
      <c r="B22" s="800">
        <f t="shared" si="0"/>
        <v>0</v>
      </c>
      <c r="C22" s="800">
        <f t="shared" si="1"/>
        <v>0</v>
      </c>
      <c r="D22" s="800">
        <f t="shared" si="2"/>
        <v>0</v>
      </c>
      <c r="E22" s="800">
        <f t="shared" si="3"/>
        <v>0</v>
      </c>
      <c r="F22" s="800">
        <f t="shared" si="4"/>
        <v>0</v>
      </c>
      <c r="G22" s="780"/>
      <c r="H22" s="780"/>
    </row>
    <row r="23" spans="1:14">
      <c r="A23" s="281">
        <v>16</v>
      </c>
      <c r="B23" s="800">
        <f t="shared" si="0"/>
        <v>0</v>
      </c>
      <c r="C23" s="800">
        <f t="shared" si="1"/>
        <v>0</v>
      </c>
      <c r="D23" s="800">
        <f t="shared" si="2"/>
        <v>0</v>
      </c>
      <c r="E23" s="800">
        <f t="shared" si="3"/>
        <v>0</v>
      </c>
      <c r="F23" s="800">
        <f t="shared" si="4"/>
        <v>0</v>
      </c>
      <c r="G23" s="780"/>
      <c r="H23" s="780"/>
    </row>
    <row r="24" spans="1:14">
      <c r="A24" s="281">
        <v>17</v>
      </c>
      <c r="B24" s="800">
        <f t="shared" si="0"/>
        <v>0</v>
      </c>
      <c r="C24" s="800">
        <f t="shared" si="1"/>
        <v>0</v>
      </c>
      <c r="D24" s="800">
        <f t="shared" si="2"/>
        <v>0</v>
      </c>
      <c r="E24" s="800">
        <f t="shared" si="3"/>
        <v>0</v>
      </c>
      <c r="F24" s="800">
        <f t="shared" si="4"/>
        <v>0</v>
      </c>
      <c r="G24" s="780"/>
      <c r="H24" s="780"/>
    </row>
    <row r="25" spans="1:14">
      <c r="A25" s="281">
        <v>18</v>
      </c>
      <c r="B25" s="800">
        <f t="shared" si="0"/>
        <v>0</v>
      </c>
      <c r="C25" s="800">
        <f t="shared" si="1"/>
        <v>0</v>
      </c>
      <c r="D25" s="800">
        <f t="shared" si="2"/>
        <v>0</v>
      </c>
      <c r="E25" s="800">
        <f t="shared" si="3"/>
        <v>0</v>
      </c>
      <c r="F25" s="800">
        <f t="shared" si="4"/>
        <v>0</v>
      </c>
      <c r="G25" s="780"/>
      <c r="H25" s="780"/>
    </row>
    <row r="26" spans="1:14">
      <c r="A26" s="281">
        <v>19</v>
      </c>
      <c r="B26" s="800">
        <f t="shared" si="0"/>
        <v>0</v>
      </c>
      <c r="C26" s="800">
        <f t="shared" si="1"/>
        <v>0</v>
      </c>
      <c r="D26" s="800">
        <f t="shared" si="2"/>
        <v>0</v>
      </c>
      <c r="E26" s="800">
        <f t="shared" si="3"/>
        <v>0</v>
      </c>
      <c r="F26" s="800">
        <f t="shared" si="4"/>
        <v>0</v>
      </c>
      <c r="G26" s="780"/>
      <c r="H26" s="780"/>
    </row>
    <row r="27" spans="1:14">
      <c r="A27" s="281">
        <v>20</v>
      </c>
      <c r="B27" s="800">
        <f t="shared" si="0"/>
        <v>0</v>
      </c>
      <c r="C27" s="800">
        <f t="shared" si="1"/>
        <v>0</v>
      </c>
      <c r="D27" s="800">
        <f t="shared" si="2"/>
        <v>0</v>
      </c>
      <c r="E27" s="800">
        <f t="shared" si="3"/>
        <v>0</v>
      </c>
      <c r="F27" s="800">
        <f t="shared" si="4"/>
        <v>0</v>
      </c>
      <c r="G27" s="780"/>
      <c r="H27" s="780"/>
    </row>
    <row r="28" spans="1:14">
      <c r="A28" s="281">
        <v>21</v>
      </c>
      <c r="B28" s="800">
        <f t="shared" si="0"/>
        <v>0</v>
      </c>
      <c r="C28" s="800">
        <f t="shared" si="1"/>
        <v>0</v>
      </c>
      <c r="D28" s="800">
        <f t="shared" si="2"/>
        <v>0</v>
      </c>
      <c r="E28" s="800">
        <f t="shared" si="3"/>
        <v>0</v>
      </c>
      <c r="F28" s="800">
        <f t="shared" si="4"/>
        <v>0</v>
      </c>
      <c r="G28" s="780"/>
      <c r="H28" s="780"/>
    </row>
    <row r="29" spans="1:14">
      <c r="A29" s="281">
        <v>22</v>
      </c>
      <c r="B29" s="800">
        <f t="shared" si="0"/>
        <v>0</v>
      </c>
      <c r="C29" s="800">
        <f t="shared" si="1"/>
        <v>0</v>
      </c>
      <c r="D29" s="800">
        <f t="shared" si="2"/>
        <v>0</v>
      </c>
      <c r="E29" s="800">
        <f t="shared" si="3"/>
        <v>0</v>
      </c>
      <c r="F29" s="800">
        <f t="shared" si="4"/>
        <v>0</v>
      </c>
      <c r="G29" s="780"/>
      <c r="H29" s="780"/>
    </row>
    <row r="30" spans="1:14">
      <c r="A30" s="281">
        <v>23</v>
      </c>
      <c r="B30" s="800">
        <f t="shared" si="0"/>
        <v>0</v>
      </c>
      <c r="C30" s="800">
        <f t="shared" si="1"/>
        <v>0</v>
      </c>
      <c r="D30" s="800">
        <f t="shared" si="2"/>
        <v>0</v>
      </c>
      <c r="E30" s="800">
        <f t="shared" si="3"/>
        <v>0</v>
      </c>
      <c r="F30" s="800">
        <f t="shared" si="4"/>
        <v>0</v>
      </c>
      <c r="G30" s="780"/>
      <c r="H30" s="780"/>
    </row>
    <row r="31" spans="1:14">
      <c r="A31" s="281">
        <v>24</v>
      </c>
      <c r="B31" s="800">
        <f t="shared" si="0"/>
        <v>0</v>
      </c>
      <c r="C31" s="800">
        <f t="shared" si="1"/>
        <v>0</v>
      </c>
      <c r="D31" s="800">
        <f t="shared" si="2"/>
        <v>0</v>
      </c>
      <c r="E31" s="800">
        <f t="shared" si="3"/>
        <v>0</v>
      </c>
      <c r="F31" s="800">
        <f t="shared" si="4"/>
        <v>0</v>
      </c>
      <c r="G31" s="780"/>
      <c r="H31" s="780"/>
    </row>
    <row r="32" spans="1:14">
      <c r="A32" s="281">
        <v>25</v>
      </c>
      <c r="B32" s="800">
        <f t="shared" si="0"/>
        <v>0</v>
      </c>
      <c r="C32" s="800">
        <f t="shared" si="1"/>
        <v>0</v>
      </c>
      <c r="D32" s="800">
        <f t="shared" si="2"/>
        <v>0</v>
      </c>
      <c r="E32" s="800">
        <f t="shared" si="3"/>
        <v>0</v>
      </c>
      <c r="F32" s="800">
        <f t="shared" si="4"/>
        <v>0</v>
      </c>
      <c r="G32" s="780"/>
      <c r="H32" s="780"/>
    </row>
    <row r="33" spans="1:8">
      <c r="A33" s="281">
        <v>26</v>
      </c>
      <c r="B33" s="800">
        <f t="shared" si="0"/>
        <v>0</v>
      </c>
      <c r="C33" s="800">
        <f t="shared" si="1"/>
        <v>0</v>
      </c>
      <c r="D33" s="800">
        <f t="shared" si="2"/>
        <v>0</v>
      </c>
      <c r="E33" s="800">
        <f t="shared" si="3"/>
        <v>0</v>
      </c>
      <c r="F33" s="800">
        <f t="shared" si="4"/>
        <v>0</v>
      </c>
      <c r="G33" s="780"/>
      <c r="H33" s="780"/>
    </row>
    <row r="34" spans="1:8">
      <c r="A34" s="281">
        <v>27</v>
      </c>
      <c r="B34" s="800">
        <f t="shared" si="0"/>
        <v>0</v>
      </c>
      <c r="C34" s="800">
        <f t="shared" si="1"/>
        <v>0</v>
      </c>
      <c r="D34" s="800">
        <f t="shared" si="2"/>
        <v>0</v>
      </c>
      <c r="E34" s="800">
        <f t="shared" si="3"/>
        <v>0</v>
      </c>
      <c r="F34" s="800">
        <f t="shared" si="4"/>
        <v>0</v>
      </c>
      <c r="G34" s="780"/>
      <c r="H34" s="780"/>
    </row>
    <row r="35" spans="1:8">
      <c r="A35" s="281">
        <v>28</v>
      </c>
      <c r="B35" s="800">
        <f t="shared" si="0"/>
        <v>0</v>
      </c>
      <c r="C35" s="800">
        <f t="shared" si="1"/>
        <v>0</v>
      </c>
      <c r="D35" s="800">
        <f t="shared" si="2"/>
        <v>0</v>
      </c>
      <c r="E35" s="800">
        <f t="shared" si="3"/>
        <v>0</v>
      </c>
      <c r="F35" s="800">
        <f t="shared" si="4"/>
        <v>0</v>
      </c>
      <c r="G35" s="780"/>
      <c r="H35" s="780"/>
    </row>
    <row r="36" spans="1:8">
      <c r="A36" s="281">
        <v>29</v>
      </c>
      <c r="B36" s="800">
        <f t="shared" si="0"/>
        <v>0</v>
      </c>
      <c r="C36" s="800">
        <f t="shared" si="1"/>
        <v>0</v>
      </c>
      <c r="D36" s="800">
        <f t="shared" si="2"/>
        <v>0</v>
      </c>
      <c r="E36" s="800">
        <f t="shared" si="3"/>
        <v>0</v>
      </c>
      <c r="F36" s="800">
        <f t="shared" si="4"/>
        <v>0</v>
      </c>
      <c r="G36" s="780"/>
      <c r="H36" s="780"/>
    </row>
    <row r="37" spans="1:8">
      <c r="A37" s="281">
        <v>30</v>
      </c>
      <c r="B37" s="800">
        <f t="shared" si="0"/>
        <v>0</v>
      </c>
      <c r="C37" s="800">
        <f t="shared" si="1"/>
        <v>0</v>
      </c>
      <c r="D37" s="800">
        <f t="shared" si="2"/>
        <v>0</v>
      </c>
      <c r="E37" s="800">
        <f t="shared" si="3"/>
        <v>0</v>
      </c>
      <c r="F37" s="800">
        <f t="shared" si="4"/>
        <v>0</v>
      </c>
      <c r="G37" s="780"/>
      <c r="H37" s="780"/>
    </row>
    <row r="38" spans="1:8">
      <c r="A38" s="281">
        <v>31</v>
      </c>
      <c r="B38" s="800">
        <f t="shared" si="0"/>
        <v>0</v>
      </c>
      <c r="C38" s="800">
        <f t="shared" si="1"/>
        <v>0</v>
      </c>
      <c r="D38" s="800">
        <f t="shared" si="2"/>
        <v>0</v>
      </c>
      <c r="E38" s="800">
        <f t="shared" si="3"/>
        <v>0</v>
      </c>
      <c r="F38" s="800">
        <f t="shared" si="4"/>
        <v>0</v>
      </c>
      <c r="G38" s="780"/>
      <c r="H38" s="780"/>
    </row>
    <row r="39" spans="1:8">
      <c r="A39" s="281">
        <v>32</v>
      </c>
      <c r="B39" s="800">
        <f t="shared" si="0"/>
        <v>0</v>
      </c>
      <c r="C39" s="800">
        <f t="shared" si="1"/>
        <v>0</v>
      </c>
      <c r="D39" s="800">
        <f t="shared" si="2"/>
        <v>0</v>
      </c>
      <c r="E39" s="800">
        <f t="shared" si="3"/>
        <v>0</v>
      </c>
      <c r="F39" s="800">
        <f t="shared" si="4"/>
        <v>0</v>
      </c>
      <c r="G39" s="780"/>
      <c r="H39" s="780"/>
    </row>
    <row r="40" spans="1:8">
      <c r="A40" s="281">
        <v>33</v>
      </c>
      <c r="B40" s="800">
        <f t="shared" si="0"/>
        <v>0</v>
      </c>
      <c r="C40" s="800">
        <f t="shared" si="1"/>
        <v>0</v>
      </c>
      <c r="D40" s="800">
        <f t="shared" si="2"/>
        <v>0</v>
      </c>
      <c r="E40" s="800">
        <f t="shared" si="3"/>
        <v>0</v>
      </c>
      <c r="F40" s="800">
        <f t="shared" si="4"/>
        <v>0</v>
      </c>
      <c r="G40" s="780"/>
      <c r="H40" s="780"/>
    </row>
    <row r="41" spans="1:8">
      <c r="A41" s="281">
        <v>34</v>
      </c>
      <c r="B41" s="800">
        <f t="shared" si="0"/>
        <v>0</v>
      </c>
      <c r="C41" s="800">
        <f t="shared" si="1"/>
        <v>0</v>
      </c>
      <c r="D41" s="800">
        <f t="shared" si="2"/>
        <v>0</v>
      </c>
      <c r="E41" s="800">
        <f t="shared" si="3"/>
        <v>0</v>
      </c>
      <c r="F41" s="800">
        <f t="shared" si="4"/>
        <v>0</v>
      </c>
      <c r="G41" s="780"/>
      <c r="H41" s="780"/>
    </row>
    <row r="42" spans="1:8">
      <c r="A42" s="281">
        <v>35</v>
      </c>
      <c r="B42" s="800">
        <f t="shared" si="0"/>
        <v>0</v>
      </c>
      <c r="C42" s="800">
        <f t="shared" si="1"/>
        <v>0</v>
      </c>
      <c r="D42" s="800">
        <f t="shared" si="2"/>
        <v>0</v>
      </c>
      <c r="E42" s="800">
        <f t="shared" si="3"/>
        <v>0</v>
      </c>
      <c r="F42" s="800">
        <f t="shared" si="4"/>
        <v>0</v>
      </c>
      <c r="G42" s="780"/>
      <c r="H42" s="780"/>
    </row>
    <row r="43" spans="1:8">
      <c r="A43" s="281">
        <v>36</v>
      </c>
      <c r="B43" s="800">
        <f t="shared" si="0"/>
        <v>0</v>
      </c>
      <c r="C43" s="800">
        <f t="shared" si="1"/>
        <v>0</v>
      </c>
      <c r="D43" s="800">
        <f t="shared" si="2"/>
        <v>0</v>
      </c>
      <c r="E43" s="800">
        <f t="shared" si="3"/>
        <v>0</v>
      </c>
      <c r="F43" s="800">
        <f t="shared" si="4"/>
        <v>0</v>
      </c>
      <c r="G43" s="780"/>
      <c r="H43" s="780"/>
    </row>
    <row r="44" spans="1:8">
      <c r="A44" s="281">
        <v>37</v>
      </c>
      <c r="B44" s="800">
        <f t="shared" si="0"/>
        <v>0</v>
      </c>
      <c r="C44" s="800">
        <f t="shared" si="1"/>
        <v>0</v>
      </c>
      <c r="D44" s="800">
        <f t="shared" si="2"/>
        <v>0</v>
      </c>
      <c r="E44" s="800">
        <f t="shared" si="3"/>
        <v>0</v>
      </c>
      <c r="F44" s="800">
        <f t="shared" si="4"/>
        <v>0</v>
      </c>
    </row>
    <row r="45" spans="1:8">
      <c r="A45" s="281">
        <v>38</v>
      </c>
      <c r="B45" s="800">
        <f t="shared" si="0"/>
        <v>0</v>
      </c>
      <c r="C45" s="800">
        <f t="shared" si="1"/>
        <v>0</v>
      </c>
      <c r="D45" s="800">
        <f t="shared" si="2"/>
        <v>0</v>
      </c>
      <c r="E45" s="800">
        <f t="shared" si="3"/>
        <v>0</v>
      </c>
      <c r="F45" s="800">
        <f t="shared" si="4"/>
        <v>0</v>
      </c>
    </row>
    <row r="46" spans="1:8">
      <c r="A46" s="281">
        <v>39</v>
      </c>
      <c r="B46" s="800">
        <f t="shared" si="0"/>
        <v>0</v>
      </c>
      <c r="C46" s="800">
        <f t="shared" si="1"/>
        <v>0</v>
      </c>
      <c r="D46" s="800">
        <f t="shared" si="2"/>
        <v>0</v>
      </c>
      <c r="E46" s="800">
        <f t="shared" si="3"/>
        <v>0</v>
      </c>
      <c r="F46" s="800">
        <f t="shared" si="4"/>
        <v>0</v>
      </c>
    </row>
    <row r="47" spans="1:8">
      <c r="A47" s="281">
        <v>40</v>
      </c>
      <c r="B47" s="800">
        <f t="shared" si="0"/>
        <v>0</v>
      </c>
      <c r="C47" s="800">
        <f t="shared" si="1"/>
        <v>0</v>
      </c>
      <c r="D47" s="800">
        <f t="shared" si="2"/>
        <v>0</v>
      </c>
      <c r="E47" s="800">
        <f t="shared" si="3"/>
        <v>0</v>
      </c>
      <c r="F47" s="800">
        <f t="shared" si="4"/>
        <v>0</v>
      </c>
    </row>
    <row r="48" spans="1:8">
      <c r="A48" s="281">
        <v>41</v>
      </c>
      <c r="B48" s="800">
        <f t="shared" si="0"/>
        <v>0</v>
      </c>
      <c r="C48" s="800">
        <f t="shared" si="1"/>
        <v>0</v>
      </c>
      <c r="D48" s="800">
        <f t="shared" si="2"/>
        <v>0</v>
      </c>
      <c r="E48" s="800">
        <f t="shared" si="3"/>
        <v>0</v>
      </c>
      <c r="F48" s="800">
        <f t="shared" si="4"/>
        <v>0</v>
      </c>
    </row>
    <row r="49" spans="1:6">
      <c r="A49" s="281">
        <v>42</v>
      </c>
      <c r="B49" s="800">
        <f t="shared" si="0"/>
        <v>0</v>
      </c>
      <c r="C49" s="800">
        <f t="shared" si="1"/>
        <v>0</v>
      </c>
      <c r="D49" s="800">
        <f t="shared" si="2"/>
        <v>0</v>
      </c>
      <c r="E49" s="800">
        <f t="shared" si="3"/>
        <v>0</v>
      </c>
      <c r="F49" s="800">
        <f t="shared" si="4"/>
        <v>0</v>
      </c>
    </row>
    <row r="50" spans="1:6">
      <c r="A50" s="281">
        <v>43</v>
      </c>
      <c r="B50" s="800">
        <f t="shared" si="0"/>
        <v>0</v>
      </c>
      <c r="C50" s="800">
        <f t="shared" si="1"/>
        <v>0</v>
      </c>
      <c r="D50" s="800">
        <f t="shared" si="2"/>
        <v>0</v>
      </c>
      <c r="E50" s="800">
        <f t="shared" si="3"/>
        <v>0</v>
      </c>
      <c r="F50" s="800">
        <f t="shared" si="4"/>
        <v>0</v>
      </c>
    </row>
    <row r="51" spans="1:6">
      <c r="A51" s="281">
        <v>44</v>
      </c>
      <c r="B51" s="800">
        <f t="shared" si="0"/>
        <v>0</v>
      </c>
      <c r="C51" s="800">
        <f t="shared" si="1"/>
        <v>0</v>
      </c>
      <c r="D51" s="800">
        <f t="shared" si="2"/>
        <v>0</v>
      </c>
      <c r="E51" s="800">
        <f t="shared" si="3"/>
        <v>0</v>
      </c>
      <c r="F51" s="800">
        <f t="shared" si="4"/>
        <v>0</v>
      </c>
    </row>
    <row r="52" spans="1:6">
      <c r="A52" s="281">
        <v>45</v>
      </c>
      <c r="B52" s="800">
        <f t="shared" si="0"/>
        <v>0</v>
      </c>
      <c r="C52" s="800">
        <f t="shared" si="1"/>
        <v>0</v>
      </c>
      <c r="D52" s="800">
        <f t="shared" si="2"/>
        <v>0</v>
      </c>
      <c r="E52" s="800">
        <f t="shared" si="3"/>
        <v>0</v>
      </c>
      <c r="F52" s="800">
        <f t="shared" si="4"/>
        <v>0</v>
      </c>
    </row>
    <row r="53" spans="1:6">
      <c r="A53" s="281">
        <v>46</v>
      </c>
      <c r="B53" s="800">
        <f t="shared" si="0"/>
        <v>0</v>
      </c>
      <c r="C53" s="800">
        <f t="shared" si="1"/>
        <v>0</v>
      </c>
      <c r="D53" s="800">
        <f t="shared" si="2"/>
        <v>0</v>
      </c>
      <c r="E53" s="800">
        <f t="shared" si="3"/>
        <v>0</v>
      </c>
      <c r="F53" s="800">
        <f t="shared" si="4"/>
        <v>0</v>
      </c>
    </row>
    <row r="54" spans="1:6">
      <c r="A54" s="281">
        <v>47</v>
      </c>
      <c r="B54" s="800">
        <f t="shared" si="0"/>
        <v>0</v>
      </c>
      <c r="C54" s="800">
        <f t="shared" si="1"/>
        <v>0</v>
      </c>
      <c r="D54" s="800">
        <f t="shared" si="2"/>
        <v>0</v>
      </c>
      <c r="E54" s="800">
        <f t="shared" si="3"/>
        <v>0</v>
      </c>
      <c r="F54" s="800">
        <f t="shared" si="4"/>
        <v>0</v>
      </c>
    </row>
    <row r="55" spans="1:6">
      <c r="A55" s="281">
        <v>48</v>
      </c>
      <c r="B55" s="800">
        <f t="shared" si="0"/>
        <v>0</v>
      </c>
      <c r="C55" s="800">
        <f t="shared" si="1"/>
        <v>0</v>
      </c>
      <c r="D55" s="800">
        <f t="shared" si="2"/>
        <v>0</v>
      </c>
      <c r="E55" s="800">
        <f t="shared" si="3"/>
        <v>0</v>
      </c>
      <c r="F55" s="800">
        <f t="shared" si="4"/>
        <v>0</v>
      </c>
    </row>
    <row r="56" spans="1:6">
      <c r="A56" s="281">
        <v>49</v>
      </c>
      <c r="B56" s="800">
        <f t="shared" si="0"/>
        <v>0</v>
      </c>
      <c r="C56" s="800">
        <f t="shared" si="1"/>
        <v>0</v>
      </c>
      <c r="D56" s="800">
        <f t="shared" si="2"/>
        <v>0</v>
      </c>
      <c r="E56" s="800">
        <f t="shared" si="3"/>
        <v>0</v>
      </c>
      <c r="F56" s="800">
        <f t="shared" si="4"/>
        <v>0</v>
      </c>
    </row>
    <row r="57" spans="1:6">
      <c r="A57" s="281">
        <v>50</v>
      </c>
      <c r="B57" s="800">
        <f t="shared" si="0"/>
        <v>0</v>
      </c>
      <c r="C57" s="800">
        <f t="shared" si="1"/>
        <v>0</v>
      </c>
      <c r="D57" s="800">
        <f t="shared" si="2"/>
        <v>0</v>
      </c>
      <c r="E57" s="800">
        <f t="shared" si="3"/>
        <v>0</v>
      </c>
      <c r="F57" s="800">
        <f t="shared" si="4"/>
        <v>0</v>
      </c>
    </row>
    <row r="58" spans="1:6">
      <c r="A58" s="281">
        <v>51</v>
      </c>
      <c r="B58" s="800">
        <f t="shared" si="0"/>
        <v>0</v>
      </c>
      <c r="C58" s="800">
        <f t="shared" si="1"/>
        <v>0</v>
      </c>
      <c r="D58" s="800">
        <f t="shared" si="2"/>
        <v>0</v>
      </c>
      <c r="E58" s="800">
        <f t="shared" si="3"/>
        <v>0</v>
      </c>
      <c r="F58" s="800">
        <f t="shared" si="4"/>
        <v>0</v>
      </c>
    </row>
    <row r="59" spans="1:6">
      <c r="A59" s="281">
        <v>52</v>
      </c>
      <c r="B59" s="800">
        <f t="shared" si="0"/>
        <v>0</v>
      </c>
      <c r="C59" s="800">
        <f t="shared" si="1"/>
        <v>0</v>
      </c>
      <c r="D59" s="800">
        <f t="shared" si="2"/>
        <v>0</v>
      </c>
      <c r="E59" s="800">
        <f t="shared" si="3"/>
        <v>0</v>
      </c>
      <c r="F59" s="800">
        <f t="shared" si="4"/>
        <v>0</v>
      </c>
    </row>
    <row r="60" spans="1:6">
      <c r="A60" s="281">
        <v>53</v>
      </c>
      <c r="B60" s="800">
        <f t="shared" si="0"/>
        <v>0</v>
      </c>
      <c r="C60" s="800">
        <f t="shared" si="1"/>
        <v>0</v>
      </c>
      <c r="D60" s="800">
        <f t="shared" si="2"/>
        <v>0</v>
      </c>
      <c r="E60" s="800">
        <f t="shared" si="3"/>
        <v>0</v>
      </c>
      <c r="F60" s="800">
        <f t="shared" si="4"/>
        <v>0</v>
      </c>
    </row>
    <row r="61" spans="1:6">
      <c r="A61" s="281">
        <v>54</v>
      </c>
      <c r="B61" s="800">
        <f t="shared" si="0"/>
        <v>0</v>
      </c>
      <c r="C61" s="800">
        <f t="shared" si="1"/>
        <v>0</v>
      </c>
      <c r="D61" s="800">
        <f t="shared" si="2"/>
        <v>0</v>
      </c>
      <c r="E61" s="800">
        <f t="shared" si="3"/>
        <v>0</v>
      </c>
      <c r="F61" s="800">
        <f t="shared" si="4"/>
        <v>0</v>
      </c>
    </row>
    <row r="62" spans="1:6">
      <c r="A62" s="281">
        <v>55</v>
      </c>
      <c r="B62" s="800">
        <f t="shared" si="0"/>
        <v>0</v>
      </c>
      <c r="C62" s="800">
        <f t="shared" si="1"/>
        <v>0</v>
      </c>
      <c r="D62" s="800">
        <f t="shared" si="2"/>
        <v>0</v>
      </c>
      <c r="E62" s="800">
        <f t="shared" si="3"/>
        <v>0</v>
      </c>
      <c r="F62" s="800">
        <f t="shared" si="4"/>
        <v>0</v>
      </c>
    </row>
    <row r="63" spans="1:6">
      <c r="A63" s="281">
        <v>56</v>
      </c>
      <c r="B63" s="800">
        <f t="shared" si="0"/>
        <v>0</v>
      </c>
      <c r="C63" s="800">
        <f t="shared" si="1"/>
        <v>0</v>
      </c>
      <c r="D63" s="800">
        <f t="shared" si="2"/>
        <v>0</v>
      </c>
      <c r="E63" s="800">
        <f t="shared" si="3"/>
        <v>0</v>
      </c>
      <c r="F63" s="800">
        <f t="shared" si="4"/>
        <v>0</v>
      </c>
    </row>
    <row r="64" spans="1:6">
      <c r="A64" s="281">
        <v>57</v>
      </c>
      <c r="B64" s="800">
        <f t="shared" si="0"/>
        <v>0</v>
      </c>
      <c r="C64" s="800">
        <f t="shared" si="1"/>
        <v>0</v>
      </c>
      <c r="D64" s="800">
        <f t="shared" si="2"/>
        <v>0</v>
      </c>
      <c r="E64" s="800">
        <f t="shared" si="3"/>
        <v>0</v>
      </c>
      <c r="F64" s="800">
        <f t="shared" si="4"/>
        <v>0</v>
      </c>
    </row>
    <row r="65" spans="1:6">
      <c r="A65" s="281">
        <v>58</v>
      </c>
      <c r="B65" s="800">
        <f t="shared" si="0"/>
        <v>0</v>
      </c>
      <c r="C65" s="800">
        <f t="shared" si="1"/>
        <v>0</v>
      </c>
      <c r="D65" s="800">
        <f t="shared" si="2"/>
        <v>0</v>
      </c>
      <c r="E65" s="800">
        <f t="shared" si="3"/>
        <v>0</v>
      </c>
      <c r="F65" s="800">
        <f t="shared" si="4"/>
        <v>0</v>
      </c>
    </row>
    <row r="66" spans="1:6">
      <c r="A66" s="281">
        <v>59</v>
      </c>
      <c r="B66" s="800">
        <f t="shared" si="0"/>
        <v>0</v>
      </c>
      <c r="C66" s="800">
        <f t="shared" si="1"/>
        <v>0</v>
      </c>
      <c r="D66" s="800">
        <f t="shared" si="2"/>
        <v>0</v>
      </c>
      <c r="E66" s="800">
        <f t="shared" si="3"/>
        <v>0</v>
      </c>
      <c r="F66" s="800">
        <f t="shared" si="4"/>
        <v>0</v>
      </c>
    </row>
    <row r="67" spans="1:6">
      <c r="A67" s="281">
        <v>60</v>
      </c>
      <c r="B67" s="800">
        <f t="shared" si="0"/>
        <v>0</v>
      </c>
      <c r="C67" s="800">
        <f t="shared" si="1"/>
        <v>0</v>
      </c>
      <c r="D67" s="800">
        <f t="shared" si="2"/>
        <v>0</v>
      </c>
      <c r="E67" s="800">
        <f t="shared" si="3"/>
        <v>0</v>
      </c>
      <c r="F67" s="800">
        <f t="shared" si="4"/>
        <v>0</v>
      </c>
    </row>
  </sheetData>
  <mergeCells count="5">
    <mergeCell ref="H17:N17"/>
    <mergeCell ref="A2:B2"/>
    <mergeCell ref="A3:B3"/>
    <mergeCell ref="A4:B4"/>
    <mergeCell ref="A5:B5"/>
  </mergeCells>
  <hyperlinks>
    <hyperlink ref="I14" r:id="rId1" xr:uid="{32A45F47-1AF1-4A9F-8558-709BC2BF5F4E}"/>
  </hyperlinks>
  <pageMargins left="0.7" right="0.7" top="0.75" bottom="0.75" header="0.3" footer="0.3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EE097-E12E-47DF-885D-A6133594662D}">
  <sheetPr codeName="Hoja3">
    <tabColor rgb="FFFF0000"/>
  </sheetPr>
  <dimension ref="A1:EZ192"/>
  <sheetViews>
    <sheetView zoomScale="90" zoomScaleNormal="90" workbookViewId="0">
      <selection activeCell="R45" sqref="R45"/>
    </sheetView>
  </sheetViews>
  <sheetFormatPr baseColWidth="10" defaultColWidth="10.85546875" defaultRowHeight="12.75"/>
  <cols>
    <col min="1" max="1" width="7.140625" style="619" customWidth="1"/>
    <col min="2" max="11" width="3" style="619" customWidth="1"/>
    <col min="12" max="15" width="3" style="619" bestFit="1" customWidth="1"/>
    <col min="16" max="16" width="3.140625" style="619" customWidth="1"/>
    <col min="17" max="23" width="3" style="619" bestFit="1" customWidth="1"/>
    <col min="24" max="25" width="5.28515625" style="619" bestFit="1" customWidth="1"/>
    <col min="26" max="26" width="5.42578125" style="619" customWidth="1"/>
    <col min="27" max="27" width="4.5703125" style="619" customWidth="1"/>
    <col min="28" max="28" width="3.85546875" style="619" customWidth="1"/>
    <col min="29" max="29" width="3" style="619" bestFit="1" customWidth="1"/>
    <col min="30" max="30" width="4.42578125" style="619" bestFit="1" customWidth="1"/>
    <col min="31" max="31" width="4.42578125" style="619" customWidth="1"/>
    <col min="32" max="32" width="5.7109375" style="619" customWidth="1"/>
    <col min="33" max="33" width="3.7109375" style="647" customWidth="1"/>
    <col min="34" max="34" width="5.5703125" style="647" customWidth="1"/>
    <col min="35" max="35" width="3" style="619" bestFit="1" customWidth="1"/>
    <col min="36" max="39" width="3" style="619" customWidth="1"/>
    <col min="40" max="41" width="3" style="619" bestFit="1" customWidth="1"/>
    <col min="42" max="44" width="3" style="619" customWidth="1"/>
    <col min="45" max="48" width="3" style="619" bestFit="1" customWidth="1"/>
    <col min="49" max="49" width="4.85546875" style="619" bestFit="1" customWidth="1"/>
    <col min="50" max="50" width="3" style="619" bestFit="1" customWidth="1"/>
    <col min="51" max="51" width="4.85546875" style="619" bestFit="1" customWidth="1"/>
    <col min="52" max="53" width="3" style="619" bestFit="1" customWidth="1"/>
    <col min="54" max="54" width="3.85546875" style="619" bestFit="1" customWidth="1"/>
    <col min="55" max="56" width="3" style="619" bestFit="1" customWidth="1"/>
    <col min="57" max="57" width="3.28515625" style="619" bestFit="1" customWidth="1"/>
    <col min="58" max="58" width="4.140625" style="619" bestFit="1" customWidth="1"/>
    <col min="59" max="59" width="4.5703125" style="619" bestFit="1" customWidth="1"/>
    <col min="60" max="61" width="3" style="619" bestFit="1" customWidth="1"/>
    <col min="62" max="62" width="4.5703125" style="619" bestFit="1" customWidth="1"/>
    <col min="63" max="63" width="3" style="619" bestFit="1" customWidth="1"/>
    <col min="64" max="64" width="3" style="619" customWidth="1"/>
    <col min="65" max="65" width="5" style="619" customWidth="1"/>
    <col min="66" max="66" width="3.85546875" style="678" customWidth="1"/>
    <col min="67" max="67" width="5" style="678" customWidth="1"/>
    <col min="68" max="76" width="3" style="619" bestFit="1" customWidth="1"/>
    <col min="77" max="77" width="3.85546875" style="619" bestFit="1" customWidth="1"/>
    <col min="78" max="78" width="3" style="619" bestFit="1" customWidth="1"/>
    <col min="79" max="79" width="4.5703125" style="619" bestFit="1" customWidth="1"/>
    <col min="80" max="80" width="3" style="619" customWidth="1"/>
    <col min="81" max="81" width="3" style="619" bestFit="1" customWidth="1"/>
    <col min="82" max="82" width="4.5703125" style="619" bestFit="1" customWidth="1"/>
    <col min="83" max="96" width="3" style="619" bestFit="1" customWidth="1"/>
    <col min="97" max="97" width="3" style="619" customWidth="1"/>
    <col min="98" max="98" width="3" style="619" bestFit="1" customWidth="1"/>
    <col min="99" max="99" width="3" style="678" bestFit="1" customWidth="1"/>
    <col min="100" max="100" width="5.140625" style="678" customWidth="1"/>
    <col min="101" max="121" width="3" style="619" bestFit="1" customWidth="1"/>
    <col min="122" max="122" width="6.42578125" style="619" bestFit="1" customWidth="1"/>
    <col min="123" max="128" width="3" style="619" bestFit="1" customWidth="1"/>
    <col min="129" max="129" width="2.85546875" style="619" customWidth="1"/>
    <col min="130" max="159" width="3" style="619" customWidth="1"/>
    <col min="160" max="16384" width="10.85546875" style="619"/>
  </cols>
  <sheetData>
    <row r="1" spans="2:97" ht="21.95" customHeight="1" thickBot="1">
      <c r="AG1" s="619"/>
      <c r="AH1" s="619"/>
      <c r="AI1" s="620"/>
      <c r="AJ1" s="620"/>
      <c r="AK1" s="620"/>
      <c r="AL1" s="620"/>
      <c r="AM1" s="620"/>
      <c r="AN1" s="620"/>
      <c r="AO1" s="620"/>
      <c r="AP1" s="620"/>
      <c r="AQ1" s="620"/>
      <c r="AR1" s="620"/>
      <c r="AS1" s="620"/>
      <c r="AT1" s="620"/>
      <c r="AU1" s="620"/>
      <c r="AV1" s="620"/>
      <c r="AW1" s="620"/>
      <c r="AX1" s="620"/>
      <c r="AY1" s="620"/>
      <c r="AZ1" s="620"/>
      <c r="BA1" s="620"/>
      <c r="BB1" s="620"/>
      <c r="BC1" s="620"/>
      <c r="BD1" s="620"/>
      <c r="BE1" s="620"/>
      <c r="BF1" s="620"/>
      <c r="BG1" s="620"/>
      <c r="BH1" s="620"/>
      <c r="BI1" s="620"/>
      <c r="BM1" s="621"/>
      <c r="BN1" s="691"/>
      <c r="BO1" s="691"/>
      <c r="BP1" s="621"/>
      <c r="BQ1" s="621"/>
      <c r="BR1" s="621"/>
      <c r="BS1" s="621"/>
      <c r="BT1" s="621"/>
      <c r="BU1" s="621"/>
      <c r="BV1" s="621"/>
      <c r="BW1" s="621"/>
      <c r="BX1" s="621"/>
      <c r="BY1" s="621"/>
      <c r="BZ1" s="621"/>
      <c r="CA1" s="621"/>
      <c r="CB1" s="621"/>
      <c r="CC1" s="621"/>
      <c r="CD1" s="621"/>
      <c r="CE1" s="621"/>
      <c r="CF1" s="621"/>
      <c r="CG1" s="621"/>
      <c r="CH1" s="621"/>
      <c r="CI1" s="621"/>
      <c r="CJ1" s="621"/>
      <c r="CK1" s="621"/>
      <c r="CL1" s="621"/>
      <c r="CM1" s="621"/>
      <c r="CN1" s="621"/>
      <c r="CO1" s="621"/>
      <c r="CP1" s="621"/>
      <c r="CQ1" s="621"/>
      <c r="CR1" s="621"/>
      <c r="CS1" s="621"/>
    </row>
    <row r="2" spans="2:97" ht="26.25">
      <c r="B2" s="622" t="s">
        <v>165</v>
      </c>
      <c r="AG2" s="619"/>
      <c r="AH2" s="619"/>
      <c r="AJ2" s="1030" t="s">
        <v>166</v>
      </c>
      <c r="AK2" s="1031"/>
      <c r="AL2" s="1031"/>
      <c r="AM2" s="1031"/>
      <c r="AN2" s="1031"/>
      <c r="AO2" s="1031"/>
      <c r="AP2" s="1031"/>
      <c r="AQ2" s="1031"/>
      <c r="AR2" s="1031"/>
      <c r="AS2" s="1031"/>
      <c r="AT2" s="1031"/>
      <c r="AU2" s="1031"/>
      <c r="AV2" s="1031"/>
      <c r="AW2" s="1031"/>
      <c r="AX2" s="1031"/>
      <c r="AY2" s="1031"/>
      <c r="AZ2" s="1031"/>
      <c r="BA2" s="1031"/>
      <c r="BB2" s="1031"/>
      <c r="BC2" s="1031"/>
      <c r="BD2" s="1031"/>
      <c r="BE2" s="1031"/>
      <c r="BF2" s="1031"/>
      <c r="BG2" s="1031"/>
      <c r="BH2" s="1031"/>
      <c r="BI2" s="1031"/>
      <c r="BJ2" s="1031"/>
      <c r="BK2" s="1031"/>
      <c r="BL2" s="1031"/>
      <c r="BM2" s="1031"/>
      <c r="BN2" s="1031"/>
      <c r="BO2" s="1031"/>
      <c r="BP2" s="1031"/>
      <c r="BQ2" s="1031"/>
      <c r="BR2" s="1031"/>
      <c r="BS2" s="1031"/>
      <c r="BT2" s="1031"/>
      <c r="BU2" s="1031"/>
      <c r="BV2" s="1031"/>
      <c r="BW2" s="1031"/>
      <c r="BX2" s="1031"/>
      <c r="BY2" s="1031"/>
      <c r="BZ2" s="1031"/>
      <c r="CA2" s="1031"/>
      <c r="CB2" s="1032"/>
      <c r="CC2" s="621"/>
      <c r="CD2" s="621"/>
      <c r="CE2" s="621"/>
      <c r="CF2" s="621"/>
      <c r="CG2" s="621"/>
      <c r="CH2" s="621"/>
      <c r="CI2" s="621"/>
      <c r="CJ2" s="621"/>
      <c r="CK2" s="621"/>
      <c r="CL2" s="621"/>
      <c r="CM2" s="621"/>
      <c r="CN2" s="621"/>
      <c r="CO2" s="621"/>
      <c r="CP2" s="621"/>
      <c r="CQ2" s="621"/>
      <c r="CR2" s="621"/>
      <c r="CS2" s="621"/>
    </row>
    <row r="3" spans="2:97" ht="20.25">
      <c r="B3" s="639" t="s">
        <v>167</v>
      </c>
      <c r="C3" s="623"/>
      <c r="D3" s="623"/>
      <c r="E3" s="623"/>
      <c r="AG3" s="619"/>
      <c r="AH3" s="619"/>
      <c r="AJ3" s="1033"/>
      <c r="AK3" s="1034"/>
      <c r="AL3" s="1034"/>
      <c r="AM3" s="1034"/>
      <c r="AN3" s="1034"/>
      <c r="AO3" s="1034"/>
      <c r="AP3" s="1034"/>
      <c r="AQ3" s="1034"/>
      <c r="AR3" s="1034"/>
      <c r="AS3" s="1034"/>
      <c r="AT3" s="1034"/>
      <c r="AU3" s="1034"/>
      <c r="AV3" s="1034"/>
      <c r="AW3" s="1034"/>
      <c r="AX3" s="1034"/>
      <c r="AY3" s="1034"/>
      <c r="AZ3" s="1034"/>
      <c r="BA3" s="1034"/>
      <c r="BB3" s="1034"/>
      <c r="BC3" s="1034"/>
      <c r="BD3" s="1034"/>
      <c r="BE3" s="1034"/>
      <c r="BF3" s="1034"/>
      <c r="BG3" s="1034"/>
      <c r="BH3" s="1034"/>
      <c r="BI3" s="1034"/>
      <c r="BJ3" s="1034"/>
      <c r="BK3" s="1034"/>
      <c r="BL3" s="1034"/>
      <c r="BM3" s="1034"/>
      <c r="BN3" s="1034"/>
      <c r="BO3" s="1034"/>
      <c r="BP3" s="1034"/>
      <c r="BQ3" s="1034"/>
      <c r="BR3" s="1034"/>
      <c r="BS3" s="1034"/>
      <c r="BT3" s="1034"/>
      <c r="BU3" s="1034"/>
      <c r="BV3" s="1034"/>
      <c r="BW3" s="1034"/>
      <c r="BX3" s="1034"/>
      <c r="BY3" s="1034"/>
      <c r="BZ3" s="1034"/>
      <c r="CA3" s="1034"/>
      <c r="CB3" s="1035"/>
      <c r="CC3" s="621"/>
      <c r="CD3" s="621"/>
      <c r="CE3" s="621"/>
      <c r="CF3" s="621"/>
      <c r="CG3" s="621"/>
      <c r="CH3" s="621"/>
      <c r="CI3" s="621"/>
      <c r="CJ3" s="621"/>
      <c r="CK3" s="621"/>
      <c r="CL3" s="621"/>
      <c r="CM3" s="621"/>
      <c r="CN3" s="621"/>
      <c r="CO3" s="621"/>
      <c r="CP3" s="621"/>
      <c r="CQ3" s="621"/>
      <c r="CR3" s="621"/>
      <c r="CS3" s="621"/>
    </row>
    <row r="4" spans="2:97" ht="19.5" customHeight="1">
      <c r="B4" s="622"/>
      <c r="AG4" s="619"/>
      <c r="AH4" s="619"/>
      <c r="AJ4" s="1033"/>
      <c r="AK4" s="1034"/>
      <c r="AL4" s="1034"/>
      <c r="AM4" s="1034"/>
      <c r="AN4" s="1034"/>
      <c r="AO4" s="1034"/>
      <c r="AP4" s="1034"/>
      <c r="AQ4" s="1034"/>
      <c r="AR4" s="1034"/>
      <c r="AS4" s="1034"/>
      <c r="AT4" s="1034"/>
      <c r="AU4" s="1034"/>
      <c r="AV4" s="1034"/>
      <c r="AW4" s="1034"/>
      <c r="AX4" s="1034"/>
      <c r="AY4" s="1034"/>
      <c r="AZ4" s="1034"/>
      <c r="BA4" s="1034"/>
      <c r="BB4" s="1034"/>
      <c r="BC4" s="1034"/>
      <c r="BD4" s="1034"/>
      <c r="BE4" s="1034"/>
      <c r="BF4" s="1034"/>
      <c r="BG4" s="1034"/>
      <c r="BH4" s="1034"/>
      <c r="BI4" s="1034"/>
      <c r="BJ4" s="1034"/>
      <c r="BK4" s="1034"/>
      <c r="BL4" s="1034"/>
      <c r="BM4" s="1034"/>
      <c r="BN4" s="1034"/>
      <c r="BO4" s="1034"/>
      <c r="BP4" s="1034"/>
      <c r="BQ4" s="1034"/>
      <c r="BR4" s="1034"/>
      <c r="BS4" s="1034"/>
      <c r="BT4" s="1034"/>
      <c r="BU4" s="1034"/>
      <c r="BV4" s="1034"/>
      <c r="BW4" s="1034"/>
      <c r="BX4" s="1034"/>
      <c r="BY4" s="1034"/>
      <c r="BZ4" s="1034"/>
      <c r="CA4" s="1034"/>
      <c r="CB4" s="1035"/>
      <c r="CC4" s="621"/>
      <c r="CD4" s="621"/>
      <c r="CE4" s="621"/>
      <c r="CF4" s="621"/>
      <c r="CG4" s="621"/>
      <c r="CH4" s="621"/>
      <c r="CI4" s="621"/>
      <c r="CJ4" s="621"/>
      <c r="CK4" s="621"/>
      <c r="CL4" s="621"/>
      <c r="CM4" s="621"/>
      <c r="CN4" s="621"/>
      <c r="CO4" s="621"/>
      <c r="CP4" s="621"/>
      <c r="CQ4" s="621"/>
      <c r="CR4" s="621"/>
      <c r="CS4" s="621"/>
    </row>
    <row r="5" spans="2:97">
      <c r="AG5" s="619"/>
      <c r="AH5" s="619"/>
      <c r="AJ5" s="1036"/>
      <c r="AK5" s="1034"/>
      <c r="AL5" s="1034"/>
      <c r="AM5" s="1034"/>
      <c r="AN5" s="1034"/>
      <c r="AO5" s="1034"/>
      <c r="AP5" s="1034"/>
      <c r="AQ5" s="1034"/>
      <c r="AR5" s="1034"/>
      <c r="AS5" s="1034"/>
      <c r="AT5" s="1034"/>
      <c r="AU5" s="1034"/>
      <c r="AV5" s="1034"/>
      <c r="AW5" s="1034"/>
      <c r="AX5" s="1034"/>
      <c r="AY5" s="1034"/>
      <c r="AZ5" s="1034"/>
      <c r="BA5" s="1034"/>
      <c r="BB5" s="1034"/>
      <c r="BC5" s="1034"/>
      <c r="BD5" s="1034"/>
      <c r="BE5" s="1034"/>
      <c r="BF5" s="1034"/>
      <c r="BG5" s="1034"/>
      <c r="BH5" s="1034"/>
      <c r="BI5" s="1034"/>
      <c r="BJ5" s="1034"/>
      <c r="BK5" s="1034"/>
      <c r="BL5" s="1034"/>
      <c r="BM5" s="1034"/>
      <c r="BN5" s="1034"/>
      <c r="BO5" s="1034"/>
      <c r="BP5" s="1034"/>
      <c r="BQ5" s="1034"/>
      <c r="BR5" s="1034"/>
      <c r="BS5" s="1034"/>
      <c r="BT5" s="1034"/>
      <c r="BU5" s="1034"/>
      <c r="BV5" s="1034"/>
      <c r="BW5" s="1034"/>
      <c r="BX5" s="1034"/>
      <c r="BY5" s="1034"/>
      <c r="BZ5" s="1034"/>
      <c r="CA5" s="1034"/>
      <c r="CB5" s="1035"/>
      <c r="CC5" s="621"/>
      <c r="CD5" s="621"/>
      <c r="CE5" s="621"/>
      <c r="CF5" s="621"/>
      <c r="CG5" s="621"/>
      <c r="CH5" s="621"/>
      <c r="CI5" s="621"/>
      <c r="CJ5" s="621"/>
      <c r="CK5" s="621"/>
      <c r="CL5" s="621"/>
      <c r="CM5" s="621"/>
      <c r="CN5" s="621"/>
      <c r="CO5" s="621"/>
      <c r="CP5" s="621"/>
      <c r="CQ5" s="621"/>
      <c r="CR5" s="621"/>
      <c r="CS5" s="621"/>
    </row>
    <row r="6" spans="2:97" ht="12.95" customHeight="1">
      <c r="AG6" s="619"/>
      <c r="AH6" s="619"/>
      <c r="AJ6" s="1036"/>
      <c r="AK6" s="1034"/>
      <c r="AL6" s="1034"/>
      <c r="AM6" s="1034"/>
      <c r="AN6" s="1034"/>
      <c r="AO6" s="1034"/>
      <c r="AP6" s="1034"/>
      <c r="AQ6" s="1034"/>
      <c r="AR6" s="1034"/>
      <c r="AS6" s="1034"/>
      <c r="AT6" s="1034"/>
      <c r="AU6" s="1034"/>
      <c r="AV6" s="1034"/>
      <c r="AW6" s="1034"/>
      <c r="AX6" s="1034"/>
      <c r="AY6" s="1034"/>
      <c r="AZ6" s="1034"/>
      <c r="BA6" s="1034"/>
      <c r="BB6" s="1034"/>
      <c r="BC6" s="1034"/>
      <c r="BD6" s="1034"/>
      <c r="BE6" s="1034"/>
      <c r="BF6" s="1034"/>
      <c r="BG6" s="1034"/>
      <c r="BH6" s="1034"/>
      <c r="BI6" s="1034"/>
      <c r="BJ6" s="1034"/>
      <c r="BK6" s="1034"/>
      <c r="BL6" s="1034"/>
      <c r="BM6" s="1034"/>
      <c r="BN6" s="1034"/>
      <c r="BO6" s="1034"/>
      <c r="BP6" s="1034"/>
      <c r="BQ6" s="1034"/>
      <c r="BR6" s="1034"/>
      <c r="BS6" s="1034"/>
      <c r="BT6" s="1034"/>
      <c r="BU6" s="1034"/>
      <c r="BV6" s="1034"/>
      <c r="BW6" s="1034"/>
      <c r="BX6" s="1034"/>
      <c r="BY6" s="1034"/>
      <c r="BZ6" s="1034"/>
      <c r="CA6" s="1034"/>
      <c r="CB6" s="1035"/>
      <c r="CC6" s="621"/>
      <c r="CD6" s="621"/>
      <c r="CE6" s="621"/>
      <c r="CF6" s="621"/>
      <c r="CG6" s="621"/>
      <c r="CH6" s="621"/>
      <c r="CI6" s="621"/>
      <c r="CJ6" s="621"/>
      <c r="CK6" s="621"/>
      <c r="CL6" s="621"/>
      <c r="CM6" s="621"/>
      <c r="CN6" s="621"/>
      <c r="CO6" s="621"/>
      <c r="CP6" s="621"/>
      <c r="CQ6" s="621"/>
      <c r="CR6" s="621"/>
      <c r="CS6" s="621"/>
    </row>
    <row r="7" spans="2:97">
      <c r="AG7" s="619"/>
      <c r="AH7" s="619"/>
      <c r="AJ7" s="1036"/>
      <c r="AK7" s="1034"/>
      <c r="AL7" s="1034"/>
      <c r="AM7" s="1034"/>
      <c r="AN7" s="1034"/>
      <c r="AO7" s="1034"/>
      <c r="AP7" s="1034"/>
      <c r="AQ7" s="1034"/>
      <c r="AR7" s="1034"/>
      <c r="AS7" s="1034"/>
      <c r="AT7" s="1034"/>
      <c r="AU7" s="1034"/>
      <c r="AV7" s="1034"/>
      <c r="AW7" s="1034"/>
      <c r="AX7" s="1034"/>
      <c r="AY7" s="1034"/>
      <c r="AZ7" s="1034"/>
      <c r="BA7" s="1034"/>
      <c r="BB7" s="1034"/>
      <c r="BC7" s="1034"/>
      <c r="BD7" s="1034"/>
      <c r="BE7" s="1034"/>
      <c r="BF7" s="1034"/>
      <c r="BG7" s="1034"/>
      <c r="BH7" s="1034"/>
      <c r="BI7" s="1034"/>
      <c r="BJ7" s="1034"/>
      <c r="BK7" s="1034"/>
      <c r="BL7" s="1034"/>
      <c r="BM7" s="1034"/>
      <c r="BN7" s="1034"/>
      <c r="BO7" s="1034"/>
      <c r="BP7" s="1034"/>
      <c r="BQ7" s="1034"/>
      <c r="BR7" s="1034"/>
      <c r="BS7" s="1034"/>
      <c r="BT7" s="1034"/>
      <c r="BU7" s="1034"/>
      <c r="BV7" s="1034"/>
      <c r="BW7" s="1034"/>
      <c r="BX7" s="1034"/>
      <c r="BY7" s="1034"/>
      <c r="BZ7" s="1034"/>
      <c r="CA7" s="1034"/>
      <c r="CB7" s="1035"/>
      <c r="CC7" s="621"/>
      <c r="CD7" s="621"/>
      <c r="CE7" s="621"/>
      <c r="CF7" s="621"/>
      <c r="CG7" s="621"/>
      <c r="CH7" s="621"/>
      <c r="CI7" s="621"/>
      <c r="CJ7" s="621"/>
      <c r="CK7" s="621"/>
      <c r="CL7" s="621"/>
      <c r="CM7" s="621"/>
      <c r="CN7" s="621"/>
      <c r="CO7" s="621"/>
      <c r="CP7" s="621"/>
      <c r="CQ7" s="621"/>
      <c r="CR7" s="621"/>
      <c r="CS7" s="621"/>
    </row>
    <row r="8" spans="2:97">
      <c r="B8" s="623"/>
      <c r="AG8" s="619"/>
      <c r="AH8" s="619"/>
      <c r="AJ8" s="1036"/>
      <c r="AK8" s="1034"/>
      <c r="AL8" s="1034"/>
      <c r="AM8" s="1034"/>
      <c r="AN8" s="1034"/>
      <c r="AO8" s="1034"/>
      <c r="AP8" s="1034"/>
      <c r="AQ8" s="1034"/>
      <c r="AR8" s="1034"/>
      <c r="AS8" s="1034"/>
      <c r="AT8" s="1034"/>
      <c r="AU8" s="1034"/>
      <c r="AV8" s="1034"/>
      <c r="AW8" s="1034"/>
      <c r="AX8" s="1034"/>
      <c r="AY8" s="1034"/>
      <c r="AZ8" s="1034"/>
      <c r="BA8" s="1034"/>
      <c r="BB8" s="1034"/>
      <c r="BC8" s="1034"/>
      <c r="BD8" s="1034"/>
      <c r="BE8" s="1034"/>
      <c r="BF8" s="1034"/>
      <c r="BG8" s="1034"/>
      <c r="BH8" s="1034"/>
      <c r="BI8" s="1034"/>
      <c r="BJ8" s="1034"/>
      <c r="BK8" s="1034"/>
      <c r="BL8" s="1034"/>
      <c r="BM8" s="1034"/>
      <c r="BN8" s="1034"/>
      <c r="BO8" s="1034"/>
      <c r="BP8" s="1034"/>
      <c r="BQ8" s="1034"/>
      <c r="BR8" s="1034"/>
      <c r="BS8" s="1034"/>
      <c r="BT8" s="1034"/>
      <c r="BU8" s="1034"/>
      <c r="BV8" s="1034"/>
      <c r="BW8" s="1034"/>
      <c r="BX8" s="1034"/>
      <c r="BY8" s="1034"/>
      <c r="BZ8" s="1034"/>
      <c r="CA8" s="1034"/>
      <c r="CB8" s="1035"/>
      <c r="CC8" s="621"/>
      <c r="CD8" s="621"/>
      <c r="CE8" s="621"/>
      <c r="CF8" s="621"/>
      <c r="CG8" s="621"/>
      <c r="CH8" s="621"/>
      <c r="CI8" s="621"/>
      <c r="CJ8" s="621"/>
      <c r="CK8" s="621"/>
      <c r="CL8" s="621"/>
      <c r="CM8" s="621"/>
      <c r="CN8" s="621"/>
      <c r="CO8" s="621"/>
      <c r="CP8" s="621"/>
      <c r="CQ8" s="621"/>
      <c r="CR8" s="621"/>
      <c r="CS8" s="621"/>
    </row>
    <row r="9" spans="2:97" ht="17.100000000000001" customHeight="1">
      <c r="B9" s="623"/>
      <c r="AG9" s="619"/>
      <c r="AH9" s="619"/>
      <c r="AJ9" s="1036"/>
      <c r="AK9" s="1034"/>
      <c r="AL9" s="1034"/>
      <c r="AM9" s="1034"/>
      <c r="AN9" s="1034"/>
      <c r="AO9" s="1034"/>
      <c r="AP9" s="1034"/>
      <c r="AQ9" s="1034"/>
      <c r="AR9" s="1034"/>
      <c r="AS9" s="1034"/>
      <c r="AT9" s="1034"/>
      <c r="AU9" s="1034"/>
      <c r="AV9" s="1034"/>
      <c r="AW9" s="1034"/>
      <c r="AX9" s="1034"/>
      <c r="AY9" s="1034"/>
      <c r="AZ9" s="1034"/>
      <c r="BA9" s="1034"/>
      <c r="BB9" s="1034"/>
      <c r="BC9" s="1034"/>
      <c r="BD9" s="1034"/>
      <c r="BE9" s="1034"/>
      <c r="BF9" s="1034"/>
      <c r="BG9" s="1034"/>
      <c r="BH9" s="1034"/>
      <c r="BI9" s="1034"/>
      <c r="BJ9" s="1034"/>
      <c r="BK9" s="1034"/>
      <c r="BL9" s="1034"/>
      <c r="BM9" s="1034"/>
      <c r="BN9" s="1034"/>
      <c r="BO9" s="1034"/>
      <c r="BP9" s="1034"/>
      <c r="BQ9" s="1034"/>
      <c r="BR9" s="1034"/>
      <c r="BS9" s="1034"/>
      <c r="BT9" s="1034"/>
      <c r="BU9" s="1034"/>
      <c r="BV9" s="1034"/>
      <c r="BW9" s="1034"/>
      <c r="BX9" s="1034"/>
      <c r="BY9" s="1034"/>
      <c r="BZ9" s="1034"/>
      <c r="CA9" s="1034"/>
      <c r="CB9" s="1035"/>
      <c r="CC9" s="621"/>
      <c r="CD9" s="621"/>
      <c r="CE9" s="621"/>
      <c r="CF9" s="621"/>
      <c r="CG9" s="621"/>
      <c r="CH9" s="621"/>
      <c r="CI9" s="621"/>
      <c r="CJ9" s="621"/>
      <c r="CK9" s="621"/>
      <c r="CL9" s="621"/>
      <c r="CM9" s="621"/>
      <c r="CN9" s="621"/>
      <c r="CO9" s="621"/>
      <c r="CP9" s="621"/>
      <c r="CQ9" s="621"/>
      <c r="CR9" s="621"/>
      <c r="CS9" s="621"/>
    </row>
    <row r="10" spans="2:97" ht="17.100000000000001" customHeight="1">
      <c r="B10" s="623"/>
      <c r="AG10" s="619"/>
      <c r="AH10" s="619"/>
      <c r="AJ10" s="1036"/>
      <c r="AK10" s="1034"/>
      <c r="AL10" s="1034"/>
      <c r="AM10" s="1034"/>
      <c r="AN10" s="1034"/>
      <c r="AO10" s="1034"/>
      <c r="AP10" s="1034"/>
      <c r="AQ10" s="1034"/>
      <c r="AR10" s="1034"/>
      <c r="AS10" s="1034"/>
      <c r="AT10" s="1034"/>
      <c r="AU10" s="1034"/>
      <c r="AV10" s="1034"/>
      <c r="AW10" s="1034"/>
      <c r="AX10" s="1034"/>
      <c r="AY10" s="1034"/>
      <c r="AZ10" s="1034"/>
      <c r="BA10" s="1034"/>
      <c r="BB10" s="1034"/>
      <c r="BC10" s="1034"/>
      <c r="BD10" s="1034"/>
      <c r="BE10" s="1034"/>
      <c r="BF10" s="1034"/>
      <c r="BG10" s="1034"/>
      <c r="BH10" s="1034"/>
      <c r="BI10" s="1034"/>
      <c r="BJ10" s="1034"/>
      <c r="BK10" s="1034"/>
      <c r="BL10" s="1034"/>
      <c r="BM10" s="1034"/>
      <c r="BN10" s="1034"/>
      <c r="BO10" s="1034"/>
      <c r="BP10" s="1034"/>
      <c r="BQ10" s="1034"/>
      <c r="BR10" s="1034"/>
      <c r="BS10" s="1034"/>
      <c r="BT10" s="1034"/>
      <c r="BU10" s="1034"/>
      <c r="BV10" s="1034"/>
      <c r="BW10" s="1034"/>
      <c r="BX10" s="1034"/>
      <c r="BY10" s="1034"/>
      <c r="BZ10" s="1034"/>
      <c r="CA10" s="1034"/>
      <c r="CB10" s="1035"/>
      <c r="CC10" s="621"/>
      <c r="CD10" s="621"/>
      <c r="CE10" s="621"/>
      <c r="CF10" s="621"/>
      <c r="CG10" s="621"/>
      <c r="CH10" s="621"/>
      <c r="CI10" s="621"/>
      <c r="CJ10" s="621"/>
      <c r="CK10" s="621"/>
      <c r="CL10" s="621"/>
      <c r="CM10" s="621"/>
      <c r="CN10" s="621"/>
      <c r="CO10" s="621"/>
      <c r="CP10" s="621"/>
      <c r="CQ10" s="621"/>
      <c r="CR10" s="621"/>
      <c r="CS10" s="621"/>
    </row>
    <row r="11" spans="2:97" ht="17.100000000000001" customHeight="1">
      <c r="B11" s="648"/>
      <c r="C11" s="649"/>
      <c r="D11" s="649"/>
      <c r="E11" s="649"/>
      <c r="F11" s="649"/>
      <c r="G11" s="649"/>
      <c r="H11" s="650"/>
      <c r="AG11" s="619"/>
      <c r="AH11" s="619"/>
      <c r="AJ11" s="1036"/>
      <c r="AK11" s="1034"/>
      <c r="AL11" s="1034"/>
      <c r="AM11" s="1034"/>
      <c r="AN11" s="1034"/>
      <c r="AO11" s="1034"/>
      <c r="AP11" s="1034"/>
      <c r="AQ11" s="1034"/>
      <c r="AR11" s="1034"/>
      <c r="AS11" s="1034"/>
      <c r="AT11" s="1034"/>
      <c r="AU11" s="1034"/>
      <c r="AV11" s="1034"/>
      <c r="AW11" s="1034"/>
      <c r="AX11" s="1034"/>
      <c r="AY11" s="1034"/>
      <c r="AZ11" s="1034"/>
      <c r="BA11" s="1034"/>
      <c r="BB11" s="1034"/>
      <c r="BC11" s="1034"/>
      <c r="BD11" s="1034"/>
      <c r="BE11" s="1034"/>
      <c r="BF11" s="1034"/>
      <c r="BG11" s="1034"/>
      <c r="BH11" s="1034"/>
      <c r="BI11" s="1034"/>
      <c r="BJ11" s="1034"/>
      <c r="BK11" s="1034"/>
      <c r="BL11" s="1034"/>
      <c r="BM11" s="1034"/>
      <c r="BN11" s="1034"/>
      <c r="BO11" s="1034"/>
      <c r="BP11" s="1034"/>
      <c r="BQ11" s="1034"/>
      <c r="BR11" s="1034"/>
      <c r="BS11" s="1034"/>
      <c r="BT11" s="1034"/>
      <c r="BU11" s="1034"/>
      <c r="BV11" s="1034"/>
      <c r="BW11" s="1034"/>
      <c r="BX11" s="1034"/>
      <c r="BY11" s="1034"/>
      <c r="BZ11" s="1034"/>
      <c r="CA11" s="1034"/>
      <c r="CB11" s="1035"/>
      <c r="CC11" s="621"/>
      <c r="CD11" s="621"/>
      <c r="CE11" s="621"/>
      <c r="CF11" s="621"/>
      <c r="CG11" s="621"/>
      <c r="CH11" s="621"/>
      <c r="CI11" s="621"/>
      <c r="CJ11" s="621"/>
      <c r="CK11" s="621"/>
      <c r="CL11" s="621"/>
      <c r="CM11" s="621"/>
      <c r="CN11" s="621"/>
      <c r="CO11" s="621"/>
      <c r="CP11" s="621"/>
      <c r="CQ11" s="621"/>
      <c r="CR11" s="621"/>
      <c r="CS11" s="621"/>
    </row>
    <row r="12" spans="2:97" ht="16.5" customHeight="1">
      <c r="B12" s="651"/>
      <c r="C12" s="699"/>
      <c r="D12" s="991" t="s">
        <v>168</v>
      </c>
      <c r="H12" s="652"/>
      <c r="AG12" s="619"/>
      <c r="AH12" s="619"/>
      <c r="AJ12" s="1036"/>
      <c r="AK12" s="1034"/>
      <c r="AL12" s="1034"/>
      <c r="AM12" s="1034"/>
      <c r="AN12" s="1034"/>
      <c r="AO12" s="1034"/>
      <c r="AP12" s="1034"/>
      <c r="AQ12" s="1034"/>
      <c r="AR12" s="1034"/>
      <c r="AS12" s="1034"/>
      <c r="AT12" s="1034"/>
      <c r="AU12" s="1034"/>
      <c r="AV12" s="1034"/>
      <c r="AW12" s="1034"/>
      <c r="AX12" s="1034"/>
      <c r="AY12" s="1034"/>
      <c r="AZ12" s="1034"/>
      <c r="BA12" s="1034"/>
      <c r="BB12" s="1034"/>
      <c r="BC12" s="1034"/>
      <c r="BD12" s="1034"/>
      <c r="BE12" s="1034"/>
      <c r="BF12" s="1034"/>
      <c r="BG12" s="1034"/>
      <c r="BH12" s="1034"/>
      <c r="BI12" s="1034"/>
      <c r="BJ12" s="1034"/>
      <c r="BK12" s="1034"/>
      <c r="BL12" s="1034"/>
      <c r="BM12" s="1034"/>
      <c r="BN12" s="1034"/>
      <c r="BO12" s="1034"/>
      <c r="BP12" s="1034"/>
      <c r="BQ12" s="1034"/>
      <c r="BR12" s="1034"/>
      <c r="BS12" s="1034"/>
      <c r="BT12" s="1034"/>
      <c r="BU12" s="1034"/>
      <c r="BV12" s="1034"/>
      <c r="BW12" s="1034"/>
      <c r="BX12" s="1034"/>
      <c r="BY12" s="1034"/>
      <c r="BZ12" s="1034"/>
      <c r="CA12" s="1034"/>
      <c r="CB12" s="1035"/>
      <c r="CC12" s="621"/>
      <c r="CD12" s="621"/>
      <c r="CE12" s="621"/>
      <c r="CF12" s="621"/>
      <c r="CG12" s="621"/>
      <c r="CH12" s="621"/>
      <c r="CI12" s="621"/>
      <c r="CJ12" s="621"/>
      <c r="CK12" s="621"/>
      <c r="CL12" s="621"/>
      <c r="CM12" s="621"/>
      <c r="CN12" s="621"/>
      <c r="CO12" s="621"/>
      <c r="CP12" s="621"/>
      <c r="CQ12" s="621"/>
      <c r="CR12" s="621"/>
      <c r="CS12" s="621"/>
    </row>
    <row r="13" spans="2:97" ht="16.5" customHeight="1">
      <c r="B13" s="651"/>
      <c r="C13" s="673"/>
      <c r="D13" s="628" t="s">
        <v>169</v>
      </c>
      <c r="H13" s="652"/>
      <c r="AJ13" s="1036"/>
      <c r="AK13" s="1034"/>
      <c r="AL13" s="1034"/>
      <c r="AM13" s="1034"/>
      <c r="AN13" s="1034"/>
      <c r="AO13" s="1034"/>
      <c r="AP13" s="1034"/>
      <c r="AQ13" s="1034"/>
      <c r="AR13" s="1034"/>
      <c r="AS13" s="1034"/>
      <c r="AT13" s="1034"/>
      <c r="AU13" s="1034"/>
      <c r="AV13" s="1034"/>
      <c r="AW13" s="1034"/>
      <c r="AX13" s="1034"/>
      <c r="AY13" s="1034"/>
      <c r="AZ13" s="1034"/>
      <c r="BA13" s="1034"/>
      <c r="BB13" s="1034"/>
      <c r="BC13" s="1034"/>
      <c r="BD13" s="1034"/>
      <c r="BE13" s="1034"/>
      <c r="BF13" s="1034"/>
      <c r="BG13" s="1034"/>
      <c r="BH13" s="1034"/>
      <c r="BI13" s="1034"/>
      <c r="BJ13" s="1034"/>
      <c r="BK13" s="1034"/>
      <c r="BL13" s="1034"/>
      <c r="BM13" s="1034"/>
      <c r="BN13" s="1034"/>
      <c r="BO13" s="1034"/>
      <c r="BP13" s="1034"/>
      <c r="BQ13" s="1034"/>
      <c r="BR13" s="1034"/>
      <c r="BS13" s="1034"/>
      <c r="BT13" s="1034"/>
      <c r="BU13" s="1034"/>
      <c r="BV13" s="1034"/>
      <c r="BW13" s="1034"/>
      <c r="BX13" s="1034"/>
      <c r="BY13" s="1034"/>
      <c r="BZ13" s="1034"/>
      <c r="CA13" s="1034"/>
      <c r="CB13" s="1035"/>
    </row>
    <row r="14" spans="2:97" ht="16.5" customHeight="1">
      <c r="B14" s="651"/>
      <c r="C14" s="674"/>
      <c r="D14" s="628" t="s">
        <v>170</v>
      </c>
      <c r="H14" s="652"/>
      <c r="S14" s="623"/>
      <c r="W14" s="623"/>
      <c r="AJ14" s="1036"/>
      <c r="AK14" s="1034"/>
      <c r="AL14" s="1034"/>
      <c r="AM14" s="1034"/>
      <c r="AN14" s="1034"/>
      <c r="AO14" s="1034"/>
      <c r="AP14" s="1034"/>
      <c r="AQ14" s="1034"/>
      <c r="AR14" s="1034"/>
      <c r="AS14" s="1034"/>
      <c r="AT14" s="1034"/>
      <c r="AU14" s="1034"/>
      <c r="AV14" s="1034"/>
      <c r="AW14" s="1034"/>
      <c r="AX14" s="1034"/>
      <c r="AY14" s="1034"/>
      <c r="AZ14" s="1034"/>
      <c r="BA14" s="1034"/>
      <c r="BB14" s="1034"/>
      <c r="BC14" s="1034"/>
      <c r="BD14" s="1034"/>
      <c r="BE14" s="1034"/>
      <c r="BF14" s="1034"/>
      <c r="BG14" s="1034"/>
      <c r="BH14" s="1034"/>
      <c r="BI14" s="1034"/>
      <c r="BJ14" s="1034"/>
      <c r="BK14" s="1034"/>
      <c r="BL14" s="1034"/>
      <c r="BM14" s="1034"/>
      <c r="BN14" s="1034"/>
      <c r="BO14" s="1034"/>
      <c r="BP14" s="1034"/>
      <c r="BQ14" s="1034"/>
      <c r="BR14" s="1034"/>
      <c r="BS14" s="1034"/>
      <c r="BT14" s="1034"/>
      <c r="BU14" s="1034"/>
      <c r="BV14" s="1034"/>
      <c r="BW14" s="1034"/>
      <c r="BX14" s="1034"/>
      <c r="BY14" s="1034"/>
      <c r="BZ14" s="1034"/>
      <c r="CA14" s="1034"/>
      <c r="CB14" s="1035"/>
    </row>
    <row r="15" spans="2:97" ht="16.5" customHeight="1">
      <c r="B15" s="651"/>
      <c r="C15" s="675"/>
      <c r="D15" s="628" t="s">
        <v>171</v>
      </c>
      <c r="H15" s="652"/>
      <c r="S15" s="623"/>
      <c r="W15" s="623"/>
      <c r="X15" s="623"/>
      <c r="Y15" s="623"/>
      <c r="Z15" s="623"/>
      <c r="AA15" s="623"/>
      <c r="AB15" s="623"/>
      <c r="AC15" s="623"/>
      <c r="AD15" s="623"/>
      <c r="AJ15" s="1036"/>
      <c r="AK15" s="1034"/>
      <c r="AL15" s="1034"/>
      <c r="AM15" s="1034"/>
      <c r="AN15" s="1034"/>
      <c r="AO15" s="1034"/>
      <c r="AP15" s="1034"/>
      <c r="AQ15" s="1034"/>
      <c r="AR15" s="1034"/>
      <c r="AS15" s="1034"/>
      <c r="AT15" s="1034"/>
      <c r="AU15" s="1034"/>
      <c r="AV15" s="1034"/>
      <c r="AW15" s="1034"/>
      <c r="AX15" s="1034"/>
      <c r="AY15" s="1034"/>
      <c r="AZ15" s="1034"/>
      <c r="BA15" s="1034"/>
      <c r="BB15" s="1034"/>
      <c r="BC15" s="1034"/>
      <c r="BD15" s="1034"/>
      <c r="BE15" s="1034"/>
      <c r="BF15" s="1034"/>
      <c r="BG15" s="1034"/>
      <c r="BH15" s="1034"/>
      <c r="BI15" s="1034"/>
      <c r="BJ15" s="1034"/>
      <c r="BK15" s="1034"/>
      <c r="BL15" s="1034"/>
      <c r="BM15" s="1034"/>
      <c r="BN15" s="1034"/>
      <c r="BO15" s="1034"/>
      <c r="BP15" s="1034"/>
      <c r="BQ15" s="1034"/>
      <c r="BR15" s="1034"/>
      <c r="BS15" s="1034"/>
      <c r="BT15" s="1034"/>
      <c r="BU15" s="1034"/>
      <c r="BV15" s="1034"/>
      <c r="BW15" s="1034"/>
      <c r="BX15" s="1034"/>
      <c r="BY15" s="1034"/>
      <c r="BZ15" s="1034"/>
      <c r="CA15" s="1034"/>
      <c r="CB15" s="1035"/>
    </row>
    <row r="16" spans="2:97" ht="16.5" customHeight="1" thickBot="1">
      <c r="B16" s="651"/>
      <c r="C16" s="698"/>
      <c r="D16" s="628" t="s">
        <v>172</v>
      </c>
      <c r="H16" s="652"/>
      <c r="S16" s="623"/>
      <c r="AF16" s="623"/>
      <c r="AG16" s="677"/>
      <c r="AH16" s="677"/>
      <c r="AI16" s="623"/>
      <c r="AJ16" s="1037"/>
      <c r="AK16" s="1038"/>
      <c r="AL16" s="1038"/>
      <c r="AM16" s="1038"/>
      <c r="AN16" s="1038"/>
      <c r="AO16" s="1038"/>
      <c r="AP16" s="1038"/>
      <c r="AQ16" s="1038"/>
      <c r="AR16" s="1038"/>
      <c r="AS16" s="1038"/>
      <c r="AT16" s="1038"/>
      <c r="AU16" s="1038"/>
      <c r="AV16" s="1038"/>
      <c r="AW16" s="1038"/>
      <c r="AX16" s="1038"/>
      <c r="AY16" s="1038"/>
      <c r="AZ16" s="1038"/>
      <c r="BA16" s="1038"/>
      <c r="BB16" s="1038"/>
      <c r="BC16" s="1038"/>
      <c r="BD16" s="1038"/>
      <c r="BE16" s="1038"/>
      <c r="BF16" s="1038"/>
      <c r="BG16" s="1038"/>
      <c r="BH16" s="1038"/>
      <c r="BI16" s="1038"/>
      <c r="BJ16" s="1038"/>
      <c r="BK16" s="1038"/>
      <c r="BL16" s="1038"/>
      <c r="BM16" s="1038"/>
      <c r="BN16" s="1038"/>
      <c r="BO16" s="1038"/>
      <c r="BP16" s="1038"/>
      <c r="BQ16" s="1038"/>
      <c r="BR16" s="1038"/>
      <c r="BS16" s="1038"/>
      <c r="BT16" s="1038"/>
      <c r="BU16" s="1038"/>
      <c r="BV16" s="1038"/>
      <c r="BW16" s="1038"/>
      <c r="BX16" s="1038"/>
      <c r="BY16" s="1038"/>
      <c r="BZ16" s="1038"/>
      <c r="CA16" s="1038"/>
      <c r="CB16" s="1039"/>
    </row>
    <row r="17" spans="1:156" ht="5.25" customHeight="1">
      <c r="B17" s="662"/>
      <c r="C17" s="663"/>
      <c r="D17" s="663"/>
      <c r="E17" s="663"/>
      <c r="F17" s="663"/>
      <c r="G17" s="663"/>
      <c r="H17" s="664"/>
      <c r="AF17" s="623"/>
      <c r="AG17" s="677"/>
      <c r="AH17" s="677"/>
      <c r="AI17" s="623"/>
      <c r="AJ17" s="623"/>
      <c r="BG17" s="623"/>
      <c r="BH17" s="623"/>
      <c r="BI17" s="623"/>
      <c r="BJ17" s="623"/>
      <c r="BK17" s="623"/>
      <c r="BL17" s="623"/>
      <c r="BM17" s="623"/>
      <c r="BN17" s="692"/>
      <c r="BO17" s="692"/>
      <c r="BQ17" s="621"/>
    </row>
    <row r="18" spans="1:156" ht="5.25" customHeight="1">
      <c r="AF18" s="623"/>
      <c r="AG18" s="677"/>
      <c r="AH18" s="677"/>
      <c r="AI18" s="623"/>
      <c r="AJ18" s="623"/>
      <c r="BG18" s="623"/>
      <c r="BH18" s="623"/>
      <c r="BI18" s="623"/>
      <c r="BJ18" s="623"/>
      <c r="BK18" s="623"/>
      <c r="BL18" s="623"/>
      <c r="BM18" s="623"/>
      <c r="BN18" s="692"/>
      <c r="BO18" s="692"/>
      <c r="BQ18" s="621"/>
    </row>
    <row r="19" spans="1:156" ht="12" customHeight="1">
      <c r="B19" s="1027" t="s">
        <v>173</v>
      </c>
      <c r="C19" s="1028"/>
      <c r="D19" s="1028"/>
      <c r="E19" s="1028"/>
      <c r="F19" s="1028"/>
      <c r="G19" s="1028"/>
      <c r="H19" s="1028"/>
      <c r="I19" s="1028"/>
      <c r="J19" s="1028"/>
      <c r="K19" s="1028"/>
      <c r="L19" s="1028"/>
      <c r="M19" s="1028"/>
      <c r="N19" s="1029"/>
      <c r="DG19" s="621"/>
      <c r="DH19" s="621"/>
      <c r="DI19" s="621"/>
      <c r="DJ19" s="621"/>
      <c r="DK19" s="621"/>
      <c r="DL19" s="621"/>
      <c r="DM19" s="621"/>
      <c r="DN19" s="621"/>
      <c r="DO19" s="621"/>
      <c r="DP19" s="621"/>
      <c r="DQ19" s="621"/>
      <c r="DR19" s="621"/>
      <c r="DS19" s="621"/>
      <c r="DT19" s="621"/>
      <c r="DU19" s="621"/>
      <c r="DV19" s="621"/>
      <c r="DW19" s="621"/>
      <c r="DX19" s="621"/>
      <c r="DY19" s="621"/>
      <c r="DZ19" s="621"/>
      <c r="EA19" s="621"/>
      <c r="EB19" s="621"/>
      <c r="EC19" s="621"/>
      <c r="ED19" s="621"/>
      <c r="EE19" s="621"/>
      <c r="EF19" s="621"/>
      <c r="EG19" s="621"/>
      <c r="EH19" s="621"/>
      <c r="EI19" s="621"/>
      <c r="EJ19" s="621"/>
      <c r="EK19" s="621"/>
      <c r="EL19" s="621"/>
      <c r="EM19" s="621"/>
      <c r="EN19" s="621"/>
      <c r="EO19" s="621"/>
      <c r="EP19" s="621"/>
      <c r="EQ19" s="621"/>
      <c r="ER19" s="621"/>
      <c r="ES19" s="621"/>
      <c r="ET19" s="621"/>
      <c r="EU19" s="621"/>
      <c r="EV19" s="621"/>
      <c r="EW19" s="621"/>
      <c r="EX19" s="621"/>
      <c r="EY19" s="621"/>
      <c r="EZ19" s="621"/>
    </row>
    <row r="20" spans="1:156" ht="12" customHeight="1">
      <c r="B20" s="651"/>
      <c r="C20" s="694"/>
      <c r="D20" s="626" t="s">
        <v>174</v>
      </c>
      <c r="E20" s="626"/>
      <c r="F20" s="626"/>
      <c r="G20" s="626"/>
      <c r="H20" s="626"/>
      <c r="I20" s="626"/>
      <c r="J20" s="626"/>
      <c r="K20" s="626"/>
      <c r="L20" s="626"/>
      <c r="M20" s="626"/>
      <c r="N20" s="671"/>
      <c r="BN20" s="619"/>
      <c r="BO20" s="619"/>
      <c r="CU20" s="619"/>
      <c r="CV20" s="619"/>
      <c r="DG20" s="621"/>
      <c r="DH20" s="621"/>
      <c r="DI20" s="621"/>
      <c r="DJ20" s="621"/>
      <c r="DK20" s="621"/>
      <c r="DL20" s="621"/>
      <c r="DM20" s="621"/>
      <c r="DN20" s="621"/>
      <c r="DO20" s="621"/>
      <c r="DP20" s="621"/>
      <c r="DQ20" s="621"/>
      <c r="DR20" s="621"/>
      <c r="DS20" s="621"/>
      <c r="DT20" s="621"/>
      <c r="DU20" s="621"/>
      <c r="DV20" s="621"/>
      <c r="DW20" s="621"/>
      <c r="DX20" s="621"/>
      <c r="DY20" s="621"/>
      <c r="DZ20" s="621"/>
      <c r="EA20" s="621"/>
      <c r="EB20" s="621"/>
      <c r="EC20" s="621"/>
      <c r="ED20" s="621"/>
      <c r="EE20" s="621"/>
      <c r="EF20" s="621"/>
      <c r="EG20" s="621"/>
      <c r="EH20" s="621"/>
      <c r="EI20" s="621"/>
      <c r="EJ20" s="621"/>
      <c r="EK20" s="621"/>
      <c r="EL20" s="621"/>
      <c r="EM20" s="621"/>
      <c r="EN20" s="621"/>
      <c r="EO20" s="621"/>
      <c r="EP20" s="621"/>
      <c r="EQ20" s="621"/>
      <c r="ER20" s="621"/>
      <c r="ES20" s="621"/>
      <c r="ET20" s="621"/>
      <c r="EU20" s="621"/>
      <c r="EV20" s="621"/>
      <c r="EW20" s="621"/>
      <c r="EX20" s="621"/>
      <c r="EY20" s="621"/>
      <c r="EZ20" s="621"/>
    </row>
    <row r="21" spans="1:156" ht="12" customHeight="1">
      <c r="B21" s="651"/>
      <c r="C21" s="695"/>
      <c r="D21" s="626" t="s">
        <v>175</v>
      </c>
      <c r="E21" s="626"/>
      <c r="F21" s="626"/>
      <c r="G21" s="626"/>
      <c r="H21" s="626"/>
      <c r="I21" s="626"/>
      <c r="J21" s="626"/>
      <c r="K21" s="626"/>
      <c r="L21" s="626"/>
      <c r="M21" s="626"/>
      <c r="N21" s="671"/>
      <c r="BN21" s="619"/>
      <c r="BO21" s="619"/>
      <c r="CU21" s="619"/>
      <c r="CV21" s="619"/>
      <c r="DG21" s="621"/>
      <c r="DH21" s="621"/>
      <c r="DI21" s="621"/>
      <c r="DJ21" s="621"/>
      <c r="DK21" s="621"/>
      <c r="DL21" s="621"/>
      <c r="DM21" s="621"/>
      <c r="DN21" s="621"/>
      <c r="DO21" s="621"/>
      <c r="DP21" s="621"/>
      <c r="DQ21" s="621"/>
      <c r="DR21" s="621"/>
      <c r="DS21" s="621"/>
      <c r="DT21" s="621"/>
      <c r="DU21" s="621"/>
      <c r="DV21" s="621"/>
      <c r="DW21" s="621"/>
      <c r="DX21" s="621"/>
      <c r="DY21" s="621"/>
      <c r="DZ21" s="621"/>
      <c r="EA21" s="621"/>
      <c r="EB21" s="621"/>
      <c r="EC21" s="621"/>
      <c r="ED21" s="621"/>
      <c r="EE21" s="621"/>
      <c r="EF21" s="621"/>
      <c r="EG21" s="621"/>
      <c r="EH21" s="621"/>
      <c r="EI21" s="621"/>
      <c r="EJ21" s="621"/>
      <c r="EK21" s="621"/>
      <c r="EL21" s="621"/>
      <c r="EM21" s="621"/>
      <c r="EN21" s="621"/>
      <c r="EO21" s="621"/>
      <c r="EP21" s="621"/>
      <c r="EQ21" s="621"/>
      <c r="ER21" s="621"/>
      <c r="ES21" s="621"/>
      <c r="ET21" s="621"/>
      <c r="EU21" s="621"/>
      <c r="EV21" s="621"/>
      <c r="EW21" s="621"/>
      <c r="EX21" s="621"/>
      <c r="EY21" s="621"/>
      <c r="EZ21" s="621"/>
    </row>
    <row r="22" spans="1:156" ht="12" customHeight="1" thickBot="1">
      <c r="B22" s="651"/>
      <c r="C22" s="696"/>
      <c r="D22" s="626" t="s">
        <v>176</v>
      </c>
      <c r="E22" s="626"/>
      <c r="F22" s="626"/>
      <c r="G22" s="626"/>
      <c r="H22" s="626"/>
      <c r="I22" s="626"/>
      <c r="J22" s="626"/>
      <c r="K22" s="626"/>
      <c r="L22" s="626"/>
      <c r="M22" s="626"/>
      <c r="N22" s="671"/>
      <c r="BN22" s="619"/>
      <c r="BO22" s="619"/>
      <c r="CU22" s="619"/>
      <c r="CV22" s="619"/>
      <c r="DG22" s="621"/>
      <c r="DH22" s="621"/>
      <c r="DI22" s="621"/>
      <c r="DJ22" s="621"/>
      <c r="DK22" s="621"/>
      <c r="DL22" s="621"/>
      <c r="DM22" s="621"/>
      <c r="DN22" s="621"/>
      <c r="DO22" s="621"/>
      <c r="DP22" s="621"/>
      <c r="DQ22" s="621"/>
      <c r="DR22" s="621"/>
      <c r="DS22" s="621"/>
      <c r="DT22" s="621"/>
      <c r="DU22" s="621"/>
      <c r="DV22" s="621"/>
      <c r="DW22" s="621"/>
      <c r="DX22" s="621"/>
      <c r="DY22" s="621"/>
      <c r="DZ22" s="621"/>
      <c r="EA22" s="621"/>
      <c r="EB22" s="621"/>
      <c r="EC22" s="621"/>
      <c r="ED22" s="621"/>
      <c r="EE22" s="621"/>
      <c r="EF22" s="621"/>
      <c r="EG22" s="621"/>
      <c r="EH22" s="621"/>
      <c r="EI22" s="621"/>
      <c r="EJ22" s="621"/>
      <c r="EK22" s="621"/>
      <c r="EL22" s="621"/>
      <c r="EM22" s="621"/>
      <c r="EN22" s="621"/>
      <c r="EO22" s="621"/>
      <c r="EP22" s="621"/>
      <c r="EQ22" s="621"/>
      <c r="ER22" s="621"/>
      <c r="ES22" s="621"/>
      <c r="ET22" s="621"/>
      <c r="EU22" s="621"/>
      <c r="EV22" s="621"/>
      <c r="EW22" s="621"/>
      <c r="EX22" s="621"/>
      <c r="EY22" s="621"/>
      <c r="EZ22" s="621"/>
    </row>
    <row r="23" spans="1:156" ht="12" customHeight="1" thickBot="1">
      <c r="B23" s="651"/>
      <c r="C23" s="706"/>
      <c r="D23" s="626" t="s">
        <v>177</v>
      </c>
      <c r="E23" s="626"/>
      <c r="F23" s="626"/>
      <c r="G23" s="626"/>
      <c r="H23" s="626"/>
      <c r="I23" s="626"/>
      <c r="J23" s="626"/>
      <c r="K23" s="626"/>
      <c r="L23" s="626"/>
      <c r="M23" s="626"/>
      <c r="N23" s="671"/>
      <c r="X23" s="822">
        <v>1</v>
      </c>
      <c r="Y23" s="619" t="s">
        <v>178</v>
      </c>
      <c r="BN23" s="619"/>
      <c r="BO23" s="619"/>
      <c r="CU23" s="619"/>
      <c r="CV23" s="619"/>
      <c r="DG23" s="621"/>
      <c r="DH23" s="621"/>
      <c r="DI23" s="621"/>
      <c r="DJ23" s="621"/>
      <c r="DK23" s="621"/>
      <c r="DL23" s="621"/>
      <c r="DM23" s="621"/>
      <c r="DN23" s="621"/>
      <c r="DO23" s="621"/>
      <c r="DP23" s="621"/>
      <c r="DQ23" s="621"/>
      <c r="DR23" s="621"/>
      <c r="DS23" s="621"/>
      <c r="DT23" s="621"/>
      <c r="DU23" s="621"/>
      <c r="DV23" s="621"/>
      <c r="DW23" s="621"/>
      <c r="DX23" s="621"/>
      <c r="DY23" s="621"/>
      <c r="DZ23" s="621"/>
      <c r="EA23" s="621"/>
      <c r="EB23" s="621"/>
      <c r="EC23" s="621"/>
      <c r="ED23" s="621"/>
      <c r="EE23" s="621"/>
      <c r="EF23" s="621"/>
      <c r="EG23" s="621"/>
      <c r="EH23" s="621"/>
      <c r="EI23" s="621"/>
      <c r="EJ23" s="621"/>
      <c r="EK23" s="621"/>
      <c r="EL23" s="621"/>
      <c r="EM23" s="621"/>
      <c r="EN23" s="621"/>
      <c r="EO23" s="621"/>
      <c r="EP23" s="621"/>
      <c r="EQ23" s="621"/>
      <c r="ER23" s="621"/>
      <c r="ES23" s="621"/>
      <c r="ET23" s="621"/>
      <c r="EU23" s="621"/>
      <c r="EV23" s="621"/>
      <c r="EW23" s="621"/>
      <c r="EX23" s="621"/>
      <c r="EY23" s="621"/>
      <c r="EZ23" s="621"/>
    </row>
    <row r="24" spans="1:156" ht="12" customHeight="1" thickBot="1">
      <c r="B24" s="1027" t="s">
        <v>179</v>
      </c>
      <c r="C24" s="1028"/>
      <c r="D24" s="1028"/>
      <c r="E24" s="1028"/>
      <c r="F24" s="1028"/>
      <c r="G24" s="1028"/>
      <c r="H24" s="1028"/>
      <c r="I24" s="1028"/>
      <c r="J24" s="1028"/>
      <c r="K24" s="1028"/>
      <c r="L24" s="1028"/>
      <c r="M24" s="1028"/>
      <c r="N24" s="1029"/>
      <c r="DG24" s="621"/>
      <c r="DH24" s="621"/>
      <c r="DI24" s="621"/>
      <c r="DJ24" s="621"/>
      <c r="DK24" s="621"/>
      <c r="DL24" s="621"/>
      <c r="DM24" s="621"/>
      <c r="DN24" s="621"/>
      <c r="DO24" s="621"/>
      <c r="DP24" s="621"/>
      <c r="DQ24" s="621"/>
      <c r="DR24" s="621"/>
      <c r="DS24" s="621"/>
      <c r="DT24" s="621"/>
      <c r="DU24" s="621"/>
      <c r="DV24" s="621"/>
      <c r="DW24" s="621"/>
      <c r="DX24" s="621"/>
      <c r="DY24" s="621"/>
      <c r="DZ24" s="621"/>
      <c r="EA24" s="621"/>
      <c r="EB24" s="621"/>
      <c r="EC24" s="621"/>
      <c r="ED24" s="621"/>
      <c r="EE24" s="621"/>
      <c r="EF24" s="621"/>
      <c r="EG24" s="621"/>
      <c r="EH24" s="621"/>
      <c r="EI24" s="621"/>
      <c r="EJ24" s="621"/>
      <c r="EK24" s="621"/>
      <c r="EL24" s="621"/>
      <c r="EM24" s="621"/>
      <c r="EN24" s="621"/>
      <c r="EO24" s="621"/>
      <c r="EP24" s="621"/>
      <c r="EQ24" s="621"/>
      <c r="ER24" s="621"/>
      <c r="ES24" s="621"/>
      <c r="ET24" s="621"/>
      <c r="EU24" s="621"/>
      <c r="EV24" s="621"/>
      <c r="EW24" s="621"/>
      <c r="EX24" s="621"/>
      <c r="EY24" s="621"/>
      <c r="EZ24" s="621"/>
    </row>
    <row r="25" spans="1:156" ht="12" customHeight="1" thickBot="1">
      <c r="B25" s="648"/>
      <c r="C25" s="707"/>
      <c r="D25" s="669" t="s">
        <v>180</v>
      </c>
      <c r="E25" s="669"/>
      <c r="F25" s="669"/>
      <c r="G25" s="669"/>
      <c r="H25" s="669"/>
      <c r="I25" s="669"/>
      <c r="J25" s="669"/>
      <c r="K25" s="669"/>
      <c r="L25" s="669"/>
      <c r="M25" s="669"/>
      <c r="N25" s="670"/>
      <c r="X25" s="822">
        <v>1</v>
      </c>
      <c r="Y25" s="619" t="s">
        <v>181</v>
      </c>
      <c r="DG25" s="621"/>
      <c r="DH25" s="621"/>
      <c r="DI25" s="621"/>
      <c r="DJ25" s="621"/>
      <c r="DK25" s="621"/>
      <c r="DL25" s="621"/>
      <c r="DM25" s="621"/>
      <c r="DN25" s="621"/>
      <c r="DO25" s="621"/>
      <c r="DP25" s="621"/>
      <c r="DQ25" s="621"/>
      <c r="DR25" s="625"/>
      <c r="DS25" s="621"/>
      <c r="DT25" s="621"/>
      <c r="DU25" s="621"/>
      <c r="DV25" s="621"/>
      <c r="DW25" s="621"/>
      <c r="DX25" s="621"/>
      <c r="DY25" s="621"/>
      <c r="DZ25" s="621"/>
      <c r="EA25" s="621"/>
      <c r="EB25" s="621"/>
      <c r="EC25" s="621"/>
      <c r="ED25" s="621"/>
      <c r="EE25" s="621"/>
      <c r="EF25" s="621"/>
      <c r="EG25" s="621"/>
      <c r="EH25" s="621"/>
      <c r="EI25" s="621"/>
      <c r="EJ25" s="621"/>
      <c r="EK25" s="621"/>
      <c r="EL25" s="621"/>
      <c r="EM25" s="621"/>
      <c r="EN25" s="621"/>
      <c r="EO25" s="621"/>
      <c r="EP25" s="621"/>
      <c r="EQ25" s="621"/>
      <c r="ER25" s="621"/>
      <c r="ES25" s="621"/>
      <c r="ET25" s="621"/>
      <c r="EU25" s="621"/>
      <c r="EV25" s="621"/>
      <c r="EW25" s="621"/>
      <c r="EX25" s="621"/>
      <c r="EY25" s="621"/>
      <c r="EZ25" s="621"/>
    </row>
    <row r="26" spans="1:156" ht="12" customHeight="1" thickBot="1">
      <c r="B26" s="651"/>
      <c r="C26" s="698"/>
      <c r="D26" s="626" t="s">
        <v>182</v>
      </c>
      <c r="E26" s="626"/>
      <c r="F26" s="626"/>
      <c r="G26" s="626"/>
      <c r="H26" s="626"/>
      <c r="I26" s="626"/>
      <c r="J26" s="626"/>
      <c r="K26" s="626"/>
      <c r="L26" s="626"/>
      <c r="M26" s="626"/>
      <c r="N26" s="671"/>
      <c r="AC26" s="627"/>
      <c r="DG26" s="621"/>
      <c r="DH26" s="621"/>
      <c r="DI26" s="621"/>
      <c r="DJ26" s="621"/>
      <c r="DK26" s="621"/>
      <c r="DL26" s="621"/>
      <c r="DM26" s="621"/>
      <c r="DN26" s="621"/>
      <c r="DO26" s="621"/>
      <c r="DP26" s="621"/>
      <c r="DQ26" s="621"/>
      <c r="DR26" s="625"/>
      <c r="DS26" s="621"/>
      <c r="DT26" s="621"/>
      <c r="DU26" s="621"/>
      <c r="DV26" s="621"/>
      <c r="DW26" s="621"/>
      <c r="DX26" s="621"/>
      <c r="DY26" s="621"/>
      <c r="DZ26" s="621"/>
      <c r="EA26" s="621"/>
      <c r="EB26" s="621"/>
      <c r="EC26" s="621"/>
      <c r="ED26" s="621"/>
      <c r="EE26" s="621"/>
      <c r="EF26" s="621"/>
      <c r="EG26" s="621"/>
      <c r="EH26" s="621"/>
      <c r="EI26" s="621"/>
      <c r="EJ26" s="621"/>
      <c r="EK26" s="621"/>
      <c r="EL26" s="621"/>
      <c r="EM26" s="621"/>
      <c r="EN26" s="621"/>
      <c r="EO26" s="621"/>
      <c r="EP26" s="621"/>
      <c r="EQ26" s="621"/>
      <c r="ER26" s="621"/>
      <c r="ES26" s="621"/>
      <c r="ET26" s="621"/>
      <c r="EU26" s="621"/>
      <c r="EV26" s="621"/>
      <c r="EW26" s="621"/>
      <c r="EX26" s="621"/>
      <c r="EY26" s="621"/>
      <c r="EZ26" s="621"/>
    </row>
    <row r="27" spans="1:156" ht="12" customHeight="1">
      <c r="B27" s="651"/>
      <c r="C27" s="697"/>
      <c r="D27" s="626" t="s">
        <v>183</v>
      </c>
      <c r="E27" s="626"/>
      <c r="F27" s="626"/>
      <c r="G27" s="626"/>
      <c r="H27" s="626"/>
      <c r="I27" s="626"/>
      <c r="J27" s="626"/>
      <c r="K27" s="626"/>
      <c r="L27" s="626"/>
      <c r="M27" s="626"/>
      <c r="N27" s="671"/>
      <c r="R27" s="1021" t="s">
        <v>184</v>
      </c>
      <c r="S27" s="1022"/>
      <c r="T27" s="1022"/>
      <c r="U27" s="1022"/>
      <c r="V27" s="1023"/>
      <c r="AY27" s="1021" t="s">
        <v>184</v>
      </c>
      <c r="AZ27" s="1022"/>
      <c r="BA27" s="1022"/>
      <c r="BB27" s="1022"/>
      <c r="BC27" s="1023"/>
      <c r="CF27" s="1021" t="s">
        <v>184</v>
      </c>
      <c r="CG27" s="1022"/>
      <c r="CH27" s="1022"/>
      <c r="CI27" s="1022"/>
      <c r="CJ27" s="1023"/>
      <c r="DG27" s="621"/>
      <c r="DH27" s="621"/>
      <c r="DI27" s="621"/>
      <c r="DJ27" s="621"/>
      <c r="DK27" s="621"/>
      <c r="DL27" s="621"/>
      <c r="DM27" s="621"/>
      <c r="DN27" s="621"/>
      <c r="DO27" s="626"/>
      <c r="DP27" s="626"/>
      <c r="DQ27" s="626"/>
      <c r="DR27" s="626"/>
      <c r="DS27" s="621"/>
      <c r="DT27" s="621"/>
      <c r="DU27" s="621"/>
      <c r="DV27" s="621"/>
      <c r="DW27" s="621"/>
      <c r="DX27" s="621"/>
      <c r="DY27" s="621"/>
      <c r="DZ27" s="621"/>
      <c r="EA27" s="621"/>
      <c r="EB27" s="621"/>
      <c r="EC27" s="621"/>
      <c r="ED27" s="621"/>
      <c r="EE27" s="621"/>
      <c r="EF27" s="621"/>
      <c r="EG27" s="621"/>
      <c r="EH27" s="621"/>
      <c r="EI27" s="621"/>
      <c r="EJ27" s="621"/>
      <c r="EK27" s="621"/>
      <c r="EL27" s="621"/>
      <c r="EM27" s="621"/>
      <c r="EN27" s="621"/>
      <c r="EO27" s="621"/>
      <c r="EP27" s="621"/>
      <c r="EQ27" s="621"/>
      <c r="ER27" s="621"/>
      <c r="ES27" s="621"/>
      <c r="ET27" s="621"/>
      <c r="EU27" s="621"/>
      <c r="EV27" s="621"/>
      <c r="EW27" s="621"/>
      <c r="EX27" s="621"/>
      <c r="EY27" s="621"/>
      <c r="EZ27" s="621"/>
    </row>
    <row r="28" spans="1:156" ht="12" customHeight="1" thickBot="1">
      <c r="B28" s="651"/>
      <c r="C28" s="711"/>
      <c r="D28" s="626" t="s">
        <v>185</v>
      </c>
      <c r="E28" s="626"/>
      <c r="F28" s="626"/>
      <c r="G28" s="626"/>
      <c r="H28" s="626"/>
      <c r="I28" s="626"/>
      <c r="J28" s="626"/>
      <c r="K28" s="626"/>
      <c r="L28" s="626"/>
      <c r="M28" s="626"/>
      <c r="N28" s="671"/>
      <c r="O28" s="628"/>
      <c r="P28" s="628"/>
      <c r="Q28" s="628"/>
      <c r="R28" s="672">
        <f ca="1">+CONTARCOLORCELDA($C$12,B30:AF30)*$X$25</f>
        <v>13</v>
      </c>
      <c r="S28" s="673" cm="1">
        <f t="array" aca="1" ref="S28" ca="1">+CONTARCOLORCELDA($C$13,B30:AF30)*$X$25</f>
        <v>1</v>
      </c>
      <c r="T28" s="674" cm="1">
        <f t="array" aca="1" ref="T28" ca="1">+CONTARCOLORCELDA($C$14,D30:AI30)*$X$25</f>
        <v>0</v>
      </c>
      <c r="U28" s="675" cm="1">
        <f t="array" aca="1" ref="U28" ca="1">+CONTARCOLORCELDA($C$15,B30:AF30)*$X$25</f>
        <v>0</v>
      </c>
      <c r="V28" s="676" cm="1">
        <f t="array" aca="1" ref="V28" ca="1">+CONTARCOLORCELDA($C$16,B30:AF30)*$X$25</f>
        <v>0</v>
      </c>
      <c r="W28" s="628"/>
      <c r="AD28" s="628"/>
      <c r="AE28" s="628"/>
      <c r="AF28" s="628"/>
      <c r="AI28" s="628"/>
      <c r="AJ28" s="628"/>
      <c r="AK28" s="628"/>
      <c r="AL28" s="628"/>
      <c r="AM28" s="628"/>
      <c r="AN28" s="628"/>
      <c r="AO28" s="628"/>
      <c r="AP28" s="628"/>
      <c r="AQ28" s="628"/>
      <c r="AR28" s="628"/>
      <c r="AS28" s="628"/>
      <c r="AT28" s="628"/>
      <c r="AU28" s="628"/>
      <c r="AV28" s="628"/>
      <c r="AW28" s="628"/>
      <c r="AX28" s="628"/>
      <c r="AY28" s="672" cm="1">
        <f t="array" aca="1" ref="AY28" ca="1">+CONTARCOLORCELDA($C$12,AI30:BM30)*$X$25</f>
        <v>31</v>
      </c>
      <c r="AZ28" s="673" cm="1">
        <f t="array" aca="1" ref="AZ28" ca="1">+CONTARCOLORCELDA($C$13,AI30:BM30)*$X$25</f>
        <v>0</v>
      </c>
      <c r="BA28" s="674" cm="1">
        <f t="array" aca="1" ref="BA28" ca="1">+CONTARCOLORCELDA($C$14,AK30:BP30)*$X$25</f>
        <v>0</v>
      </c>
      <c r="BB28" s="675" cm="1">
        <f t="array" aca="1" ref="BB28" ca="1">+CONTARCOLORCELDA($C$15,AI30:BM30)*$X$25</f>
        <v>0</v>
      </c>
      <c r="BC28" s="676" cm="1">
        <f t="array" aca="1" ref="BC28" ca="1">+CONTARCOLORCELDA($C$16,AI30:BM30)*$X$25</f>
        <v>0</v>
      </c>
      <c r="BD28" s="628"/>
      <c r="BE28" s="628"/>
      <c r="BM28" s="628"/>
      <c r="BP28" s="628"/>
      <c r="BQ28" s="628"/>
      <c r="BR28" s="628"/>
      <c r="BS28" s="628"/>
      <c r="BT28" s="628"/>
      <c r="BU28" s="628"/>
      <c r="BV28" s="628"/>
      <c r="BW28" s="628"/>
      <c r="CF28" s="672" cm="1">
        <f t="array" aca="1" ref="CF28" ca="1">+CONTARCOLORCELDA($C$12,BP30:CT30)*$X$25</f>
        <v>31</v>
      </c>
      <c r="CG28" s="673" cm="1">
        <f t="array" aca="1" ref="CG28" ca="1">+CONTARCOLORCELDA($C$13,BP30:CT30)*$X$25</f>
        <v>0</v>
      </c>
      <c r="CH28" s="674" cm="1">
        <f t="array" aca="1" ref="CH28" ca="1">+CONTARCOLORCELDA($C$14,BR30:CW30)*$X$25</f>
        <v>0</v>
      </c>
      <c r="CI28" s="675" cm="1">
        <f t="array" aca="1" ref="CI28" ca="1">+CONTARCOLORCELDA($C$15,BP30:CT30)*$X$25</f>
        <v>0</v>
      </c>
      <c r="CJ28" s="676" cm="1">
        <f t="array" aca="1" ref="CJ28" ca="1">+CONTARCOLORCELDA($C$16,BP30:CT30)*$X$25</f>
        <v>0</v>
      </c>
      <c r="DG28" s="621"/>
      <c r="DH28" s="621"/>
      <c r="DI28" s="621"/>
      <c r="DJ28" s="621"/>
      <c r="DK28" s="621"/>
      <c r="DL28" s="621"/>
      <c r="DM28" s="621"/>
      <c r="DN28" s="621"/>
      <c r="DO28" s="621"/>
      <c r="DP28" s="621"/>
      <c r="DQ28" s="621"/>
      <c r="DR28" s="621"/>
      <c r="DS28" s="621"/>
      <c r="DT28" s="621"/>
      <c r="DU28" s="621"/>
      <c r="DV28" s="621"/>
      <c r="DW28" s="621"/>
      <c r="DX28" s="621"/>
      <c r="DY28" s="621"/>
      <c r="DZ28" s="621"/>
      <c r="EA28" s="621"/>
      <c r="EB28" s="621"/>
      <c r="EC28" s="621"/>
      <c r="ED28" s="621"/>
      <c r="EE28" s="621"/>
      <c r="EF28" s="621"/>
      <c r="EG28" s="621"/>
      <c r="EH28" s="621"/>
      <c r="EI28" s="621"/>
      <c r="EJ28" s="621"/>
      <c r="EK28" s="621"/>
      <c r="EL28" s="621"/>
      <c r="EM28" s="621"/>
      <c r="EN28" s="621"/>
      <c r="EO28" s="621"/>
      <c r="EP28" s="621"/>
      <c r="EQ28" s="621"/>
      <c r="ER28" s="621"/>
      <c r="ES28" s="621"/>
      <c r="ET28" s="621"/>
      <c r="EU28" s="621"/>
      <c r="EV28" s="621"/>
      <c r="EW28" s="621"/>
      <c r="EX28" s="621"/>
      <c r="EY28" s="621"/>
      <c r="EZ28" s="621"/>
    </row>
    <row r="29" spans="1:156" ht="15" customHeight="1" thickBot="1">
      <c r="B29" s="667" t="s">
        <v>186</v>
      </c>
      <c r="C29" s="665"/>
      <c r="D29" s="665"/>
      <c r="E29" s="665"/>
      <c r="F29" s="665"/>
      <c r="G29" s="665"/>
      <c r="H29" s="665"/>
      <c r="I29" s="665"/>
      <c r="J29" s="665"/>
      <c r="K29" s="665"/>
      <c r="L29" s="665"/>
      <c r="M29" s="665"/>
      <c r="N29" s="665"/>
      <c r="O29" s="665"/>
      <c r="P29" s="665"/>
      <c r="Q29" s="665"/>
      <c r="R29" s="665"/>
      <c r="S29" s="665"/>
      <c r="T29" s="665"/>
      <c r="U29" s="665"/>
      <c r="V29" s="665"/>
      <c r="W29" s="665"/>
      <c r="X29" s="665"/>
      <c r="Y29" s="665"/>
      <c r="Z29" s="665"/>
      <c r="AA29" s="665"/>
      <c r="AB29" s="665"/>
      <c r="AC29" s="665"/>
      <c r="AD29" s="665"/>
      <c r="AE29" s="665"/>
      <c r="AF29" s="666"/>
      <c r="AG29" s="682"/>
      <c r="AH29" s="688" t="s">
        <v>187</v>
      </c>
      <c r="AI29" s="667" t="s">
        <v>188</v>
      </c>
      <c r="AJ29" s="668"/>
      <c r="AK29" s="668"/>
      <c r="AL29" s="668"/>
      <c r="AM29" s="668"/>
      <c r="AN29" s="668"/>
      <c r="AO29" s="668"/>
      <c r="AP29" s="668"/>
      <c r="AQ29" s="668"/>
      <c r="AR29" s="668"/>
      <c r="AS29" s="668"/>
      <c r="AT29" s="668"/>
      <c r="AU29" s="668"/>
      <c r="AV29" s="668"/>
      <c r="AW29" s="668"/>
      <c r="AX29" s="668"/>
      <c r="AY29" s="668"/>
      <c r="AZ29" s="668"/>
      <c r="BA29" s="668"/>
      <c r="BB29" s="668"/>
      <c r="BC29" s="668"/>
      <c r="BD29" s="668"/>
      <c r="BE29" s="668"/>
      <c r="BF29" s="668"/>
      <c r="BG29" s="668"/>
      <c r="BH29" s="668"/>
      <c r="BI29" s="668"/>
      <c r="BJ29" s="668"/>
      <c r="BK29" s="668"/>
      <c r="BL29" s="668"/>
      <c r="BM29" s="720"/>
      <c r="BN29" s="682"/>
      <c r="BO29" s="688" t="s">
        <v>187</v>
      </c>
      <c r="BP29" s="721" t="s">
        <v>189</v>
      </c>
      <c r="BQ29" s="665"/>
      <c r="BR29" s="665"/>
      <c r="BS29" s="665"/>
      <c r="BT29" s="665"/>
      <c r="BU29" s="665"/>
      <c r="BV29" s="665"/>
      <c r="BW29" s="665"/>
      <c r="BX29" s="665"/>
      <c r="BY29" s="665"/>
      <c r="BZ29" s="665"/>
      <c r="CA29" s="665"/>
      <c r="CB29" s="665"/>
      <c r="CC29" s="665"/>
      <c r="CD29" s="665"/>
      <c r="CE29" s="665"/>
      <c r="CF29" s="665"/>
      <c r="CG29" s="665"/>
      <c r="CH29" s="665"/>
      <c r="CI29" s="665"/>
      <c r="CJ29" s="665"/>
      <c r="CK29" s="665"/>
      <c r="CL29" s="665"/>
      <c r="CM29" s="665"/>
      <c r="CN29" s="665"/>
      <c r="CO29" s="665"/>
      <c r="CP29" s="665"/>
      <c r="CQ29" s="665"/>
      <c r="CR29" s="665"/>
      <c r="CS29" s="665"/>
      <c r="CT29" s="666"/>
      <c r="CU29" s="682"/>
      <c r="CV29" s="688" t="s">
        <v>187</v>
      </c>
      <c r="DG29" s="621"/>
      <c r="DH29" s="621"/>
      <c r="DI29" s="621"/>
      <c r="DJ29" s="621"/>
      <c r="DK29" s="621"/>
      <c r="DL29" s="621"/>
      <c r="DM29" s="621"/>
      <c r="DN29" s="621"/>
      <c r="DO29" s="621"/>
      <c r="DP29" s="621"/>
      <c r="DQ29" s="621"/>
      <c r="DR29" s="621"/>
      <c r="DS29" s="621"/>
      <c r="DT29" s="621"/>
      <c r="DU29" s="621"/>
      <c r="DV29" s="621"/>
      <c r="DW29" s="621"/>
      <c r="DX29" s="621"/>
      <c r="DY29" s="621"/>
      <c r="DZ29" s="621"/>
      <c r="EA29" s="621"/>
      <c r="EB29" s="621"/>
      <c r="EC29" s="621"/>
      <c r="ED29" s="621"/>
      <c r="EE29" s="621"/>
      <c r="EF29" s="621"/>
      <c r="EG29" s="621"/>
      <c r="EH29" s="621"/>
      <c r="EI29" s="621"/>
      <c r="EJ29" s="621"/>
      <c r="EK29" s="621"/>
      <c r="EL29" s="621"/>
      <c r="EM29" s="621"/>
      <c r="EN29" s="621"/>
      <c r="EO29" s="621"/>
      <c r="EP29" s="621"/>
      <c r="EQ29" s="621"/>
      <c r="ER29" s="621"/>
      <c r="ES29" s="621"/>
      <c r="ET29" s="621"/>
      <c r="EU29" s="621"/>
      <c r="EV29" s="621"/>
      <c r="EW29" s="621"/>
      <c r="EX29" s="621"/>
      <c r="EY29" s="621"/>
      <c r="EZ29" s="621"/>
    </row>
    <row r="30" spans="1:156" ht="15" customHeight="1" thickBot="1">
      <c r="B30" s="802">
        <v>1</v>
      </c>
      <c r="C30" s="803">
        <v>2</v>
      </c>
      <c r="D30" s="803">
        <v>3</v>
      </c>
      <c r="E30" s="803">
        <v>4</v>
      </c>
      <c r="F30" s="803">
        <v>5</v>
      </c>
      <c r="G30" s="803">
        <v>6</v>
      </c>
      <c r="H30" s="803">
        <v>7</v>
      </c>
      <c r="I30" s="803">
        <v>8</v>
      </c>
      <c r="J30" s="803">
        <v>9</v>
      </c>
      <c r="K30" s="803">
        <v>10</v>
      </c>
      <c r="L30" s="803">
        <v>11</v>
      </c>
      <c r="M30" s="803">
        <v>12</v>
      </c>
      <c r="N30" s="803">
        <v>13</v>
      </c>
      <c r="O30" s="803">
        <v>14</v>
      </c>
      <c r="P30" s="803">
        <v>15</v>
      </c>
      <c r="Q30" s="803">
        <v>16</v>
      </c>
      <c r="R30" s="803">
        <v>17</v>
      </c>
      <c r="S30" s="673">
        <v>18</v>
      </c>
      <c r="T30" s="699">
        <v>19</v>
      </c>
      <c r="U30" s="699">
        <v>20</v>
      </c>
      <c r="V30" s="699">
        <v>21</v>
      </c>
      <c r="W30" s="699">
        <v>22</v>
      </c>
      <c r="X30" s="699">
        <v>27</v>
      </c>
      <c r="Y30" s="699">
        <v>24</v>
      </c>
      <c r="Z30" s="699">
        <v>25</v>
      </c>
      <c r="AA30" s="699">
        <v>26</v>
      </c>
      <c r="AB30" s="699">
        <v>27</v>
      </c>
      <c r="AC30" s="699">
        <v>28</v>
      </c>
      <c r="AD30" s="699">
        <v>29</v>
      </c>
      <c r="AE30" s="699">
        <v>30</v>
      </c>
      <c r="AF30" s="699">
        <v>31</v>
      </c>
      <c r="AG30" s="679"/>
      <c r="AH30" s="685"/>
      <c r="AI30" s="699">
        <v>1</v>
      </c>
      <c r="AJ30" s="699">
        <v>2</v>
      </c>
      <c r="AK30" s="699">
        <v>3</v>
      </c>
      <c r="AL30" s="699">
        <v>4</v>
      </c>
      <c r="AM30" s="699">
        <v>5</v>
      </c>
      <c r="AN30" s="699">
        <v>6</v>
      </c>
      <c r="AO30" s="699">
        <v>7</v>
      </c>
      <c r="AP30" s="699">
        <v>8</v>
      </c>
      <c r="AQ30" s="699">
        <v>9</v>
      </c>
      <c r="AR30" s="699">
        <v>10</v>
      </c>
      <c r="AS30" s="699">
        <v>11</v>
      </c>
      <c r="AT30" s="699">
        <v>12</v>
      </c>
      <c r="AU30" s="699">
        <v>13</v>
      </c>
      <c r="AV30" s="699">
        <v>14</v>
      </c>
      <c r="AW30" s="699">
        <v>15</v>
      </c>
      <c r="AX30" s="699">
        <v>16</v>
      </c>
      <c r="AY30" s="699">
        <v>17</v>
      </c>
      <c r="AZ30" s="699">
        <v>18</v>
      </c>
      <c r="BA30" s="699">
        <v>19</v>
      </c>
      <c r="BB30" s="699">
        <v>20</v>
      </c>
      <c r="BC30" s="699">
        <v>21</v>
      </c>
      <c r="BD30" s="699">
        <v>22</v>
      </c>
      <c r="BE30" s="699">
        <v>27</v>
      </c>
      <c r="BF30" s="699">
        <v>24</v>
      </c>
      <c r="BG30" s="699">
        <v>25</v>
      </c>
      <c r="BH30" s="699">
        <v>26</v>
      </c>
      <c r="BI30" s="699">
        <v>27</v>
      </c>
      <c r="BJ30" s="699">
        <v>28</v>
      </c>
      <c r="BK30" s="699">
        <v>29</v>
      </c>
      <c r="BL30" s="699">
        <v>30</v>
      </c>
      <c r="BM30" s="699">
        <v>31</v>
      </c>
      <c r="BN30" s="679"/>
      <c r="BO30" s="685"/>
      <c r="BP30" s="699">
        <v>1</v>
      </c>
      <c r="BQ30" s="699">
        <v>2</v>
      </c>
      <c r="BR30" s="699">
        <v>3</v>
      </c>
      <c r="BS30" s="699">
        <v>4</v>
      </c>
      <c r="BT30" s="699">
        <v>5</v>
      </c>
      <c r="BU30" s="699">
        <v>6</v>
      </c>
      <c r="BV30" s="699">
        <v>7</v>
      </c>
      <c r="BW30" s="699">
        <v>8</v>
      </c>
      <c r="BX30" s="699">
        <v>9</v>
      </c>
      <c r="BY30" s="699">
        <v>10</v>
      </c>
      <c r="BZ30" s="699">
        <v>11</v>
      </c>
      <c r="CA30" s="699">
        <v>12</v>
      </c>
      <c r="CB30" s="699">
        <v>13</v>
      </c>
      <c r="CC30" s="699">
        <v>14</v>
      </c>
      <c r="CD30" s="699">
        <v>15</v>
      </c>
      <c r="CE30" s="699">
        <v>16</v>
      </c>
      <c r="CF30" s="699">
        <v>17</v>
      </c>
      <c r="CG30" s="699">
        <v>18</v>
      </c>
      <c r="CH30" s="699">
        <v>19</v>
      </c>
      <c r="CI30" s="699">
        <v>20</v>
      </c>
      <c r="CJ30" s="699">
        <v>21</v>
      </c>
      <c r="CK30" s="699">
        <v>22</v>
      </c>
      <c r="CL30" s="699">
        <v>27</v>
      </c>
      <c r="CM30" s="699">
        <v>24</v>
      </c>
      <c r="CN30" s="699">
        <v>25</v>
      </c>
      <c r="CO30" s="699">
        <v>26</v>
      </c>
      <c r="CP30" s="699">
        <v>27</v>
      </c>
      <c r="CQ30" s="699">
        <v>28</v>
      </c>
      <c r="CR30" s="699">
        <v>29</v>
      </c>
      <c r="CS30" s="699">
        <v>30</v>
      </c>
      <c r="CT30" s="699">
        <v>31</v>
      </c>
      <c r="CU30" s="679"/>
      <c r="CV30" s="685"/>
      <c r="DG30" s="621"/>
      <c r="DH30" s="621"/>
      <c r="DI30" s="621"/>
      <c r="DJ30" s="621"/>
      <c r="DK30" s="621"/>
      <c r="DL30" s="621"/>
      <c r="DM30" s="621"/>
      <c r="DN30" s="621"/>
      <c r="DO30" s="621"/>
      <c r="DP30" s="621"/>
      <c r="DQ30" s="621"/>
      <c r="DR30" s="621"/>
      <c r="DS30" s="621"/>
      <c r="DT30" s="621"/>
      <c r="DU30" s="621"/>
      <c r="DV30" s="621"/>
      <c r="DW30" s="621"/>
      <c r="DX30" s="621"/>
      <c r="DY30" s="621"/>
      <c r="DZ30" s="621"/>
      <c r="EA30" s="621"/>
      <c r="EB30" s="621"/>
      <c r="EC30" s="621"/>
      <c r="ED30" s="621"/>
      <c r="EE30" s="621"/>
      <c r="EF30" s="621"/>
      <c r="EG30" s="621"/>
      <c r="EH30" s="621"/>
      <c r="EI30" s="621"/>
      <c r="EJ30" s="621"/>
      <c r="EK30" s="621"/>
      <c r="EL30" s="621"/>
      <c r="EM30" s="621"/>
      <c r="EN30" s="621"/>
      <c r="EO30" s="621"/>
      <c r="EP30" s="621"/>
      <c r="EQ30" s="621"/>
      <c r="ER30" s="621"/>
      <c r="ES30" s="621"/>
      <c r="ET30" s="621"/>
      <c r="EU30" s="621"/>
      <c r="EV30" s="621"/>
      <c r="EW30" s="621"/>
      <c r="EX30" s="621"/>
      <c r="EY30" s="621"/>
      <c r="EZ30" s="621"/>
    </row>
    <row r="31" spans="1:156" ht="16.5" customHeight="1">
      <c r="A31" s="629" t="s">
        <v>190</v>
      </c>
      <c r="B31" s="701"/>
      <c r="C31" s="692"/>
      <c r="D31" s="692"/>
      <c r="E31" s="692"/>
      <c r="F31" s="692"/>
      <c r="G31" s="692"/>
      <c r="H31" s="692"/>
      <c r="I31" s="692"/>
      <c r="J31" s="692"/>
      <c r="S31" s="678">
        <v>1</v>
      </c>
      <c r="T31" s="678">
        <v>2</v>
      </c>
      <c r="U31" s="678">
        <v>3</v>
      </c>
      <c r="V31" s="678">
        <v>4</v>
      </c>
      <c r="W31" s="678">
        <v>5</v>
      </c>
      <c r="X31" s="678">
        <v>6</v>
      </c>
      <c r="Y31" s="678">
        <v>7</v>
      </c>
      <c r="Z31" s="678">
        <v>8</v>
      </c>
      <c r="AA31" s="678">
        <v>9</v>
      </c>
      <c r="AB31" s="678">
        <v>10</v>
      </c>
      <c r="AC31" s="678">
        <v>11</v>
      </c>
      <c r="AD31" s="678">
        <v>12</v>
      </c>
      <c r="AE31" s="678">
        <v>13</v>
      </c>
      <c r="AF31" s="678">
        <v>14</v>
      </c>
      <c r="AG31" s="679">
        <f>COUNT(B31:AF31)*$X$25</f>
        <v>14</v>
      </c>
      <c r="AH31" s="686">
        <v>7.0000000000000001E-3</v>
      </c>
      <c r="AI31" s="678">
        <v>1</v>
      </c>
      <c r="AJ31" s="678">
        <v>2</v>
      </c>
      <c r="AK31" s="678">
        <v>3</v>
      </c>
      <c r="AL31" s="678">
        <v>4</v>
      </c>
      <c r="AM31" s="678">
        <v>5</v>
      </c>
      <c r="AN31" s="678">
        <v>6</v>
      </c>
      <c r="AO31" s="678">
        <v>7</v>
      </c>
      <c r="AP31" s="678">
        <v>8</v>
      </c>
      <c r="AQ31" s="678">
        <v>9</v>
      </c>
      <c r="AR31" s="678">
        <v>10</v>
      </c>
      <c r="AS31" s="678">
        <v>11</v>
      </c>
      <c r="AT31" s="678">
        <v>12</v>
      </c>
      <c r="AU31" s="678">
        <v>13</v>
      </c>
      <c r="AV31" s="678">
        <v>14</v>
      </c>
      <c r="AW31" s="678">
        <v>15</v>
      </c>
      <c r="AX31" s="678">
        <v>16</v>
      </c>
      <c r="AY31" s="678">
        <v>17</v>
      </c>
      <c r="AZ31" s="678">
        <v>18</v>
      </c>
      <c r="BA31" s="678">
        <v>19</v>
      </c>
      <c r="BB31" s="678">
        <v>20</v>
      </c>
      <c r="BC31" s="678">
        <v>21</v>
      </c>
      <c r="BD31" s="678">
        <v>22</v>
      </c>
      <c r="BE31" s="678">
        <v>23</v>
      </c>
      <c r="BF31" s="678">
        <v>24</v>
      </c>
      <c r="BG31" s="678">
        <v>25</v>
      </c>
      <c r="BH31" s="678">
        <v>26</v>
      </c>
      <c r="BI31" s="678">
        <v>27</v>
      </c>
      <c r="BJ31" s="678">
        <v>28</v>
      </c>
      <c r="BK31" s="678">
        <v>29</v>
      </c>
      <c r="BL31" s="678">
        <v>30</v>
      </c>
      <c r="BM31" s="678">
        <v>31</v>
      </c>
      <c r="BN31" s="679">
        <f>COUNT(AI31:BM31)*$X$25</f>
        <v>31</v>
      </c>
      <c r="BO31" s="686">
        <v>7.0000000000000001E-3</v>
      </c>
      <c r="BP31" s="678">
        <v>1</v>
      </c>
      <c r="BQ31" s="678">
        <v>2</v>
      </c>
      <c r="BR31" s="678">
        <v>3</v>
      </c>
      <c r="BS31" s="678">
        <v>4</v>
      </c>
      <c r="BT31" s="678">
        <v>5</v>
      </c>
      <c r="BU31" s="678">
        <v>6</v>
      </c>
      <c r="BV31" s="678">
        <v>7</v>
      </c>
      <c r="BW31" s="678">
        <v>8</v>
      </c>
      <c r="BX31" s="678">
        <v>9</v>
      </c>
      <c r="BY31" s="678">
        <v>10</v>
      </c>
      <c r="BZ31" s="678">
        <v>11</v>
      </c>
      <c r="CA31" s="678">
        <v>12</v>
      </c>
      <c r="CB31" s="678">
        <v>13</v>
      </c>
      <c r="CC31" s="678">
        <v>14</v>
      </c>
      <c r="CD31" s="678">
        <v>15</v>
      </c>
      <c r="CE31" s="678">
        <v>16</v>
      </c>
      <c r="CF31" s="678">
        <v>17</v>
      </c>
      <c r="CG31" s="678">
        <v>18</v>
      </c>
      <c r="CH31" s="678">
        <v>19</v>
      </c>
      <c r="CI31" s="678">
        <v>20</v>
      </c>
      <c r="CJ31" s="678">
        <v>21</v>
      </c>
      <c r="CK31" s="678">
        <v>22</v>
      </c>
      <c r="CL31" s="678">
        <v>23</v>
      </c>
      <c r="CM31" s="678">
        <v>24</v>
      </c>
      <c r="CN31" s="678">
        <v>25</v>
      </c>
      <c r="CO31" s="678">
        <v>26</v>
      </c>
      <c r="CP31" s="678">
        <v>27</v>
      </c>
      <c r="CQ31" s="678">
        <v>28</v>
      </c>
      <c r="CR31" s="678">
        <v>29</v>
      </c>
      <c r="CS31" s="678">
        <v>30</v>
      </c>
      <c r="CT31" s="678">
        <v>31</v>
      </c>
      <c r="CU31" s="679">
        <f>COUNT(BP31:CT31)*$X$25</f>
        <v>31</v>
      </c>
      <c r="CV31" s="686">
        <v>7.0000000000000001E-3</v>
      </c>
      <c r="DG31" s="621"/>
      <c r="DH31" s="621"/>
      <c r="DI31" s="621"/>
      <c r="DJ31" s="621"/>
      <c r="DK31" s="621"/>
      <c r="DL31" s="621"/>
      <c r="DM31" s="621"/>
      <c r="DN31" s="621"/>
      <c r="DO31" s="621"/>
      <c r="DP31" s="621"/>
      <c r="DQ31" s="621"/>
      <c r="DR31" s="621"/>
      <c r="DS31" s="621"/>
      <c r="DT31" s="621"/>
      <c r="DU31" s="621"/>
      <c r="DV31" s="621"/>
      <c r="DW31" s="621"/>
      <c r="DX31" s="621"/>
      <c r="DY31" s="621"/>
      <c r="DZ31" s="621"/>
      <c r="EA31" s="621"/>
      <c r="EB31" s="621"/>
      <c r="EC31" s="621"/>
      <c r="ED31" s="621"/>
      <c r="EE31" s="621"/>
      <c r="EF31" s="621"/>
      <c r="EG31" s="621"/>
      <c r="EH31" s="621"/>
      <c r="EI31" s="621"/>
      <c r="EJ31" s="621"/>
      <c r="EK31" s="621"/>
      <c r="EL31" s="621"/>
      <c r="EM31" s="621"/>
      <c r="EN31" s="621"/>
      <c r="EO31" s="621"/>
      <c r="EP31" s="621"/>
      <c r="EQ31" s="621"/>
      <c r="ER31" s="621"/>
      <c r="ES31" s="621"/>
      <c r="ET31" s="621"/>
      <c r="EU31" s="621"/>
      <c r="EV31" s="621"/>
      <c r="EW31" s="621"/>
      <c r="EX31" s="621"/>
      <c r="EY31" s="621"/>
      <c r="EZ31" s="621"/>
    </row>
    <row r="32" spans="1:156" ht="16.5" customHeight="1">
      <c r="A32" s="630" t="s">
        <v>191</v>
      </c>
      <c r="B32" s="701"/>
      <c r="C32" s="678"/>
      <c r="D32" s="678"/>
      <c r="E32" s="678"/>
      <c r="F32" s="678"/>
      <c r="G32" s="678"/>
      <c r="H32" s="678"/>
      <c r="I32" s="678"/>
      <c r="J32" s="678"/>
      <c r="S32" s="678"/>
      <c r="T32" s="678"/>
      <c r="U32" s="678"/>
      <c r="V32" s="678"/>
      <c r="W32" s="678"/>
      <c r="X32" s="678"/>
      <c r="Y32" s="678"/>
      <c r="Z32" s="678"/>
      <c r="AA32" s="678"/>
      <c r="AB32" s="678"/>
      <c r="AC32" s="678"/>
      <c r="AD32" s="678"/>
      <c r="AE32" s="678"/>
      <c r="AF32" s="678"/>
      <c r="AG32" s="679">
        <f>COUNT(B32:AF32)*$X$25</f>
        <v>0</v>
      </c>
      <c r="AH32" s="686">
        <v>0</v>
      </c>
      <c r="AI32" s="701"/>
      <c r="AJ32" s="678"/>
      <c r="AK32" s="678"/>
      <c r="AL32" s="678"/>
      <c r="AM32" s="678"/>
      <c r="AN32" s="678"/>
      <c r="AO32" s="678"/>
      <c r="AP32" s="678"/>
      <c r="AQ32" s="678"/>
      <c r="AR32" s="678"/>
      <c r="AS32" s="678"/>
      <c r="AT32" s="678"/>
      <c r="AU32" s="678"/>
      <c r="AV32" s="678"/>
      <c r="AW32" s="678"/>
      <c r="AX32" s="678"/>
      <c r="AY32" s="678"/>
      <c r="AZ32" s="678"/>
      <c r="BA32" s="678"/>
      <c r="BB32" s="678"/>
      <c r="BC32" s="678"/>
      <c r="BD32" s="678"/>
      <c r="BE32" s="678"/>
      <c r="BF32" s="678"/>
      <c r="BG32" s="678"/>
      <c r="BH32" s="678"/>
      <c r="BI32" s="678"/>
      <c r="BJ32" s="678"/>
      <c r="BK32" s="678"/>
      <c r="BL32" s="678"/>
      <c r="BM32" s="678"/>
      <c r="BN32" s="679">
        <f>COUNT(AI32:BM32)*$X$25</f>
        <v>0</v>
      </c>
      <c r="BO32" s="686">
        <v>0</v>
      </c>
      <c r="BP32" s="701"/>
      <c r="BQ32" s="678"/>
      <c r="BR32" s="678"/>
      <c r="BS32" s="678"/>
      <c r="BT32" s="678"/>
      <c r="BU32" s="678"/>
      <c r="BV32" s="678"/>
      <c r="BW32" s="678"/>
      <c r="BX32" s="678"/>
      <c r="BY32" s="678"/>
      <c r="BZ32" s="678"/>
      <c r="CA32" s="678"/>
      <c r="CB32" s="678"/>
      <c r="CC32" s="678"/>
      <c r="CD32" s="678"/>
      <c r="CE32" s="678"/>
      <c r="CF32" s="678"/>
      <c r="CG32" s="678"/>
      <c r="CH32" s="678"/>
      <c r="CI32" s="678"/>
      <c r="CJ32" s="678"/>
      <c r="CK32" s="678"/>
      <c r="CL32" s="678"/>
      <c r="CM32" s="678"/>
      <c r="CN32" s="678"/>
      <c r="CO32" s="678"/>
      <c r="CP32" s="678"/>
      <c r="CQ32" s="678"/>
      <c r="CR32" s="678"/>
      <c r="CS32" s="678"/>
      <c r="CT32" s="678"/>
      <c r="CU32" s="679">
        <f>COUNT(BP32:CT32)*$X$25</f>
        <v>0</v>
      </c>
      <c r="CV32" s="686">
        <v>0</v>
      </c>
      <c r="DG32" s="621"/>
      <c r="DH32" s="621"/>
      <c r="DI32" s="621"/>
      <c r="DJ32" s="621"/>
      <c r="DK32" s="621"/>
      <c r="DL32" s="621"/>
      <c r="DM32" s="621"/>
      <c r="DN32" s="621"/>
      <c r="DO32" s="621"/>
      <c r="DP32" s="621"/>
      <c r="DQ32" s="621"/>
      <c r="DR32" s="621"/>
      <c r="DS32" s="621"/>
      <c r="DT32" s="621"/>
      <c r="DU32" s="621"/>
      <c r="DV32" s="621"/>
      <c r="DW32" s="621"/>
      <c r="DX32" s="621"/>
      <c r="DY32" s="621"/>
      <c r="DZ32" s="621"/>
      <c r="EA32" s="621"/>
      <c r="EB32" s="621"/>
      <c r="EC32" s="621"/>
      <c r="ED32" s="621"/>
      <c r="EE32" s="621"/>
      <c r="EF32" s="621"/>
      <c r="EG32" s="621"/>
      <c r="EH32" s="621"/>
      <c r="EI32" s="621"/>
      <c r="EJ32" s="621"/>
      <c r="EK32" s="621"/>
      <c r="EL32" s="621"/>
      <c r="EM32" s="621"/>
      <c r="EN32" s="621"/>
      <c r="EO32" s="621"/>
      <c r="EP32" s="621"/>
      <c r="EQ32" s="621"/>
      <c r="ER32" s="621"/>
      <c r="ES32" s="621"/>
      <c r="ET32" s="621"/>
      <c r="EU32" s="621"/>
      <c r="EV32" s="621"/>
      <c r="EW32" s="621"/>
      <c r="EX32" s="621"/>
      <c r="EY32" s="621"/>
      <c r="EZ32" s="621"/>
    </row>
    <row r="33" spans="1:156" ht="16.5" customHeight="1">
      <c r="A33" s="630" t="s">
        <v>192</v>
      </c>
      <c r="B33" s="701"/>
      <c r="C33" s="678"/>
      <c r="D33" s="678"/>
      <c r="E33" s="678"/>
      <c r="F33" s="678"/>
      <c r="G33" s="678"/>
      <c r="H33" s="678"/>
      <c r="I33" s="678"/>
      <c r="J33" s="678"/>
      <c r="K33" s="678"/>
      <c r="L33" s="678"/>
      <c r="M33" s="678"/>
      <c r="N33" s="678"/>
      <c r="O33" s="678"/>
      <c r="P33" s="678"/>
      <c r="Q33" s="678"/>
      <c r="R33" s="678"/>
      <c r="S33" s="678"/>
      <c r="T33" s="678"/>
      <c r="U33" s="678"/>
      <c r="V33" s="678"/>
      <c r="W33" s="678"/>
      <c r="X33" s="678"/>
      <c r="Y33" s="678"/>
      <c r="Z33" s="678"/>
      <c r="AA33" s="678"/>
      <c r="AB33" s="678"/>
      <c r="AC33" s="678"/>
      <c r="AD33" s="678"/>
      <c r="AE33" s="678"/>
      <c r="AF33" s="678"/>
      <c r="AG33" s="679">
        <f t="shared" ref="AG33:AG42" si="0">COUNT(B33:AF33)</f>
        <v>0</v>
      </c>
      <c r="AH33" s="686"/>
      <c r="AI33" s="701"/>
      <c r="AJ33" s="678"/>
      <c r="AK33" s="678"/>
      <c r="AL33" s="678"/>
      <c r="AM33" s="678"/>
      <c r="AN33" s="678"/>
      <c r="AO33" s="678"/>
      <c r="AP33" s="678"/>
      <c r="AQ33" s="678"/>
      <c r="AR33" s="678"/>
      <c r="AS33" s="678"/>
      <c r="AT33" s="678"/>
      <c r="AU33" s="678"/>
      <c r="AV33" s="678"/>
      <c r="AW33" s="678"/>
      <c r="AX33" s="678"/>
      <c r="AY33" s="678"/>
      <c r="AZ33" s="678"/>
      <c r="BA33" s="678"/>
      <c r="BB33" s="678"/>
      <c r="BC33" s="678"/>
      <c r="BD33" s="678"/>
      <c r="BE33" s="678"/>
      <c r="BF33" s="678"/>
      <c r="BG33" s="678"/>
      <c r="BH33" s="678"/>
      <c r="BI33" s="678"/>
      <c r="BJ33" s="678"/>
      <c r="BK33" s="678"/>
      <c r="BL33" s="678"/>
      <c r="BM33" s="678"/>
      <c r="BN33" s="679">
        <f t="shared" ref="BN33:BN42" si="1">COUNT(AI33:BM33)</f>
        <v>0</v>
      </c>
      <c r="BO33" s="686"/>
      <c r="BP33" s="701"/>
      <c r="BQ33" s="678"/>
      <c r="BR33" s="678"/>
      <c r="BS33" s="678"/>
      <c r="BT33" s="678"/>
      <c r="BU33" s="678"/>
      <c r="BV33" s="678"/>
      <c r="BW33" s="678"/>
      <c r="BX33" s="678"/>
      <c r="BY33" s="678"/>
      <c r="BZ33" s="678"/>
      <c r="CA33" s="678"/>
      <c r="CB33" s="678"/>
      <c r="CC33" s="678"/>
      <c r="CD33" s="678"/>
      <c r="CE33" s="678"/>
      <c r="CF33" s="678"/>
      <c r="CG33" s="678"/>
      <c r="CH33" s="678"/>
      <c r="CI33" s="678"/>
      <c r="CJ33" s="678"/>
      <c r="CK33" s="678"/>
      <c r="CL33" s="678"/>
      <c r="CM33" s="678"/>
      <c r="CN33" s="678"/>
      <c r="CO33" s="678"/>
      <c r="CP33" s="678"/>
      <c r="CQ33" s="678"/>
      <c r="CR33" s="678"/>
      <c r="CS33" s="678"/>
      <c r="CT33" s="678"/>
      <c r="CU33" s="679">
        <f t="shared" ref="CU33:CU42" si="2">COUNT(BP33:CT33)</f>
        <v>0</v>
      </c>
      <c r="CV33" s="686"/>
      <c r="DG33" s="621"/>
      <c r="DH33" s="621"/>
      <c r="DI33" s="621"/>
      <c r="DJ33" s="621"/>
      <c r="DK33" s="621"/>
      <c r="DL33" s="621"/>
      <c r="DM33" s="621"/>
      <c r="DN33" s="621"/>
      <c r="DO33" s="621"/>
      <c r="DP33" s="621"/>
      <c r="DQ33" s="621"/>
      <c r="DR33" s="621"/>
      <c r="DS33" s="621"/>
      <c r="DT33" s="621"/>
      <c r="DU33" s="621"/>
      <c r="DV33" s="621"/>
      <c r="DW33" s="621"/>
      <c r="DX33" s="621"/>
      <c r="DY33" s="621"/>
      <c r="DZ33" s="621"/>
      <c r="EA33" s="621"/>
      <c r="EB33" s="621"/>
      <c r="EC33" s="621"/>
      <c r="ED33" s="621"/>
      <c r="EE33" s="621"/>
      <c r="EF33" s="621"/>
      <c r="EG33" s="621"/>
      <c r="EH33" s="621"/>
      <c r="EI33" s="621"/>
      <c r="EJ33" s="621"/>
      <c r="EK33" s="621"/>
      <c r="EL33" s="621"/>
      <c r="EM33" s="621"/>
      <c r="EN33" s="621"/>
      <c r="EO33" s="621"/>
      <c r="EP33" s="621"/>
      <c r="EQ33" s="621"/>
      <c r="ER33" s="621"/>
      <c r="ES33" s="621"/>
      <c r="ET33" s="621"/>
      <c r="EU33" s="621"/>
      <c r="EV33" s="621"/>
      <c r="EW33" s="621"/>
      <c r="EX33" s="621"/>
      <c r="EY33" s="621"/>
      <c r="EZ33" s="621"/>
    </row>
    <row r="34" spans="1:156" ht="16.5" customHeight="1" thickBot="1">
      <c r="A34" s="631" t="s">
        <v>192</v>
      </c>
      <c r="B34" s="701"/>
      <c r="C34" s="678"/>
      <c r="D34" s="678"/>
      <c r="E34" s="678"/>
      <c r="F34" s="678"/>
      <c r="G34" s="678"/>
      <c r="H34" s="678"/>
      <c r="I34" s="678"/>
      <c r="J34" s="678"/>
      <c r="K34" s="678"/>
      <c r="L34" s="678"/>
      <c r="M34" s="678"/>
      <c r="N34" s="678"/>
      <c r="O34" s="678"/>
      <c r="P34" s="678"/>
      <c r="Q34" s="678"/>
      <c r="R34" s="678"/>
      <c r="S34" s="678"/>
      <c r="T34" s="678"/>
      <c r="U34" s="678"/>
      <c r="V34" s="678"/>
      <c r="W34" s="678"/>
      <c r="X34" s="678"/>
      <c r="Y34" s="678"/>
      <c r="Z34" s="678"/>
      <c r="AA34" s="678"/>
      <c r="AB34" s="678"/>
      <c r="AC34" s="678"/>
      <c r="AD34" s="678"/>
      <c r="AE34" s="678"/>
      <c r="AF34" s="678"/>
      <c r="AG34" s="679">
        <f t="shared" si="0"/>
        <v>0</v>
      </c>
      <c r="AH34" s="686"/>
      <c r="AI34" s="701"/>
      <c r="AJ34" s="678"/>
      <c r="AK34" s="678"/>
      <c r="AL34" s="678"/>
      <c r="AM34" s="678"/>
      <c r="AN34" s="678"/>
      <c r="AO34" s="678"/>
      <c r="AP34" s="678"/>
      <c r="AQ34" s="678"/>
      <c r="AR34" s="678"/>
      <c r="AS34" s="678"/>
      <c r="AT34" s="678"/>
      <c r="AU34" s="678"/>
      <c r="AV34" s="678"/>
      <c r="AW34" s="678"/>
      <c r="AX34" s="678"/>
      <c r="AY34" s="678"/>
      <c r="AZ34" s="678"/>
      <c r="BA34" s="678"/>
      <c r="BB34" s="678"/>
      <c r="BC34" s="678"/>
      <c r="BD34" s="678"/>
      <c r="BE34" s="678"/>
      <c r="BF34" s="678"/>
      <c r="BG34" s="678"/>
      <c r="BH34" s="678"/>
      <c r="BI34" s="678"/>
      <c r="BJ34" s="678"/>
      <c r="BK34" s="678"/>
      <c r="BL34" s="678"/>
      <c r="BM34" s="678"/>
      <c r="BN34" s="679">
        <f t="shared" si="1"/>
        <v>0</v>
      </c>
      <c r="BO34" s="686"/>
      <c r="BP34" s="701"/>
      <c r="BQ34" s="678"/>
      <c r="BR34" s="678"/>
      <c r="BS34" s="678"/>
      <c r="BT34" s="678"/>
      <c r="BU34" s="678"/>
      <c r="BV34" s="678"/>
      <c r="BW34" s="678"/>
      <c r="BX34" s="678"/>
      <c r="BY34" s="678"/>
      <c r="BZ34" s="678"/>
      <c r="CA34" s="678"/>
      <c r="CB34" s="678"/>
      <c r="CC34" s="678"/>
      <c r="CD34" s="678"/>
      <c r="CE34" s="678"/>
      <c r="CF34" s="678"/>
      <c r="CG34" s="678"/>
      <c r="CH34" s="678"/>
      <c r="CI34" s="678"/>
      <c r="CJ34" s="678"/>
      <c r="CK34" s="678"/>
      <c r="CL34" s="678"/>
      <c r="CM34" s="678"/>
      <c r="CN34" s="678"/>
      <c r="CO34" s="678"/>
      <c r="CP34" s="678"/>
      <c r="CQ34" s="678"/>
      <c r="CR34" s="678"/>
      <c r="CS34" s="678"/>
      <c r="CT34" s="678"/>
      <c r="CU34" s="679">
        <f t="shared" si="2"/>
        <v>0</v>
      </c>
      <c r="CV34" s="686"/>
      <c r="DG34" s="621"/>
      <c r="DH34" s="621"/>
      <c r="DI34" s="621"/>
      <c r="DJ34" s="621"/>
      <c r="DK34" s="621"/>
      <c r="DL34" s="621"/>
      <c r="DM34" s="621"/>
      <c r="DN34" s="621"/>
      <c r="DO34" s="621"/>
      <c r="DP34" s="621"/>
      <c r="DQ34" s="621"/>
      <c r="DR34" s="621"/>
      <c r="DS34" s="621"/>
      <c r="DT34" s="621"/>
      <c r="DU34" s="621"/>
      <c r="DV34" s="621"/>
      <c r="DW34" s="621"/>
      <c r="DX34" s="621"/>
      <c r="DY34" s="621"/>
      <c r="DZ34" s="621"/>
      <c r="EA34" s="621"/>
      <c r="EB34" s="621"/>
      <c r="EC34" s="621"/>
      <c r="ED34" s="621"/>
      <c r="EE34" s="621"/>
      <c r="EF34" s="621"/>
      <c r="EG34" s="621"/>
      <c r="EH34" s="621"/>
      <c r="EI34" s="621"/>
      <c r="EJ34" s="621"/>
      <c r="EK34" s="621"/>
      <c r="EL34" s="621"/>
      <c r="EM34" s="621"/>
      <c r="EN34" s="621"/>
      <c r="EO34" s="621"/>
      <c r="EP34" s="621"/>
      <c r="EQ34" s="621"/>
      <c r="ER34" s="621"/>
      <c r="ES34" s="621"/>
      <c r="ET34" s="621"/>
      <c r="EU34" s="621"/>
      <c r="EV34" s="621"/>
      <c r="EW34" s="621"/>
      <c r="EX34" s="621"/>
      <c r="EY34" s="621"/>
      <c r="EZ34" s="621"/>
    </row>
    <row r="35" spans="1:156" ht="16.5" customHeight="1">
      <c r="A35" s="629" t="s">
        <v>193</v>
      </c>
      <c r="B35" s="701"/>
      <c r="C35" s="692"/>
      <c r="D35" s="692"/>
      <c r="E35" s="692"/>
      <c r="F35" s="692"/>
      <c r="G35" s="692"/>
      <c r="H35" s="692"/>
      <c r="I35" s="692"/>
      <c r="J35" s="692"/>
      <c r="K35" s="678"/>
      <c r="L35" s="678"/>
      <c r="M35" s="678"/>
      <c r="N35" s="678"/>
      <c r="O35" s="678"/>
      <c r="P35" s="678"/>
      <c r="Q35" s="678"/>
      <c r="R35" s="678"/>
      <c r="S35" s="678"/>
      <c r="T35" s="678"/>
      <c r="U35" s="678"/>
      <c r="V35" s="678"/>
      <c r="W35" s="678"/>
      <c r="X35" s="678"/>
      <c r="Y35" s="678"/>
      <c r="Z35" s="678"/>
      <c r="AA35" s="678"/>
      <c r="AB35" s="678"/>
      <c r="AC35" s="678"/>
      <c r="AD35" s="678"/>
      <c r="AE35" s="678"/>
      <c r="AF35" s="678"/>
      <c r="AG35" s="680">
        <f t="shared" si="0"/>
        <v>0</v>
      </c>
      <c r="AH35" s="687"/>
      <c r="AI35" s="701"/>
      <c r="AJ35" s="692"/>
      <c r="AK35" s="692"/>
      <c r="AL35" s="692"/>
      <c r="AM35" s="692"/>
      <c r="AN35" s="692"/>
      <c r="AO35" s="692"/>
      <c r="AP35" s="692"/>
      <c r="AQ35" s="692"/>
      <c r="AR35" s="678"/>
      <c r="AS35" s="678"/>
      <c r="AT35" s="678"/>
      <c r="AU35" s="678"/>
      <c r="AV35" s="678"/>
      <c r="AW35" s="678"/>
      <c r="AX35" s="678"/>
      <c r="AY35" s="678"/>
      <c r="AZ35" s="678"/>
      <c r="BA35" s="678"/>
      <c r="BB35" s="678"/>
      <c r="BC35" s="678"/>
      <c r="BD35" s="678"/>
      <c r="BE35" s="678"/>
      <c r="BF35" s="678"/>
      <c r="BG35" s="678"/>
      <c r="BH35" s="678"/>
      <c r="BI35" s="678"/>
      <c r="BJ35" s="678"/>
      <c r="BK35" s="678"/>
      <c r="BL35" s="678"/>
      <c r="BM35" s="678"/>
      <c r="BN35" s="680">
        <f t="shared" si="1"/>
        <v>0</v>
      </c>
      <c r="BO35" s="687"/>
      <c r="BP35" s="701"/>
      <c r="BQ35" s="692"/>
      <c r="BR35" s="692"/>
      <c r="BS35" s="692"/>
      <c r="BT35" s="692"/>
      <c r="BU35" s="692"/>
      <c r="BV35" s="692"/>
      <c r="BW35" s="692"/>
      <c r="BX35" s="692"/>
      <c r="BY35" s="678"/>
      <c r="BZ35" s="678"/>
      <c r="CA35" s="678"/>
      <c r="CB35" s="678"/>
      <c r="CC35" s="678"/>
      <c r="CD35" s="678"/>
      <c r="CE35" s="678"/>
      <c r="CF35" s="678"/>
      <c r="CG35" s="678"/>
      <c r="CH35" s="678"/>
      <c r="CI35" s="678"/>
      <c r="CJ35" s="678"/>
      <c r="CK35" s="678"/>
      <c r="CL35" s="678"/>
      <c r="CM35" s="678"/>
      <c r="CN35" s="678"/>
      <c r="CO35" s="678"/>
      <c r="CP35" s="678"/>
      <c r="CQ35" s="678"/>
      <c r="CR35" s="678"/>
      <c r="CS35" s="678"/>
      <c r="CT35" s="678"/>
      <c r="CU35" s="680">
        <f t="shared" si="2"/>
        <v>0</v>
      </c>
      <c r="CV35" s="687"/>
      <c r="DG35" s="621"/>
      <c r="DH35" s="621"/>
      <c r="DI35" s="621"/>
      <c r="DJ35" s="621"/>
      <c r="DK35" s="621"/>
      <c r="DL35" s="621"/>
      <c r="DM35" s="621"/>
      <c r="DN35" s="621"/>
      <c r="DO35" s="621"/>
      <c r="DP35" s="621"/>
      <c r="DQ35" s="621"/>
      <c r="DR35" s="621"/>
      <c r="DS35" s="621"/>
      <c r="DT35" s="621"/>
      <c r="DU35" s="621"/>
      <c r="DV35" s="621"/>
      <c r="DW35" s="621"/>
      <c r="DX35" s="621"/>
      <c r="DY35" s="621"/>
      <c r="DZ35" s="621"/>
      <c r="EA35" s="621"/>
      <c r="EB35" s="621"/>
      <c r="EC35" s="621"/>
      <c r="ED35" s="621"/>
      <c r="EE35" s="621"/>
      <c r="EF35" s="621"/>
      <c r="EG35" s="621"/>
      <c r="EH35" s="621"/>
      <c r="EI35" s="621"/>
      <c r="EJ35" s="621"/>
      <c r="EK35" s="621"/>
      <c r="EL35" s="621"/>
      <c r="EM35" s="621"/>
      <c r="EN35" s="621"/>
      <c r="EO35" s="621"/>
      <c r="EP35" s="621"/>
      <c r="EQ35" s="621"/>
      <c r="ER35" s="621"/>
      <c r="ES35" s="621"/>
      <c r="ET35" s="621"/>
      <c r="EU35" s="621"/>
      <c r="EV35" s="621"/>
      <c r="EW35" s="621"/>
      <c r="EX35" s="621"/>
      <c r="EY35" s="621"/>
      <c r="EZ35" s="621"/>
    </row>
    <row r="36" spans="1:156" ht="16.5" customHeight="1">
      <c r="A36" s="630" t="s">
        <v>194</v>
      </c>
      <c r="B36" s="701"/>
      <c r="C36" s="678"/>
      <c r="D36" s="678"/>
      <c r="E36" s="678"/>
      <c r="F36" s="678"/>
      <c r="G36" s="678"/>
      <c r="H36" s="678"/>
      <c r="I36" s="678"/>
      <c r="J36" s="678"/>
      <c r="K36" s="678"/>
      <c r="L36" s="678"/>
      <c r="M36" s="678"/>
      <c r="N36" s="678"/>
      <c r="O36" s="678"/>
      <c r="P36" s="678"/>
      <c r="Q36" s="678"/>
      <c r="R36" s="678"/>
      <c r="S36" s="678"/>
      <c r="T36" s="678"/>
      <c r="U36" s="678"/>
      <c r="V36" s="678"/>
      <c r="W36" s="678"/>
      <c r="X36" s="678"/>
      <c r="Y36" s="678"/>
      <c r="Z36" s="678"/>
      <c r="AA36" s="678"/>
      <c r="AB36" s="678"/>
      <c r="AC36" s="678"/>
      <c r="AD36" s="678"/>
      <c r="AE36" s="678"/>
      <c r="AF36" s="678"/>
      <c r="AG36" s="679">
        <f t="shared" si="0"/>
        <v>0</v>
      </c>
      <c r="AH36" s="686"/>
      <c r="AI36" s="701"/>
      <c r="AJ36" s="678"/>
      <c r="AK36" s="678"/>
      <c r="AL36" s="678"/>
      <c r="AM36" s="678"/>
      <c r="AN36" s="678"/>
      <c r="AO36" s="678"/>
      <c r="AP36" s="678"/>
      <c r="AQ36" s="678"/>
      <c r="AR36" s="678"/>
      <c r="AS36" s="678"/>
      <c r="AT36" s="678"/>
      <c r="AU36" s="678"/>
      <c r="AV36" s="678"/>
      <c r="AW36" s="678"/>
      <c r="AX36" s="678"/>
      <c r="AY36" s="678"/>
      <c r="AZ36" s="678"/>
      <c r="BA36" s="678"/>
      <c r="BB36" s="678"/>
      <c r="BC36" s="678"/>
      <c r="BD36" s="678"/>
      <c r="BE36" s="678"/>
      <c r="BF36" s="678"/>
      <c r="BG36" s="678"/>
      <c r="BH36" s="678"/>
      <c r="BI36" s="678"/>
      <c r="BJ36" s="678"/>
      <c r="BK36" s="678"/>
      <c r="BL36" s="678"/>
      <c r="BM36" s="678"/>
      <c r="BN36" s="679">
        <f t="shared" si="1"/>
        <v>0</v>
      </c>
      <c r="BO36" s="686"/>
      <c r="BP36" s="701"/>
      <c r="BQ36" s="678"/>
      <c r="BR36" s="678"/>
      <c r="BS36" s="678"/>
      <c r="BT36" s="678"/>
      <c r="BU36" s="678"/>
      <c r="BV36" s="678"/>
      <c r="BW36" s="678"/>
      <c r="BX36" s="678"/>
      <c r="BY36" s="678"/>
      <c r="BZ36" s="678"/>
      <c r="CA36" s="678"/>
      <c r="CB36" s="678"/>
      <c r="CC36" s="678"/>
      <c r="CD36" s="678"/>
      <c r="CE36" s="678"/>
      <c r="CF36" s="678"/>
      <c r="CG36" s="678"/>
      <c r="CH36" s="678"/>
      <c r="CI36" s="678"/>
      <c r="CJ36" s="678"/>
      <c r="CK36" s="678"/>
      <c r="CL36" s="678"/>
      <c r="CM36" s="678"/>
      <c r="CN36" s="678"/>
      <c r="CO36" s="678"/>
      <c r="CP36" s="678"/>
      <c r="CQ36" s="678"/>
      <c r="CR36" s="678"/>
      <c r="CS36" s="678"/>
      <c r="CT36" s="678"/>
      <c r="CU36" s="679">
        <f t="shared" si="2"/>
        <v>0</v>
      </c>
      <c r="CV36" s="686"/>
      <c r="DG36" s="621"/>
      <c r="DH36" s="621"/>
      <c r="DI36" s="621"/>
      <c r="DJ36" s="621"/>
      <c r="DK36" s="621"/>
      <c r="DL36" s="621"/>
      <c r="DM36" s="621"/>
      <c r="DN36" s="621"/>
      <c r="DO36" s="621"/>
      <c r="DP36" s="621"/>
      <c r="DQ36" s="621"/>
      <c r="DR36" s="621"/>
      <c r="DS36" s="621"/>
      <c r="DT36" s="621"/>
      <c r="DU36" s="621"/>
      <c r="DV36" s="621"/>
      <c r="DW36" s="621"/>
      <c r="DX36" s="621"/>
      <c r="DY36" s="621"/>
      <c r="DZ36" s="621"/>
      <c r="EA36" s="621"/>
      <c r="EB36" s="621"/>
      <c r="EC36" s="621"/>
      <c r="ED36" s="621"/>
      <c r="EE36" s="621"/>
      <c r="EF36" s="621"/>
      <c r="EG36" s="621"/>
      <c r="EH36" s="621"/>
      <c r="EI36" s="621"/>
      <c r="EJ36" s="621"/>
      <c r="EK36" s="621"/>
      <c r="EL36" s="621"/>
      <c r="EM36" s="621"/>
      <c r="EN36" s="621"/>
      <c r="EO36" s="621"/>
      <c r="EP36" s="621"/>
      <c r="EQ36" s="621"/>
      <c r="ER36" s="621"/>
      <c r="ES36" s="621"/>
      <c r="ET36" s="621"/>
      <c r="EU36" s="621"/>
      <c r="EV36" s="621"/>
      <c r="EW36" s="621"/>
      <c r="EX36" s="621"/>
      <c r="EY36" s="621"/>
      <c r="EZ36" s="621"/>
    </row>
    <row r="37" spans="1:156" ht="16.5" customHeight="1">
      <c r="A37" s="630" t="s">
        <v>192</v>
      </c>
      <c r="B37" s="701"/>
      <c r="C37" s="678"/>
      <c r="D37" s="678"/>
      <c r="E37" s="678"/>
      <c r="F37" s="678"/>
      <c r="G37" s="678"/>
      <c r="H37" s="678"/>
      <c r="I37" s="678"/>
      <c r="J37" s="678"/>
      <c r="K37" s="678"/>
      <c r="L37" s="678"/>
      <c r="M37" s="678"/>
      <c r="N37" s="678"/>
      <c r="O37" s="678"/>
      <c r="P37" s="678"/>
      <c r="Q37" s="678"/>
      <c r="R37" s="678"/>
      <c r="S37" s="678"/>
      <c r="T37" s="678"/>
      <c r="U37" s="678"/>
      <c r="V37" s="678"/>
      <c r="W37" s="678"/>
      <c r="X37" s="678"/>
      <c r="Y37" s="678"/>
      <c r="Z37" s="678"/>
      <c r="AA37" s="678"/>
      <c r="AB37" s="678"/>
      <c r="AC37" s="678"/>
      <c r="AD37" s="678"/>
      <c r="AE37" s="678"/>
      <c r="AF37" s="678"/>
      <c r="AG37" s="679">
        <f t="shared" si="0"/>
        <v>0</v>
      </c>
      <c r="AH37" s="686"/>
      <c r="AI37" s="701"/>
      <c r="AJ37" s="678"/>
      <c r="AK37" s="678"/>
      <c r="AL37" s="678"/>
      <c r="AM37" s="678"/>
      <c r="AN37" s="678"/>
      <c r="AO37" s="678"/>
      <c r="AP37" s="678"/>
      <c r="AQ37" s="678"/>
      <c r="AR37" s="678"/>
      <c r="AS37" s="678"/>
      <c r="AT37" s="678"/>
      <c r="AU37" s="678"/>
      <c r="AV37" s="678"/>
      <c r="AW37" s="678"/>
      <c r="AX37" s="678"/>
      <c r="AY37" s="678"/>
      <c r="AZ37" s="678"/>
      <c r="BA37" s="678"/>
      <c r="BB37" s="678"/>
      <c r="BC37" s="678"/>
      <c r="BD37" s="678"/>
      <c r="BE37" s="678"/>
      <c r="BF37" s="678"/>
      <c r="BG37" s="678"/>
      <c r="BH37" s="678"/>
      <c r="BI37" s="678"/>
      <c r="BJ37" s="678"/>
      <c r="BK37" s="678"/>
      <c r="BL37" s="678"/>
      <c r="BM37" s="678"/>
      <c r="BN37" s="679">
        <f t="shared" si="1"/>
        <v>0</v>
      </c>
      <c r="BO37" s="686"/>
      <c r="BP37" s="701"/>
      <c r="BQ37" s="678"/>
      <c r="BR37" s="678"/>
      <c r="BS37" s="678"/>
      <c r="BT37" s="678"/>
      <c r="BU37" s="678"/>
      <c r="BV37" s="678"/>
      <c r="BW37" s="678"/>
      <c r="BX37" s="678"/>
      <c r="BY37" s="678"/>
      <c r="BZ37" s="678"/>
      <c r="CA37" s="678"/>
      <c r="CB37" s="678"/>
      <c r="CC37" s="678"/>
      <c r="CD37" s="678"/>
      <c r="CE37" s="678"/>
      <c r="CF37" s="678"/>
      <c r="CG37" s="678"/>
      <c r="CH37" s="678"/>
      <c r="CI37" s="678"/>
      <c r="CJ37" s="678"/>
      <c r="CK37" s="678"/>
      <c r="CL37" s="678"/>
      <c r="CM37" s="678"/>
      <c r="CN37" s="678"/>
      <c r="CO37" s="678"/>
      <c r="CP37" s="678"/>
      <c r="CQ37" s="678"/>
      <c r="CR37" s="678"/>
      <c r="CS37" s="678"/>
      <c r="CT37" s="678"/>
      <c r="CU37" s="679">
        <f t="shared" si="2"/>
        <v>0</v>
      </c>
      <c r="CV37" s="686"/>
      <c r="DG37" s="621"/>
      <c r="DH37" s="621"/>
      <c r="DI37" s="621"/>
      <c r="DJ37" s="621"/>
      <c r="DK37" s="621"/>
      <c r="DL37" s="621"/>
      <c r="DM37" s="621"/>
      <c r="DN37" s="621"/>
      <c r="DO37" s="621"/>
      <c r="DP37" s="621"/>
      <c r="DQ37" s="621"/>
      <c r="DR37" s="621"/>
      <c r="DS37" s="621"/>
      <c r="DT37" s="621"/>
      <c r="DU37" s="621"/>
      <c r="DV37" s="621"/>
      <c r="DW37" s="621"/>
      <c r="DX37" s="621"/>
      <c r="DY37" s="621"/>
      <c r="DZ37" s="621"/>
      <c r="EA37" s="621"/>
      <c r="EB37" s="621"/>
      <c r="EC37" s="621"/>
      <c r="ED37" s="621"/>
      <c r="EE37" s="621"/>
      <c r="EF37" s="621"/>
      <c r="EG37" s="621"/>
      <c r="EH37" s="621"/>
      <c r="EI37" s="621"/>
      <c r="EJ37" s="621"/>
      <c r="EK37" s="621"/>
      <c r="EL37" s="621"/>
      <c r="EM37" s="621"/>
      <c r="EN37" s="621"/>
      <c r="EO37" s="621"/>
      <c r="EP37" s="621"/>
      <c r="EQ37" s="621"/>
      <c r="ER37" s="621"/>
      <c r="ES37" s="621"/>
      <c r="ET37" s="621"/>
      <c r="EU37" s="621"/>
      <c r="EV37" s="621"/>
      <c r="EW37" s="621"/>
      <c r="EX37" s="621"/>
      <c r="EY37" s="621"/>
      <c r="EZ37" s="621"/>
    </row>
    <row r="38" spans="1:156" ht="16.5" customHeight="1" thickBot="1">
      <c r="A38" s="631" t="s">
        <v>192</v>
      </c>
      <c r="B38" s="701"/>
      <c r="C38" s="678"/>
      <c r="D38" s="678"/>
      <c r="E38" s="678"/>
      <c r="F38" s="678"/>
      <c r="G38" s="678"/>
      <c r="H38" s="678"/>
      <c r="I38" s="678"/>
      <c r="J38" s="678"/>
      <c r="K38" s="678"/>
      <c r="L38" s="678"/>
      <c r="M38" s="678"/>
      <c r="N38" s="678"/>
      <c r="O38" s="678"/>
      <c r="P38" s="678"/>
      <c r="Q38" s="678"/>
      <c r="R38" s="678"/>
      <c r="S38" s="678"/>
      <c r="T38" s="678"/>
      <c r="U38" s="678"/>
      <c r="V38" s="678"/>
      <c r="W38" s="678"/>
      <c r="X38" s="678"/>
      <c r="Y38" s="678"/>
      <c r="Z38" s="678"/>
      <c r="AA38" s="678"/>
      <c r="AB38" s="678"/>
      <c r="AC38" s="678"/>
      <c r="AD38" s="678"/>
      <c r="AE38" s="678"/>
      <c r="AF38" s="678"/>
      <c r="AG38" s="679">
        <f t="shared" si="0"/>
        <v>0</v>
      </c>
      <c r="AH38" s="686"/>
      <c r="AI38" s="701"/>
      <c r="AJ38" s="678"/>
      <c r="AK38" s="678"/>
      <c r="AL38" s="678"/>
      <c r="AM38" s="678"/>
      <c r="AN38" s="678"/>
      <c r="AO38" s="678"/>
      <c r="AP38" s="678"/>
      <c r="AQ38" s="678"/>
      <c r="AR38" s="678"/>
      <c r="AS38" s="678"/>
      <c r="AT38" s="678"/>
      <c r="AU38" s="678"/>
      <c r="AV38" s="678"/>
      <c r="AW38" s="678"/>
      <c r="AX38" s="678"/>
      <c r="AY38" s="678"/>
      <c r="AZ38" s="678"/>
      <c r="BA38" s="678"/>
      <c r="BB38" s="678"/>
      <c r="BC38" s="678"/>
      <c r="BD38" s="678"/>
      <c r="BE38" s="678"/>
      <c r="BF38" s="678"/>
      <c r="BG38" s="678"/>
      <c r="BH38" s="678"/>
      <c r="BI38" s="678"/>
      <c r="BJ38" s="678"/>
      <c r="BK38" s="678"/>
      <c r="BL38" s="678"/>
      <c r="BM38" s="678"/>
      <c r="BN38" s="679">
        <f t="shared" si="1"/>
        <v>0</v>
      </c>
      <c r="BO38" s="686"/>
      <c r="BP38" s="701"/>
      <c r="BQ38" s="678"/>
      <c r="BR38" s="678"/>
      <c r="BS38" s="678"/>
      <c r="BT38" s="678"/>
      <c r="BU38" s="678"/>
      <c r="BV38" s="678"/>
      <c r="BW38" s="678"/>
      <c r="BX38" s="678"/>
      <c r="BY38" s="678"/>
      <c r="BZ38" s="678"/>
      <c r="CA38" s="678"/>
      <c r="CB38" s="678"/>
      <c r="CC38" s="678"/>
      <c r="CD38" s="678"/>
      <c r="CE38" s="678"/>
      <c r="CF38" s="678"/>
      <c r="CG38" s="678"/>
      <c r="CH38" s="678"/>
      <c r="CI38" s="678"/>
      <c r="CJ38" s="678"/>
      <c r="CK38" s="678"/>
      <c r="CL38" s="678"/>
      <c r="CM38" s="678"/>
      <c r="CN38" s="678"/>
      <c r="CO38" s="678"/>
      <c r="CP38" s="678"/>
      <c r="CQ38" s="678"/>
      <c r="CR38" s="678"/>
      <c r="CS38" s="678"/>
      <c r="CT38" s="678"/>
      <c r="CU38" s="679">
        <f t="shared" si="2"/>
        <v>0</v>
      </c>
      <c r="CV38" s="686"/>
      <c r="DG38" s="621"/>
      <c r="DH38" s="621"/>
      <c r="DI38" s="621"/>
      <c r="DJ38" s="621"/>
      <c r="DK38" s="621"/>
      <c r="DL38" s="621"/>
      <c r="DM38" s="621"/>
      <c r="DN38" s="621"/>
      <c r="DO38" s="621"/>
      <c r="DP38" s="621"/>
      <c r="DQ38" s="621"/>
      <c r="DR38" s="621"/>
      <c r="DS38" s="621"/>
      <c r="DT38" s="621"/>
      <c r="DU38" s="621"/>
      <c r="DV38" s="621"/>
      <c r="DW38" s="621"/>
      <c r="DX38" s="621"/>
      <c r="DY38" s="621"/>
      <c r="DZ38" s="621"/>
      <c r="EA38" s="621"/>
      <c r="EB38" s="621"/>
      <c r="EC38" s="621"/>
      <c r="ED38" s="621"/>
      <c r="EE38" s="621"/>
      <c r="EF38" s="621"/>
      <c r="EG38" s="621"/>
      <c r="EH38" s="621"/>
      <c r="EI38" s="621"/>
      <c r="EJ38" s="621"/>
      <c r="EK38" s="621"/>
      <c r="EL38" s="621"/>
      <c r="EM38" s="621"/>
      <c r="EN38" s="621"/>
      <c r="EO38" s="621"/>
      <c r="EP38" s="621"/>
      <c r="EQ38" s="621"/>
      <c r="ER38" s="621"/>
      <c r="ES38" s="621"/>
      <c r="ET38" s="621"/>
      <c r="EU38" s="621"/>
      <c r="EV38" s="621"/>
      <c r="EW38" s="621"/>
      <c r="EX38" s="621"/>
      <c r="EY38" s="621"/>
      <c r="EZ38" s="621"/>
    </row>
    <row r="39" spans="1:156" ht="16.5" customHeight="1">
      <c r="A39" s="629" t="s">
        <v>195</v>
      </c>
      <c r="B39" s="701"/>
      <c r="C39" s="678"/>
      <c r="D39" s="678"/>
      <c r="E39" s="678"/>
      <c r="F39" s="678"/>
      <c r="G39" s="678"/>
      <c r="H39" s="678"/>
      <c r="I39" s="678"/>
      <c r="J39" s="678"/>
      <c r="K39" s="678"/>
      <c r="L39" s="678"/>
      <c r="M39" s="678"/>
      <c r="N39" s="678"/>
      <c r="O39" s="678"/>
      <c r="P39" s="678"/>
      <c r="Q39" s="692"/>
      <c r="R39" s="692"/>
      <c r="S39" s="692"/>
      <c r="T39" s="692"/>
      <c r="U39" s="692"/>
      <c r="V39" s="692"/>
      <c r="W39" s="692"/>
      <c r="X39" s="692"/>
      <c r="Y39" s="692"/>
      <c r="Z39" s="692"/>
      <c r="AA39" s="692"/>
      <c r="AB39" s="692"/>
      <c r="AC39" s="692"/>
      <c r="AD39" s="692"/>
      <c r="AE39" s="692"/>
      <c r="AF39" s="692"/>
      <c r="AG39" s="680">
        <f t="shared" si="0"/>
        <v>0</v>
      </c>
      <c r="AH39" s="687"/>
      <c r="AI39" s="701"/>
      <c r="AJ39" s="678"/>
      <c r="AK39" s="678"/>
      <c r="AL39" s="678"/>
      <c r="AM39" s="678"/>
      <c r="AN39" s="678"/>
      <c r="AO39" s="678"/>
      <c r="AP39" s="678"/>
      <c r="AQ39" s="678"/>
      <c r="AR39" s="678"/>
      <c r="AS39" s="678"/>
      <c r="AT39" s="678"/>
      <c r="AU39" s="678"/>
      <c r="AV39" s="678"/>
      <c r="AW39" s="678"/>
      <c r="AX39" s="692"/>
      <c r="AY39" s="692"/>
      <c r="AZ39" s="692"/>
      <c r="BA39" s="692"/>
      <c r="BB39" s="692"/>
      <c r="BC39" s="692"/>
      <c r="BD39" s="692"/>
      <c r="BE39" s="692"/>
      <c r="BF39" s="692"/>
      <c r="BG39" s="692"/>
      <c r="BH39" s="692"/>
      <c r="BI39" s="692"/>
      <c r="BJ39" s="692"/>
      <c r="BK39" s="692"/>
      <c r="BL39" s="692"/>
      <c r="BM39" s="692"/>
      <c r="BN39" s="680">
        <f t="shared" si="1"/>
        <v>0</v>
      </c>
      <c r="BO39" s="687"/>
      <c r="BP39" s="701"/>
      <c r="BQ39" s="678"/>
      <c r="BR39" s="678"/>
      <c r="BS39" s="678"/>
      <c r="BT39" s="678"/>
      <c r="BU39" s="678"/>
      <c r="BV39" s="678"/>
      <c r="BW39" s="678"/>
      <c r="BX39" s="678"/>
      <c r="BY39" s="678"/>
      <c r="BZ39" s="678"/>
      <c r="CA39" s="678"/>
      <c r="CB39" s="678"/>
      <c r="CC39" s="678"/>
      <c r="CD39" s="678"/>
      <c r="CE39" s="692"/>
      <c r="CF39" s="692"/>
      <c r="CG39" s="692"/>
      <c r="CH39" s="692"/>
      <c r="CI39" s="692"/>
      <c r="CJ39" s="692"/>
      <c r="CK39" s="692"/>
      <c r="CL39" s="692"/>
      <c r="CM39" s="692"/>
      <c r="CN39" s="692"/>
      <c r="CO39" s="692"/>
      <c r="CP39" s="692"/>
      <c r="CQ39" s="692"/>
      <c r="CR39" s="692"/>
      <c r="CS39" s="692"/>
      <c r="CT39" s="692"/>
      <c r="CU39" s="680">
        <f t="shared" si="2"/>
        <v>0</v>
      </c>
      <c r="CV39" s="687"/>
      <c r="DG39" s="621"/>
      <c r="DH39" s="621"/>
      <c r="DI39" s="621"/>
      <c r="DJ39" s="621"/>
      <c r="DK39" s="621"/>
      <c r="DL39" s="621"/>
      <c r="DM39" s="621"/>
      <c r="DN39" s="621"/>
      <c r="DO39" s="621"/>
      <c r="DP39" s="621"/>
      <c r="DQ39" s="621"/>
      <c r="DR39" s="621"/>
      <c r="DS39" s="621"/>
      <c r="DT39" s="621"/>
      <c r="DU39" s="621"/>
      <c r="DV39" s="621"/>
      <c r="DW39" s="621"/>
      <c r="DX39" s="621"/>
      <c r="DY39" s="621"/>
      <c r="DZ39" s="621"/>
      <c r="EA39" s="621"/>
      <c r="EB39" s="621"/>
      <c r="EC39" s="621"/>
      <c r="ED39" s="621"/>
      <c r="EE39" s="621"/>
      <c r="EF39" s="621"/>
      <c r="EG39" s="621"/>
      <c r="EH39" s="621"/>
      <c r="EI39" s="621"/>
      <c r="EJ39" s="621"/>
      <c r="EK39" s="621"/>
      <c r="EL39" s="621"/>
      <c r="EM39" s="621"/>
      <c r="EN39" s="621"/>
      <c r="EO39" s="621"/>
      <c r="EP39" s="621"/>
      <c r="EQ39" s="621"/>
      <c r="ER39" s="621"/>
      <c r="ES39" s="621"/>
      <c r="ET39" s="621"/>
      <c r="EU39" s="621"/>
      <c r="EV39" s="621"/>
      <c r="EW39" s="621"/>
      <c r="EX39" s="621"/>
      <c r="EY39" s="621"/>
      <c r="EZ39" s="621"/>
    </row>
    <row r="40" spans="1:156" ht="16.5" customHeight="1">
      <c r="A40" s="630" t="s">
        <v>196</v>
      </c>
      <c r="B40" s="701"/>
      <c r="C40" s="678"/>
      <c r="D40" s="678"/>
      <c r="E40" s="678"/>
      <c r="F40" s="678"/>
      <c r="G40" s="678"/>
      <c r="H40" s="678"/>
      <c r="I40" s="678"/>
      <c r="J40" s="678"/>
      <c r="K40" s="678"/>
      <c r="L40" s="678"/>
      <c r="M40" s="678"/>
      <c r="N40" s="678"/>
      <c r="O40" s="678"/>
      <c r="P40" s="678"/>
      <c r="Q40" s="678"/>
      <c r="R40" s="678"/>
      <c r="S40" s="678"/>
      <c r="T40" s="678"/>
      <c r="U40" s="678"/>
      <c r="V40" s="678"/>
      <c r="W40" s="678"/>
      <c r="X40" s="678"/>
      <c r="Y40" s="678"/>
      <c r="Z40" s="678"/>
      <c r="AA40" s="678"/>
      <c r="AB40" s="678"/>
      <c r="AC40" s="678"/>
      <c r="AD40" s="678"/>
      <c r="AE40" s="678"/>
      <c r="AF40" s="678"/>
      <c r="AG40" s="679">
        <f t="shared" si="0"/>
        <v>0</v>
      </c>
      <c r="AH40" s="686"/>
      <c r="AI40" s="701"/>
      <c r="AJ40" s="678"/>
      <c r="AK40" s="678"/>
      <c r="AL40" s="678"/>
      <c r="AM40" s="678"/>
      <c r="AN40" s="678"/>
      <c r="AO40" s="678"/>
      <c r="AP40" s="678"/>
      <c r="AQ40" s="678"/>
      <c r="AR40" s="678"/>
      <c r="AS40" s="678"/>
      <c r="AT40" s="678"/>
      <c r="AU40" s="678"/>
      <c r="AV40" s="678"/>
      <c r="AW40" s="678"/>
      <c r="AX40" s="678"/>
      <c r="AY40" s="678"/>
      <c r="AZ40" s="678"/>
      <c r="BA40" s="678"/>
      <c r="BB40" s="678"/>
      <c r="BC40" s="678"/>
      <c r="BD40" s="678"/>
      <c r="BE40" s="678"/>
      <c r="BF40" s="678"/>
      <c r="BG40" s="678"/>
      <c r="BH40" s="678"/>
      <c r="BI40" s="678"/>
      <c r="BJ40" s="678"/>
      <c r="BK40" s="678"/>
      <c r="BL40" s="678"/>
      <c r="BM40" s="678"/>
      <c r="BN40" s="679">
        <f t="shared" si="1"/>
        <v>0</v>
      </c>
      <c r="BO40" s="686"/>
      <c r="BP40" s="701"/>
      <c r="BQ40" s="678"/>
      <c r="BR40" s="678"/>
      <c r="BS40" s="678"/>
      <c r="BT40" s="678"/>
      <c r="BU40" s="678"/>
      <c r="BV40" s="678"/>
      <c r="BW40" s="678"/>
      <c r="BX40" s="678"/>
      <c r="BY40" s="678"/>
      <c r="BZ40" s="678"/>
      <c r="CA40" s="678"/>
      <c r="CB40" s="678"/>
      <c r="CC40" s="678"/>
      <c r="CD40" s="678"/>
      <c r="CE40" s="678"/>
      <c r="CF40" s="678"/>
      <c r="CG40" s="678"/>
      <c r="CH40" s="678"/>
      <c r="CI40" s="678"/>
      <c r="CJ40" s="678"/>
      <c r="CK40" s="678"/>
      <c r="CL40" s="678"/>
      <c r="CM40" s="678"/>
      <c r="CN40" s="678"/>
      <c r="CO40" s="678"/>
      <c r="CP40" s="678"/>
      <c r="CQ40" s="678"/>
      <c r="CR40" s="678"/>
      <c r="CS40" s="678"/>
      <c r="CT40" s="678"/>
      <c r="CU40" s="679">
        <f t="shared" si="2"/>
        <v>0</v>
      </c>
      <c r="CV40" s="686"/>
      <c r="DG40" s="621"/>
      <c r="DH40" s="621"/>
      <c r="DI40" s="621"/>
      <c r="DJ40" s="621"/>
      <c r="DK40" s="621"/>
      <c r="DL40" s="621"/>
      <c r="DM40" s="621"/>
      <c r="DN40" s="621"/>
      <c r="DO40" s="621"/>
      <c r="DP40" s="621"/>
      <c r="DQ40" s="621"/>
      <c r="DR40" s="621"/>
      <c r="DS40" s="621"/>
      <c r="DT40" s="621"/>
      <c r="DU40" s="621"/>
      <c r="DV40" s="621"/>
      <c r="DW40" s="621"/>
      <c r="DX40" s="621"/>
      <c r="DY40" s="621"/>
      <c r="DZ40" s="621"/>
      <c r="EA40" s="621"/>
      <c r="EB40" s="621"/>
      <c r="EC40" s="621"/>
      <c r="ED40" s="621"/>
      <c r="EE40" s="621"/>
      <c r="EF40" s="621"/>
      <c r="EG40" s="621"/>
      <c r="EH40" s="621"/>
      <c r="EI40" s="621"/>
      <c r="EJ40" s="621"/>
      <c r="EK40" s="621"/>
      <c r="EL40" s="621"/>
      <c r="EM40" s="621"/>
      <c r="EN40" s="621"/>
      <c r="EO40" s="621"/>
      <c r="EP40" s="621"/>
      <c r="EQ40" s="621"/>
      <c r="ER40" s="621"/>
      <c r="ES40" s="621"/>
      <c r="ET40" s="621"/>
      <c r="EU40" s="621"/>
      <c r="EV40" s="621"/>
      <c r="EW40" s="621"/>
      <c r="EX40" s="621"/>
      <c r="EY40" s="621"/>
      <c r="EZ40" s="621"/>
    </row>
    <row r="41" spans="1:156" ht="16.5" customHeight="1">
      <c r="A41" s="630" t="s">
        <v>192</v>
      </c>
      <c r="B41" s="701"/>
      <c r="C41" s="678"/>
      <c r="D41" s="678"/>
      <c r="E41" s="678"/>
      <c r="F41" s="678"/>
      <c r="G41" s="678"/>
      <c r="H41" s="678"/>
      <c r="I41" s="678"/>
      <c r="J41" s="678"/>
      <c r="K41" s="678"/>
      <c r="L41" s="678"/>
      <c r="M41" s="678"/>
      <c r="N41" s="678"/>
      <c r="O41" s="678"/>
      <c r="P41" s="678"/>
      <c r="Q41" s="678"/>
      <c r="R41" s="678"/>
      <c r="S41" s="678"/>
      <c r="T41" s="678"/>
      <c r="U41" s="678"/>
      <c r="V41" s="678"/>
      <c r="W41" s="678"/>
      <c r="X41" s="678"/>
      <c r="Y41" s="678"/>
      <c r="Z41" s="678"/>
      <c r="AA41" s="678"/>
      <c r="AB41" s="678"/>
      <c r="AC41" s="678"/>
      <c r="AD41" s="678"/>
      <c r="AE41" s="678"/>
      <c r="AF41" s="678"/>
      <c r="AG41" s="679">
        <f t="shared" si="0"/>
        <v>0</v>
      </c>
      <c r="AH41" s="686"/>
      <c r="AI41" s="701"/>
      <c r="AJ41" s="678"/>
      <c r="AK41" s="678"/>
      <c r="AL41" s="678"/>
      <c r="AM41" s="678"/>
      <c r="AN41" s="678"/>
      <c r="AO41" s="678"/>
      <c r="AP41" s="678"/>
      <c r="AQ41" s="678"/>
      <c r="AR41" s="678"/>
      <c r="AS41" s="678"/>
      <c r="AT41" s="678"/>
      <c r="AU41" s="678"/>
      <c r="AV41" s="678"/>
      <c r="AW41" s="678"/>
      <c r="AX41" s="678"/>
      <c r="AY41" s="678"/>
      <c r="AZ41" s="678"/>
      <c r="BA41" s="678"/>
      <c r="BB41" s="678"/>
      <c r="BC41" s="678"/>
      <c r="BD41" s="678"/>
      <c r="BE41" s="678"/>
      <c r="BF41" s="678"/>
      <c r="BG41" s="678"/>
      <c r="BH41" s="678"/>
      <c r="BI41" s="678"/>
      <c r="BJ41" s="678"/>
      <c r="BK41" s="678"/>
      <c r="BL41" s="678"/>
      <c r="BM41" s="678"/>
      <c r="BN41" s="679">
        <f t="shared" si="1"/>
        <v>0</v>
      </c>
      <c r="BO41" s="686"/>
      <c r="BP41" s="701"/>
      <c r="BQ41" s="678"/>
      <c r="BR41" s="678"/>
      <c r="BS41" s="678"/>
      <c r="BT41" s="678"/>
      <c r="BU41" s="678"/>
      <c r="BV41" s="678"/>
      <c r="BW41" s="678"/>
      <c r="BX41" s="678"/>
      <c r="BY41" s="678"/>
      <c r="BZ41" s="678"/>
      <c r="CA41" s="678"/>
      <c r="CB41" s="678"/>
      <c r="CC41" s="678"/>
      <c r="CD41" s="678"/>
      <c r="CE41" s="678"/>
      <c r="CF41" s="678"/>
      <c r="CG41" s="678"/>
      <c r="CH41" s="678"/>
      <c r="CI41" s="678"/>
      <c r="CJ41" s="678"/>
      <c r="CK41" s="678"/>
      <c r="CL41" s="678"/>
      <c r="CM41" s="678"/>
      <c r="CN41" s="678"/>
      <c r="CO41" s="678"/>
      <c r="CP41" s="678"/>
      <c r="CQ41" s="678"/>
      <c r="CR41" s="678"/>
      <c r="CS41" s="678"/>
      <c r="CT41" s="678"/>
      <c r="CU41" s="679">
        <f t="shared" si="2"/>
        <v>0</v>
      </c>
      <c r="CV41" s="686"/>
      <c r="DG41" s="621"/>
      <c r="DH41" s="621"/>
      <c r="DI41" s="621"/>
      <c r="DJ41" s="621"/>
      <c r="DK41" s="621"/>
      <c r="DL41" s="621"/>
      <c r="DM41" s="621"/>
      <c r="DN41" s="621"/>
      <c r="DO41" s="621"/>
      <c r="DP41" s="621"/>
      <c r="DQ41" s="621"/>
      <c r="DR41" s="621"/>
      <c r="DS41" s="621"/>
      <c r="DT41" s="621"/>
      <c r="DU41" s="621"/>
      <c r="DV41" s="621"/>
      <c r="DW41" s="621"/>
      <c r="DX41" s="621"/>
      <c r="DY41" s="621"/>
      <c r="DZ41" s="621"/>
      <c r="EA41" s="621"/>
      <c r="EB41" s="621"/>
      <c r="EC41" s="621"/>
      <c r="ED41" s="621"/>
      <c r="EE41" s="621"/>
      <c r="EF41" s="621"/>
      <c r="EG41" s="621"/>
      <c r="EH41" s="621"/>
      <c r="EI41" s="621"/>
      <c r="EJ41" s="621"/>
      <c r="EK41" s="621"/>
      <c r="EL41" s="621"/>
      <c r="EM41" s="621"/>
      <c r="EN41" s="621"/>
      <c r="EO41" s="621"/>
      <c r="EP41" s="621"/>
      <c r="EQ41" s="621"/>
      <c r="ER41" s="621"/>
      <c r="ES41" s="621"/>
      <c r="ET41" s="621"/>
      <c r="EU41" s="621"/>
      <c r="EV41" s="621"/>
      <c r="EW41" s="621"/>
      <c r="EX41" s="621"/>
      <c r="EY41" s="621"/>
      <c r="EZ41" s="621"/>
    </row>
    <row r="42" spans="1:156" ht="16.5" customHeight="1" thickBot="1">
      <c r="A42" s="631" t="s">
        <v>192</v>
      </c>
      <c r="B42" s="701"/>
      <c r="C42" s="678"/>
      <c r="D42" s="678"/>
      <c r="E42" s="678"/>
      <c r="F42" s="678"/>
      <c r="G42" s="678"/>
      <c r="H42" s="678"/>
      <c r="I42" s="678"/>
      <c r="J42" s="678"/>
      <c r="K42" s="678"/>
      <c r="L42" s="678"/>
      <c r="M42" s="678"/>
      <c r="N42" s="678"/>
      <c r="O42" s="678"/>
      <c r="P42" s="678"/>
      <c r="Q42" s="678"/>
      <c r="R42" s="678"/>
      <c r="S42" s="678"/>
      <c r="T42" s="678"/>
      <c r="U42" s="678"/>
      <c r="V42" s="678"/>
      <c r="W42" s="678"/>
      <c r="X42" s="678"/>
      <c r="Y42" s="678"/>
      <c r="Z42" s="678"/>
      <c r="AA42" s="678"/>
      <c r="AB42" s="678"/>
      <c r="AC42" s="678"/>
      <c r="AD42" s="678"/>
      <c r="AE42" s="678"/>
      <c r="AF42" s="678"/>
      <c r="AG42" s="680">
        <f t="shared" si="0"/>
        <v>0</v>
      </c>
      <c r="AH42" s="687"/>
      <c r="AI42" s="701"/>
      <c r="AJ42" s="678"/>
      <c r="AK42" s="678"/>
      <c r="AL42" s="678"/>
      <c r="AM42" s="678"/>
      <c r="AN42" s="678"/>
      <c r="AO42" s="678"/>
      <c r="AP42" s="678"/>
      <c r="AQ42" s="678"/>
      <c r="AR42" s="678"/>
      <c r="AS42" s="678"/>
      <c r="AT42" s="678"/>
      <c r="AU42" s="678"/>
      <c r="AV42" s="678"/>
      <c r="AW42" s="678"/>
      <c r="AX42" s="678"/>
      <c r="AY42" s="678"/>
      <c r="AZ42" s="678"/>
      <c r="BA42" s="678"/>
      <c r="BB42" s="678"/>
      <c r="BC42" s="678"/>
      <c r="BD42" s="678"/>
      <c r="BE42" s="678"/>
      <c r="BF42" s="678"/>
      <c r="BG42" s="678"/>
      <c r="BH42" s="678"/>
      <c r="BI42" s="678"/>
      <c r="BJ42" s="678"/>
      <c r="BK42" s="678"/>
      <c r="BL42" s="678"/>
      <c r="BM42" s="678"/>
      <c r="BN42" s="680">
        <f t="shared" si="1"/>
        <v>0</v>
      </c>
      <c r="BO42" s="687"/>
      <c r="BP42" s="701"/>
      <c r="BQ42" s="678"/>
      <c r="BR42" s="678"/>
      <c r="BS42" s="678"/>
      <c r="BT42" s="678"/>
      <c r="BU42" s="678"/>
      <c r="BV42" s="678"/>
      <c r="BW42" s="678"/>
      <c r="BX42" s="678"/>
      <c r="BY42" s="678"/>
      <c r="BZ42" s="678"/>
      <c r="CA42" s="678"/>
      <c r="CB42" s="678"/>
      <c r="CC42" s="678"/>
      <c r="CD42" s="678"/>
      <c r="CE42" s="678"/>
      <c r="CF42" s="678"/>
      <c r="CG42" s="678"/>
      <c r="CH42" s="678"/>
      <c r="CI42" s="678"/>
      <c r="CJ42" s="678"/>
      <c r="CK42" s="678"/>
      <c r="CL42" s="678"/>
      <c r="CM42" s="678"/>
      <c r="CN42" s="678"/>
      <c r="CO42" s="678"/>
      <c r="CP42" s="678"/>
      <c r="CQ42" s="678"/>
      <c r="CR42" s="678"/>
      <c r="CS42" s="678"/>
      <c r="CT42" s="678"/>
      <c r="CU42" s="680">
        <f t="shared" si="2"/>
        <v>0</v>
      </c>
      <c r="CV42" s="687"/>
      <c r="DG42" s="621"/>
      <c r="DH42" s="621"/>
      <c r="DI42" s="621"/>
      <c r="DJ42" s="621"/>
      <c r="DK42" s="621"/>
      <c r="DL42" s="621"/>
      <c r="DM42" s="621"/>
      <c r="DN42" s="621"/>
      <c r="DO42" s="621"/>
      <c r="DP42" s="621"/>
      <c r="DQ42" s="621"/>
      <c r="DR42" s="621"/>
      <c r="DS42" s="621"/>
      <c r="DT42" s="621"/>
      <c r="DU42" s="621"/>
      <c r="DV42" s="621"/>
      <c r="DW42" s="621"/>
      <c r="DX42" s="621"/>
      <c r="DY42" s="621"/>
      <c r="DZ42" s="621"/>
      <c r="EA42" s="621"/>
      <c r="EB42" s="621"/>
      <c r="EC42" s="621"/>
      <c r="ED42" s="621"/>
      <c r="EE42" s="621"/>
      <c r="EF42" s="621"/>
      <c r="EG42" s="621"/>
      <c r="EH42" s="621"/>
      <c r="EI42" s="621"/>
      <c r="EJ42" s="621"/>
      <c r="EK42" s="621"/>
      <c r="EL42" s="621"/>
      <c r="EM42" s="621"/>
      <c r="EN42" s="621"/>
      <c r="EO42" s="621"/>
      <c r="EP42" s="621"/>
      <c r="EQ42" s="621"/>
      <c r="ER42" s="621"/>
      <c r="ES42" s="621"/>
      <c r="ET42" s="621"/>
      <c r="EU42" s="621"/>
      <c r="EV42" s="621"/>
      <c r="EW42" s="621"/>
      <c r="EX42" s="621"/>
      <c r="EY42" s="621"/>
      <c r="EZ42" s="621"/>
    </row>
    <row r="43" spans="1:156">
      <c r="A43" s="1024" t="s">
        <v>197</v>
      </c>
      <c r="B43" s="702"/>
      <c r="C43" s="703"/>
      <c r="D43" s="703"/>
      <c r="E43" s="703"/>
      <c r="F43" s="703"/>
      <c r="G43" s="703"/>
      <c r="H43" s="703"/>
      <c r="I43" s="703"/>
      <c r="J43" s="703"/>
      <c r="K43" s="703"/>
      <c r="L43" s="703"/>
      <c r="M43" s="703"/>
      <c r="N43" s="703"/>
      <c r="O43" s="703"/>
      <c r="P43" s="703"/>
      <c r="Q43" s="703"/>
      <c r="R43" s="703"/>
      <c r="S43" s="703"/>
      <c r="T43" s="703"/>
      <c r="U43" s="703"/>
      <c r="V43" s="703"/>
      <c r="W43" s="703"/>
      <c r="X43" s="703"/>
      <c r="Y43" s="703"/>
      <c r="Z43" s="703"/>
      <c r="AA43" s="703"/>
      <c r="AB43" s="703"/>
      <c r="AC43" s="703"/>
      <c r="AD43" s="703"/>
      <c r="AE43" s="703"/>
      <c r="AF43" s="708"/>
      <c r="AG43" s="683">
        <f t="shared" ref="AG43:AG50" si="3">SUM(B43:AF43)*$X$25</f>
        <v>0</v>
      </c>
      <c r="AH43" s="689"/>
      <c r="AI43" s="702"/>
      <c r="AJ43" s="703"/>
      <c r="AK43" s="703"/>
      <c r="AL43" s="703"/>
      <c r="AM43" s="703"/>
      <c r="AN43" s="703"/>
      <c r="AO43" s="703"/>
      <c r="AP43" s="703"/>
      <c r="AQ43" s="703"/>
      <c r="AR43" s="703"/>
      <c r="AS43" s="703"/>
      <c r="AT43" s="703"/>
      <c r="AU43" s="703"/>
      <c r="AV43" s="703"/>
      <c r="AW43" s="703"/>
      <c r="AX43" s="703"/>
      <c r="AY43" s="703"/>
      <c r="AZ43" s="703"/>
      <c r="BA43" s="703"/>
      <c r="BB43" s="703"/>
      <c r="BC43" s="703"/>
      <c r="BD43" s="703"/>
      <c r="BE43" s="703"/>
      <c r="BF43" s="703"/>
      <c r="BG43" s="703"/>
      <c r="BH43" s="703"/>
      <c r="BI43" s="703"/>
      <c r="BJ43" s="703"/>
      <c r="BK43" s="703"/>
      <c r="BL43" s="703"/>
      <c r="BM43" s="708"/>
      <c r="BN43" s="683">
        <f t="shared" ref="BN43:BN50" si="4">SUM(AI43:BM43)*$X$25</f>
        <v>0</v>
      </c>
      <c r="BO43" s="689"/>
      <c r="BP43" s="702"/>
      <c r="BQ43" s="703"/>
      <c r="BR43" s="703"/>
      <c r="BS43" s="703"/>
      <c r="BT43" s="703"/>
      <c r="BU43" s="703"/>
      <c r="BV43" s="703"/>
      <c r="BW43" s="703"/>
      <c r="BX43" s="703"/>
      <c r="BY43" s="703"/>
      <c r="BZ43" s="703"/>
      <c r="CA43" s="703"/>
      <c r="CB43" s="703"/>
      <c r="CC43" s="703"/>
      <c r="CD43" s="703"/>
      <c r="CE43" s="703"/>
      <c r="CF43" s="703"/>
      <c r="CG43" s="703"/>
      <c r="CH43" s="703"/>
      <c r="CI43" s="703"/>
      <c r="CJ43" s="703"/>
      <c r="CK43" s="703"/>
      <c r="CL43" s="703"/>
      <c r="CM43" s="703"/>
      <c r="CN43" s="703"/>
      <c r="CO43" s="703"/>
      <c r="CP43" s="703"/>
      <c r="CQ43" s="703"/>
      <c r="CR43" s="703"/>
      <c r="CS43" s="703"/>
      <c r="CT43" s="708"/>
      <c r="CU43" s="683">
        <f t="shared" ref="CU43:CU50" si="5">SUM(BP43:CT43)*$X$25</f>
        <v>0</v>
      </c>
      <c r="CV43" s="689"/>
      <c r="DG43" s="621"/>
      <c r="DH43" s="621"/>
      <c r="DI43" s="621"/>
      <c r="DJ43" s="621"/>
      <c r="DK43" s="621"/>
      <c r="DL43" s="621"/>
      <c r="DM43" s="621"/>
      <c r="DN43" s="621"/>
      <c r="DO43" s="621"/>
      <c r="DP43" s="621"/>
      <c r="DQ43" s="621"/>
      <c r="DR43" s="621"/>
      <c r="DS43" s="621"/>
      <c r="DT43" s="621"/>
      <c r="DU43" s="621"/>
      <c r="DV43" s="621"/>
      <c r="DW43" s="621"/>
      <c r="DX43" s="621"/>
      <c r="DY43" s="621"/>
      <c r="DZ43" s="621"/>
      <c r="EA43" s="621"/>
      <c r="EB43" s="621"/>
      <c r="EC43" s="621"/>
      <c r="ED43" s="621"/>
      <c r="EE43" s="621"/>
      <c r="EF43" s="621"/>
      <c r="EG43" s="621"/>
      <c r="EH43" s="621"/>
      <c r="EI43" s="621"/>
      <c r="EJ43" s="621"/>
      <c r="EK43" s="621"/>
      <c r="EL43" s="621"/>
      <c r="EM43" s="621"/>
      <c r="EN43" s="621"/>
      <c r="EO43" s="621"/>
      <c r="EP43" s="621"/>
      <c r="EQ43" s="621"/>
      <c r="ER43" s="621"/>
      <c r="ES43" s="621"/>
      <c r="ET43" s="621"/>
      <c r="EU43" s="621"/>
      <c r="EV43" s="621"/>
      <c r="EW43" s="621"/>
      <c r="EX43" s="621"/>
      <c r="EY43" s="621"/>
      <c r="EZ43" s="621"/>
    </row>
    <row r="44" spans="1:156">
      <c r="A44" s="1025"/>
      <c r="B44" s="701"/>
      <c r="C44" s="678"/>
      <c r="D44" s="678"/>
      <c r="E44" s="678"/>
      <c r="F44" s="678"/>
      <c r="G44" s="678"/>
      <c r="H44" s="678"/>
      <c r="I44" s="678"/>
      <c r="J44" s="678"/>
      <c r="L44" s="678"/>
      <c r="M44" s="678"/>
      <c r="N44" s="678"/>
      <c r="O44" s="678"/>
      <c r="P44" s="678"/>
      <c r="Q44" s="678"/>
      <c r="R44" s="678">
        <v>1</v>
      </c>
      <c r="S44" s="678"/>
      <c r="T44" s="678"/>
      <c r="U44" s="678"/>
      <c r="V44" s="678"/>
      <c r="W44" s="678"/>
      <c r="X44" s="678"/>
      <c r="Y44" s="678"/>
      <c r="Z44" s="678"/>
      <c r="AA44" s="678"/>
      <c r="AB44" s="678"/>
      <c r="AC44" s="678"/>
      <c r="AD44" s="678"/>
      <c r="AE44" s="678"/>
      <c r="AF44" s="709"/>
      <c r="AG44" s="683">
        <f t="shared" si="3"/>
        <v>1</v>
      </c>
      <c r="AH44" s="689"/>
      <c r="AI44" s="701"/>
      <c r="AJ44" s="678"/>
      <c r="AK44" s="678"/>
      <c r="AL44" s="678"/>
      <c r="AM44" s="678"/>
      <c r="AN44" s="678"/>
      <c r="AO44" s="678"/>
      <c r="AP44" s="678"/>
      <c r="AQ44" s="678"/>
      <c r="AR44" s="678"/>
      <c r="AS44" s="678"/>
      <c r="AT44" s="678"/>
      <c r="AU44" s="678"/>
      <c r="AV44" s="678"/>
      <c r="AW44" s="678"/>
      <c r="AX44" s="678"/>
      <c r="AY44" s="678"/>
      <c r="AZ44" s="678"/>
      <c r="BA44" s="678"/>
      <c r="BB44" s="678"/>
      <c r="BC44" s="678"/>
      <c r="BD44" s="678"/>
      <c r="BE44" s="678"/>
      <c r="BF44" s="678"/>
      <c r="BG44" s="678"/>
      <c r="BH44" s="678"/>
      <c r="BI44" s="678"/>
      <c r="BJ44" s="678"/>
      <c r="BK44" s="678"/>
      <c r="BL44" s="678"/>
      <c r="BM44" s="709"/>
      <c r="BN44" s="683">
        <f t="shared" si="4"/>
        <v>0</v>
      </c>
      <c r="BO44" s="689"/>
      <c r="BP44" s="701"/>
      <c r="BQ44" s="678"/>
      <c r="BR44" s="678"/>
      <c r="BS44" s="678"/>
      <c r="BT44" s="678"/>
      <c r="BU44" s="678"/>
      <c r="BV44" s="678"/>
      <c r="BW44" s="678"/>
      <c r="BX44" s="678"/>
      <c r="BY44" s="678"/>
      <c r="BZ44" s="678"/>
      <c r="CA44" s="678"/>
      <c r="CB44" s="678"/>
      <c r="CC44" s="678"/>
      <c r="CD44" s="678"/>
      <c r="CE44" s="678"/>
      <c r="CF44" s="678"/>
      <c r="CG44" s="678"/>
      <c r="CH44" s="678"/>
      <c r="CI44" s="678"/>
      <c r="CJ44" s="678"/>
      <c r="CK44" s="678"/>
      <c r="CL44" s="678"/>
      <c r="CM44" s="678"/>
      <c r="CN44" s="678"/>
      <c r="CO44" s="678"/>
      <c r="CP44" s="678"/>
      <c r="CQ44" s="678"/>
      <c r="CR44" s="678"/>
      <c r="CS44" s="678"/>
      <c r="CT44" s="709"/>
      <c r="CU44" s="683">
        <f t="shared" si="5"/>
        <v>0</v>
      </c>
      <c r="CV44" s="689"/>
      <c r="DG44" s="621"/>
      <c r="DH44" s="621"/>
      <c r="DI44" s="621"/>
      <c r="DJ44" s="621"/>
      <c r="DK44" s="621"/>
      <c r="DL44" s="621"/>
      <c r="DM44" s="621"/>
      <c r="DN44" s="621"/>
      <c r="DO44" s="621"/>
      <c r="DP44" s="621"/>
      <c r="DQ44" s="621"/>
      <c r="DR44" s="621"/>
      <c r="DS44" s="621"/>
      <c r="DT44" s="621"/>
      <c r="DU44" s="621"/>
      <c r="DV44" s="621"/>
      <c r="DW44" s="621"/>
      <c r="DX44" s="621"/>
      <c r="DY44" s="621"/>
      <c r="DZ44" s="621"/>
      <c r="EA44" s="621"/>
      <c r="EB44" s="621"/>
      <c r="EC44" s="621"/>
      <c r="ED44" s="621"/>
      <c r="EE44" s="621"/>
      <c r="EF44" s="621"/>
      <c r="EG44" s="621"/>
      <c r="EH44" s="621"/>
      <c r="EI44" s="621"/>
      <c r="EJ44" s="621"/>
      <c r="EK44" s="621"/>
      <c r="EL44" s="621"/>
      <c r="EM44" s="621"/>
      <c r="EN44" s="621"/>
      <c r="EO44" s="621"/>
      <c r="EP44" s="621"/>
      <c r="EQ44" s="621"/>
      <c r="ER44" s="621"/>
      <c r="ES44" s="621"/>
      <c r="ET44" s="621"/>
      <c r="EU44" s="621"/>
      <c r="EV44" s="621"/>
      <c r="EW44" s="621"/>
      <c r="EX44" s="621"/>
      <c r="EY44" s="621"/>
      <c r="EZ44" s="621"/>
    </row>
    <row r="45" spans="1:156">
      <c r="A45" s="1025"/>
      <c r="B45" s="701"/>
      <c r="C45" s="678"/>
      <c r="D45" s="678"/>
      <c r="E45" s="678"/>
      <c r="F45" s="678"/>
      <c r="G45" s="678"/>
      <c r="H45" s="678"/>
      <c r="I45" s="678"/>
      <c r="J45" s="678"/>
      <c r="K45" s="678"/>
      <c r="L45" s="678"/>
      <c r="M45" s="678"/>
      <c r="N45" s="678"/>
      <c r="O45" s="678"/>
      <c r="P45" s="678"/>
      <c r="Q45" s="678"/>
      <c r="R45" s="678"/>
      <c r="S45" s="678"/>
      <c r="T45" s="678"/>
      <c r="U45" s="678"/>
      <c r="V45" s="678"/>
      <c r="W45" s="678"/>
      <c r="X45" s="678"/>
      <c r="Y45" s="678"/>
      <c r="Z45" s="678"/>
      <c r="AA45" s="678"/>
      <c r="AB45" s="678"/>
      <c r="AC45" s="678"/>
      <c r="AD45" s="678"/>
      <c r="AE45" s="678"/>
      <c r="AF45" s="709"/>
      <c r="AG45" s="683">
        <f t="shared" si="3"/>
        <v>0</v>
      </c>
      <c r="AH45" s="689"/>
      <c r="AI45" s="701"/>
      <c r="AJ45" s="678"/>
      <c r="AK45" s="678"/>
      <c r="AL45" s="678"/>
      <c r="AM45" s="678"/>
      <c r="AN45" s="678"/>
      <c r="AO45" s="678"/>
      <c r="AP45" s="678"/>
      <c r="AQ45" s="678"/>
      <c r="AR45" s="678"/>
      <c r="AS45" s="678"/>
      <c r="AT45" s="678"/>
      <c r="AU45" s="678"/>
      <c r="AV45" s="678"/>
      <c r="AW45" s="678"/>
      <c r="AX45" s="678"/>
      <c r="AY45" s="678"/>
      <c r="AZ45" s="678"/>
      <c r="BA45" s="678"/>
      <c r="BB45" s="678"/>
      <c r="BC45" s="678"/>
      <c r="BD45" s="678"/>
      <c r="BE45" s="678"/>
      <c r="BF45" s="678"/>
      <c r="BG45" s="678"/>
      <c r="BH45" s="678"/>
      <c r="BI45" s="678"/>
      <c r="BJ45" s="678"/>
      <c r="BK45" s="678"/>
      <c r="BL45" s="678"/>
      <c r="BM45" s="709"/>
      <c r="BN45" s="683">
        <f t="shared" si="4"/>
        <v>0</v>
      </c>
      <c r="BO45" s="689"/>
      <c r="BP45" s="701"/>
      <c r="BQ45" s="678"/>
      <c r="BR45" s="678"/>
      <c r="BS45" s="678"/>
      <c r="BT45" s="678"/>
      <c r="BU45" s="678"/>
      <c r="BV45" s="678"/>
      <c r="BW45" s="678"/>
      <c r="BX45" s="678"/>
      <c r="BY45" s="678"/>
      <c r="BZ45" s="678"/>
      <c r="CA45" s="678"/>
      <c r="CB45" s="678"/>
      <c r="CC45" s="678"/>
      <c r="CD45" s="678"/>
      <c r="CE45" s="678"/>
      <c r="CF45" s="678"/>
      <c r="CG45" s="678"/>
      <c r="CH45" s="678"/>
      <c r="CI45" s="678"/>
      <c r="CJ45" s="678"/>
      <c r="CK45" s="678"/>
      <c r="CL45" s="678"/>
      <c r="CM45" s="678"/>
      <c r="CN45" s="678"/>
      <c r="CO45" s="678"/>
      <c r="CP45" s="678"/>
      <c r="CQ45" s="678"/>
      <c r="CR45" s="678"/>
      <c r="CS45" s="678"/>
      <c r="CT45" s="709"/>
      <c r="CU45" s="683">
        <f t="shared" si="5"/>
        <v>0</v>
      </c>
      <c r="CV45" s="689"/>
      <c r="DG45" s="621"/>
      <c r="DH45" s="621"/>
      <c r="DI45" s="621"/>
      <c r="DJ45" s="621"/>
      <c r="DK45" s="621"/>
      <c r="DL45" s="621"/>
      <c r="DM45" s="621"/>
      <c r="DN45" s="621"/>
      <c r="DO45" s="621"/>
      <c r="DP45" s="621"/>
      <c r="DQ45" s="621"/>
      <c r="DR45" s="621"/>
      <c r="DS45" s="621"/>
      <c r="DT45" s="621"/>
      <c r="DU45" s="621"/>
      <c r="DV45" s="621"/>
      <c r="DW45" s="621"/>
      <c r="DX45" s="621"/>
      <c r="DY45" s="621"/>
      <c r="DZ45" s="621"/>
      <c r="EA45" s="621"/>
      <c r="EB45" s="621"/>
      <c r="EC45" s="621"/>
      <c r="ED45" s="621"/>
      <c r="EE45" s="621"/>
      <c r="EF45" s="621"/>
      <c r="EG45" s="621"/>
      <c r="EH45" s="621"/>
      <c r="EI45" s="621"/>
      <c r="EJ45" s="621"/>
      <c r="EK45" s="621"/>
      <c r="EL45" s="621"/>
      <c r="EM45" s="621"/>
      <c r="EN45" s="621"/>
      <c r="EO45" s="621"/>
      <c r="EP45" s="621"/>
      <c r="EQ45" s="621"/>
      <c r="ER45" s="621"/>
      <c r="ES45" s="621"/>
      <c r="ET45" s="621"/>
      <c r="EU45" s="621"/>
      <c r="EV45" s="621"/>
      <c r="EW45" s="621"/>
      <c r="EX45" s="621"/>
      <c r="EY45" s="621"/>
      <c r="EZ45" s="621"/>
    </row>
    <row r="46" spans="1:156" ht="13.5" thickBot="1">
      <c r="A46" s="1025"/>
      <c r="B46" s="704"/>
      <c r="C46" s="705"/>
      <c r="D46" s="705"/>
      <c r="E46" s="705"/>
      <c r="F46" s="705"/>
      <c r="G46" s="705"/>
      <c r="H46" s="705"/>
      <c r="I46" s="705"/>
      <c r="J46" s="705"/>
      <c r="K46" s="705"/>
      <c r="L46" s="705"/>
      <c r="M46" s="705"/>
      <c r="N46" s="705"/>
      <c r="O46" s="705"/>
      <c r="P46" s="705"/>
      <c r="Q46" s="705"/>
      <c r="R46" s="705"/>
      <c r="S46" s="705"/>
      <c r="T46" s="705"/>
      <c r="U46" s="705"/>
      <c r="V46" s="705"/>
      <c r="W46" s="705"/>
      <c r="X46" s="705"/>
      <c r="Y46" s="705"/>
      <c r="Z46" s="705"/>
      <c r="AA46" s="705"/>
      <c r="AB46" s="705"/>
      <c r="AC46" s="705"/>
      <c r="AD46" s="705"/>
      <c r="AE46" s="705"/>
      <c r="AF46" s="710"/>
      <c r="AG46" s="683">
        <f t="shared" si="3"/>
        <v>0</v>
      </c>
      <c r="AH46" s="689"/>
      <c r="AI46" s="704"/>
      <c r="AJ46" s="705"/>
      <c r="AK46" s="705"/>
      <c r="AL46" s="705"/>
      <c r="AM46" s="705"/>
      <c r="AN46" s="705"/>
      <c r="AO46" s="705"/>
      <c r="AP46" s="705"/>
      <c r="AQ46" s="705"/>
      <c r="AR46" s="705"/>
      <c r="AS46" s="705"/>
      <c r="AT46" s="705"/>
      <c r="AU46" s="705"/>
      <c r="AV46" s="705"/>
      <c r="AW46" s="705"/>
      <c r="AX46" s="705"/>
      <c r="AY46" s="705"/>
      <c r="AZ46" s="705"/>
      <c r="BA46" s="705"/>
      <c r="BB46" s="705"/>
      <c r="BC46" s="705"/>
      <c r="BD46" s="705"/>
      <c r="BE46" s="705"/>
      <c r="BF46" s="705"/>
      <c r="BG46" s="705"/>
      <c r="BH46" s="705"/>
      <c r="BI46" s="705"/>
      <c r="BJ46" s="705"/>
      <c r="BK46" s="705"/>
      <c r="BL46" s="705"/>
      <c r="BM46" s="710"/>
      <c r="BN46" s="683">
        <f t="shared" si="4"/>
        <v>0</v>
      </c>
      <c r="BO46" s="689"/>
      <c r="BP46" s="704"/>
      <c r="BQ46" s="705"/>
      <c r="BR46" s="705"/>
      <c r="BS46" s="705"/>
      <c r="BT46" s="705"/>
      <c r="BU46" s="705"/>
      <c r="BV46" s="705"/>
      <c r="BW46" s="705"/>
      <c r="BX46" s="705"/>
      <c r="BY46" s="705"/>
      <c r="BZ46" s="705"/>
      <c r="CA46" s="705"/>
      <c r="CB46" s="705"/>
      <c r="CC46" s="705"/>
      <c r="CD46" s="705"/>
      <c r="CE46" s="705"/>
      <c r="CF46" s="705"/>
      <c r="CG46" s="705"/>
      <c r="CH46" s="705"/>
      <c r="CI46" s="705"/>
      <c r="CJ46" s="705"/>
      <c r="CK46" s="705"/>
      <c r="CL46" s="705"/>
      <c r="CM46" s="705"/>
      <c r="CN46" s="705"/>
      <c r="CO46" s="705"/>
      <c r="CP46" s="705"/>
      <c r="CQ46" s="705"/>
      <c r="CR46" s="705"/>
      <c r="CS46" s="705"/>
      <c r="CT46" s="710"/>
      <c r="CU46" s="683">
        <f t="shared" si="5"/>
        <v>0</v>
      </c>
      <c r="CV46" s="689"/>
      <c r="DG46" s="621"/>
      <c r="DH46" s="621"/>
      <c r="DI46" s="621"/>
      <c r="DJ46" s="621"/>
      <c r="DK46" s="621"/>
      <c r="DL46" s="621"/>
      <c r="DM46" s="621"/>
      <c r="DN46" s="621"/>
      <c r="DO46" s="621"/>
      <c r="DP46" s="621"/>
      <c r="DQ46" s="621"/>
      <c r="DR46" s="621"/>
      <c r="DS46" s="621"/>
      <c r="DT46" s="621"/>
      <c r="DU46" s="621"/>
      <c r="DV46" s="621"/>
      <c r="DW46" s="621"/>
      <c r="DX46" s="621"/>
      <c r="DY46" s="621"/>
      <c r="DZ46" s="621"/>
      <c r="EA46" s="621"/>
      <c r="EB46" s="621"/>
      <c r="EC46" s="621"/>
      <c r="ED46" s="621"/>
      <c r="EE46" s="621"/>
      <c r="EF46" s="621"/>
      <c r="EG46" s="621"/>
      <c r="EH46" s="621"/>
      <c r="EI46" s="621"/>
      <c r="EJ46" s="621"/>
      <c r="EK46" s="621"/>
      <c r="EL46" s="621"/>
      <c r="EM46" s="621"/>
      <c r="EN46" s="621"/>
      <c r="EO46" s="621"/>
      <c r="EP46" s="621"/>
      <c r="EQ46" s="621"/>
      <c r="ER46" s="621"/>
      <c r="ES46" s="621"/>
      <c r="ET46" s="621"/>
      <c r="EU46" s="621"/>
      <c r="EV46" s="621"/>
      <c r="EW46" s="621"/>
      <c r="EX46" s="621"/>
      <c r="EY46" s="621"/>
      <c r="EZ46" s="621"/>
    </row>
    <row r="47" spans="1:156">
      <c r="A47" s="1024" t="s">
        <v>198</v>
      </c>
      <c r="B47" s="702"/>
      <c r="C47" s="703"/>
      <c r="D47" s="703"/>
      <c r="E47" s="703"/>
      <c r="F47" s="703"/>
      <c r="G47" s="703"/>
      <c r="H47" s="703"/>
      <c r="I47" s="703"/>
      <c r="J47" s="703"/>
      <c r="K47" s="703"/>
      <c r="L47" s="703"/>
      <c r="M47" s="703"/>
      <c r="N47" s="703"/>
      <c r="O47" s="703"/>
      <c r="P47" s="703"/>
      <c r="Q47" s="703"/>
      <c r="R47" s="707">
        <v>1</v>
      </c>
      <c r="S47" s="703"/>
      <c r="T47" s="703"/>
      <c r="U47" s="703"/>
      <c r="V47" s="703"/>
      <c r="W47" s="703"/>
      <c r="X47" s="703"/>
      <c r="Y47" s="703"/>
      <c r="Z47" s="703"/>
      <c r="AA47" s="703"/>
      <c r="AB47" s="703"/>
      <c r="AC47" s="703"/>
      <c r="AD47" s="703"/>
      <c r="AE47" s="703"/>
      <c r="AF47" s="708"/>
      <c r="AG47" s="693">
        <f t="shared" si="3"/>
        <v>1</v>
      </c>
      <c r="AH47" s="689"/>
      <c r="AI47" s="702"/>
      <c r="AJ47" s="703"/>
      <c r="AK47" s="703"/>
      <c r="AL47" s="703"/>
      <c r="AM47" s="703"/>
      <c r="AN47" s="703"/>
      <c r="AO47" s="703"/>
      <c r="AP47" s="703"/>
      <c r="AQ47" s="703"/>
      <c r="AR47" s="703"/>
      <c r="AS47" s="703"/>
      <c r="AT47" s="703"/>
      <c r="AU47" s="703"/>
      <c r="AV47" s="703"/>
      <c r="AW47" s="703"/>
      <c r="AX47" s="703"/>
      <c r="AY47" s="703"/>
      <c r="AZ47" s="703"/>
      <c r="BA47" s="703"/>
      <c r="BB47" s="703"/>
      <c r="BC47" s="703"/>
      <c r="BD47" s="703"/>
      <c r="BE47" s="703"/>
      <c r="BF47" s="703"/>
      <c r="BG47" s="703"/>
      <c r="BH47" s="703"/>
      <c r="BI47" s="703"/>
      <c r="BJ47" s="703"/>
      <c r="BK47" s="703"/>
      <c r="BL47" s="703"/>
      <c r="BM47" s="708"/>
      <c r="BN47" s="693">
        <f t="shared" si="4"/>
        <v>0</v>
      </c>
      <c r="BO47" s="689"/>
      <c r="BP47" s="702"/>
      <c r="BQ47" s="703"/>
      <c r="BR47" s="703"/>
      <c r="BS47" s="703"/>
      <c r="BT47" s="703"/>
      <c r="BU47" s="703"/>
      <c r="BV47" s="703"/>
      <c r="BW47" s="703"/>
      <c r="BX47" s="703"/>
      <c r="BY47" s="703"/>
      <c r="BZ47" s="703"/>
      <c r="CA47" s="703"/>
      <c r="CB47" s="703"/>
      <c r="CC47" s="703"/>
      <c r="CD47" s="703"/>
      <c r="CE47" s="703"/>
      <c r="CF47" s="703"/>
      <c r="CG47" s="703"/>
      <c r="CH47" s="703"/>
      <c r="CI47" s="703"/>
      <c r="CJ47" s="703"/>
      <c r="CK47" s="703"/>
      <c r="CL47" s="703"/>
      <c r="CM47" s="703"/>
      <c r="CN47" s="703"/>
      <c r="CO47" s="703"/>
      <c r="CP47" s="703"/>
      <c r="CQ47" s="703"/>
      <c r="CR47" s="703"/>
      <c r="CS47" s="703"/>
      <c r="CT47" s="708"/>
      <c r="CU47" s="693">
        <f t="shared" si="5"/>
        <v>0</v>
      </c>
      <c r="CV47" s="689"/>
      <c r="DG47" s="621"/>
      <c r="DH47" s="621"/>
      <c r="DI47" s="621"/>
      <c r="DJ47" s="621"/>
      <c r="DK47" s="621"/>
      <c r="DL47" s="621"/>
      <c r="DM47" s="621"/>
      <c r="DN47" s="621"/>
      <c r="DO47" s="621"/>
      <c r="DP47" s="621"/>
      <c r="DQ47" s="621"/>
      <c r="DR47" s="621"/>
      <c r="DS47" s="621"/>
      <c r="DT47" s="621"/>
      <c r="DU47" s="621"/>
      <c r="DV47" s="621"/>
      <c r="DW47" s="621"/>
      <c r="DX47" s="621"/>
      <c r="DY47" s="621"/>
      <c r="DZ47" s="621"/>
      <c r="EA47" s="621"/>
      <c r="EB47" s="621"/>
      <c r="EC47" s="621"/>
      <c r="ED47" s="621"/>
      <c r="EE47" s="621"/>
      <c r="EF47" s="621"/>
      <c r="EG47" s="621"/>
      <c r="EH47" s="621"/>
      <c r="EI47" s="621"/>
      <c r="EJ47" s="621"/>
      <c r="EK47" s="621"/>
      <c r="EL47" s="621"/>
      <c r="EM47" s="621"/>
      <c r="EN47" s="621"/>
      <c r="EO47" s="621"/>
      <c r="EP47" s="621"/>
      <c r="EQ47" s="621"/>
      <c r="ER47" s="621"/>
      <c r="ES47" s="621"/>
      <c r="ET47" s="621"/>
      <c r="EU47" s="621"/>
      <c r="EV47" s="621"/>
      <c r="EW47" s="621"/>
      <c r="EX47" s="621"/>
      <c r="EY47" s="621"/>
      <c r="EZ47" s="621"/>
    </row>
    <row r="48" spans="1:156">
      <c r="A48" s="1025"/>
      <c r="B48" s="701"/>
      <c r="C48" s="678"/>
      <c r="D48" s="678"/>
      <c r="E48" s="678"/>
      <c r="F48" s="678"/>
      <c r="G48" s="678"/>
      <c r="H48" s="678"/>
      <c r="I48" s="678"/>
      <c r="J48" s="678"/>
      <c r="K48" s="678"/>
      <c r="L48" s="678"/>
      <c r="M48" s="678"/>
      <c r="N48" s="678"/>
      <c r="O48" s="678"/>
      <c r="P48" s="678"/>
      <c r="Q48" s="678"/>
      <c r="R48" s="678"/>
      <c r="S48" s="678"/>
      <c r="T48" s="678"/>
      <c r="U48" s="678"/>
      <c r="V48" s="678"/>
      <c r="W48" s="678"/>
      <c r="X48" s="678"/>
      <c r="Y48" s="678"/>
      <c r="Z48" s="678"/>
      <c r="AA48" s="678"/>
      <c r="AB48" s="678"/>
      <c r="AC48" s="678"/>
      <c r="AD48" s="678"/>
      <c r="AE48" s="678"/>
      <c r="AF48" s="709"/>
      <c r="AG48" s="683">
        <f t="shared" si="3"/>
        <v>0</v>
      </c>
      <c r="AH48" s="689"/>
      <c r="AI48" s="701"/>
      <c r="AJ48" s="678"/>
      <c r="AK48" s="678"/>
      <c r="AL48" s="678"/>
      <c r="AM48" s="678"/>
      <c r="AN48" s="678"/>
      <c r="AO48" s="678"/>
      <c r="AP48" s="678"/>
      <c r="AQ48" s="678"/>
      <c r="AR48" s="678"/>
      <c r="AS48" s="678"/>
      <c r="AT48" s="678"/>
      <c r="AU48" s="678"/>
      <c r="AV48" s="678"/>
      <c r="AW48" s="678"/>
      <c r="AX48" s="678"/>
      <c r="AY48" s="678"/>
      <c r="AZ48" s="678"/>
      <c r="BA48" s="678"/>
      <c r="BB48" s="678"/>
      <c r="BC48" s="678"/>
      <c r="BD48" s="678"/>
      <c r="BE48" s="678"/>
      <c r="BF48" s="678"/>
      <c r="BG48" s="678"/>
      <c r="BH48" s="678"/>
      <c r="BI48" s="678"/>
      <c r="BJ48" s="678"/>
      <c r="BK48" s="678"/>
      <c r="BL48" s="678"/>
      <c r="BM48" s="709"/>
      <c r="BN48" s="683">
        <f t="shared" si="4"/>
        <v>0</v>
      </c>
      <c r="BO48" s="689"/>
      <c r="BP48" s="701"/>
      <c r="BQ48" s="678"/>
      <c r="BR48" s="678"/>
      <c r="BS48" s="678"/>
      <c r="BT48" s="678"/>
      <c r="BU48" s="678"/>
      <c r="BV48" s="678"/>
      <c r="BW48" s="678"/>
      <c r="BX48" s="678"/>
      <c r="BY48" s="678"/>
      <c r="BZ48" s="678"/>
      <c r="CA48" s="678"/>
      <c r="CB48" s="678"/>
      <c r="CC48" s="678"/>
      <c r="CD48" s="678"/>
      <c r="CE48" s="678"/>
      <c r="CF48" s="678"/>
      <c r="CG48" s="678"/>
      <c r="CH48" s="678"/>
      <c r="CI48" s="678"/>
      <c r="CJ48" s="678"/>
      <c r="CK48" s="678"/>
      <c r="CL48" s="678"/>
      <c r="CM48" s="678"/>
      <c r="CN48" s="678"/>
      <c r="CO48" s="678"/>
      <c r="CP48" s="678"/>
      <c r="CQ48" s="678"/>
      <c r="CR48" s="678"/>
      <c r="CS48" s="678"/>
      <c r="CT48" s="709"/>
      <c r="CU48" s="683">
        <f t="shared" si="5"/>
        <v>0</v>
      </c>
      <c r="CV48" s="689"/>
      <c r="DG48" s="621"/>
      <c r="DH48" s="621"/>
      <c r="DI48" s="621"/>
      <c r="DJ48" s="621"/>
      <c r="DK48" s="621"/>
      <c r="DL48" s="621"/>
      <c r="DM48" s="621"/>
      <c r="DN48" s="621"/>
      <c r="DO48" s="621"/>
      <c r="DP48" s="621"/>
      <c r="DQ48" s="621"/>
      <c r="DR48" s="621"/>
      <c r="DS48" s="621"/>
      <c r="DT48" s="621"/>
      <c r="DU48" s="621"/>
      <c r="DV48" s="621"/>
      <c r="DW48" s="621"/>
      <c r="DX48" s="621"/>
      <c r="DY48" s="621"/>
      <c r="DZ48" s="621"/>
      <c r="EA48" s="621"/>
      <c r="EB48" s="621"/>
      <c r="EC48" s="621"/>
      <c r="ED48" s="621"/>
      <c r="EE48" s="621"/>
      <c r="EF48" s="621"/>
      <c r="EG48" s="621"/>
      <c r="EH48" s="621"/>
      <c r="EI48" s="621"/>
      <c r="EJ48" s="621"/>
      <c r="EK48" s="621"/>
      <c r="EL48" s="621"/>
      <c r="EM48" s="621"/>
      <c r="EN48" s="621"/>
      <c r="EO48" s="621"/>
      <c r="EP48" s="621"/>
      <c r="EQ48" s="621"/>
      <c r="ER48" s="621"/>
      <c r="ES48" s="621"/>
      <c r="ET48" s="621"/>
      <c r="EU48" s="621"/>
      <c r="EV48" s="621"/>
      <c r="EW48" s="621"/>
      <c r="EX48" s="621"/>
      <c r="EY48" s="621"/>
      <c r="EZ48" s="621"/>
    </row>
    <row r="49" spans="1:156">
      <c r="A49" s="1025"/>
      <c r="B49" s="701"/>
      <c r="C49" s="678"/>
      <c r="D49" s="678"/>
      <c r="E49" s="678"/>
      <c r="F49" s="678"/>
      <c r="G49" s="678"/>
      <c r="H49" s="678"/>
      <c r="I49" s="678"/>
      <c r="J49" s="678"/>
      <c r="K49" s="678"/>
      <c r="L49" s="678"/>
      <c r="M49" s="678"/>
      <c r="N49" s="678"/>
      <c r="O49" s="678"/>
      <c r="P49" s="678"/>
      <c r="Q49" s="678"/>
      <c r="R49" s="678"/>
      <c r="S49" s="678"/>
      <c r="T49" s="678"/>
      <c r="U49" s="678"/>
      <c r="V49" s="678"/>
      <c r="W49" s="678"/>
      <c r="X49" s="678"/>
      <c r="Y49" s="678"/>
      <c r="Z49" s="678"/>
      <c r="AA49" s="678"/>
      <c r="AB49" s="678"/>
      <c r="AC49" s="678"/>
      <c r="AD49" s="678"/>
      <c r="AE49" s="678"/>
      <c r="AF49" s="709"/>
      <c r="AG49" s="683">
        <f t="shared" si="3"/>
        <v>0</v>
      </c>
      <c r="AH49" s="689"/>
      <c r="AI49" s="701"/>
      <c r="AJ49" s="678"/>
      <c r="AK49" s="678"/>
      <c r="AL49" s="678"/>
      <c r="AM49" s="678"/>
      <c r="AN49" s="678"/>
      <c r="AO49" s="678"/>
      <c r="AP49" s="678"/>
      <c r="AQ49" s="678"/>
      <c r="AR49" s="678"/>
      <c r="AS49" s="678"/>
      <c r="AT49" s="678"/>
      <c r="AU49" s="678"/>
      <c r="AV49" s="678"/>
      <c r="AW49" s="678"/>
      <c r="AX49" s="678"/>
      <c r="AY49" s="678"/>
      <c r="AZ49" s="678"/>
      <c r="BA49" s="678"/>
      <c r="BB49" s="678"/>
      <c r="BC49" s="678"/>
      <c r="BD49" s="678"/>
      <c r="BE49" s="678"/>
      <c r="BF49" s="678"/>
      <c r="BG49" s="678"/>
      <c r="BH49" s="678"/>
      <c r="BI49" s="678"/>
      <c r="BJ49" s="678"/>
      <c r="BK49" s="678"/>
      <c r="BL49" s="678"/>
      <c r="BM49" s="709"/>
      <c r="BN49" s="683">
        <f t="shared" si="4"/>
        <v>0</v>
      </c>
      <c r="BO49" s="689"/>
      <c r="BP49" s="701"/>
      <c r="BQ49" s="678"/>
      <c r="BR49" s="678"/>
      <c r="BS49" s="678"/>
      <c r="BT49" s="678"/>
      <c r="BU49" s="678"/>
      <c r="BV49" s="678"/>
      <c r="BW49" s="678"/>
      <c r="BX49" s="678"/>
      <c r="BY49" s="678"/>
      <c r="BZ49" s="678"/>
      <c r="CA49" s="678"/>
      <c r="CB49" s="678"/>
      <c r="CC49" s="678"/>
      <c r="CD49" s="678"/>
      <c r="CE49" s="678"/>
      <c r="CF49" s="678"/>
      <c r="CG49" s="678"/>
      <c r="CH49" s="678"/>
      <c r="CI49" s="678"/>
      <c r="CJ49" s="678"/>
      <c r="CK49" s="678"/>
      <c r="CL49" s="678"/>
      <c r="CM49" s="678"/>
      <c r="CN49" s="678"/>
      <c r="CO49" s="678"/>
      <c r="CP49" s="678"/>
      <c r="CQ49" s="678"/>
      <c r="CR49" s="678"/>
      <c r="CS49" s="678"/>
      <c r="CT49" s="709"/>
      <c r="CU49" s="683">
        <f t="shared" si="5"/>
        <v>0</v>
      </c>
      <c r="CV49" s="689"/>
      <c r="DG49" s="621"/>
      <c r="DH49" s="621"/>
      <c r="DI49" s="621"/>
      <c r="DJ49" s="621"/>
      <c r="DK49" s="621"/>
      <c r="DL49" s="621"/>
      <c r="DM49" s="621"/>
      <c r="DN49" s="621"/>
      <c r="DO49" s="621"/>
      <c r="DP49" s="621"/>
      <c r="DQ49" s="621"/>
      <c r="DR49" s="621"/>
      <c r="DS49" s="621"/>
      <c r="DT49" s="621"/>
      <c r="DU49" s="621"/>
      <c r="DV49" s="621"/>
      <c r="DW49" s="621"/>
      <c r="DX49" s="621"/>
      <c r="DY49" s="621"/>
      <c r="DZ49" s="621"/>
      <c r="EA49" s="621"/>
      <c r="EB49" s="621"/>
      <c r="EC49" s="621"/>
      <c r="ED49" s="621"/>
      <c r="EE49" s="621"/>
      <c r="EF49" s="621"/>
      <c r="EG49" s="621"/>
      <c r="EH49" s="621"/>
      <c r="EI49" s="621"/>
      <c r="EJ49" s="621"/>
      <c r="EK49" s="621"/>
      <c r="EL49" s="621"/>
      <c r="EM49" s="621"/>
      <c r="EN49" s="621"/>
      <c r="EO49" s="621"/>
      <c r="EP49" s="621"/>
      <c r="EQ49" s="621"/>
      <c r="ER49" s="621"/>
      <c r="ES49" s="621"/>
      <c r="ET49" s="621"/>
      <c r="EU49" s="621"/>
      <c r="EV49" s="621"/>
      <c r="EW49" s="621"/>
      <c r="EX49" s="621"/>
      <c r="EY49" s="621"/>
      <c r="EZ49" s="621"/>
    </row>
    <row r="50" spans="1:156" ht="13.5" thickBot="1">
      <c r="A50" s="1026"/>
      <c r="B50" s="704"/>
      <c r="C50" s="705"/>
      <c r="D50" s="705"/>
      <c r="E50" s="705"/>
      <c r="F50" s="705"/>
      <c r="G50" s="705"/>
      <c r="H50" s="705"/>
      <c r="I50" s="705"/>
      <c r="J50" s="705"/>
      <c r="K50" s="705"/>
      <c r="L50" s="705"/>
      <c r="M50" s="705"/>
      <c r="N50" s="705"/>
      <c r="O50" s="705"/>
      <c r="P50" s="705"/>
      <c r="Q50" s="705"/>
      <c r="R50" s="705"/>
      <c r="S50" s="705"/>
      <c r="T50" s="705"/>
      <c r="U50" s="705"/>
      <c r="V50" s="705"/>
      <c r="W50" s="705"/>
      <c r="X50" s="705"/>
      <c r="Y50" s="705"/>
      <c r="Z50" s="705"/>
      <c r="AA50" s="705"/>
      <c r="AB50" s="705"/>
      <c r="AC50" s="705"/>
      <c r="AD50" s="705"/>
      <c r="AE50" s="705"/>
      <c r="AF50" s="710"/>
      <c r="AG50" s="684">
        <f t="shared" si="3"/>
        <v>0</v>
      </c>
      <c r="AH50" s="690"/>
      <c r="AI50" s="704"/>
      <c r="AJ50" s="705"/>
      <c r="AK50" s="705"/>
      <c r="AL50" s="705"/>
      <c r="AM50" s="705"/>
      <c r="AN50" s="705"/>
      <c r="AO50" s="705"/>
      <c r="AP50" s="705"/>
      <c r="AQ50" s="705"/>
      <c r="AR50" s="705"/>
      <c r="AS50" s="705"/>
      <c r="AT50" s="705"/>
      <c r="AU50" s="705"/>
      <c r="AV50" s="705"/>
      <c r="AW50" s="705"/>
      <c r="AX50" s="705"/>
      <c r="AY50" s="705"/>
      <c r="AZ50" s="705"/>
      <c r="BA50" s="705"/>
      <c r="BB50" s="705"/>
      <c r="BC50" s="705"/>
      <c r="BD50" s="705"/>
      <c r="BE50" s="705"/>
      <c r="BF50" s="705"/>
      <c r="BG50" s="705"/>
      <c r="BH50" s="705"/>
      <c r="BI50" s="705"/>
      <c r="BJ50" s="705"/>
      <c r="BK50" s="705"/>
      <c r="BL50" s="705"/>
      <c r="BM50" s="710"/>
      <c r="BN50" s="684">
        <f t="shared" si="4"/>
        <v>0</v>
      </c>
      <c r="BO50" s="690"/>
      <c r="BP50" s="704"/>
      <c r="BQ50" s="705"/>
      <c r="BR50" s="705"/>
      <c r="BS50" s="705"/>
      <c r="BT50" s="705"/>
      <c r="BU50" s="705"/>
      <c r="BV50" s="705"/>
      <c r="BW50" s="705"/>
      <c r="BX50" s="705"/>
      <c r="BY50" s="705"/>
      <c r="BZ50" s="705"/>
      <c r="CA50" s="705"/>
      <c r="CB50" s="705"/>
      <c r="CC50" s="705"/>
      <c r="CD50" s="705"/>
      <c r="CE50" s="705"/>
      <c r="CF50" s="705"/>
      <c r="CG50" s="705"/>
      <c r="CH50" s="705"/>
      <c r="CI50" s="705"/>
      <c r="CJ50" s="705"/>
      <c r="CK50" s="705"/>
      <c r="CL50" s="705"/>
      <c r="CM50" s="705"/>
      <c r="CN50" s="705"/>
      <c r="CO50" s="705"/>
      <c r="CP50" s="705"/>
      <c r="CQ50" s="705"/>
      <c r="CR50" s="705"/>
      <c r="CS50" s="705"/>
      <c r="CT50" s="710"/>
      <c r="CU50" s="684">
        <f t="shared" si="5"/>
        <v>0</v>
      </c>
      <c r="CV50" s="690"/>
      <c r="DG50" s="621"/>
      <c r="DH50" s="621"/>
      <c r="DI50" s="621"/>
      <c r="DJ50" s="621"/>
      <c r="DK50" s="621"/>
      <c r="DL50" s="621"/>
      <c r="DM50" s="621"/>
      <c r="DN50" s="621"/>
      <c r="DO50" s="621"/>
      <c r="DP50" s="621"/>
      <c r="DQ50" s="621"/>
      <c r="DR50" s="621"/>
      <c r="DS50" s="621"/>
      <c r="DT50" s="621"/>
      <c r="DU50" s="621"/>
      <c r="DV50" s="621"/>
      <c r="DW50" s="621"/>
      <c r="DX50" s="621"/>
      <c r="DY50" s="621"/>
      <c r="DZ50" s="621"/>
      <c r="EA50" s="621"/>
      <c r="EB50" s="621"/>
      <c r="EC50" s="621"/>
      <c r="ED50" s="621"/>
      <c r="EE50" s="621"/>
      <c r="EF50" s="621"/>
      <c r="EG50" s="621"/>
      <c r="EH50" s="621"/>
      <c r="EI50" s="621"/>
      <c r="EJ50" s="621"/>
      <c r="EK50" s="621"/>
      <c r="EL50" s="621"/>
      <c r="EM50" s="621"/>
      <c r="EN50" s="621"/>
      <c r="EO50" s="621"/>
      <c r="EP50" s="621"/>
      <c r="EQ50" s="621"/>
      <c r="ER50" s="621"/>
      <c r="ES50" s="621"/>
      <c r="ET50" s="621"/>
      <c r="EU50" s="621"/>
      <c r="EV50" s="621"/>
      <c r="EW50" s="621"/>
      <c r="EX50" s="621"/>
      <c r="EY50" s="621"/>
      <c r="EZ50" s="621"/>
    </row>
    <row r="51" spans="1:156" ht="13.5" thickBot="1">
      <c r="A51" s="621"/>
      <c r="V51" s="621"/>
      <c r="AG51" s="619"/>
      <c r="AH51" s="619"/>
      <c r="AZ51" s="621"/>
      <c r="BA51" s="621"/>
      <c r="BB51" s="621"/>
      <c r="BC51" s="621"/>
      <c r="BD51" s="621"/>
      <c r="BE51" s="621"/>
      <c r="BF51" s="621"/>
      <c r="BG51" s="621"/>
      <c r="BH51" s="621"/>
      <c r="BI51" s="621"/>
      <c r="BJ51" s="621"/>
      <c r="BM51" s="621"/>
      <c r="BN51" s="691"/>
      <c r="BO51" s="691"/>
      <c r="BP51" s="621"/>
      <c r="BQ51" s="621"/>
      <c r="BR51" s="621"/>
      <c r="BS51" s="621"/>
      <c r="BT51" s="621"/>
      <c r="BU51" s="621"/>
      <c r="BV51" s="621"/>
      <c r="BW51" s="621"/>
      <c r="BX51" s="621"/>
      <c r="BY51" s="621"/>
      <c r="BZ51" s="621"/>
      <c r="CA51" s="621"/>
      <c r="CB51" s="621"/>
      <c r="CF51" s="621"/>
      <c r="CG51" s="621"/>
      <c r="CH51" s="621"/>
      <c r="CI51" s="621"/>
      <c r="CJ51" s="621"/>
      <c r="CK51" s="621"/>
      <c r="CL51" s="621"/>
      <c r="CM51" s="621"/>
      <c r="CN51" s="621"/>
      <c r="CO51" s="621"/>
      <c r="CP51" s="621"/>
      <c r="CQ51" s="621"/>
      <c r="CR51" s="621"/>
      <c r="CS51" s="621"/>
      <c r="CT51" s="621"/>
      <c r="DG51" s="621"/>
      <c r="DH51" s="621"/>
      <c r="DI51" s="621"/>
      <c r="DJ51" s="621"/>
      <c r="DK51" s="621"/>
      <c r="DL51" s="621"/>
      <c r="DM51" s="621"/>
      <c r="DN51" s="621"/>
      <c r="DO51" s="621"/>
      <c r="DP51" s="621"/>
      <c r="DQ51" s="621"/>
      <c r="DR51" s="621"/>
      <c r="DS51" s="621"/>
      <c r="DT51" s="621"/>
      <c r="DU51" s="621"/>
      <c r="DV51" s="621"/>
      <c r="DW51" s="621"/>
      <c r="DX51" s="621"/>
      <c r="DY51" s="621"/>
      <c r="DZ51" s="621"/>
      <c r="EA51" s="621"/>
      <c r="EB51" s="621"/>
      <c r="EC51" s="621"/>
      <c r="ED51" s="621"/>
      <c r="EE51" s="621"/>
      <c r="EF51" s="621"/>
      <c r="EG51" s="621"/>
      <c r="EH51" s="621"/>
      <c r="EI51" s="621"/>
      <c r="EJ51" s="621"/>
      <c r="EK51" s="621"/>
      <c r="EL51" s="621"/>
      <c r="EM51" s="621"/>
      <c r="EN51" s="621"/>
      <c r="EO51" s="621"/>
      <c r="EP51" s="621"/>
      <c r="EQ51" s="621"/>
      <c r="ER51" s="621"/>
      <c r="ES51" s="621"/>
      <c r="ET51" s="621"/>
      <c r="EU51" s="621"/>
      <c r="EV51" s="621"/>
      <c r="EW51" s="621"/>
      <c r="EX51" s="621"/>
      <c r="EY51" s="621"/>
      <c r="EZ51" s="621"/>
    </row>
    <row r="52" spans="1:156">
      <c r="A52" s="621"/>
      <c r="R52" s="1021" t="s">
        <v>184</v>
      </c>
      <c r="S52" s="1022"/>
      <c r="T52" s="1022"/>
      <c r="U52" s="1022"/>
      <c r="V52" s="1023"/>
      <c r="AG52" s="619"/>
      <c r="AH52" s="619"/>
      <c r="AY52" s="1021" t="s">
        <v>184</v>
      </c>
      <c r="AZ52" s="1022"/>
      <c r="BA52" s="1022"/>
      <c r="BB52" s="1022"/>
      <c r="BC52" s="1023"/>
      <c r="BD52" s="621"/>
      <c r="BE52" s="621"/>
      <c r="BF52" s="621"/>
      <c r="BG52" s="621"/>
      <c r="BH52" s="621"/>
      <c r="BI52" s="621"/>
      <c r="BJ52" s="621"/>
      <c r="BM52" s="621"/>
      <c r="BN52" s="691"/>
      <c r="BO52" s="691"/>
      <c r="BP52" s="621"/>
      <c r="BQ52" s="621"/>
      <c r="BR52" s="621"/>
      <c r="BS52" s="621"/>
      <c r="BT52" s="621"/>
      <c r="BU52" s="621"/>
      <c r="BV52" s="621"/>
      <c r="BW52" s="621"/>
      <c r="BX52" s="621"/>
      <c r="BY52" s="621"/>
      <c r="CF52" s="1021" t="s">
        <v>184</v>
      </c>
      <c r="CG52" s="1022"/>
      <c r="CH52" s="1022"/>
      <c r="CI52" s="1022"/>
      <c r="CJ52" s="1023"/>
      <c r="CK52" s="621"/>
      <c r="CL52" s="621"/>
      <c r="CM52" s="621"/>
      <c r="CN52" s="621"/>
      <c r="CO52" s="621"/>
      <c r="CP52" s="621"/>
      <c r="CQ52" s="621"/>
      <c r="CR52" s="621"/>
      <c r="CS52" s="621"/>
      <c r="CT52" s="621"/>
      <c r="DG52" s="621"/>
      <c r="DH52" s="621"/>
      <c r="DI52" s="621"/>
      <c r="DJ52" s="621"/>
      <c r="DK52" s="621"/>
      <c r="DL52" s="621"/>
      <c r="DM52" s="621"/>
      <c r="DN52" s="621"/>
      <c r="DO52" s="621"/>
      <c r="DP52" s="621"/>
      <c r="DQ52" s="621"/>
      <c r="DR52" s="621"/>
      <c r="DS52" s="621"/>
      <c r="DT52" s="621"/>
      <c r="DU52" s="621"/>
      <c r="DV52" s="621"/>
      <c r="DW52" s="621"/>
      <c r="DX52" s="621"/>
      <c r="DY52" s="621"/>
      <c r="DZ52" s="621"/>
      <c r="EA52" s="621"/>
      <c r="EB52" s="621"/>
      <c r="EC52" s="621"/>
      <c r="ED52" s="621"/>
      <c r="EE52" s="621"/>
      <c r="EF52" s="621"/>
      <c r="EG52" s="621"/>
      <c r="EH52" s="621"/>
      <c r="EI52" s="621"/>
      <c r="EJ52" s="621"/>
      <c r="EK52" s="621"/>
      <c r="EL52" s="621"/>
      <c r="EM52" s="621"/>
      <c r="EN52" s="621"/>
      <c r="EO52" s="621"/>
      <c r="EP52" s="621"/>
      <c r="EQ52" s="621"/>
      <c r="ER52" s="621"/>
      <c r="ES52" s="621"/>
      <c r="ET52" s="621"/>
      <c r="EU52" s="621"/>
      <c r="EV52" s="621"/>
      <c r="EW52" s="621"/>
      <c r="EX52" s="621"/>
      <c r="EY52" s="621"/>
      <c r="EZ52" s="621"/>
    </row>
    <row r="53" spans="1:156" ht="18.95" customHeight="1" thickBot="1">
      <c r="A53" s="621"/>
      <c r="P53" s="627"/>
      <c r="Q53" s="623"/>
      <c r="R53" s="672" cm="1">
        <f t="array" aca="1" ref="R53" ca="1">+CONTARCOLORCELDA($C$12,B55:AF55)*$X$25</f>
        <v>31</v>
      </c>
      <c r="S53" s="673" cm="1">
        <f t="array" aca="1" ref="S53" ca="1">+CONTARCOLORCELDA($C$13,B55:AF55)*$X$25</f>
        <v>0</v>
      </c>
      <c r="T53" s="674" cm="1">
        <f t="array" aca="1" ref="T53" ca="1">+CONTARCOLORCELDA($C$14,D55:AI55)*$X$25</f>
        <v>0</v>
      </c>
      <c r="U53" s="675" cm="1">
        <f t="array" aca="1" ref="U53" ca="1">+CONTARCOLORCELDA($C$15,B55:AF55)*$X$25</f>
        <v>0</v>
      </c>
      <c r="V53" s="676" cm="1">
        <f t="array" aca="1" ref="V53" ca="1">+CONTARCOLORCELDA($C$16,B55:AF55)*$X$25</f>
        <v>0</v>
      </c>
      <c r="W53" s="628"/>
      <c r="AD53" s="628"/>
      <c r="AE53" s="628"/>
      <c r="AF53" s="628"/>
      <c r="AI53" s="628"/>
      <c r="AJ53" s="628"/>
      <c r="AK53" s="628"/>
      <c r="AL53" s="628"/>
      <c r="AM53" s="628"/>
      <c r="AN53" s="628"/>
      <c r="AO53" s="628"/>
      <c r="AP53" s="628"/>
      <c r="AQ53" s="628"/>
      <c r="AR53" s="628"/>
      <c r="AS53" s="628"/>
      <c r="AT53" s="628"/>
      <c r="AU53" s="628"/>
      <c r="AV53" s="628"/>
      <c r="AW53" s="628"/>
      <c r="AX53" s="628"/>
      <c r="AY53" s="672" cm="1">
        <f t="array" aca="1" ref="AY53" ca="1">+CONTARCOLORCELDA($C$12,AI55:BM55)*$X$25</f>
        <v>31</v>
      </c>
      <c r="AZ53" s="673" cm="1">
        <f t="array" aca="1" ref="AZ53" ca="1">+CONTARCOLORCELDA($C$13,AI55:BM55)*$X$25</f>
        <v>0</v>
      </c>
      <c r="BA53" s="674" cm="1">
        <f t="array" aca="1" ref="BA53" ca="1">+CONTARCOLORCELDA($C$14,AK55:BP55)*$X$25</f>
        <v>0</v>
      </c>
      <c r="BB53" s="675" cm="1">
        <f t="array" aca="1" ref="BB53" ca="1">+CONTARCOLORCELDA($C$15,AI55:BM55)*$X$25</f>
        <v>0</v>
      </c>
      <c r="BC53" s="676" cm="1">
        <f t="array" aca="1" ref="BC53" ca="1">+CONTARCOLORCELDA($C$16,AI55:BM55)*$X$25</f>
        <v>0</v>
      </c>
      <c r="BD53" s="628"/>
      <c r="BE53" s="628"/>
      <c r="BM53" s="628"/>
      <c r="BP53" s="628"/>
      <c r="BQ53" s="628"/>
      <c r="BR53" s="628"/>
      <c r="BS53" s="628"/>
      <c r="BT53" s="628"/>
      <c r="BU53" s="628"/>
      <c r="BV53" s="628"/>
      <c r="BW53" s="628"/>
      <c r="CF53" s="672" cm="1">
        <f t="array" aca="1" ref="CF53" ca="1">+CONTARCOLORCELDA($C$12,BP55:CT55)*$X$25</f>
        <v>31</v>
      </c>
      <c r="CG53" s="673" cm="1">
        <f t="array" aca="1" ref="CG53" ca="1">+CONTARCOLORCELDA($C$13,BP55:CT55)*$X$25</f>
        <v>0</v>
      </c>
      <c r="CH53" s="674" cm="1">
        <f t="array" aca="1" ref="CH53" ca="1">+CONTARCOLORCELDA($C$14,BR55:CW55)*$X$25</f>
        <v>0</v>
      </c>
      <c r="CI53" s="675" cm="1">
        <f t="array" aca="1" ref="CI53" ca="1">+CONTARCOLORCELDA($C$15,BP55:CT55)*$X$25</f>
        <v>0</v>
      </c>
      <c r="CJ53" s="676" cm="1">
        <f t="array" aca="1" ref="CJ53" ca="1">+CONTARCOLORCELDA($C$16,BP55:CT55)*$X$25</f>
        <v>0</v>
      </c>
      <c r="CK53" s="621"/>
      <c r="CL53" s="621"/>
      <c r="CM53" s="621"/>
      <c r="CN53" s="621"/>
      <c r="CO53" s="621"/>
      <c r="CP53" s="621"/>
      <c r="CQ53" s="621"/>
      <c r="CR53" s="621"/>
      <c r="CS53" s="621"/>
      <c r="CT53" s="621"/>
      <c r="DG53" s="621"/>
      <c r="DH53" s="621"/>
      <c r="DI53" s="621"/>
      <c r="DJ53" s="621"/>
      <c r="DK53" s="621"/>
      <c r="DL53" s="621"/>
      <c r="DM53" s="621"/>
      <c r="DN53" s="621"/>
      <c r="DO53" s="621"/>
      <c r="DP53" s="621"/>
      <c r="DQ53" s="621"/>
      <c r="DR53" s="621"/>
      <c r="DS53" s="621"/>
      <c r="DT53" s="621"/>
      <c r="DU53" s="621"/>
      <c r="DV53" s="621"/>
      <c r="DW53" s="621"/>
      <c r="DX53" s="621"/>
      <c r="DY53" s="621"/>
      <c r="DZ53" s="621"/>
      <c r="EA53" s="621"/>
      <c r="EB53" s="621"/>
      <c r="EC53" s="621"/>
      <c r="ED53" s="621"/>
      <c r="EE53" s="621"/>
      <c r="EF53" s="621"/>
      <c r="EG53" s="621"/>
      <c r="EH53" s="621"/>
      <c r="EI53" s="621"/>
      <c r="EJ53" s="621"/>
      <c r="EK53" s="621"/>
      <c r="EL53" s="621"/>
      <c r="EM53" s="621"/>
      <c r="EN53" s="621"/>
      <c r="EO53" s="621"/>
      <c r="EP53" s="621"/>
      <c r="EQ53" s="621"/>
      <c r="ER53" s="621"/>
      <c r="ES53" s="621"/>
      <c r="ET53" s="621"/>
      <c r="EU53" s="621"/>
      <c r="EV53" s="621"/>
      <c r="EW53" s="621"/>
      <c r="EX53" s="621"/>
      <c r="EY53" s="621"/>
      <c r="EZ53" s="621"/>
    </row>
    <row r="54" spans="1:156" ht="15.75" thickBot="1">
      <c r="B54" s="667" t="s">
        <v>199</v>
      </c>
      <c r="C54" s="665"/>
      <c r="D54" s="665"/>
      <c r="E54" s="665"/>
      <c r="F54" s="665"/>
      <c r="G54" s="665"/>
      <c r="H54" s="665"/>
      <c r="I54" s="665"/>
      <c r="J54" s="665"/>
      <c r="K54" s="665"/>
      <c r="L54" s="665"/>
      <c r="M54" s="665"/>
      <c r="N54" s="665"/>
      <c r="O54" s="665"/>
      <c r="P54" s="665"/>
      <c r="Q54" s="665"/>
      <c r="R54" s="665"/>
      <c r="S54" s="665"/>
      <c r="T54" s="665"/>
      <c r="U54" s="665"/>
      <c r="V54" s="665"/>
      <c r="W54" s="665"/>
      <c r="X54" s="665"/>
      <c r="Y54" s="665"/>
      <c r="Z54" s="665"/>
      <c r="AA54" s="665"/>
      <c r="AB54" s="665"/>
      <c r="AC54" s="665"/>
      <c r="AD54" s="665"/>
      <c r="AE54" s="665"/>
      <c r="AF54" s="665"/>
      <c r="AG54" s="682"/>
      <c r="AH54" s="688" t="s">
        <v>187</v>
      </c>
      <c r="AI54" s="668" t="s">
        <v>200</v>
      </c>
      <c r="AJ54" s="665"/>
      <c r="AK54" s="665"/>
      <c r="AL54" s="665"/>
      <c r="AM54" s="665"/>
      <c r="AN54" s="665"/>
      <c r="AO54" s="665"/>
      <c r="AP54" s="665"/>
      <c r="AQ54" s="665"/>
      <c r="AR54" s="665"/>
      <c r="AS54" s="665"/>
      <c r="AT54" s="665"/>
      <c r="AU54" s="665"/>
      <c r="AV54" s="665"/>
      <c r="AW54" s="665"/>
      <c r="AX54" s="665"/>
      <c r="AY54" s="665"/>
      <c r="AZ54" s="665"/>
      <c r="BA54" s="665"/>
      <c r="BB54" s="665"/>
      <c r="BC54" s="665"/>
      <c r="BD54" s="665"/>
      <c r="BE54" s="665"/>
      <c r="BF54" s="665"/>
      <c r="BG54" s="665"/>
      <c r="BH54" s="665"/>
      <c r="BI54" s="665"/>
      <c r="BJ54" s="665"/>
      <c r="BK54" s="665"/>
      <c r="BL54" s="665"/>
      <c r="BM54" s="665"/>
      <c r="BN54" s="682"/>
      <c r="BO54" s="688" t="s">
        <v>187</v>
      </c>
      <c r="BP54" s="668" t="s">
        <v>201</v>
      </c>
      <c r="BQ54" s="665"/>
      <c r="BR54" s="665"/>
      <c r="BS54" s="665"/>
      <c r="BT54" s="665"/>
      <c r="BU54" s="665"/>
      <c r="BV54" s="665"/>
      <c r="BW54" s="665"/>
      <c r="BX54" s="665"/>
      <c r="BY54" s="665"/>
      <c r="BZ54" s="665"/>
      <c r="CA54" s="665"/>
      <c r="CB54" s="665"/>
      <c r="CC54" s="665"/>
      <c r="CD54" s="665"/>
      <c r="CE54" s="665"/>
      <c r="CF54" s="665"/>
      <c r="CG54" s="665"/>
      <c r="CH54" s="665"/>
      <c r="CI54" s="665"/>
      <c r="CJ54" s="665"/>
      <c r="CK54" s="665"/>
      <c r="CL54" s="665"/>
      <c r="CM54" s="665"/>
      <c r="CN54" s="665"/>
      <c r="CO54" s="665"/>
      <c r="CP54" s="665"/>
      <c r="CQ54" s="665"/>
      <c r="CR54" s="665"/>
      <c r="CS54" s="665"/>
      <c r="CT54" s="665"/>
      <c r="CU54" s="682"/>
      <c r="CV54" s="688" t="s">
        <v>187</v>
      </c>
      <c r="DG54" s="621"/>
      <c r="DH54" s="621"/>
      <c r="DI54" s="621"/>
      <c r="DJ54" s="621"/>
      <c r="DK54" s="621"/>
      <c r="DL54" s="621"/>
      <c r="DM54" s="621"/>
      <c r="DN54" s="621"/>
      <c r="DO54" s="621"/>
      <c r="DP54" s="621"/>
      <c r="DQ54" s="621"/>
      <c r="DR54" s="621"/>
      <c r="DS54" s="621"/>
      <c r="DT54" s="621"/>
      <c r="DU54" s="621"/>
      <c r="DV54" s="621"/>
      <c r="DW54" s="621"/>
      <c r="DX54" s="621"/>
      <c r="DY54" s="621"/>
      <c r="DZ54" s="621"/>
      <c r="EA54" s="621"/>
      <c r="EB54" s="621"/>
      <c r="EC54" s="621"/>
      <c r="ED54" s="621"/>
      <c r="EE54" s="621"/>
      <c r="EF54" s="621"/>
      <c r="EG54" s="621"/>
      <c r="EH54" s="621"/>
      <c r="EI54" s="621"/>
      <c r="EJ54" s="621"/>
      <c r="EK54" s="621"/>
      <c r="EL54" s="621"/>
      <c r="EM54" s="621"/>
      <c r="EN54" s="621"/>
      <c r="EO54" s="621"/>
      <c r="EP54" s="621"/>
      <c r="EQ54" s="621"/>
      <c r="ER54" s="621"/>
      <c r="ES54" s="621"/>
      <c r="ET54" s="621"/>
      <c r="EU54" s="621"/>
      <c r="EV54" s="621"/>
      <c r="EW54" s="621"/>
      <c r="EX54" s="621"/>
      <c r="EY54" s="621"/>
      <c r="EZ54" s="621"/>
    </row>
    <row r="55" spans="1:156" ht="13.5" thickBot="1">
      <c r="B55" s="699">
        <v>1</v>
      </c>
      <c r="C55" s="699">
        <v>2</v>
      </c>
      <c r="D55" s="699">
        <v>3</v>
      </c>
      <c r="E55" s="699">
        <v>4</v>
      </c>
      <c r="F55" s="699">
        <v>5</v>
      </c>
      <c r="G55" s="699">
        <v>6</v>
      </c>
      <c r="H55" s="699">
        <v>7</v>
      </c>
      <c r="I55" s="699">
        <v>8</v>
      </c>
      <c r="J55" s="699">
        <v>9</v>
      </c>
      <c r="K55" s="699">
        <v>10</v>
      </c>
      <c r="L55" s="699">
        <v>11</v>
      </c>
      <c r="M55" s="699">
        <v>12</v>
      </c>
      <c r="N55" s="699">
        <v>13</v>
      </c>
      <c r="O55" s="699">
        <v>14</v>
      </c>
      <c r="P55" s="699">
        <v>15</v>
      </c>
      <c r="Q55" s="699">
        <v>16</v>
      </c>
      <c r="R55" s="699">
        <v>17</v>
      </c>
      <c r="S55" s="699">
        <v>18</v>
      </c>
      <c r="T55" s="699">
        <v>19</v>
      </c>
      <c r="U55" s="699">
        <v>20</v>
      </c>
      <c r="V55" s="699">
        <v>21</v>
      </c>
      <c r="W55" s="699">
        <v>22</v>
      </c>
      <c r="X55" s="699">
        <v>27</v>
      </c>
      <c r="Y55" s="699">
        <v>24</v>
      </c>
      <c r="Z55" s="699">
        <v>25</v>
      </c>
      <c r="AA55" s="699">
        <v>26</v>
      </c>
      <c r="AB55" s="699">
        <v>27</v>
      </c>
      <c r="AC55" s="699">
        <v>28</v>
      </c>
      <c r="AD55" s="699">
        <v>29</v>
      </c>
      <c r="AE55" s="699">
        <v>30</v>
      </c>
      <c r="AF55" s="699">
        <v>31</v>
      </c>
      <c r="AG55" s="679"/>
      <c r="AH55" s="685"/>
      <c r="AI55" s="699">
        <v>1</v>
      </c>
      <c r="AJ55" s="699">
        <v>2</v>
      </c>
      <c r="AK55" s="699">
        <v>3</v>
      </c>
      <c r="AL55" s="699">
        <v>4</v>
      </c>
      <c r="AM55" s="699">
        <v>5</v>
      </c>
      <c r="AN55" s="699">
        <v>6</v>
      </c>
      <c r="AO55" s="699">
        <v>7</v>
      </c>
      <c r="AP55" s="699">
        <v>8</v>
      </c>
      <c r="AQ55" s="699">
        <v>9</v>
      </c>
      <c r="AR55" s="699">
        <v>10</v>
      </c>
      <c r="AS55" s="699">
        <v>11</v>
      </c>
      <c r="AT55" s="699">
        <v>12</v>
      </c>
      <c r="AU55" s="699">
        <v>13</v>
      </c>
      <c r="AV55" s="699">
        <v>14</v>
      </c>
      <c r="AW55" s="699">
        <v>15</v>
      </c>
      <c r="AX55" s="699">
        <v>16</v>
      </c>
      <c r="AY55" s="699">
        <v>17</v>
      </c>
      <c r="AZ55" s="699">
        <v>18</v>
      </c>
      <c r="BA55" s="699">
        <v>19</v>
      </c>
      <c r="BB55" s="699">
        <v>20</v>
      </c>
      <c r="BC55" s="699">
        <v>21</v>
      </c>
      <c r="BD55" s="699">
        <v>22</v>
      </c>
      <c r="BE55" s="699">
        <v>27</v>
      </c>
      <c r="BF55" s="699">
        <v>24</v>
      </c>
      <c r="BG55" s="699">
        <v>25</v>
      </c>
      <c r="BH55" s="699">
        <v>26</v>
      </c>
      <c r="BI55" s="699">
        <v>27</v>
      </c>
      <c r="BJ55" s="699">
        <v>28</v>
      </c>
      <c r="BK55" s="699">
        <v>29</v>
      </c>
      <c r="BL55" s="699">
        <v>30</v>
      </c>
      <c r="BM55" s="699">
        <v>31</v>
      </c>
      <c r="BN55" s="679"/>
      <c r="BO55" s="685"/>
      <c r="BP55" s="699">
        <v>1</v>
      </c>
      <c r="BQ55" s="699">
        <v>2</v>
      </c>
      <c r="BR55" s="699">
        <v>3</v>
      </c>
      <c r="BS55" s="699">
        <v>4</v>
      </c>
      <c r="BT55" s="699">
        <v>5</v>
      </c>
      <c r="BU55" s="699">
        <v>6</v>
      </c>
      <c r="BV55" s="699">
        <v>7</v>
      </c>
      <c r="BW55" s="699">
        <v>8</v>
      </c>
      <c r="BX55" s="699">
        <v>9</v>
      </c>
      <c r="BY55" s="699">
        <v>10</v>
      </c>
      <c r="BZ55" s="699">
        <v>11</v>
      </c>
      <c r="CA55" s="699">
        <v>12</v>
      </c>
      <c r="CB55" s="699">
        <v>13</v>
      </c>
      <c r="CC55" s="699">
        <v>14</v>
      </c>
      <c r="CD55" s="699">
        <v>15</v>
      </c>
      <c r="CE55" s="699">
        <v>16</v>
      </c>
      <c r="CF55" s="699">
        <v>17</v>
      </c>
      <c r="CG55" s="699">
        <v>18</v>
      </c>
      <c r="CH55" s="699">
        <v>19</v>
      </c>
      <c r="CI55" s="699">
        <v>20</v>
      </c>
      <c r="CJ55" s="699">
        <v>21</v>
      </c>
      <c r="CK55" s="699">
        <v>22</v>
      </c>
      <c r="CL55" s="699">
        <v>27</v>
      </c>
      <c r="CM55" s="699">
        <v>24</v>
      </c>
      <c r="CN55" s="699">
        <v>25</v>
      </c>
      <c r="CO55" s="699">
        <v>26</v>
      </c>
      <c r="CP55" s="699">
        <v>27</v>
      </c>
      <c r="CQ55" s="699">
        <v>28</v>
      </c>
      <c r="CR55" s="699">
        <v>29</v>
      </c>
      <c r="CS55" s="699">
        <v>30</v>
      </c>
      <c r="CT55" s="699">
        <v>31</v>
      </c>
      <c r="CU55" s="679"/>
      <c r="CV55" s="685"/>
      <c r="DG55" s="621"/>
      <c r="DH55" s="621"/>
      <c r="DI55" s="621"/>
      <c r="DJ55" s="621"/>
      <c r="DK55" s="621"/>
      <c r="DL55" s="621"/>
      <c r="DM55" s="621"/>
      <c r="DN55" s="621"/>
      <c r="DO55" s="621"/>
      <c r="DP55" s="621"/>
      <c r="DQ55" s="621"/>
      <c r="DR55" s="621"/>
      <c r="DS55" s="621"/>
      <c r="DT55" s="621"/>
      <c r="DU55" s="621"/>
      <c r="DV55" s="621"/>
      <c r="DW55" s="621"/>
      <c r="DX55" s="621"/>
      <c r="DY55" s="621"/>
      <c r="DZ55" s="621"/>
      <c r="EA55" s="621"/>
      <c r="EB55" s="621"/>
      <c r="EC55" s="621"/>
      <c r="ED55" s="621"/>
      <c r="EE55" s="621"/>
      <c r="EF55" s="621"/>
      <c r="EG55" s="621"/>
      <c r="EH55" s="621"/>
      <c r="EI55" s="621"/>
      <c r="EJ55" s="621"/>
      <c r="EK55" s="621"/>
      <c r="EL55" s="621"/>
      <c r="EM55" s="621"/>
      <c r="EN55" s="621"/>
      <c r="EO55" s="621"/>
      <c r="EP55" s="621"/>
      <c r="EQ55" s="621"/>
      <c r="ER55" s="621"/>
      <c r="ES55" s="621"/>
      <c r="ET55" s="621"/>
      <c r="EU55" s="621"/>
      <c r="EV55" s="621"/>
      <c r="EW55" s="621"/>
      <c r="EX55" s="621"/>
      <c r="EY55" s="621"/>
      <c r="EZ55" s="621"/>
    </row>
    <row r="56" spans="1:156" ht="16.5" customHeight="1">
      <c r="A56" s="629" t="s">
        <v>190</v>
      </c>
      <c r="B56" s="678">
        <v>1</v>
      </c>
      <c r="C56" s="678">
        <v>2</v>
      </c>
      <c r="D56" s="678">
        <v>3</v>
      </c>
      <c r="E56" s="678">
        <v>4</v>
      </c>
      <c r="F56" s="678">
        <v>5</v>
      </c>
      <c r="G56" s="678">
        <v>6</v>
      </c>
      <c r="H56" s="678">
        <v>7</v>
      </c>
      <c r="I56" s="678">
        <v>8</v>
      </c>
      <c r="J56" s="678">
        <v>9</v>
      </c>
      <c r="K56" s="678">
        <v>10</v>
      </c>
      <c r="L56" s="678">
        <v>11</v>
      </c>
      <c r="M56" s="678">
        <v>12</v>
      </c>
      <c r="N56" s="678">
        <v>13</v>
      </c>
      <c r="O56" s="678">
        <v>14</v>
      </c>
      <c r="P56" s="678">
        <v>15</v>
      </c>
      <c r="Q56" s="678">
        <v>16</v>
      </c>
      <c r="R56" s="678">
        <v>17</v>
      </c>
      <c r="S56" s="678">
        <v>18</v>
      </c>
      <c r="T56" s="678">
        <v>19</v>
      </c>
      <c r="U56" s="678">
        <v>20</v>
      </c>
      <c r="V56" s="678">
        <v>21</v>
      </c>
      <c r="W56" s="678">
        <v>22</v>
      </c>
      <c r="X56" s="678">
        <v>23</v>
      </c>
      <c r="Y56" s="678">
        <v>24</v>
      </c>
      <c r="Z56" s="678">
        <v>25</v>
      </c>
      <c r="AA56" s="678">
        <v>26</v>
      </c>
      <c r="AB56" s="678">
        <v>27</v>
      </c>
      <c r="AC56" s="678">
        <v>28</v>
      </c>
      <c r="AD56" s="678">
        <v>29</v>
      </c>
      <c r="AE56" s="678">
        <v>30</v>
      </c>
      <c r="AF56" s="678">
        <v>31</v>
      </c>
      <c r="AG56" s="679">
        <f>COUNT(B56:AF56)*$X$25</f>
        <v>31</v>
      </c>
      <c r="AH56" s="686">
        <v>7.0000000000000001E-3</v>
      </c>
      <c r="AI56" s="678">
        <v>1</v>
      </c>
      <c r="AJ56" s="678">
        <v>2</v>
      </c>
      <c r="AK56" s="678">
        <v>3</v>
      </c>
      <c r="AL56" s="678">
        <v>4</v>
      </c>
      <c r="AM56" s="678">
        <v>5</v>
      </c>
      <c r="AN56" s="678">
        <v>6</v>
      </c>
      <c r="AO56" s="678">
        <v>7</v>
      </c>
      <c r="AP56" s="678">
        <v>8</v>
      </c>
      <c r="AQ56" s="678">
        <v>9</v>
      </c>
      <c r="AR56" s="678">
        <v>10</v>
      </c>
      <c r="AS56" s="678">
        <v>11</v>
      </c>
      <c r="AT56" s="678">
        <v>12</v>
      </c>
      <c r="AU56" s="678">
        <v>13</v>
      </c>
      <c r="AV56" s="678">
        <v>14</v>
      </c>
      <c r="AW56" s="678">
        <v>15</v>
      </c>
      <c r="AX56" s="678">
        <v>16</v>
      </c>
      <c r="AY56" s="678">
        <v>17</v>
      </c>
      <c r="AZ56" s="678">
        <v>18</v>
      </c>
      <c r="BA56" s="678">
        <v>19</v>
      </c>
      <c r="BB56" s="678">
        <v>20</v>
      </c>
      <c r="BC56" s="678">
        <v>21</v>
      </c>
      <c r="BD56" s="678">
        <v>22</v>
      </c>
      <c r="BE56" s="678">
        <v>23</v>
      </c>
      <c r="BF56" s="678">
        <v>24</v>
      </c>
      <c r="BG56" s="678">
        <v>25</v>
      </c>
      <c r="BH56" s="678">
        <v>26</v>
      </c>
      <c r="BI56" s="678">
        <v>27</v>
      </c>
      <c r="BJ56" s="678">
        <v>28</v>
      </c>
      <c r="BK56" s="678">
        <v>29</v>
      </c>
      <c r="BL56" s="678">
        <v>30</v>
      </c>
      <c r="BM56" s="678">
        <v>31</v>
      </c>
      <c r="BN56" s="679">
        <f>COUNT(AI56:BM56)*$X$25</f>
        <v>31</v>
      </c>
      <c r="BO56" s="686">
        <v>7.0000000000000001E-3</v>
      </c>
      <c r="BP56" s="678">
        <v>1</v>
      </c>
      <c r="BQ56" s="678">
        <v>2</v>
      </c>
      <c r="BR56" s="678">
        <v>3</v>
      </c>
      <c r="BS56" s="678">
        <v>4</v>
      </c>
      <c r="BT56" s="678">
        <v>5</v>
      </c>
      <c r="BU56" s="678">
        <v>6</v>
      </c>
      <c r="BV56" s="678">
        <v>7</v>
      </c>
      <c r="BW56" s="678">
        <v>8</v>
      </c>
      <c r="BX56" s="678">
        <v>9</v>
      </c>
      <c r="BY56" s="678">
        <v>10</v>
      </c>
      <c r="BZ56" s="678">
        <v>11</v>
      </c>
      <c r="CA56" s="678">
        <v>12</v>
      </c>
      <c r="CB56" s="678">
        <v>13</v>
      </c>
      <c r="CC56" s="678">
        <v>14</v>
      </c>
      <c r="CD56" s="678">
        <v>15</v>
      </c>
      <c r="CE56" s="678">
        <v>16</v>
      </c>
      <c r="CF56" s="678">
        <v>17</v>
      </c>
      <c r="CG56" s="678">
        <v>18</v>
      </c>
      <c r="CH56" s="678">
        <v>19</v>
      </c>
      <c r="CI56" s="678">
        <v>20</v>
      </c>
      <c r="CJ56" s="678">
        <v>21</v>
      </c>
      <c r="CK56" s="678">
        <v>22</v>
      </c>
      <c r="CL56" s="678">
        <v>23</v>
      </c>
      <c r="CM56" s="678">
        <v>24</v>
      </c>
      <c r="CN56" s="678">
        <v>25</v>
      </c>
      <c r="CO56" s="678">
        <v>26</v>
      </c>
      <c r="CP56" s="678">
        <v>27</v>
      </c>
      <c r="CQ56" s="678">
        <v>28</v>
      </c>
      <c r="CR56" s="678">
        <v>29</v>
      </c>
      <c r="CS56" s="678">
        <v>30</v>
      </c>
      <c r="CT56" s="678">
        <v>31</v>
      </c>
      <c r="CU56" s="679">
        <f>COUNT(BP56:CT56)*$X$25</f>
        <v>31</v>
      </c>
      <c r="CV56" s="686">
        <v>7.0000000000000001E-3</v>
      </c>
      <c r="DG56" s="621"/>
      <c r="DH56" s="621"/>
      <c r="DI56" s="621"/>
      <c r="DJ56" s="621"/>
      <c r="DK56" s="621"/>
      <c r="DL56" s="621"/>
      <c r="DM56" s="621"/>
      <c r="DN56" s="621"/>
      <c r="DO56" s="621"/>
      <c r="DP56" s="621"/>
      <c r="DQ56" s="621"/>
      <c r="DR56" s="621"/>
      <c r="DS56" s="621"/>
      <c r="DT56" s="621"/>
      <c r="DU56" s="621"/>
      <c r="DV56" s="621"/>
      <c r="DW56" s="621"/>
      <c r="DX56" s="621"/>
      <c r="DY56" s="621"/>
      <c r="DZ56" s="621"/>
      <c r="EA56" s="621"/>
      <c r="EB56" s="621"/>
      <c r="EC56" s="621"/>
      <c r="ED56" s="621"/>
      <c r="EE56" s="621"/>
      <c r="EF56" s="621"/>
      <c r="EG56" s="621"/>
      <c r="EH56" s="621"/>
      <c r="EI56" s="621"/>
      <c r="EJ56" s="621"/>
      <c r="EK56" s="621"/>
      <c r="EL56" s="621"/>
      <c r="EM56" s="621"/>
      <c r="EN56" s="621"/>
      <c r="EO56" s="621"/>
      <c r="EP56" s="621"/>
      <c r="EQ56" s="621"/>
      <c r="ER56" s="621"/>
      <c r="ES56" s="621"/>
      <c r="ET56" s="621"/>
      <c r="EU56" s="621"/>
      <c r="EV56" s="621"/>
      <c r="EW56" s="621"/>
      <c r="EX56" s="621"/>
      <c r="EY56" s="621"/>
      <c r="EZ56" s="621"/>
    </row>
    <row r="57" spans="1:156" ht="16.5" customHeight="1">
      <c r="A57" s="630" t="s">
        <v>191</v>
      </c>
      <c r="B57" s="701"/>
      <c r="C57" s="678"/>
      <c r="D57" s="678"/>
      <c r="E57" s="678"/>
      <c r="F57" s="678"/>
      <c r="G57" s="678"/>
      <c r="H57" s="678"/>
      <c r="I57" s="678"/>
      <c r="J57" s="678"/>
      <c r="K57" s="678"/>
      <c r="L57" s="678"/>
      <c r="M57" s="678"/>
      <c r="N57" s="678"/>
      <c r="O57" s="678"/>
      <c r="P57" s="678"/>
      <c r="Q57" s="678"/>
      <c r="R57" s="678"/>
      <c r="S57" s="678"/>
      <c r="T57" s="678"/>
      <c r="U57" s="678"/>
      <c r="V57" s="678"/>
      <c r="W57" s="678"/>
      <c r="X57" s="678"/>
      <c r="Y57" s="678"/>
      <c r="Z57" s="678"/>
      <c r="AA57" s="678"/>
      <c r="AB57" s="678"/>
      <c r="AC57" s="678"/>
      <c r="AD57" s="678"/>
      <c r="AE57" s="678"/>
      <c r="AF57" s="678"/>
      <c r="AG57" s="679">
        <f>COUNT(B57:AF57)*$X$25</f>
        <v>0</v>
      </c>
      <c r="AH57" s="686">
        <v>0</v>
      </c>
      <c r="AI57" s="701"/>
      <c r="AJ57" s="678"/>
      <c r="AK57" s="678"/>
      <c r="AL57" s="678"/>
      <c r="AM57" s="678"/>
      <c r="AN57" s="678"/>
      <c r="AO57" s="678"/>
      <c r="AP57" s="678"/>
      <c r="AQ57" s="678"/>
      <c r="AR57" s="678"/>
      <c r="AS57" s="678"/>
      <c r="AT57" s="678"/>
      <c r="AU57" s="678"/>
      <c r="AV57" s="678"/>
      <c r="AW57" s="678"/>
      <c r="AX57" s="678"/>
      <c r="AY57" s="678"/>
      <c r="AZ57" s="678"/>
      <c r="BA57" s="678"/>
      <c r="BB57" s="678"/>
      <c r="BC57" s="678"/>
      <c r="BD57" s="678"/>
      <c r="BE57" s="678"/>
      <c r="BF57" s="678"/>
      <c r="BG57" s="678"/>
      <c r="BH57" s="678"/>
      <c r="BI57" s="678"/>
      <c r="BJ57" s="678"/>
      <c r="BK57" s="678"/>
      <c r="BL57" s="678"/>
      <c r="BM57" s="678"/>
      <c r="BN57" s="679">
        <f>COUNT(AI57:BM57)*$X$25</f>
        <v>0</v>
      </c>
      <c r="BO57" s="686">
        <v>0</v>
      </c>
      <c r="BP57" s="701"/>
      <c r="BQ57" s="678"/>
      <c r="BR57" s="678"/>
      <c r="BS57" s="678"/>
      <c r="BT57" s="678"/>
      <c r="BU57" s="678"/>
      <c r="BV57" s="678"/>
      <c r="BW57" s="678"/>
      <c r="BX57" s="678"/>
      <c r="BY57" s="678"/>
      <c r="BZ57" s="678"/>
      <c r="CA57" s="678"/>
      <c r="CB57" s="678"/>
      <c r="CC57" s="678"/>
      <c r="CD57" s="678"/>
      <c r="CE57" s="678"/>
      <c r="CF57" s="678"/>
      <c r="CG57" s="678"/>
      <c r="CH57" s="678"/>
      <c r="CI57" s="678"/>
      <c r="CJ57" s="678"/>
      <c r="CK57" s="678"/>
      <c r="CL57" s="678"/>
      <c r="CM57" s="678"/>
      <c r="CN57" s="678"/>
      <c r="CO57" s="678"/>
      <c r="CP57" s="678"/>
      <c r="CQ57" s="678"/>
      <c r="CR57" s="678"/>
      <c r="CS57" s="678"/>
      <c r="CT57" s="678"/>
      <c r="CU57" s="679">
        <f>COUNT(BP57:CT57)*$X$25</f>
        <v>0</v>
      </c>
      <c r="CV57" s="686">
        <v>0</v>
      </c>
      <c r="DG57" s="621"/>
      <c r="DH57" s="621"/>
      <c r="DI57" s="621"/>
      <c r="DJ57" s="621"/>
      <c r="DK57" s="621"/>
      <c r="DL57" s="621"/>
      <c r="DM57" s="621"/>
      <c r="DN57" s="621"/>
      <c r="DO57" s="621"/>
      <c r="DP57" s="621"/>
      <c r="DQ57" s="621"/>
      <c r="DR57" s="621"/>
      <c r="DS57" s="621"/>
      <c r="DT57" s="621"/>
      <c r="DU57" s="621"/>
      <c r="DV57" s="621"/>
      <c r="DW57" s="621"/>
      <c r="DX57" s="621"/>
      <c r="DY57" s="621"/>
      <c r="DZ57" s="621"/>
      <c r="EA57" s="621"/>
      <c r="EB57" s="621"/>
      <c r="EC57" s="621"/>
      <c r="ED57" s="621"/>
      <c r="EE57" s="621"/>
      <c r="EF57" s="621"/>
      <c r="EG57" s="621"/>
      <c r="EH57" s="621"/>
      <c r="EI57" s="621"/>
      <c r="EJ57" s="621"/>
      <c r="EK57" s="621"/>
      <c r="EL57" s="621"/>
      <c r="EM57" s="621"/>
      <c r="EN57" s="621"/>
      <c r="EO57" s="621"/>
      <c r="EP57" s="621"/>
      <c r="EQ57" s="621"/>
      <c r="ER57" s="621"/>
      <c r="ES57" s="621"/>
      <c r="ET57" s="621"/>
      <c r="EU57" s="621"/>
      <c r="EV57" s="621"/>
      <c r="EW57" s="621"/>
      <c r="EX57" s="621"/>
      <c r="EY57" s="621"/>
      <c r="EZ57" s="621"/>
    </row>
    <row r="58" spans="1:156" ht="16.5" customHeight="1">
      <c r="A58" s="630" t="s">
        <v>192</v>
      </c>
      <c r="B58" s="701"/>
      <c r="C58" s="678"/>
      <c r="D58" s="678"/>
      <c r="E58" s="678"/>
      <c r="F58" s="678"/>
      <c r="G58" s="678"/>
      <c r="H58" s="678"/>
      <c r="I58" s="678"/>
      <c r="J58" s="678"/>
      <c r="K58" s="678"/>
      <c r="L58" s="678"/>
      <c r="M58" s="678"/>
      <c r="N58" s="678"/>
      <c r="O58" s="678"/>
      <c r="P58" s="678"/>
      <c r="Q58" s="678"/>
      <c r="R58" s="678"/>
      <c r="S58" s="678"/>
      <c r="T58" s="678"/>
      <c r="U58" s="678"/>
      <c r="V58" s="678"/>
      <c r="W58" s="678"/>
      <c r="X58" s="678"/>
      <c r="Y58" s="678"/>
      <c r="Z58" s="678"/>
      <c r="AA58" s="678"/>
      <c r="AB58" s="678"/>
      <c r="AC58" s="678"/>
      <c r="AD58" s="678"/>
      <c r="AE58" s="678"/>
      <c r="AF58" s="678"/>
      <c r="AG58" s="679">
        <f t="shared" ref="AG58:AG67" si="6">COUNT(B58:AF58)</f>
        <v>0</v>
      </c>
      <c r="AH58" s="686"/>
      <c r="AI58" s="701"/>
      <c r="AJ58" s="678"/>
      <c r="AK58" s="678"/>
      <c r="AL58" s="678"/>
      <c r="AM58" s="678"/>
      <c r="AN58" s="678"/>
      <c r="AO58" s="678"/>
      <c r="AP58" s="678"/>
      <c r="AQ58" s="678"/>
      <c r="AR58" s="678"/>
      <c r="AS58" s="678"/>
      <c r="AT58" s="678"/>
      <c r="AU58" s="678"/>
      <c r="AV58" s="678"/>
      <c r="AW58" s="678"/>
      <c r="AX58" s="678"/>
      <c r="AY58" s="678"/>
      <c r="AZ58" s="678"/>
      <c r="BA58" s="678"/>
      <c r="BB58" s="678"/>
      <c r="BC58" s="678"/>
      <c r="BD58" s="678"/>
      <c r="BE58" s="678"/>
      <c r="BF58" s="678"/>
      <c r="BG58" s="678"/>
      <c r="BH58" s="678"/>
      <c r="BI58" s="678"/>
      <c r="BJ58" s="678"/>
      <c r="BK58" s="678"/>
      <c r="BL58" s="678"/>
      <c r="BM58" s="678"/>
      <c r="BN58" s="679">
        <f t="shared" ref="BN58:BN67" si="7">COUNT(AI58:BM58)</f>
        <v>0</v>
      </c>
      <c r="BO58" s="686"/>
      <c r="BP58" s="701"/>
      <c r="BQ58" s="678"/>
      <c r="BR58" s="678"/>
      <c r="BS58" s="678"/>
      <c r="BT58" s="678"/>
      <c r="BU58" s="678"/>
      <c r="BV58" s="678"/>
      <c r="BW58" s="678"/>
      <c r="BX58" s="678"/>
      <c r="BY58" s="678"/>
      <c r="BZ58" s="678"/>
      <c r="CA58" s="678"/>
      <c r="CB58" s="678"/>
      <c r="CC58" s="678"/>
      <c r="CD58" s="678"/>
      <c r="CE58" s="678"/>
      <c r="CF58" s="678"/>
      <c r="CG58" s="678"/>
      <c r="CH58" s="678"/>
      <c r="CI58" s="678"/>
      <c r="CJ58" s="678"/>
      <c r="CK58" s="678"/>
      <c r="CL58" s="678"/>
      <c r="CM58" s="678"/>
      <c r="CN58" s="678"/>
      <c r="CO58" s="678"/>
      <c r="CP58" s="678"/>
      <c r="CQ58" s="678"/>
      <c r="CR58" s="678"/>
      <c r="CS58" s="678"/>
      <c r="CT58" s="678"/>
      <c r="CU58" s="679">
        <f t="shared" ref="CU58:CU67" si="8">COUNT(BP58:CT58)</f>
        <v>0</v>
      </c>
      <c r="CV58" s="686"/>
      <c r="DG58" s="621"/>
      <c r="DH58" s="621"/>
      <c r="DI58" s="621"/>
      <c r="DJ58" s="621"/>
      <c r="DK58" s="621"/>
      <c r="DL58" s="621"/>
      <c r="DM58" s="621"/>
      <c r="DN58" s="621"/>
      <c r="DO58" s="621"/>
      <c r="DP58" s="621"/>
      <c r="DQ58" s="621"/>
      <c r="DR58" s="621"/>
      <c r="DS58" s="621"/>
      <c r="DT58" s="621"/>
      <c r="DU58" s="621"/>
      <c r="DV58" s="621"/>
      <c r="DW58" s="621"/>
      <c r="DX58" s="621"/>
      <c r="DY58" s="621"/>
      <c r="DZ58" s="621"/>
      <c r="EA58" s="621"/>
      <c r="EB58" s="621"/>
      <c r="EC58" s="621"/>
      <c r="ED58" s="621"/>
      <c r="EE58" s="621"/>
      <c r="EF58" s="621"/>
      <c r="EG58" s="621"/>
      <c r="EH58" s="621"/>
      <c r="EI58" s="621"/>
      <c r="EJ58" s="621"/>
      <c r="EK58" s="621"/>
      <c r="EL58" s="621"/>
      <c r="EM58" s="621"/>
      <c r="EN58" s="621"/>
      <c r="EO58" s="621"/>
      <c r="EP58" s="621"/>
      <c r="EQ58" s="621"/>
      <c r="ER58" s="621"/>
      <c r="ES58" s="621"/>
      <c r="ET58" s="621"/>
      <c r="EU58" s="621"/>
      <c r="EV58" s="621"/>
      <c r="EW58" s="621"/>
      <c r="EX58" s="621"/>
      <c r="EY58" s="621"/>
      <c r="EZ58" s="621"/>
    </row>
    <row r="59" spans="1:156" ht="16.5" customHeight="1" thickBot="1">
      <c r="A59" s="631" t="s">
        <v>192</v>
      </c>
      <c r="B59" s="701"/>
      <c r="C59" s="678"/>
      <c r="D59" s="678"/>
      <c r="E59" s="678"/>
      <c r="F59" s="678"/>
      <c r="G59" s="678"/>
      <c r="H59" s="678"/>
      <c r="I59" s="678"/>
      <c r="J59" s="678"/>
      <c r="K59" s="678"/>
      <c r="L59" s="678"/>
      <c r="M59" s="678"/>
      <c r="N59" s="678"/>
      <c r="O59" s="678"/>
      <c r="P59" s="678"/>
      <c r="Q59" s="678"/>
      <c r="R59" s="678"/>
      <c r="S59" s="678"/>
      <c r="T59" s="678"/>
      <c r="U59" s="678"/>
      <c r="V59" s="678"/>
      <c r="W59" s="678"/>
      <c r="X59" s="678"/>
      <c r="Y59" s="678"/>
      <c r="Z59" s="678"/>
      <c r="AA59" s="678"/>
      <c r="AB59" s="678"/>
      <c r="AC59" s="678"/>
      <c r="AD59" s="678"/>
      <c r="AE59" s="678"/>
      <c r="AF59" s="678"/>
      <c r="AG59" s="679">
        <f t="shared" si="6"/>
        <v>0</v>
      </c>
      <c r="AH59" s="686"/>
      <c r="AI59" s="701"/>
      <c r="AJ59" s="678"/>
      <c r="AK59" s="678"/>
      <c r="AL59" s="678"/>
      <c r="AM59" s="678"/>
      <c r="AN59" s="678"/>
      <c r="AO59" s="678"/>
      <c r="AP59" s="678"/>
      <c r="AQ59" s="678"/>
      <c r="AR59" s="678"/>
      <c r="AS59" s="678"/>
      <c r="AT59" s="678"/>
      <c r="AU59" s="678"/>
      <c r="AV59" s="678"/>
      <c r="AW59" s="678"/>
      <c r="AX59" s="678"/>
      <c r="AY59" s="678"/>
      <c r="AZ59" s="678"/>
      <c r="BA59" s="678"/>
      <c r="BB59" s="678"/>
      <c r="BC59" s="678"/>
      <c r="BD59" s="678"/>
      <c r="BE59" s="678"/>
      <c r="BF59" s="678"/>
      <c r="BG59" s="678"/>
      <c r="BH59" s="678"/>
      <c r="BI59" s="678"/>
      <c r="BJ59" s="678"/>
      <c r="BK59" s="678"/>
      <c r="BL59" s="678"/>
      <c r="BM59" s="678"/>
      <c r="BN59" s="679">
        <f t="shared" si="7"/>
        <v>0</v>
      </c>
      <c r="BO59" s="686"/>
      <c r="BP59" s="701"/>
      <c r="BQ59" s="678"/>
      <c r="BR59" s="678"/>
      <c r="BS59" s="678"/>
      <c r="BT59" s="678"/>
      <c r="BU59" s="678"/>
      <c r="BV59" s="678"/>
      <c r="BW59" s="678"/>
      <c r="BX59" s="678"/>
      <c r="BY59" s="678"/>
      <c r="BZ59" s="678"/>
      <c r="CA59" s="678"/>
      <c r="CB59" s="678"/>
      <c r="CC59" s="678"/>
      <c r="CD59" s="678"/>
      <c r="CE59" s="678"/>
      <c r="CF59" s="678"/>
      <c r="CG59" s="678"/>
      <c r="CH59" s="678"/>
      <c r="CI59" s="678"/>
      <c r="CJ59" s="678"/>
      <c r="CK59" s="678"/>
      <c r="CL59" s="678"/>
      <c r="CM59" s="678"/>
      <c r="CN59" s="678"/>
      <c r="CO59" s="678"/>
      <c r="CP59" s="678"/>
      <c r="CQ59" s="678"/>
      <c r="CR59" s="678"/>
      <c r="CS59" s="678"/>
      <c r="CT59" s="678"/>
      <c r="CU59" s="679">
        <f t="shared" si="8"/>
        <v>0</v>
      </c>
      <c r="CV59" s="686"/>
      <c r="DG59" s="621"/>
      <c r="DH59" s="621"/>
      <c r="DI59" s="621"/>
      <c r="DJ59" s="621"/>
      <c r="DK59" s="621"/>
      <c r="DL59" s="621"/>
      <c r="DM59" s="621"/>
      <c r="DN59" s="621"/>
      <c r="DO59" s="621"/>
      <c r="DP59" s="621"/>
      <c r="DQ59" s="621"/>
      <c r="DR59" s="621"/>
      <c r="DS59" s="621"/>
      <c r="DT59" s="621"/>
      <c r="DU59" s="621"/>
      <c r="DV59" s="621"/>
      <c r="DW59" s="621"/>
      <c r="DX59" s="621"/>
      <c r="DY59" s="621"/>
      <c r="DZ59" s="621"/>
      <c r="EA59" s="621"/>
      <c r="EB59" s="621"/>
      <c r="EC59" s="621"/>
      <c r="ED59" s="621"/>
      <c r="EE59" s="621"/>
      <c r="EF59" s="621"/>
      <c r="EG59" s="621"/>
      <c r="EH59" s="621"/>
      <c r="EI59" s="621"/>
      <c r="EJ59" s="621"/>
      <c r="EK59" s="621"/>
      <c r="EL59" s="621"/>
      <c r="EM59" s="621"/>
      <c r="EN59" s="621"/>
      <c r="EO59" s="621"/>
      <c r="EP59" s="621"/>
      <c r="EQ59" s="621"/>
      <c r="ER59" s="621"/>
      <c r="ES59" s="621"/>
      <c r="ET59" s="621"/>
      <c r="EU59" s="621"/>
      <c r="EV59" s="621"/>
      <c r="EW59" s="621"/>
      <c r="EX59" s="621"/>
      <c r="EY59" s="621"/>
      <c r="EZ59" s="621"/>
    </row>
    <row r="60" spans="1:156" ht="16.5" customHeight="1">
      <c r="A60" s="629" t="s">
        <v>193</v>
      </c>
      <c r="B60" s="701"/>
      <c r="C60" s="692"/>
      <c r="D60" s="692"/>
      <c r="E60" s="692"/>
      <c r="F60" s="692"/>
      <c r="G60" s="692"/>
      <c r="H60" s="692"/>
      <c r="I60" s="692"/>
      <c r="J60" s="692"/>
      <c r="K60" s="678"/>
      <c r="L60" s="678"/>
      <c r="M60" s="678"/>
      <c r="N60" s="678"/>
      <c r="O60" s="678"/>
      <c r="P60" s="678"/>
      <c r="Q60" s="678"/>
      <c r="R60" s="678"/>
      <c r="S60" s="678"/>
      <c r="T60" s="678"/>
      <c r="U60" s="678"/>
      <c r="V60" s="678"/>
      <c r="W60" s="678"/>
      <c r="X60" s="678"/>
      <c r="Y60" s="678"/>
      <c r="Z60" s="678"/>
      <c r="AA60" s="678"/>
      <c r="AB60" s="678"/>
      <c r="AC60" s="678"/>
      <c r="AD60" s="678"/>
      <c r="AE60" s="678"/>
      <c r="AF60" s="678"/>
      <c r="AG60" s="680">
        <f t="shared" si="6"/>
        <v>0</v>
      </c>
      <c r="AH60" s="687"/>
      <c r="AI60" s="701"/>
      <c r="AJ60" s="692"/>
      <c r="AK60" s="692"/>
      <c r="AL60" s="692"/>
      <c r="AM60" s="692"/>
      <c r="AN60" s="692"/>
      <c r="AO60" s="692"/>
      <c r="AP60" s="692"/>
      <c r="AQ60" s="692"/>
      <c r="AR60" s="678"/>
      <c r="AS60" s="678"/>
      <c r="AT60" s="678"/>
      <c r="AU60" s="678"/>
      <c r="AV60" s="678"/>
      <c r="AW60" s="678"/>
      <c r="AX60" s="678"/>
      <c r="AY60" s="678"/>
      <c r="AZ60" s="678"/>
      <c r="BA60" s="678"/>
      <c r="BB60" s="678"/>
      <c r="BC60" s="678"/>
      <c r="BD60" s="678"/>
      <c r="BE60" s="678"/>
      <c r="BF60" s="678"/>
      <c r="BG60" s="678"/>
      <c r="BH60" s="678"/>
      <c r="BI60" s="678"/>
      <c r="BJ60" s="678"/>
      <c r="BK60" s="678"/>
      <c r="BL60" s="678"/>
      <c r="BM60" s="678"/>
      <c r="BN60" s="680">
        <f t="shared" si="7"/>
        <v>0</v>
      </c>
      <c r="BO60" s="687"/>
      <c r="BP60" s="701"/>
      <c r="BQ60" s="692"/>
      <c r="BR60" s="692"/>
      <c r="BS60" s="692"/>
      <c r="BT60" s="692"/>
      <c r="BU60" s="692"/>
      <c r="BV60" s="692"/>
      <c r="BW60" s="692"/>
      <c r="BX60" s="692"/>
      <c r="BY60" s="678"/>
      <c r="BZ60" s="678"/>
      <c r="CA60" s="678"/>
      <c r="CB60" s="678"/>
      <c r="CC60" s="678"/>
      <c r="CD60" s="678"/>
      <c r="CE60" s="678"/>
      <c r="CF60" s="678"/>
      <c r="CG60" s="678"/>
      <c r="CH60" s="678"/>
      <c r="CI60" s="678"/>
      <c r="CJ60" s="678"/>
      <c r="CK60" s="678"/>
      <c r="CL60" s="678"/>
      <c r="CM60" s="678"/>
      <c r="CN60" s="678"/>
      <c r="CO60" s="678"/>
      <c r="CP60" s="678"/>
      <c r="CQ60" s="678"/>
      <c r="CR60" s="678"/>
      <c r="CS60" s="678"/>
      <c r="CT60" s="678"/>
      <c r="CU60" s="680">
        <f t="shared" si="8"/>
        <v>0</v>
      </c>
      <c r="CV60" s="687"/>
      <c r="DG60" s="621"/>
      <c r="DH60" s="621"/>
      <c r="DI60" s="621"/>
      <c r="DJ60" s="621"/>
      <c r="DK60" s="621"/>
      <c r="DL60" s="621"/>
      <c r="DM60" s="621"/>
      <c r="DN60" s="621"/>
      <c r="DO60" s="621"/>
      <c r="DP60" s="621"/>
      <c r="DQ60" s="621"/>
      <c r="DR60" s="621"/>
      <c r="DS60" s="621"/>
      <c r="DT60" s="621"/>
      <c r="DU60" s="621"/>
      <c r="DV60" s="621"/>
      <c r="DW60" s="621"/>
      <c r="DX60" s="621"/>
      <c r="DY60" s="621"/>
      <c r="DZ60" s="621"/>
      <c r="EA60" s="621"/>
      <c r="EB60" s="621"/>
      <c r="EC60" s="621"/>
      <c r="ED60" s="621"/>
      <c r="EE60" s="621"/>
      <c r="EF60" s="621"/>
      <c r="EG60" s="621"/>
      <c r="EH60" s="621"/>
      <c r="EI60" s="621"/>
      <c r="EJ60" s="621"/>
      <c r="EK60" s="621"/>
      <c r="EL60" s="621"/>
      <c r="EM60" s="621"/>
      <c r="EN60" s="621"/>
      <c r="EO60" s="621"/>
      <c r="EP60" s="621"/>
      <c r="EQ60" s="621"/>
      <c r="ER60" s="621"/>
      <c r="ES60" s="621"/>
      <c r="ET60" s="621"/>
      <c r="EU60" s="621"/>
      <c r="EV60" s="621"/>
      <c r="EW60" s="621"/>
      <c r="EX60" s="621"/>
      <c r="EY60" s="621"/>
      <c r="EZ60" s="621"/>
    </row>
    <row r="61" spans="1:156" ht="16.5" customHeight="1">
      <c r="A61" s="630" t="s">
        <v>194</v>
      </c>
      <c r="B61" s="701"/>
      <c r="C61" s="678"/>
      <c r="D61" s="678"/>
      <c r="E61" s="678"/>
      <c r="F61" s="678"/>
      <c r="G61" s="678"/>
      <c r="H61" s="678"/>
      <c r="I61" s="678"/>
      <c r="J61" s="678"/>
      <c r="K61" s="678"/>
      <c r="L61" s="678"/>
      <c r="M61" s="678"/>
      <c r="N61" s="678"/>
      <c r="O61" s="678"/>
      <c r="P61" s="678"/>
      <c r="Q61" s="678"/>
      <c r="R61" s="678"/>
      <c r="S61" s="678"/>
      <c r="T61" s="678"/>
      <c r="U61" s="678"/>
      <c r="V61" s="678"/>
      <c r="W61" s="678"/>
      <c r="X61" s="678"/>
      <c r="Y61" s="678"/>
      <c r="Z61" s="678"/>
      <c r="AA61" s="678"/>
      <c r="AB61" s="678"/>
      <c r="AC61" s="678"/>
      <c r="AD61" s="678"/>
      <c r="AE61" s="678"/>
      <c r="AF61" s="678"/>
      <c r="AG61" s="679">
        <f t="shared" si="6"/>
        <v>0</v>
      </c>
      <c r="AH61" s="686"/>
      <c r="AI61" s="701"/>
      <c r="AJ61" s="678"/>
      <c r="AK61" s="678"/>
      <c r="AL61" s="678"/>
      <c r="AM61" s="678"/>
      <c r="AN61" s="678"/>
      <c r="AO61" s="678"/>
      <c r="AP61" s="678"/>
      <c r="AQ61" s="678"/>
      <c r="AR61" s="678"/>
      <c r="AS61" s="678"/>
      <c r="AT61" s="678"/>
      <c r="AU61" s="678"/>
      <c r="AV61" s="678"/>
      <c r="AW61" s="678"/>
      <c r="AX61" s="678"/>
      <c r="AY61" s="678"/>
      <c r="AZ61" s="678"/>
      <c r="BA61" s="678"/>
      <c r="BB61" s="678"/>
      <c r="BC61" s="678"/>
      <c r="BD61" s="678"/>
      <c r="BE61" s="678"/>
      <c r="BF61" s="678"/>
      <c r="BG61" s="678"/>
      <c r="BH61" s="678"/>
      <c r="BI61" s="678"/>
      <c r="BJ61" s="678"/>
      <c r="BK61" s="678"/>
      <c r="BL61" s="678"/>
      <c r="BM61" s="678"/>
      <c r="BN61" s="679">
        <f t="shared" si="7"/>
        <v>0</v>
      </c>
      <c r="BO61" s="686"/>
      <c r="BP61" s="701"/>
      <c r="BQ61" s="678"/>
      <c r="BR61" s="678"/>
      <c r="BS61" s="678"/>
      <c r="BT61" s="678"/>
      <c r="BU61" s="678"/>
      <c r="BV61" s="678"/>
      <c r="BW61" s="678"/>
      <c r="BX61" s="678"/>
      <c r="BY61" s="678"/>
      <c r="BZ61" s="678"/>
      <c r="CA61" s="678"/>
      <c r="CB61" s="678"/>
      <c r="CC61" s="678"/>
      <c r="CD61" s="678"/>
      <c r="CE61" s="678"/>
      <c r="CF61" s="678"/>
      <c r="CG61" s="678"/>
      <c r="CH61" s="678"/>
      <c r="CI61" s="678"/>
      <c r="CJ61" s="678"/>
      <c r="CK61" s="678"/>
      <c r="CL61" s="678"/>
      <c r="CM61" s="678"/>
      <c r="CN61" s="678"/>
      <c r="CO61" s="678"/>
      <c r="CP61" s="678"/>
      <c r="CQ61" s="678"/>
      <c r="CR61" s="678"/>
      <c r="CS61" s="678"/>
      <c r="CT61" s="678"/>
      <c r="CU61" s="679">
        <f t="shared" si="8"/>
        <v>0</v>
      </c>
      <c r="CV61" s="686"/>
    </row>
    <row r="62" spans="1:156" ht="16.5" customHeight="1">
      <c r="A62" s="630" t="s">
        <v>192</v>
      </c>
      <c r="B62" s="701"/>
      <c r="C62" s="678"/>
      <c r="D62" s="678"/>
      <c r="E62" s="678"/>
      <c r="F62" s="678"/>
      <c r="G62" s="678"/>
      <c r="H62" s="678"/>
      <c r="I62" s="678"/>
      <c r="J62" s="678"/>
      <c r="K62" s="678"/>
      <c r="L62" s="678"/>
      <c r="M62" s="678"/>
      <c r="N62" s="678"/>
      <c r="O62" s="678"/>
      <c r="P62" s="678"/>
      <c r="Q62" s="678"/>
      <c r="R62" s="678"/>
      <c r="S62" s="678"/>
      <c r="T62" s="678"/>
      <c r="U62" s="678"/>
      <c r="V62" s="678"/>
      <c r="W62" s="678"/>
      <c r="X62" s="678"/>
      <c r="Y62" s="678"/>
      <c r="Z62" s="678"/>
      <c r="AA62" s="678"/>
      <c r="AB62" s="678"/>
      <c r="AC62" s="678"/>
      <c r="AD62" s="678"/>
      <c r="AE62" s="678"/>
      <c r="AF62" s="678"/>
      <c r="AG62" s="679">
        <f t="shared" si="6"/>
        <v>0</v>
      </c>
      <c r="AH62" s="686"/>
      <c r="AI62" s="701"/>
      <c r="AJ62" s="678"/>
      <c r="AK62" s="678"/>
      <c r="AL62" s="678"/>
      <c r="AM62" s="678"/>
      <c r="AN62" s="678"/>
      <c r="AO62" s="678"/>
      <c r="AP62" s="678"/>
      <c r="AQ62" s="678"/>
      <c r="AR62" s="678"/>
      <c r="AS62" s="678"/>
      <c r="AT62" s="678"/>
      <c r="AU62" s="678"/>
      <c r="AV62" s="678"/>
      <c r="AW62" s="678"/>
      <c r="AX62" s="678"/>
      <c r="AY62" s="678"/>
      <c r="AZ62" s="678"/>
      <c r="BA62" s="678"/>
      <c r="BB62" s="678"/>
      <c r="BC62" s="678"/>
      <c r="BD62" s="678"/>
      <c r="BE62" s="678"/>
      <c r="BF62" s="678"/>
      <c r="BG62" s="678"/>
      <c r="BH62" s="678"/>
      <c r="BI62" s="678"/>
      <c r="BJ62" s="678"/>
      <c r="BK62" s="678"/>
      <c r="BL62" s="678"/>
      <c r="BM62" s="678"/>
      <c r="BN62" s="679">
        <f t="shared" si="7"/>
        <v>0</v>
      </c>
      <c r="BO62" s="686"/>
      <c r="BP62" s="701"/>
      <c r="BQ62" s="678"/>
      <c r="BR62" s="678"/>
      <c r="BS62" s="678"/>
      <c r="BT62" s="678"/>
      <c r="BU62" s="678"/>
      <c r="BV62" s="678"/>
      <c r="BW62" s="678"/>
      <c r="BX62" s="678"/>
      <c r="BY62" s="678"/>
      <c r="BZ62" s="678"/>
      <c r="CA62" s="678"/>
      <c r="CB62" s="678"/>
      <c r="CC62" s="678"/>
      <c r="CD62" s="678"/>
      <c r="CE62" s="678"/>
      <c r="CF62" s="678"/>
      <c r="CG62" s="678"/>
      <c r="CH62" s="678"/>
      <c r="CI62" s="678"/>
      <c r="CJ62" s="678"/>
      <c r="CK62" s="678"/>
      <c r="CL62" s="678"/>
      <c r="CM62" s="678"/>
      <c r="CN62" s="678"/>
      <c r="CO62" s="678"/>
      <c r="CP62" s="678"/>
      <c r="CQ62" s="678"/>
      <c r="CR62" s="678"/>
      <c r="CS62" s="678"/>
      <c r="CT62" s="678"/>
      <c r="CU62" s="679">
        <f t="shared" si="8"/>
        <v>0</v>
      </c>
      <c r="CV62" s="686"/>
    </row>
    <row r="63" spans="1:156" ht="16.5" customHeight="1" thickBot="1">
      <c r="A63" s="631" t="s">
        <v>192</v>
      </c>
      <c r="B63" s="701"/>
      <c r="C63" s="678"/>
      <c r="D63" s="678"/>
      <c r="E63" s="678"/>
      <c r="F63" s="678"/>
      <c r="G63" s="678"/>
      <c r="H63" s="678"/>
      <c r="I63" s="678"/>
      <c r="J63" s="678"/>
      <c r="K63" s="678"/>
      <c r="L63" s="678"/>
      <c r="M63" s="678"/>
      <c r="N63" s="678"/>
      <c r="O63" s="678"/>
      <c r="P63" s="678"/>
      <c r="Q63" s="678"/>
      <c r="R63" s="678"/>
      <c r="S63" s="678"/>
      <c r="T63" s="678"/>
      <c r="U63" s="678"/>
      <c r="V63" s="678"/>
      <c r="W63" s="678"/>
      <c r="X63" s="678"/>
      <c r="Y63" s="678"/>
      <c r="Z63" s="678"/>
      <c r="AA63" s="678"/>
      <c r="AB63" s="678"/>
      <c r="AC63" s="678"/>
      <c r="AD63" s="678"/>
      <c r="AE63" s="678"/>
      <c r="AF63" s="678"/>
      <c r="AG63" s="679">
        <f t="shared" si="6"/>
        <v>0</v>
      </c>
      <c r="AH63" s="686"/>
      <c r="AI63" s="701"/>
      <c r="AJ63" s="678"/>
      <c r="AK63" s="678"/>
      <c r="AL63" s="678"/>
      <c r="AM63" s="678"/>
      <c r="AN63" s="678"/>
      <c r="AO63" s="678"/>
      <c r="AP63" s="678"/>
      <c r="AQ63" s="678"/>
      <c r="AR63" s="678"/>
      <c r="AS63" s="678"/>
      <c r="AT63" s="678"/>
      <c r="AU63" s="678"/>
      <c r="AV63" s="678"/>
      <c r="AW63" s="678"/>
      <c r="AX63" s="678"/>
      <c r="AY63" s="678"/>
      <c r="AZ63" s="678"/>
      <c r="BA63" s="678"/>
      <c r="BB63" s="678"/>
      <c r="BC63" s="678"/>
      <c r="BD63" s="678"/>
      <c r="BE63" s="678"/>
      <c r="BF63" s="678"/>
      <c r="BG63" s="678"/>
      <c r="BH63" s="678"/>
      <c r="BI63" s="678"/>
      <c r="BJ63" s="678"/>
      <c r="BK63" s="678"/>
      <c r="BL63" s="678"/>
      <c r="BM63" s="678"/>
      <c r="BN63" s="679">
        <f t="shared" si="7"/>
        <v>0</v>
      </c>
      <c r="BO63" s="686"/>
      <c r="BP63" s="701"/>
      <c r="BQ63" s="678"/>
      <c r="BR63" s="678"/>
      <c r="BS63" s="678"/>
      <c r="BT63" s="678"/>
      <c r="BU63" s="678"/>
      <c r="BV63" s="678"/>
      <c r="BW63" s="678"/>
      <c r="BX63" s="678"/>
      <c r="BY63" s="678"/>
      <c r="BZ63" s="678"/>
      <c r="CA63" s="678"/>
      <c r="CB63" s="678"/>
      <c r="CC63" s="678"/>
      <c r="CD63" s="678"/>
      <c r="CE63" s="678"/>
      <c r="CF63" s="678"/>
      <c r="CG63" s="678"/>
      <c r="CH63" s="678"/>
      <c r="CI63" s="678"/>
      <c r="CJ63" s="678"/>
      <c r="CK63" s="678"/>
      <c r="CL63" s="678"/>
      <c r="CM63" s="678"/>
      <c r="CN63" s="678"/>
      <c r="CO63" s="678"/>
      <c r="CP63" s="678"/>
      <c r="CQ63" s="678"/>
      <c r="CR63" s="678"/>
      <c r="CS63" s="678"/>
      <c r="CT63" s="678"/>
      <c r="CU63" s="679">
        <f t="shared" si="8"/>
        <v>0</v>
      </c>
      <c r="CV63" s="686"/>
    </row>
    <row r="64" spans="1:156" ht="16.5" customHeight="1">
      <c r="A64" s="629" t="s">
        <v>195</v>
      </c>
      <c r="B64" s="701"/>
      <c r="C64" s="678"/>
      <c r="D64" s="678"/>
      <c r="E64" s="678"/>
      <c r="F64" s="678"/>
      <c r="G64" s="678"/>
      <c r="H64" s="678"/>
      <c r="I64" s="678"/>
      <c r="J64" s="678"/>
      <c r="K64" s="678"/>
      <c r="L64" s="678"/>
      <c r="M64" s="678"/>
      <c r="N64" s="678"/>
      <c r="O64" s="678"/>
      <c r="P64" s="678"/>
      <c r="Q64" s="692"/>
      <c r="R64" s="692"/>
      <c r="S64" s="692"/>
      <c r="T64" s="692"/>
      <c r="U64" s="692"/>
      <c r="V64" s="692"/>
      <c r="W64" s="692"/>
      <c r="X64" s="692"/>
      <c r="Y64" s="692"/>
      <c r="Z64" s="692"/>
      <c r="AA64" s="692"/>
      <c r="AB64" s="692"/>
      <c r="AC64" s="692"/>
      <c r="AD64" s="692"/>
      <c r="AE64" s="692"/>
      <c r="AF64" s="692"/>
      <c r="AG64" s="680">
        <f t="shared" si="6"/>
        <v>0</v>
      </c>
      <c r="AH64" s="687"/>
      <c r="AI64" s="701"/>
      <c r="AJ64" s="678"/>
      <c r="AK64" s="678"/>
      <c r="AL64" s="678"/>
      <c r="AM64" s="678"/>
      <c r="AN64" s="678"/>
      <c r="AO64" s="678"/>
      <c r="AP64" s="678"/>
      <c r="AQ64" s="678"/>
      <c r="AR64" s="678"/>
      <c r="AS64" s="678"/>
      <c r="AT64" s="678"/>
      <c r="AU64" s="678"/>
      <c r="AV64" s="678"/>
      <c r="AW64" s="678"/>
      <c r="AX64" s="692"/>
      <c r="AY64" s="692"/>
      <c r="AZ64" s="692"/>
      <c r="BA64" s="692"/>
      <c r="BB64" s="692"/>
      <c r="BC64" s="692"/>
      <c r="BD64" s="692"/>
      <c r="BE64" s="692"/>
      <c r="BF64" s="692"/>
      <c r="BG64" s="692"/>
      <c r="BH64" s="692"/>
      <c r="BI64" s="692"/>
      <c r="BJ64" s="692"/>
      <c r="BK64" s="692"/>
      <c r="BL64" s="692"/>
      <c r="BM64" s="692"/>
      <c r="BN64" s="680">
        <f t="shared" si="7"/>
        <v>0</v>
      </c>
      <c r="BO64" s="687"/>
      <c r="BP64" s="701"/>
      <c r="BQ64" s="678"/>
      <c r="BR64" s="678"/>
      <c r="BS64" s="678"/>
      <c r="BT64" s="678"/>
      <c r="BU64" s="678"/>
      <c r="BV64" s="678"/>
      <c r="BW64" s="678"/>
      <c r="BX64" s="678"/>
      <c r="BY64" s="678"/>
      <c r="BZ64" s="678"/>
      <c r="CA64" s="678"/>
      <c r="CB64" s="678"/>
      <c r="CC64" s="678"/>
      <c r="CD64" s="678"/>
      <c r="CE64" s="692"/>
      <c r="CF64" s="692"/>
      <c r="CG64" s="692"/>
      <c r="CH64" s="692"/>
      <c r="CI64" s="692"/>
      <c r="CJ64" s="692"/>
      <c r="CK64" s="692"/>
      <c r="CL64" s="692"/>
      <c r="CM64" s="692"/>
      <c r="CN64" s="692"/>
      <c r="CO64" s="692"/>
      <c r="CP64" s="692"/>
      <c r="CQ64" s="692"/>
      <c r="CR64" s="692"/>
      <c r="CS64" s="692"/>
      <c r="CT64" s="692"/>
      <c r="CU64" s="680">
        <f t="shared" si="8"/>
        <v>0</v>
      </c>
      <c r="CV64" s="687"/>
    </row>
    <row r="65" spans="1:100" ht="16.5" customHeight="1">
      <c r="A65" s="630" t="s">
        <v>196</v>
      </c>
      <c r="B65" s="701"/>
      <c r="C65" s="678"/>
      <c r="D65" s="678"/>
      <c r="E65" s="678"/>
      <c r="F65" s="678"/>
      <c r="G65" s="678"/>
      <c r="H65" s="678"/>
      <c r="I65" s="678"/>
      <c r="J65" s="678"/>
      <c r="K65" s="678"/>
      <c r="L65" s="678"/>
      <c r="M65" s="678"/>
      <c r="N65" s="678"/>
      <c r="O65" s="678"/>
      <c r="P65" s="678"/>
      <c r="Q65" s="678"/>
      <c r="R65" s="678"/>
      <c r="S65" s="678"/>
      <c r="T65" s="678"/>
      <c r="U65" s="678"/>
      <c r="V65" s="678"/>
      <c r="W65" s="678"/>
      <c r="X65" s="678"/>
      <c r="Y65" s="678"/>
      <c r="Z65" s="678"/>
      <c r="AA65" s="678"/>
      <c r="AB65" s="678"/>
      <c r="AC65" s="678"/>
      <c r="AD65" s="678"/>
      <c r="AE65" s="678"/>
      <c r="AF65" s="678"/>
      <c r="AG65" s="679">
        <f t="shared" si="6"/>
        <v>0</v>
      </c>
      <c r="AH65" s="686"/>
      <c r="AI65" s="701"/>
      <c r="AJ65" s="678"/>
      <c r="AK65" s="678"/>
      <c r="AL65" s="678"/>
      <c r="AM65" s="678"/>
      <c r="AN65" s="678"/>
      <c r="AO65" s="678"/>
      <c r="AP65" s="678"/>
      <c r="AQ65" s="678"/>
      <c r="AR65" s="678"/>
      <c r="AS65" s="678"/>
      <c r="AT65" s="678"/>
      <c r="AU65" s="678"/>
      <c r="AV65" s="678"/>
      <c r="AW65" s="678"/>
      <c r="AX65" s="678"/>
      <c r="AY65" s="678"/>
      <c r="AZ65" s="678"/>
      <c r="BA65" s="678"/>
      <c r="BB65" s="678"/>
      <c r="BC65" s="678"/>
      <c r="BD65" s="678"/>
      <c r="BE65" s="678"/>
      <c r="BF65" s="678"/>
      <c r="BG65" s="678"/>
      <c r="BH65" s="678"/>
      <c r="BI65" s="678"/>
      <c r="BJ65" s="678"/>
      <c r="BK65" s="678"/>
      <c r="BL65" s="678"/>
      <c r="BM65" s="678"/>
      <c r="BN65" s="679">
        <f t="shared" si="7"/>
        <v>0</v>
      </c>
      <c r="BO65" s="686"/>
      <c r="BP65" s="701"/>
      <c r="BQ65" s="678"/>
      <c r="BR65" s="678"/>
      <c r="BS65" s="678"/>
      <c r="BT65" s="678"/>
      <c r="BU65" s="678"/>
      <c r="BV65" s="678"/>
      <c r="BW65" s="678"/>
      <c r="BX65" s="678"/>
      <c r="BY65" s="678"/>
      <c r="BZ65" s="678"/>
      <c r="CA65" s="678"/>
      <c r="CB65" s="678"/>
      <c r="CC65" s="678"/>
      <c r="CD65" s="678"/>
      <c r="CE65" s="678"/>
      <c r="CF65" s="678"/>
      <c r="CG65" s="678"/>
      <c r="CH65" s="678"/>
      <c r="CI65" s="678"/>
      <c r="CJ65" s="678"/>
      <c r="CK65" s="678"/>
      <c r="CL65" s="678"/>
      <c r="CM65" s="678"/>
      <c r="CN65" s="678"/>
      <c r="CO65" s="678"/>
      <c r="CP65" s="678"/>
      <c r="CQ65" s="678"/>
      <c r="CR65" s="678"/>
      <c r="CS65" s="678"/>
      <c r="CT65" s="678"/>
      <c r="CU65" s="679">
        <f t="shared" si="8"/>
        <v>0</v>
      </c>
      <c r="CV65" s="686"/>
    </row>
    <row r="66" spans="1:100" ht="16.5" customHeight="1">
      <c r="A66" s="630" t="s">
        <v>192</v>
      </c>
      <c r="B66" s="701"/>
      <c r="C66" s="678"/>
      <c r="D66" s="678"/>
      <c r="E66" s="678"/>
      <c r="F66" s="678"/>
      <c r="G66" s="678"/>
      <c r="H66" s="678"/>
      <c r="I66" s="678"/>
      <c r="J66" s="678"/>
      <c r="K66" s="678"/>
      <c r="L66" s="678"/>
      <c r="M66" s="678"/>
      <c r="N66" s="678"/>
      <c r="O66" s="678"/>
      <c r="P66" s="678"/>
      <c r="Q66" s="678"/>
      <c r="R66" s="678"/>
      <c r="S66" s="678"/>
      <c r="T66" s="678"/>
      <c r="U66" s="678"/>
      <c r="V66" s="678"/>
      <c r="W66" s="678"/>
      <c r="X66" s="678"/>
      <c r="Y66" s="678"/>
      <c r="Z66" s="678"/>
      <c r="AA66" s="678"/>
      <c r="AB66" s="678"/>
      <c r="AC66" s="678"/>
      <c r="AD66" s="678"/>
      <c r="AE66" s="678"/>
      <c r="AF66" s="678"/>
      <c r="AG66" s="679">
        <f t="shared" si="6"/>
        <v>0</v>
      </c>
      <c r="AH66" s="686"/>
      <c r="AI66" s="701"/>
      <c r="AJ66" s="678"/>
      <c r="AK66" s="678"/>
      <c r="AL66" s="678"/>
      <c r="AM66" s="678"/>
      <c r="AN66" s="678"/>
      <c r="AO66" s="678"/>
      <c r="AP66" s="678"/>
      <c r="AQ66" s="678"/>
      <c r="AR66" s="678"/>
      <c r="AS66" s="678"/>
      <c r="AT66" s="678"/>
      <c r="AU66" s="678"/>
      <c r="AV66" s="678"/>
      <c r="AW66" s="678"/>
      <c r="AX66" s="678"/>
      <c r="AY66" s="678"/>
      <c r="AZ66" s="678"/>
      <c r="BA66" s="678"/>
      <c r="BB66" s="678"/>
      <c r="BC66" s="678"/>
      <c r="BD66" s="678"/>
      <c r="BE66" s="678"/>
      <c r="BF66" s="678"/>
      <c r="BG66" s="678"/>
      <c r="BH66" s="678"/>
      <c r="BI66" s="678"/>
      <c r="BJ66" s="678"/>
      <c r="BK66" s="678"/>
      <c r="BL66" s="678"/>
      <c r="BM66" s="678"/>
      <c r="BN66" s="679">
        <f t="shared" si="7"/>
        <v>0</v>
      </c>
      <c r="BO66" s="686"/>
      <c r="BP66" s="701"/>
      <c r="BQ66" s="678"/>
      <c r="BR66" s="678"/>
      <c r="BS66" s="678"/>
      <c r="BT66" s="678"/>
      <c r="BU66" s="678"/>
      <c r="BV66" s="678"/>
      <c r="BW66" s="678"/>
      <c r="BX66" s="678"/>
      <c r="BY66" s="678"/>
      <c r="BZ66" s="678"/>
      <c r="CA66" s="678"/>
      <c r="CB66" s="678"/>
      <c r="CC66" s="678"/>
      <c r="CD66" s="678"/>
      <c r="CE66" s="678"/>
      <c r="CF66" s="678"/>
      <c r="CG66" s="678"/>
      <c r="CH66" s="678"/>
      <c r="CI66" s="678"/>
      <c r="CJ66" s="678"/>
      <c r="CK66" s="678"/>
      <c r="CL66" s="678"/>
      <c r="CM66" s="678"/>
      <c r="CN66" s="678"/>
      <c r="CO66" s="678"/>
      <c r="CP66" s="678"/>
      <c r="CQ66" s="678"/>
      <c r="CR66" s="678"/>
      <c r="CS66" s="678"/>
      <c r="CT66" s="678"/>
      <c r="CU66" s="679">
        <f t="shared" si="8"/>
        <v>0</v>
      </c>
      <c r="CV66" s="686"/>
    </row>
    <row r="67" spans="1:100" ht="16.5" customHeight="1" thickBot="1">
      <c r="A67" s="631" t="s">
        <v>192</v>
      </c>
      <c r="B67" s="701"/>
      <c r="C67" s="678"/>
      <c r="D67" s="678"/>
      <c r="E67" s="678"/>
      <c r="F67" s="678"/>
      <c r="G67" s="678"/>
      <c r="H67" s="678"/>
      <c r="I67" s="678"/>
      <c r="J67" s="678"/>
      <c r="K67" s="678"/>
      <c r="L67" s="678"/>
      <c r="M67" s="678"/>
      <c r="N67" s="678"/>
      <c r="O67" s="678"/>
      <c r="P67" s="678"/>
      <c r="Q67" s="678"/>
      <c r="R67" s="678"/>
      <c r="S67" s="678"/>
      <c r="T67" s="678"/>
      <c r="U67" s="678"/>
      <c r="V67" s="678"/>
      <c r="W67" s="678"/>
      <c r="X67" s="678"/>
      <c r="Y67" s="678"/>
      <c r="Z67" s="678"/>
      <c r="AA67" s="678"/>
      <c r="AB67" s="678"/>
      <c r="AC67" s="678"/>
      <c r="AD67" s="678"/>
      <c r="AE67" s="678"/>
      <c r="AF67" s="678"/>
      <c r="AG67" s="680">
        <f t="shared" si="6"/>
        <v>0</v>
      </c>
      <c r="AH67" s="687"/>
      <c r="AI67" s="701"/>
      <c r="AJ67" s="678"/>
      <c r="AK67" s="678"/>
      <c r="AL67" s="678"/>
      <c r="AM67" s="678"/>
      <c r="AN67" s="678"/>
      <c r="AO67" s="678"/>
      <c r="AP67" s="678"/>
      <c r="AQ67" s="678"/>
      <c r="AR67" s="678"/>
      <c r="AS67" s="678"/>
      <c r="AT67" s="678"/>
      <c r="AU67" s="678"/>
      <c r="AV67" s="678"/>
      <c r="AW67" s="678"/>
      <c r="AX67" s="678"/>
      <c r="AY67" s="678"/>
      <c r="AZ67" s="678"/>
      <c r="BA67" s="678"/>
      <c r="BB67" s="678"/>
      <c r="BC67" s="678"/>
      <c r="BD67" s="678"/>
      <c r="BE67" s="678"/>
      <c r="BF67" s="678"/>
      <c r="BG67" s="678"/>
      <c r="BH67" s="678"/>
      <c r="BI67" s="678"/>
      <c r="BJ67" s="678"/>
      <c r="BK67" s="678"/>
      <c r="BL67" s="678"/>
      <c r="BM67" s="678"/>
      <c r="BN67" s="680">
        <f t="shared" si="7"/>
        <v>0</v>
      </c>
      <c r="BO67" s="687"/>
      <c r="BP67" s="701"/>
      <c r="BQ67" s="678"/>
      <c r="BR67" s="678"/>
      <c r="BS67" s="678"/>
      <c r="BT67" s="678"/>
      <c r="BU67" s="678"/>
      <c r="BV67" s="678"/>
      <c r="BW67" s="678"/>
      <c r="BX67" s="678"/>
      <c r="BY67" s="678"/>
      <c r="BZ67" s="678"/>
      <c r="CA67" s="678"/>
      <c r="CB67" s="678"/>
      <c r="CC67" s="678"/>
      <c r="CD67" s="678"/>
      <c r="CE67" s="678"/>
      <c r="CF67" s="678"/>
      <c r="CG67" s="678"/>
      <c r="CH67" s="678"/>
      <c r="CI67" s="678"/>
      <c r="CJ67" s="678"/>
      <c r="CK67" s="678"/>
      <c r="CL67" s="678"/>
      <c r="CM67" s="678"/>
      <c r="CN67" s="678"/>
      <c r="CO67" s="678"/>
      <c r="CP67" s="678"/>
      <c r="CQ67" s="678"/>
      <c r="CR67" s="678"/>
      <c r="CS67" s="678"/>
      <c r="CT67" s="678"/>
      <c r="CU67" s="680">
        <f t="shared" si="8"/>
        <v>0</v>
      </c>
      <c r="CV67" s="687"/>
    </row>
    <row r="68" spans="1:100" ht="12.75" customHeight="1">
      <c r="A68" s="1024" t="s">
        <v>197</v>
      </c>
      <c r="B68" s="702"/>
      <c r="C68" s="703"/>
      <c r="D68" s="703"/>
      <c r="E68" s="703"/>
      <c r="F68" s="703"/>
      <c r="G68" s="703"/>
      <c r="H68" s="703"/>
      <c r="I68" s="703"/>
      <c r="J68" s="703"/>
      <c r="K68" s="703"/>
      <c r="L68" s="703"/>
      <c r="M68" s="703"/>
      <c r="N68" s="703"/>
      <c r="O68" s="703"/>
      <c r="P68" s="703"/>
      <c r="Q68" s="703"/>
      <c r="R68" s="703"/>
      <c r="S68" s="703"/>
      <c r="T68" s="703"/>
      <c r="U68" s="703"/>
      <c r="V68" s="703"/>
      <c r="W68" s="703"/>
      <c r="X68" s="703"/>
      <c r="Y68" s="703"/>
      <c r="Z68" s="703"/>
      <c r="AA68" s="703"/>
      <c r="AB68" s="703"/>
      <c r="AC68" s="703"/>
      <c r="AD68" s="703"/>
      <c r="AE68" s="703"/>
      <c r="AF68" s="708"/>
      <c r="AG68" s="683">
        <f t="shared" ref="AG68:AG75" si="9">SUM(B68:AF68)*$X$25</f>
        <v>0</v>
      </c>
      <c r="AH68" s="689"/>
      <c r="AI68" s="702"/>
      <c r="AJ68" s="703"/>
      <c r="AK68" s="703"/>
      <c r="AL68" s="703"/>
      <c r="AM68" s="703"/>
      <c r="AN68" s="703"/>
      <c r="AO68" s="703"/>
      <c r="AP68" s="703"/>
      <c r="AQ68" s="703"/>
      <c r="AR68" s="703"/>
      <c r="AS68" s="703"/>
      <c r="AT68" s="703"/>
      <c r="AU68" s="703"/>
      <c r="AV68" s="703"/>
      <c r="AW68" s="703"/>
      <c r="AX68" s="703"/>
      <c r="AY68" s="703"/>
      <c r="AZ68" s="703"/>
      <c r="BA68" s="703"/>
      <c r="BB68" s="703"/>
      <c r="BC68" s="703"/>
      <c r="BD68" s="703"/>
      <c r="BE68" s="703"/>
      <c r="BF68" s="703"/>
      <c r="BG68" s="703"/>
      <c r="BH68" s="703"/>
      <c r="BI68" s="703"/>
      <c r="BJ68" s="703"/>
      <c r="BK68" s="703"/>
      <c r="BL68" s="703"/>
      <c r="BM68" s="708"/>
      <c r="BN68" s="683">
        <f t="shared" ref="BN68:BN75" si="10">SUM(AI68:BM68)*$X$25</f>
        <v>0</v>
      </c>
      <c r="BO68" s="689"/>
      <c r="BP68" s="702"/>
      <c r="BQ68" s="703"/>
      <c r="BR68" s="703"/>
      <c r="BS68" s="703"/>
      <c r="BT68" s="703"/>
      <c r="BU68" s="703"/>
      <c r="BV68" s="703"/>
      <c r="BW68" s="703"/>
      <c r="BX68" s="703"/>
      <c r="BY68" s="703"/>
      <c r="BZ68" s="703"/>
      <c r="CA68" s="703"/>
      <c r="CB68" s="703"/>
      <c r="CC68" s="703"/>
      <c r="CD68" s="703"/>
      <c r="CE68" s="703"/>
      <c r="CF68" s="703"/>
      <c r="CG68" s="703"/>
      <c r="CH68" s="703"/>
      <c r="CI68" s="703"/>
      <c r="CJ68" s="703"/>
      <c r="CK68" s="703"/>
      <c r="CL68" s="703"/>
      <c r="CM68" s="703"/>
      <c r="CN68" s="703"/>
      <c r="CO68" s="703"/>
      <c r="CP68" s="703"/>
      <c r="CQ68" s="703"/>
      <c r="CR68" s="703"/>
      <c r="CS68" s="703"/>
      <c r="CT68" s="708"/>
      <c r="CU68" s="683">
        <f t="shared" ref="CU68:CU75" si="11">SUM(BP68:CT68)*$X$25</f>
        <v>0</v>
      </c>
      <c r="CV68" s="689"/>
    </row>
    <row r="69" spans="1:100">
      <c r="A69" s="1025"/>
      <c r="B69" s="701"/>
      <c r="C69" s="678"/>
      <c r="D69" s="678"/>
      <c r="E69" s="678"/>
      <c r="F69" s="678"/>
      <c r="G69" s="678"/>
      <c r="H69" s="678"/>
      <c r="I69" s="678"/>
      <c r="J69" s="678"/>
      <c r="K69" s="678"/>
      <c r="L69" s="678"/>
      <c r="M69" s="678"/>
      <c r="N69" s="678"/>
      <c r="O69" s="678"/>
      <c r="P69" s="678"/>
      <c r="Q69" s="678"/>
      <c r="R69" s="678"/>
      <c r="S69" s="678"/>
      <c r="T69" s="678"/>
      <c r="U69" s="678"/>
      <c r="V69" s="678"/>
      <c r="W69" s="678"/>
      <c r="X69" s="678"/>
      <c r="Y69" s="678"/>
      <c r="Z69" s="678"/>
      <c r="AA69" s="678"/>
      <c r="AB69" s="678"/>
      <c r="AC69" s="678"/>
      <c r="AD69" s="678"/>
      <c r="AE69" s="678"/>
      <c r="AF69" s="709"/>
      <c r="AG69" s="683">
        <f t="shared" si="9"/>
        <v>0</v>
      </c>
      <c r="AH69" s="689"/>
      <c r="AI69" s="701"/>
      <c r="AJ69" s="678"/>
      <c r="AK69" s="678"/>
      <c r="AL69" s="678"/>
      <c r="AM69" s="678"/>
      <c r="AN69" s="678"/>
      <c r="AO69" s="678"/>
      <c r="AP69" s="678"/>
      <c r="AQ69" s="678"/>
      <c r="AR69" s="695">
        <v>1</v>
      </c>
      <c r="AS69" s="678"/>
      <c r="AT69" s="678"/>
      <c r="AU69" s="678"/>
      <c r="AV69" s="678"/>
      <c r="AW69" s="678"/>
      <c r="AX69" s="678"/>
      <c r="AY69" s="678"/>
      <c r="AZ69" s="678"/>
      <c r="BA69" s="678"/>
      <c r="BB69" s="678"/>
      <c r="BC69" s="678"/>
      <c r="BD69" s="678"/>
      <c r="BE69" s="678"/>
      <c r="BF69" s="678"/>
      <c r="BG69" s="678"/>
      <c r="BH69" s="678"/>
      <c r="BI69" s="678"/>
      <c r="BJ69" s="678"/>
      <c r="BK69" s="678"/>
      <c r="BL69" s="678"/>
      <c r="BM69" s="709"/>
      <c r="BN69" s="683">
        <f t="shared" si="10"/>
        <v>1</v>
      </c>
      <c r="BO69" s="689"/>
      <c r="BP69" s="701"/>
      <c r="BQ69" s="678"/>
      <c r="BR69" s="678"/>
      <c r="BS69" s="678"/>
      <c r="BT69" s="678"/>
      <c r="BU69" s="678"/>
      <c r="BV69" s="678"/>
      <c r="BW69" s="678"/>
      <c r="BX69" s="678"/>
      <c r="BY69" s="678"/>
      <c r="BZ69" s="678"/>
      <c r="CA69" s="678"/>
      <c r="CB69" s="678"/>
      <c r="CC69" s="678"/>
      <c r="CD69" s="678"/>
      <c r="CE69" s="678"/>
      <c r="CF69" s="678"/>
      <c r="CG69" s="678"/>
      <c r="CH69" s="678"/>
      <c r="CI69" s="678"/>
      <c r="CJ69" s="678"/>
      <c r="CK69" s="678"/>
      <c r="CL69" s="678"/>
      <c r="CM69" s="678"/>
      <c r="CN69" s="678"/>
      <c r="CO69" s="678"/>
      <c r="CP69" s="678"/>
      <c r="CQ69" s="678"/>
      <c r="CR69" s="678"/>
      <c r="CS69" s="678"/>
      <c r="CT69" s="709"/>
      <c r="CU69" s="683">
        <f t="shared" si="11"/>
        <v>0</v>
      </c>
      <c r="CV69" s="689"/>
    </row>
    <row r="70" spans="1:100">
      <c r="A70" s="1025"/>
      <c r="B70" s="701"/>
      <c r="C70" s="678"/>
      <c r="D70" s="678"/>
      <c r="E70" s="678"/>
      <c r="F70" s="678"/>
      <c r="G70" s="678"/>
      <c r="H70" s="678"/>
      <c r="I70" s="678"/>
      <c r="J70" s="678"/>
      <c r="K70" s="678"/>
      <c r="L70" s="678"/>
      <c r="M70" s="678"/>
      <c r="N70" s="678"/>
      <c r="O70" s="678"/>
      <c r="P70" s="678"/>
      <c r="Q70" s="678"/>
      <c r="R70" s="678"/>
      <c r="S70" s="678"/>
      <c r="T70" s="678"/>
      <c r="U70" s="678"/>
      <c r="V70" s="678"/>
      <c r="W70" s="678"/>
      <c r="X70" s="678"/>
      <c r="Y70" s="678"/>
      <c r="Z70" s="678"/>
      <c r="AA70" s="678"/>
      <c r="AB70" s="678"/>
      <c r="AC70" s="678"/>
      <c r="AD70" s="678"/>
      <c r="AE70" s="678"/>
      <c r="AF70" s="709"/>
      <c r="AG70" s="683">
        <f t="shared" si="9"/>
        <v>0</v>
      </c>
      <c r="AH70" s="689"/>
      <c r="AI70" s="701"/>
      <c r="AJ70" s="678"/>
      <c r="AK70" s="678"/>
      <c r="AL70" s="678"/>
      <c r="AM70" s="678"/>
      <c r="AN70" s="678"/>
      <c r="AO70" s="678"/>
      <c r="AP70" s="678"/>
      <c r="AQ70" s="678"/>
      <c r="AR70" s="678"/>
      <c r="AS70" s="678"/>
      <c r="AT70" s="678"/>
      <c r="AU70" s="678"/>
      <c r="AV70" s="678"/>
      <c r="AW70" s="678"/>
      <c r="AX70" s="678"/>
      <c r="AY70" s="678"/>
      <c r="AZ70" s="678"/>
      <c r="BA70" s="678"/>
      <c r="BB70" s="678"/>
      <c r="BC70" s="678"/>
      <c r="BD70" s="678"/>
      <c r="BE70" s="678"/>
      <c r="BF70" s="678"/>
      <c r="BG70" s="678"/>
      <c r="BH70" s="678"/>
      <c r="BI70" s="678"/>
      <c r="BJ70" s="678"/>
      <c r="BK70" s="678"/>
      <c r="BL70" s="678"/>
      <c r="BM70" s="709"/>
      <c r="BN70" s="683">
        <f t="shared" si="10"/>
        <v>0</v>
      </c>
      <c r="BO70" s="689"/>
      <c r="BP70" s="701"/>
      <c r="BQ70" s="678"/>
      <c r="BR70" s="678"/>
      <c r="BS70" s="678"/>
      <c r="BT70" s="678"/>
      <c r="BU70" s="678"/>
      <c r="BV70" s="678"/>
      <c r="BW70" s="678"/>
      <c r="BX70" s="678"/>
      <c r="BY70" s="678"/>
      <c r="BZ70" s="678"/>
      <c r="CA70" s="678"/>
      <c r="CB70" s="678"/>
      <c r="CC70" s="678"/>
      <c r="CD70" s="678"/>
      <c r="CE70" s="678"/>
      <c r="CF70" s="678"/>
      <c r="CG70" s="678"/>
      <c r="CH70" s="678"/>
      <c r="CI70" s="678"/>
      <c r="CJ70" s="678"/>
      <c r="CK70" s="678"/>
      <c r="CL70" s="678"/>
      <c r="CM70" s="678"/>
      <c r="CN70" s="678"/>
      <c r="CO70" s="678"/>
      <c r="CP70" s="678"/>
      <c r="CQ70" s="678"/>
      <c r="CR70" s="678"/>
      <c r="CS70" s="678"/>
      <c r="CT70" s="709"/>
      <c r="CU70" s="683">
        <f t="shared" si="11"/>
        <v>0</v>
      </c>
      <c r="CV70" s="689"/>
    </row>
    <row r="71" spans="1:100" ht="13.5" thickBot="1">
      <c r="A71" s="1025"/>
      <c r="B71" s="704"/>
      <c r="C71" s="705"/>
      <c r="D71" s="705"/>
      <c r="E71" s="705"/>
      <c r="F71" s="705"/>
      <c r="G71" s="705"/>
      <c r="H71" s="705"/>
      <c r="I71" s="705"/>
      <c r="J71" s="705"/>
      <c r="K71" s="705"/>
      <c r="L71" s="705"/>
      <c r="M71" s="705"/>
      <c r="N71" s="705"/>
      <c r="O71" s="705"/>
      <c r="P71" s="705"/>
      <c r="Q71" s="705"/>
      <c r="R71" s="705"/>
      <c r="S71" s="705"/>
      <c r="T71" s="705"/>
      <c r="U71" s="705"/>
      <c r="V71" s="705"/>
      <c r="W71" s="705"/>
      <c r="X71" s="705"/>
      <c r="Y71" s="705"/>
      <c r="Z71" s="705"/>
      <c r="AA71" s="705"/>
      <c r="AB71" s="705"/>
      <c r="AC71" s="705"/>
      <c r="AD71" s="705"/>
      <c r="AE71" s="705"/>
      <c r="AF71" s="710"/>
      <c r="AG71" s="683">
        <f t="shared" si="9"/>
        <v>0</v>
      </c>
      <c r="AH71" s="689"/>
      <c r="AI71" s="704"/>
      <c r="AJ71" s="705"/>
      <c r="AK71" s="705"/>
      <c r="AL71" s="705"/>
      <c r="AM71" s="705"/>
      <c r="AN71" s="705"/>
      <c r="AO71" s="705"/>
      <c r="AP71" s="705"/>
      <c r="AQ71" s="705"/>
      <c r="AR71" s="700">
        <v>1</v>
      </c>
      <c r="AS71" s="705"/>
      <c r="AT71" s="705"/>
      <c r="AU71" s="705"/>
      <c r="AV71" s="705"/>
      <c r="AW71" s="705"/>
      <c r="AX71" s="705"/>
      <c r="AY71" s="705"/>
      <c r="AZ71" s="705"/>
      <c r="BA71" s="705"/>
      <c r="BB71" s="705"/>
      <c r="BC71" s="705"/>
      <c r="BD71" s="705"/>
      <c r="BE71" s="705"/>
      <c r="BF71" s="705"/>
      <c r="BG71" s="705"/>
      <c r="BH71" s="705"/>
      <c r="BI71" s="705"/>
      <c r="BJ71" s="705"/>
      <c r="BK71" s="705"/>
      <c r="BL71" s="705"/>
      <c r="BM71" s="710"/>
      <c r="BN71" s="683">
        <f t="shared" si="10"/>
        <v>1</v>
      </c>
      <c r="BO71" s="689"/>
      <c r="BP71" s="704"/>
      <c r="BQ71" s="705"/>
      <c r="BR71" s="705"/>
      <c r="BS71" s="705"/>
      <c r="BT71" s="705"/>
      <c r="BU71" s="705"/>
      <c r="BV71" s="705"/>
      <c r="BW71" s="705"/>
      <c r="BX71" s="705"/>
      <c r="BY71" s="705"/>
      <c r="BZ71" s="705"/>
      <c r="CA71" s="705"/>
      <c r="CB71" s="705"/>
      <c r="CC71" s="705"/>
      <c r="CD71" s="705"/>
      <c r="CE71" s="705"/>
      <c r="CF71" s="705"/>
      <c r="CG71" s="705"/>
      <c r="CH71" s="705"/>
      <c r="CI71" s="705"/>
      <c r="CJ71" s="705"/>
      <c r="CK71" s="705"/>
      <c r="CL71" s="705"/>
      <c r="CM71" s="705"/>
      <c r="CN71" s="705"/>
      <c r="CO71" s="705"/>
      <c r="CP71" s="705"/>
      <c r="CQ71" s="705"/>
      <c r="CR71" s="705"/>
      <c r="CS71" s="705"/>
      <c r="CT71" s="710"/>
      <c r="CU71" s="683">
        <f t="shared" si="11"/>
        <v>0</v>
      </c>
      <c r="CV71" s="689"/>
    </row>
    <row r="72" spans="1:100" ht="12.75" customHeight="1">
      <c r="A72" s="1024" t="s">
        <v>198</v>
      </c>
      <c r="B72" s="702"/>
      <c r="C72" s="703"/>
      <c r="D72" s="703"/>
      <c r="E72" s="703"/>
      <c r="F72" s="703"/>
      <c r="G72" s="703"/>
      <c r="H72" s="703"/>
      <c r="I72" s="703"/>
      <c r="J72" s="703"/>
      <c r="K72" s="703"/>
      <c r="L72" s="703"/>
      <c r="M72" s="703"/>
      <c r="N72" s="703"/>
      <c r="O72" s="703"/>
      <c r="P72" s="703"/>
      <c r="Q72" s="703"/>
      <c r="R72" s="703"/>
      <c r="S72" s="703"/>
      <c r="T72" s="703"/>
      <c r="U72" s="703"/>
      <c r="V72" s="703"/>
      <c r="W72" s="703"/>
      <c r="X72" s="703"/>
      <c r="Y72" s="703"/>
      <c r="Z72" s="703"/>
      <c r="AA72" s="703"/>
      <c r="AB72" s="703"/>
      <c r="AC72" s="703"/>
      <c r="AD72" s="703"/>
      <c r="AE72" s="703"/>
      <c r="AF72" s="708"/>
      <c r="AG72" s="693">
        <f t="shared" si="9"/>
        <v>0</v>
      </c>
      <c r="AH72" s="689"/>
      <c r="AI72" s="702"/>
      <c r="AJ72" s="703"/>
      <c r="AK72" s="703"/>
      <c r="AL72" s="703"/>
      <c r="AM72" s="703"/>
      <c r="AN72" s="703"/>
      <c r="AO72" s="703"/>
      <c r="AP72" s="703"/>
      <c r="AQ72" s="703"/>
      <c r="AR72" s="703"/>
      <c r="AS72" s="703"/>
      <c r="AT72" s="703"/>
      <c r="AU72" s="703"/>
      <c r="AV72" s="703"/>
      <c r="AW72" s="703"/>
      <c r="AX72" s="703"/>
      <c r="AY72" s="703"/>
      <c r="AZ72" s="703"/>
      <c r="BA72" s="703"/>
      <c r="BB72" s="703"/>
      <c r="BC72" s="703"/>
      <c r="BD72" s="703"/>
      <c r="BE72" s="703"/>
      <c r="BF72" s="703"/>
      <c r="BG72" s="703"/>
      <c r="BH72" s="703"/>
      <c r="BI72" s="703"/>
      <c r="BJ72" s="703"/>
      <c r="BK72" s="703"/>
      <c r="BL72" s="703"/>
      <c r="BM72" s="708"/>
      <c r="BN72" s="693">
        <f t="shared" si="10"/>
        <v>0</v>
      </c>
      <c r="BO72" s="689"/>
      <c r="BP72" s="702"/>
      <c r="BQ72" s="703"/>
      <c r="BR72" s="703"/>
      <c r="BS72" s="703"/>
      <c r="BT72" s="703"/>
      <c r="BU72" s="703"/>
      <c r="BV72" s="703"/>
      <c r="BW72" s="703"/>
      <c r="BX72" s="703"/>
      <c r="BY72" s="703"/>
      <c r="BZ72" s="703"/>
      <c r="CA72" s="703"/>
      <c r="CB72" s="703"/>
      <c r="CC72" s="703"/>
      <c r="CD72" s="703"/>
      <c r="CE72" s="703"/>
      <c r="CF72" s="703"/>
      <c r="CG72" s="703"/>
      <c r="CH72" s="703"/>
      <c r="CI72" s="703"/>
      <c r="CJ72" s="703"/>
      <c r="CK72" s="703"/>
      <c r="CL72" s="703"/>
      <c r="CM72" s="703"/>
      <c r="CN72" s="703"/>
      <c r="CO72" s="703"/>
      <c r="CP72" s="703"/>
      <c r="CQ72" s="703"/>
      <c r="CR72" s="703"/>
      <c r="CS72" s="703"/>
      <c r="CT72" s="708"/>
      <c r="CU72" s="693">
        <f t="shared" si="11"/>
        <v>0</v>
      </c>
      <c r="CV72" s="689"/>
    </row>
    <row r="73" spans="1:100">
      <c r="A73" s="1025"/>
      <c r="B73" s="701"/>
      <c r="C73" s="678"/>
      <c r="D73" s="678"/>
      <c r="E73" s="678"/>
      <c r="F73" s="678"/>
      <c r="G73" s="678"/>
      <c r="H73" s="678"/>
      <c r="I73" s="678"/>
      <c r="J73" s="678"/>
      <c r="K73" s="678"/>
      <c r="L73" s="678"/>
      <c r="M73" s="678"/>
      <c r="N73" s="678"/>
      <c r="O73" s="678"/>
      <c r="P73" s="678"/>
      <c r="Q73" s="678"/>
      <c r="R73" s="678"/>
      <c r="S73" s="678"/>
      <c r="T73" s="678"/>
      <c r="U73" s="678"/>
      <c r="V73" s="678"/>
      <c r="W73" s="678"/>
      <c r="X73" s="678"/>
      <c r="Y73" s="678"/>
      <c r="Z73" s="678"/>
      <c r="AA73" s="678"/>
      <c r="AB73" s="678"/>
      <c r="AC73" s="678"/>
      <c r="AD73" s="678"/>
      <c r="AE73" s="678"/>
      <c r="AF73" s="709"/>
      <c r="AG73" s="683">
        <f t="shared" si="9"/>
        <v>0</v>
      </c>
      <c r="AH73" s="689"/>
      <c r="AI73" s="701"/>
      <c r="AJ73" s="678"/>
      <c r="AK73" s="678"/>
      <c r="AL73" s="678"/>
      <c r="AM73" s="678"/>
      <c r="AN73" s="678"/>
      <c r="AO73" s="678"/>
      <c r="AP73" s="678"/>
      <c r="AQ73" s="678"/>
      <c r="AR73" s="678"/>
      <c r="AS73" s="678"/>
      <c r="AT73" s="678"/>
      <c r="AU73" s="678"/>
      <c r="AV73" s="678"/>
      <c r="AW73" s="678"/>
      <c r="AX73" s="678"/>
      <c r="AY73" s="678"/>
      <c r="AZ73" s="678"/>
      <c r="BA73" s="678"/>
      <c r="BB73" s="678"/>
      <c r="BC73" s="678"/>
      <c r="BD73" s="678"/>
      <c r="BE73" s="678"/>
      <c r="BF73" s="678"/>
      <c r="BG73" s="678"/>
      <c r="BH73" s="678"/>
      <c r="BI73" s="678"/>
      <c r="BJ73" s="678"/>
      <c r="BK73" s="678"/>
      <c r="BL73" s="678"/>
      <c r="BM73" s="709"/>
      <c r="BN73" s="683">
        <f t="shared" si="10"/>
        <v>0</v>
      </c>
      <c r="BO73" s="689"/>
      <c r="BP73" s="701"/>
      <c r="BQ73" s="678"/>
      <c r="BR73" s="678"/>
      <c r="BS73" s="678"/>
      <c r="BT73" s="678"/>
      <c r="BU73" s="678"/>
      <c r="BV73" s="678"/>
      <c r="BW73" s="678"/>
      <c r="BX73" s="678"/>
      <c r="BY73" s="678"/>
      <c r="BZ73" s="678"/>
      <c r="CA73" s="678"/>
      <c r="CB73" s="678"/>
      <c r="CC73" s="678"/>
      <c r="CD73" s="678"/>
      <c r="CE73" s="678"/>
      <c r="CF73" s="678"/>
      <c r="CG73" s="678"/>
      <c r="CH73" s="678"/>
      <c r="CI73" s="678"/>
      <c r="CJ73" s="678"/>
      <c r="CK73" s="678"/>
      <c r="CL73" s="678"/>
      <c r="CM73" s="678"/>
      <c r="CN73" s="678"/>
      <c r="CO73" s="678"/>
      <c r="CP73" s="678"/>
      <c r="CQ73" s="678"/>
      <c r="CR73" s="678"/>
      <c r="CS73" s="678"/>
      <c r="CT73" s="709"/>
      <c r="CU73" s="683">
        <f t="shared" si="11"/>
        <v>0</v>
      </c>
      <c r="CV73" s="689"/>
    </row>
    <row r="74" spans="1:100">
      <c r="A74" s="1025"/>
      <c r="B74" s="701"/>
      <c r="C74" s="678"/>
      <c r="D74" s="678"/>
      <c r="E74" s="678"/>
      <c r="F74" s="678"/>
      <c r="G74" s="678"/>
      <c r="H74" s="678"/>
      <c r="I74" s="678"/>
      <c r="J74" s="678"/>
      <c r="K74" s="678"/>
      <c r="L74" s="678"/>
      <c r="M74" s="678"/>
      <c r="N74" s="678"/>
      <c r="O74" s="678"/>
      <c r="P74" s="678"/>
      <c r="Q74" s="678"/>
      <c r="R74" s="678"/>
      <c r="S74" s="678"/>
      <c r="T74" s="678"/>
      <c r="U74" s="678"/>
      <c r="V74" s="678"/>
      <c r="W74" s="678"/>
      <c r="X74" s="678"/>
      <c r="Y74" s="678"/>
      <c r="Z74" s="678"/>
      <c r="AA74" s="678"/>
      <c r="AB74" s="678"/>
      <c r="AC74" s="678"/>
      <c r="AD74" s="678"/>
      <c r="AE74" s="678"/>
      <c r="AF74" s="709"/>
      <c r="AG74" s="683">
        <f t="shared" si="9"/>
        <v>0</v>
      </c>
      <c r="AH74" s="689"/>
      <c r="AI74" s="701"/>
      <c r="AJ74" s="678"/>
      <c r="AK74" s="678"/>
      <c r="AL74" s="678"/>
      <c r="AM74" s="678"/>
      <c r="AN74" s="678"/>
      <c r="AO74" s="678"/>
      <c r="AP74" s="678"/>
      <c r="AQ74" s="678"/>
      <c r="AR74" s="678"/>
      <c r="AS74" s="678"/>
      <c r="AT74" s="678"/>
      <c r="AU74" s="678"/>
      <c r="AV74" s="678"/>
      <c r="AW74" s="678"/>
      <c r="AX74" s="678"/>
      <c r="AY74" s="678"/>
      <c r="AZ74" s="678"/>
      <c r="BA74" s="678"/>
      <c r="BB74" s="678"/>
      <c r="BC74" s="678"/>
      <c r="BD74" s="678"/>
      <c r="BE74" s="678"/>
      <c r="BF74" s="678"/>
      <c r="BG74" s="678"/>
      <c r="BH74" s="678"/>
      <c r="BI74" s="678"/>
      <c r="BJ74" s="678"/>
      <c r="BK74" s="678"/>
      <c r="BL74" s="678"/>
      <c r="BM74" s="709"/>
      <c r="BN74" s="683">
        <f t="shared" si="10"/>
        <v>0</v>
      </c>
      <c r="BO74" s="689"/>
      <c r="BP74" s="701"/>
      <c r="BQ74" s="678"/>
      <c r="BR74" s="678"/>
      <c r="BS74" s="678"/>
      <c r="BT74" s="678"/>
      <c r="BU74" s="678"/>
      <c r="BV74" s="678"/>
      <c r="BW74" s="678"/>
      <c r="BX74" s="678"/>
      <c r="BY74" s="678"/>
      <c r="BZ74" s="678"/>
      <c r="CA74" s="678"/>
      <c r="CB74" s="678"/>
      <c r="CC74" s="678"/>
      <c r="CD74" s="678"/>
      <c r="CE74" s="678"/>
      <c r="CF74" s="678"/>
      <c r="CG74" s="678"/>
      <c r="CH74" s="678"/>
      <c r="CI74" s="678"/>
      <c r="CJ74" s="678"/>
      <c r="CK74" s="678"/>
      <c r="CL74" s="678"/>
      <c r="CM74" s="678"/>
      <c r="CN74" s="678"/>
      <c r="CO74" s="678"/>
      <c r="CP74" s="678"/>
      <c r="CQ74" s="678"/>
      <c r="CR74" s="678"/>
      <c r="CS74" s="678"/>
      <c r="CT74" s="709"/>
      <c r="CU74" s="683">
        <f t="shared" si="11"/>
        <v>0</v>
      </c>
      <c r="CV74" s="689"/>
    </row>
    <row r="75" spans="1:100" ht="13.5" thickBot="1">
      <c r="A75" s="1026"/>
      <c r="B75" s="704"/>
      <c r="C75" s="705"/>
      <c r="D75" s="705"/>
      <c r="E75" s="705"/>
      <c r="F75" s="705"/>
      <c r="G75" s="705"/>
      <c r="H75" s="705"/>
      <c r="I75" s="705"/>
      <c r="J75" s="705"/>
      <c r="K75" s="705"/>
      <c r="L75" s="705"/>
      <c r="M75" s="705"/>
      <c r="N75" s="705"/>
      <c r="O75" s="705"/>
      <c r="P75" s="705"/>
      <c r="Q75" s="705"/>
      <c r="R75" s="705"/>
      <c r="S75" s="705"/>
      <c r="T75" s="705"/>
      <c r="U75" s="705"/>
      <c r="V75" s="705"/>
      <c r="W75" s="705"/>
      <c r="X75" s="705"/>
      <c r="Y75" s="705"/>
      <c r="Z75" s="705"/>
      <c r="AA75" s="705"/>
      <c r="AB75" s="705"/>
      <c r="AC75" s="705"/>
      <c r="AD75" s="705"/>
      <c r="AE75" s="705"/>
      <c r="AF75" s="710"/>
      <c r="AG75" s="684">
        <f t="shared" si="9"/>
        <v>0</v>
      </c>
      <c r="AH75" s="690"/>
      <c r="AI75" s="704"/>
      <c r="AJ75" s="705"/>
      <c r="AK75" s="705"/>
      <c r="AL75" s="705"/>
      <c r="AM75" s="705"/>
      <c r="AN75" s="705"/>
      <c r="AO75" s="705"/>
      <c r="AP75" s="705"/>
      <c r="AQ75" s="705"/>
      <c r="AR75" s="705"/>
      <c r="AS75" s="705"/>
      <c r="AT75" s="705"/>
      <c r="AU75" s="705"/>
      <c r="AV75" s="705"/>
      <c r="AW75" s="705"/>
      <c r="AX75" s="705"/>
      <c r="AY75" s="705"/>
      <c r="AZ75" s="705"/>
      <c r="BA75" s="705"/>
      <c r="BB75" s="705"/>
      <c r="BC75" s="705"/>
      <c r="BD75" s="705"/>
      <c r="BE75" s="705"/>
      <c r="BF75" s="705"/>
      <c r="BG75" s="705"/>
      <c r="BH75" s="705"/>
      <c r="BI75" s="705"/>
      <c r="BJ75" s="705"/>
      <c r="BK75" s="705"/>
      <c r="BL75" s="705"/>
      <c r="BM75" s="710"/>
      <c r="BN75" s="684">
        <f t="shared" si="10"/>
        <v>0</v>
      </c>
      <c r="BO75" s="690"/>
      <c r="BP75" s="704"/>
      <c r="BQ75" s="705"/>
      <c r="BR75" s="705"/>
      <c r="BS75" s="705"/>
      <c r="BT75" s="705"/>
      <c r="BU75" s="705"/>
      <c r="BV75" s="705"/>
      <c r="BW75" s="705"/>
      <c r="BX75" s="705"/>
      <c r="BY75" s="705"/>
      <c r="BZ75" s="705"/>
      <c r="CA75" s="705"/>
      <c r="CB75" s="705"/>
      <c r="CC75" s="705"/>
      <c r="CD75" s="705"/>
      <c r="CE75" s="705"/>
      <c r="CF75" s="705"/>
      <c r="CG75" s="705"/>
      <c r="CH75" s="705"/>
      <c r="CI75" s="705"/>
      <c r="CJ75" s="705"/>
      <c r="CK75" s="705"/>
      <c r="CL75" s="705"/>
      <c r="CM75" s="705"/>
      <c r="CN75" s="705"/>
      <c r="CO75" s="705"/>
      <c r="CP75" s="705"/>
      <c r="CQ75" s="705"/>
      <c r="CR75" s="705"/>
      <c r="CS75" s="705"/>
      <c r="CT75" s="710"/>
      <c r="CU75" s="684">
        <f t="shared" si="11"/>
        <v>0</v>
      </c>
      <c r="CV75" s="690"/>
    </row>
    <row r="76" spans="1:100" ht="13.5" thickBot="1">
      <c r="BO76" s="647"/>
      <c r="CT76" s="621"/>
      <c r="CV76" s="647"/>
    </row>
    <row r="77" spans="1:100">
      <c r="R77" s="1021" t="s">
        <v>184</v>
      </c>
      <c r="S77" s="1022"/>
      <c r="T77" s="1022"/>
      <c r="U77" s="1022"/>
      <c r="V77" s="1023"/>
      <c r="AY77" s="1021" t="s">
        <v>184</v>
      </c>
      <c r="AZ77" s="1022"/>
      <c r="BA77" s="1022"/>
      <c r="BB77" s="1022"/>
      <c r="BC77" s="1023"/>
      <c r="BO77" s="647"/>
      <c r="CF77" s="1021" t="s">
        <v>184</v>
      </c>
      <c r="CG77" s="1022"/>
      <c r="CH77" s="1022"/>
      <c r="CI77" s="1022"/>
      <c r="CJ77" s="1023"/>
      <c r="CT77" s="621"/>
      <c r="CV77" s="647"/>
    </row>
    <row r="78" spans="1:100" ht="18.600000000000001" customHeight="1" thickBot="1">
      <c r="A78" s="621"/>
      <c r="B78" s="621"/>
      <c r="C78" s="621"/>
      <c r="D78" s="621"/>
      <c r="E78" s="621"/>
      <c r="F78" s="621"/>
      <c r="G78" s="621"/>
      <c r="H78" s="621"/>
      <c r="I78" s="621"/>
      <c r="J78" s="621"/>
      <c r="K78" s="621"/>
      <c r="P78" s="628"/>
      <c r="R78" s="672" cm="1">
        <f t="array" aca="1" ref="R78" ca="1">+CONTARCOLORCELDA($C$12,B80:AF80)*$X$25</f>
        <v>31</v>
      </c>
      <c r="S78" s="673" cm="1">
        <f t="array" aca="1" ref="S78" ca="1">+CONTARCOLORCELDA($C$13,B80:AF80)*$X$25</f>
        <v>0</v>
      </c>
      <c r="T78" s="674" cm="1">
        <f t="array" aca="1" ref="T78" ca="1">+CONTARCOLORCELDA($C$14,D80:AI80)*$X$25</f>
        <v>0</v>
      </c>
      <c r="U78" s="675" cm="1">
        <f t="array" aca="1" ref="U78" ca="1">+CONTARCOLORCELDA($C$15,B80:AF80)*$X$25</f>
        <v>0</v>
      </c>
      <c r="V78" s="676" cm="1">
        <f t="array" aca="1" ref="V78" ca="1">+CONTARCOLORCELDA($C$16,B80:AF80)*$X$25</f>
        <v>0</v>
      </c>
      <c r="W78" s="628"/>
      <c r="AD78" s="628"/>
      <c r="AE78" s="628"/>
      <c r="AF78" s="628"/>
      <c r="AI78" s="628"/>
      <c r="AJ78" s="628"/>
      <c r="AK78" s="628"/>
      <c r="AL78" s="628"/>
      <c r="AM78" s="628"/>
      <c r="AN78" s="628"/>
      <c r="AO78" s="628"/>
      <c r="AP78" s="628"/>
      <c r="AQ78" s="628"/>
      <c r="AR78" s="628"/>
      <c r="AS78" s="628"/>
      <c r="AT78" s="628"/>
      <c r="AU78" s="628"/>
      <c r="AV78" s="628"/>
      <c r="AW78" s="628"/>
      <c r="AX78" s="628"/>
      <c r="AY78" s="672" cm="1">
        <f t="array" aca="1" ref="AY78" ca="1">+CONTARCOLORCELDA($C$12,AI80:BM80)*$X$25</f>
        <v>31</v>
      </c>
      <c r="AZ78" s="673" cm="1">
        <f t="array" aca="1" ref="AZ78" ca="1">+CONTARCOLORCELDA($C$13,AI80:BM80)*$X$25</f>
        <v>0</v>
      </c>
      <c r="BA78" s="674" cm="1">
        <f t="array" aca="1" ref="BA78" ca="1">+CONTARCOLORCELDA($C$14,AK80:BP80)*$X$25</f>
        <v>0</v>
      </c>
      <c r="BB78" s="675" cm="1">
        <f t="array" aca="1" ref="BB78" ca="1">+CONTARCOLORCELDA($C$15,AI80:BM80)*$X$25</f>
        <v>0</v>
      </c>
      <c r="BC78" s="676" cm="1">
        <f t="array" aca="1" ref="BC78" ca="1">+CONTARCOLORCELDA($C$16,AI80:BM80)*$X$25</f>
        <v>0</v>
      </c>
      <c r="BD78" s="628"/>
      <c r="BE78" s="628"/>
      <c r="BM78" s="628"/>
      <c r="BP78" s="628"/>
      <c r="BQ78" s="628"/>
      <c r="BR78" s="628"/>
      <c r="BS78" s="628"/>
      <c r="BT78" s="628"/>
      <c r="BU78" s="628"/>
      <c r="BV78" s="628"/>
      <c r="BW78" s="628"/>
      <c r="CF78" s="672" cm="1">
        <f t="array" aca="1" ref="CF78" ca="1">+CONTARCOLORCELDA($C$12,BP80:CT80)*$X$25</f>
        <v>31</v>
      </c>
      <c r="CG78" s="673" cm="1">
        <f t="array" aca="1" ref="CG78" ca="1">+CONTARCOLORCELDA($C$13,BP80:CT80)*$X$25</f>
        <v>0</v>
      </c>
      <c r="CH78" s="674" cm="1">
        <f t="array" aca="1" ref="CH78" ca="1">+CONTARCOLORCELDA($C$14,BR80:CW80)*$X$25</f>
        <v>0</v>
      </c>
      <c r="CI78" s="675" cm="1">
        <f t="array" aca="1" ref="CI78" ca="1">+CONTARCOLORCELDA($C$15,BP80:CT80)*$X$25</f>
        <v>0</v>
      </c>
      <c r="CJ78" s="676" cm="1">
        <f t="array" aca="1" ref="CJ78" ca="1">+CONTARCOLORCELDA($C$16,BP80:CT80)*$X$25</f>
        <v>0</v>
      </c>
      <c r="CK78" s="621"/>
      <c r="CL78" s="621"/>
      <c r="CM78" s="621"/>
      <c r="CN78" s="621"/>
      <c r="CO78" s="621"/>
      <c r="CQ78" s="621"/>
      <c r="CV78" s="681"/>
    </row>
    <row r="79" spans="1:100" ht="15.95" customHeight="1" thickBot="1">
      <c r="B79" s="667" t="s">
        <v>202</v>
      </c>
      <c r="C79" s="665"/>
      <c r="D79" s="665"/>
      <c r="E79" s="665"/>
      <c r="F79" s="665"/>
      <c r="G79" s="665"/>
      <c r="H79" s="665"/>
      <c r="I79" s="665"/>
      <c r="J79" s="665"/>
      <c r="K79" s="665"/>
      <c r="L79" s="665"/>
      <c r="M79" s="665"/>
      <c r="N79" s="665"/>
      <c r="O79" s="665"/>
      <c r="P79" s="665"/>
      <c r="Q79" s="665"/>
      <c r="R79" s="665"/>
      <c r="S79" s="665"/>
      <c r="T79" s="665"/>
      <c r="U79" s="665"/>
      <c r="V79" s="665"/>
      <c r="W79" s="665"/>
      <c r="X79" s="665"/>
      <c r="Y79" s="665"/>
      <c r="Z79" s="665"/>
      <c r="AA79" s="665"/>
      <c r="AB79" s="665"/>
      <c r="AC79" s="665"/>
      <c r="AD79" s="665"/>
      <c r="AE79" s="665"/>
      <c r="AF79" s="665"/>
      <c r="AG79" s="682"/>
      <c r="AH79" s="688" t="s">
        <v>187</v>
      </c>
      <c r="AI79" s="668" t="s">
        <v>203</v>
      </c>
      <c r="AJ79" s="665"/>
      <c r="AK79" s="665"/>
      <c r="AL79" s="665"/>
      <c r="AM79" s="665"/>
      <c r="AN79" s="665"/>
      <c r="AO79" s="665"/>
      <c r="AP79" s="665"/>
      <c r="AQ79" s="665"/>
      <c r="AR79" s="665"/>
      <c r="AS79" s="665"/>
      <c r="AT79" s="665"/>
      <c r="AU79" s="665"/>
      <c r="AV79" s="665"/>
      <c r="AW79" s="665"/>
      <c r="AX79" s="665"/>
      <c r="AY79" s="665"/>
      <c r="AZ79" s="665"/>
      <c r="BA79" s="665"/>
      <c r="BB79" s="665"/>
      <c r="BC79" s="665"/>
      <c r="BD79" s="665"/>
      <c r="BE79" s="665"/>
      <c r="BF79" s="665"/>
      <c r="BG79" s="665"/>
      <c r="BH79" s="665"/>
      <c r="BI79" s="665"/>
      <c r="BJ79" s="665"/>
      <c r="BK79" s="665"/>
      <c r="BL79" s="665"/>
      <c r="BM79" s="665"/>
      <c r="BN79" s="682"/>
      <c r="BO79" s="688" t="s">
        <v>187</v>
      </c>
      <c r="BP79" s="668" t="s">
        <v>204</v>
      </c>
      <c r="BQ79" s="665"/>
      <c r="BR79" s="665"/>
      <c r="BS79" s="665"/>
      <c r="BT79" s="665"/>
      <c r="BU79" s="665"/>
      <c r="BV79" s="665"/>
      <c r="BW79" s="665"/>
      <c r="BX79" s="665"/>
      <c r="BY79" s="665"/>
      <c r="BZ79" s="665"/>
      <c r="CA79" s="665"/>
      <c r="CB79" s="665"/>
      <c r="CC79" s="665"/>
      <c r="CD79" s="665"/>
      <c r="CE79" s="665"/>
      <c r="CF79" s="665"/>
      <c r="CG79" s="665"/>
      <c r="CH79" s="665"/>
      <c r="CI79" s="665"/>
      <c r="CJ79" s="665"/>
      <c r="CK79" s="665"/>
      <c r="CL79" s="665"/>
      <c r="CM79" s="665"/>
      <c r="CN79" s="665"/>
      <c r="CO79" s="665"/>
      <c r="CP79" s="665"/>
      <c r="CQ79" s="665"/>
      <c r="CR79" s="665"/>
      <c r="CS79" s="665"/>
      <c r="CT79" s="665"/>
      <c r="CU79" s="682"/>
      <c r="CV79" s="688" t="s">
        <v>187</v>
      </c>
    </row>
    <row r="80" spans="1:100" ht="13.5" thickBot="1">
      <c r="B80" s="699">
        <v>1</v>
      </c>
      <c r="C80" s="699">
        <v>2</v>
      </c>
      <c r="D80" s="699">
        <v>3</v>
      </c>
      <c r="E80" s="699">
        <v>4</v>
      </c>
      <c r="F80" s="699">
        <v>5</v>
      </c>
      <c r="G80" s="699">
        <v>6</v>
      </c>
      <c r="H80" s="699">
        <v>7</v>
      </c>
      <c r="I80" s="699">
        <v>8</v>
      </c>
      <c r="J80" s="699">
        <v>9</v>
      </c>
      <c r="K80" s="699">
        <v>10</v>
      </c>
      <c r="L80" s="699">
        <v>11</v>
      </c>
      <c r="M80" s="699">
        <v>12</v>
      </c>
      <c r="N80" s="699">
        <v>13</v>
      </c>
      <c r="O80" s="699">
        <v>14</v>
      </c>
      <c r="P80" s="699">
        <v>15</v>
      </c>
      <c r="Q80" s="699">
        <v>16</v>
      </c>
      <c r="R80" s="699">
        <v>17</v>
      </c>
      <c r="S80" s="699">
        <v>18</v>
      </c>
      <c r="T80" s="699">
        <v>19</v>
      </c>
      <c r="U80" s="699">
        <v>20</v>
      </c>
      <c r="V80" s="699">
        <v>21</v>
      </c>
      <c r="W80" s="699">
        <v>22</v>
      </c>
      <c r="X80" s="699">
        <v>27</v>
      </c>
      <c r="Y80" s="699">
        <v>24</v>
      </c>
      <c r="Z80" s="699">
        <v>25</v>
      </c>
      <c r="AA80" s="699">
        <v>26</v>
      </c>
      <c r="AB80" s="699">
        <v>27</v>
      </c>
      <c r="AC80" s="699">
        <v>28</v>
      </c>
      <c r="AD80" s="699">
        <v>29</v>
      </c>
      <c r="AE80" s="699">
        <v>30</v>
      </c>
      <c r="AF80" s="699">
        <v>31</v>
      </c>
      <c r="AG80" s="679"/>
      <c r="AH80" s="685"/>
      <c r="AI80" s="699">
        <v>1</v>
      </c>
      <c r="AJ80" s="699">
        <v>2</v>
      </c>
      <c r="AK80" s="699">
        <v>3</v>
      </c>
      <c r="AL80" s="699">
        <v>4</v>
      </c>
      <c r="AM80" s="699">
        <v>5</v>
      </c>
      <c r="AN80" s="699">
        <v>6</v>
      </c>
      <c r="AO80" s="699">
        <v>7</v>
      </c>
      <c r="AP80" s="699">
        <v>8</v>
      </c>
      <c r="AQ80" s="699">
        <v>9</v>
      </c>
      <c r="AR80" s="699">
        <v>10</v>
      </c>
      <c r="AS80" s="699">
        <v>11</v>
      </c>
      <c r="AT80" s="699">
        <v>12</v>
      </c>
      <c r="AU80" s="699">
        <v>13</v>
      </c>
      <c r="AV80" s="699">
        <v>14</v>
      </c>
      <c r="AW80" s="699">
        <v>15</v>
      </c>
      <c r="AX80" s="699">
        <v>16</v>
      </c>
      <c r="AY80" s="699">
        <v>17</v>
      </c>
      <c r="AZ80" s="699">
        <v>18</v>
      </c>
      <c r="BA80" s="699">
        <v>19</v>
      </c>
      <c r="BB80" s="699">
        <v>20</v>
      </c>
      <c r="BC80" s="699">
        <v>21</v>
      </c>
      <c r="BD80" s="699">
        <v>22</v>
      </c>
      <c r="BE80" s="699">
        <v>27</v>
      </c>
      <c r="BF80" s="699">
        <v>24</v>
      </c>
      <c r="BG80" s="699">
        <v>25</v>
      </c>
      <c r="BH80" s="699">
        <v>26</v>
      </c>
      <c r="BI80" s="699">
        <v>27</v>
      </c>
      <c r="BJ80" s="699">
        <v>28</v>
      </c>
      <c r="BK80" s="699">
        <v>29</v>
      </c>
      <c r="BL80" s="699">
        <v>30</v>
      </c>
      <c r="BM80" s="699">
        <v>31</v>
      </c>
      <c r="BN80" s="679"/>
      <c r="BO80" s="685"/>
      <c r="BP80" s="699">
        <v>1</v>
      </c>
      <c r="BQ80" s="699">
        <v>2</v>
      </c>
      <c r="BR80" s="699">
        <v>3</v>
      </c>
      <c r="BS80" s="699">
        <v>4</v>
      </c>
      <c r="BT80" s="699">
        <v>5</v>
      </c>
      <c r="BU80" s="699">
        <v>6</v>
      </c>
      <c r="BV80" s="699">
        <v>7</v>
      </c>
      <c r="BW80" s="699">
        <v>8</v>
      </c>
      <c r="BX80" s="699">
        <v>9</v>
      </c>
      <c r="BY80" s="699">
        <v>10</v>
      </c>
      <c r="BZ80" s="699">
        <v>11</v>
      </c>
      <c r="CA80" s="699">
        <v>12</v>
      </c>
      <c r="CB80" s="699">
        <v>13</v>
      </c>
      <c r="CC80" s="699">
        <v>14</v>
      </c>
      <c r="CD80" s="699">
        <v>15</v>
      </c>
      <c r="CE80" s="699">
        <v>16</v>
      </c>
      <c r="CF80" s="699">
        <v>17</v>
      </c>
      <c r="CG80" s="699">
        <v>18</v>
      </c>
      <c r="CH80" s="699">
        <v>19</v>
      </c>
      <c r="CI80" s="699">
        <v>20</v>
      </c>
      <c r="CJ80" s="699">
        <v>21</v>
      </c>
      <c r="CK80" s="699">
        <v>22</v>
      </c>
      <c r="CL80" s="699">
        <v>27</v>
      </c>
      <c r="CM80" s="699">
        <v>24</v>
      </c>
      <c r="CN80" s="699">
        <v>25</v>
      </c>
      <c r="CO80" s="699">
        <v>26</v>
      </c>
      <c r="CP80" s="699">
        <v>27</v>
      </c>
      <c r="CQ80" s="699">
        <v>28</v>
      </c>
      <c r="CR80" s="699">
        <v>29</v>
      </c>
      <c r="CS80" s="699">
        <v>30</v>
      </c>
      <c r="CT80" s="699">
        <v>31</v>
      </c>
      <c r="CU80" s="679"/>
      <c r="CV80" s="685"/>
    </row>
    <row r="81" spans="1:100">
      <c r="A81" s="629" t="s">
        <v>190</v>
      </c>
      <c r="B81" s="678">
        <v>1</v>
      </c>
      <c r="C81" s="678">
        <v>2</v>
      </c>
      <c r="D81" s="678">
        <v>3</v>
      </c>
      <c r="E81" s="678">
        <v>4</v>
      </c>
      <c r="F81" s="678">
        <v>5</v>
      </c>
      <c r="G81" s="678">
        <v>6</v>
      </c>
      <c r="H81" s="678">
        <v>7</v>
      </c>
      <c r="I81" s="678">
        <v>8</v>
      </c>
      <c r="J81" s="678">
        <v>9</v>
      </c>
      <c r="K81" s="678">
        <v>10</v>
      </c>
      <c r="L81" s="678">
        <v>11</v>
      </c>
      <c r="M81" s="678">
        <v>12</v>
      </c>
      <c r="N81" s="678">
        <v>13</v>
      </c>
      <c r="O81" s="678">
        <v>14</v>
      </c>
      <c r="P81" s="678">
        <v>15</v>
      </c>
      <c r="Q81" s="678">
        <v>16</v>
      </c>
      <c r="R81" s="678">
        <v>17</v>
      </c>
      <c r="S81" s="678">
        <v>18</v>
      </c>
      <c r="T81" s="678">
        <v>19</v>
      </c>
      <c r="U81" s="678">
        <v>20</v>
      </c>
      <c r="V81" s="678">
        <v>21</v>
      </c>
      <c r="W81" s="678">
        <v>22</v>
      </c>
      <c r="X81" s="678">
        <v>23</v>
      </c>
      <c r="Y81" s="678">
        <v>24</v>
      </c>
      <c r="Z81" s="678">
        <v>25</v>
      </c>
      <c r="AA81" s="678">
        <v>26</v>
      </c>
      <c r="AB81" s="678">
        <v>27</v>
      </c>
      <c r="AC81" s="678">
        <v>28</v>
      </c>
      <c r="AD81" s="678">
        <v>29</v>
      </c>
      <c r="AE81" s="678">
        <v>30</v>
      </c>
      <c r="AF81" s="678">
        <v>31</v>
      </c>
      <c r="AG81" s="679">
        <f>COUNT(B81:AF81)*$X$25</f>
        <v>31</v>
      </c>
      <c r="AH81" s="686">
        <v>7.0000000000000001E-3</v>
      </c>
      <c r="AI81" s="678">
        <v>1</v>
      </c>
      <c r="AJ81" s="678">
        <v>2</v>
      </c>
      <c r="AK81" s="678">
        <v>3</v>
      </c>
      <c r="AL81" s="678">
        <v>4</v>
      </c>
      <c r="AM81" s="678">
        <v>5</v>
      </c>
      <c r="AN81" s="678">
        <v>6</v>
      </c>
      <c r="AO81" s="678">
        <v>7</v>
      </c>
      <c r="AP81" s="678">
        <v>8</v>
      </c>
      <c r="AQ81" s="678">
        <v>9</v>
      </c>
      <c r="AR81" s="678">
        <v>10</v>
      </c>
      <c r="AS81" s="678">
        <v>11</v>
      </c>
      <c r="AT81" s="678">
        <v>12</v>
      </c>
      <c r="AU81" s="678">
        <v>13</v>
      </c>
      <c r="AV81" s="678">
        <v>14</v>
      </c>
      <c r="AW81" s="678">
        <v>15</v>
      </c>
      <c r="AX81" s="678">
        <v>16</v>
      </c>
      <c r="AY81" s="678">
        <v>17</v>
      </c>
      <c r="AZ81" s="678">
        <v>18</v>
      </c>
      <c r="BA81" s="678">
        <v>19</v>
      </c>
      <c r="BB81" s="678">
        <v>20</v>
      </c>
      <c r="BC81" s="678">
        <v>21</v>
      </c>
      <c r="BD81" s="678">
        <v>22</v>
      </c>
      <c r="BE81" s="678">
        <v>23</v>
      </c>
      <c r="BF81" s="678">
        <v>24</v>
      </c>
      <c r="BG81" s="678">
        <v>25</v>
      </c>
      <c r="BH81" s="678">
        <v>26</v>
      </c>
      <c r="BI81" s="678">
        <v>27</v>
      </c>
      <c r="BJ81" s="678">
        <v>28</v>
      </c>
      <c r="BK81" s="678">
        <v>29</v>
      </c>
      <c r="BL81" s="678">
        <v>30</v>
      </c>
      <c r="BM81" s="678">
        <v>31</v>
      </c>
      <c r="BN81" s="679">
        <f>COUNT(AI81:BM81)*$X$25</f>
        <v>31</v>
      </c>
      <c r="BO81" s="686">
        <v>7.0000000000000001E-3</v>
      </c>
      <c r="BP81" s="678">
        <v>1</v>
      </c>
      <c r="BQ81" s="678">
        <v>2</v>
      </c>
      <c r="BR81" s="678">
        <v>3</v>
      </c>
      <c r="BS81" s="678">
        <v>4</v>
      </c>
      <c r="BT81" s="678">
        <v>5</v>
      </c>
      <c r="BU81" s="678">
        <v>6</v>
      </c>
      <c r="BV81" s="678">
        <v>7</v>
      </c>
      <c r="BW81" s="678">
        <v>8</v>
      </c>
      <c r="BX81" s="678">
        <v>9</v>
      </c>
      <c r="BY81" s="678">
        <v>10</v>
      </c>
      <c r="BZ81" s="678">
        <v>11</v>
      </c>
      <c r="CA81" s="678">
        <v>12</v>
      </c>
      <c r="CB81" s="678">
        <v>13</v>
      </c>
      <c r="CC81" s="678">
        <v>14</v>
      </c>
      <c r="CD81" s="678">
        <v>15</v>
      </c>
      <c r="CE81" s="678">
        <v>16</v>
      </c>
      <c r="CF81" s="678">
        <v>17</v>
      </c>
      <c r="CG81" s="678">
        <v>18</v>
      </c>
      <c r="CH81" s="678">
        <v>19</v>
      </c>
      <c r="CI81" s="678">
        <v>20</v>
      </c>
      <c r="CJ81" s="678">
        <v>21</v>
      </c>
      <c r="CK81" s="678">
        <v>22</v>
      </c>
      <c r="CL81" s="678">
        <v>23</v>
      </c>
      <c r="CM81" s="678">
        <v>24</v>
      </c>
      <c r="CN81" s="678">
        <v>25</v>
      </c>
      <c r="CO81" s="678">
        <v>26</v>
      </c>
      <c r="CP81" s="678">
        <v>27</v>
      </c>
      <c r="CQ81" s="678">
        <v>28</v>
      </c>
      <c r="CR81" s="678">
        <v>29</v>
      </c>
      <c r="CS81" s="678">
        <v>30</v>
      </c>
      <c r="CT81" s="678">
        <v>31</v>
      </c>
      <c r="CU81" s="679">
        <f>COUNT(BP81:CT81)*$X$25</f>
        <v>31</v>
      </c>
      <c r="CV81" s="686">
        <v>7.0000000000000001E-3</v>
      </c>
    </row>
    <row r="82" spans="1:100">
      <c r="A82" s="630" t="s">
        <v>191</v>
      </c>
      <c r="B82" s="701"/>
      <c r="C82" s="678"/>
      <c r="D82" s="678"/>
      <c r="E82" s="678"/>
      <c r="F82" s="678"/>
      <c r="G82" s="678"/>
      <c r="H82" s="678"/>
      <c r="I82" s="678"/>
      <c r="J82" s="678"/>
      <c r="K82" s="678"/>
      <c r="L82" s="678"/>
      <c r="M82" s="678"/>
      <c r="N82" s="678"/>
      <c r="O82" s="678"/>
      <c r="P82" s="678"/>
      <c r="Q82" s="678"/>
      <c r="R82" s="678"/>
      <c r="S82" s="678"/>
      <c r="T82" s="678"/>
      <c r="U82" s="678"/>
      <c r="V82" s="678"/>
      <c r="W82" s="678"/>
      <c r="X82" s="678"/>
      <c r="Y82" s="678"/>
      <c r="Z82" s="678"/>
      <c r="AA82" s="678"/>
      <c r="AB82" s="678"/>
      <c r="AC82" s="678"/>
      <c r="AD82" s="678"/>
      <c r="AE82" s="678"/>
      <c r="AF82" s="678"/>
      <c r="AG82" s="679">
        <f>COUNT(B82:AF82)*$X$25</f>
        <v>0</v>
      </c>
      <c r="AH82" s="686">
        <v>0</v>
      </c>
      <c r="AI82" s="701"/>
      <c r="AJ82" s="678"/>
      <c r="AK82" s="678"/>
      <c r="AL82" s="678"/>
      <c r="AM82" s="678"/>
      <c r="AN82" s="678"/>
      <c r="AO82" s="678"/>
      <c r="AP82" s="678"/>
      <c r="AQ82" s="678"/>
      <c r="AR82" s="678"/>
      <c r="AS82" s="678"/>
      <c r="AT82" s="678"/>
      <c r="AU82" s="678"/>
      <c r="AV82" s="678"/>
      <c r="AW82" s="678"/>
      <c r="AX82" s="678"/>
      <c r="AY82" s="678"/>
      <c r="AZ82" s="678"/>
      <c r="BA82" s="678"/>
      <c r="BB82" s="678"/>
      <c r="BC82" s="678"/>
      <c r="BD82" s="678"/>
      <c r="BE82" s="678"/>
      <c r="BF82" s="678"/>
      <c r="BG82" s="678"/>
      <c r="BH82" s="678"/>
      <c r="BI82" s="678"/>
      <c r="BJ82" s="678"/>
      <c r="BK82" s="678"/>
      <c r="BL82" s="678"/>
      <c r="BM82" s="678"/>
      <c r="BN82" s="679">
        <f>COUNT(AI82:BM82)*$X$25</f>
        <v>0</v>
      </c>
      <c r="BO82" s="686">
        <v>0</v>
      </c>
      <c r="BP82" s="701"/>
      <c r="BQ82" s="678"/>
      <c r="BR82" s="678"/>
      <c r="BS82" s="678"/>
      <c r="BT82" s="678"/>
      <c r="BU82" s="678"/>
      <c r="BV82" s="678"/>
      <c r="BW82" s="678"/>
      <c r="BX82" s="678"/>
      <c r="BY82" s="678"/>
      <c r="BZ82" s="678"/>
      <c r="CA82" s="678"/>
      <c r="CB82" s="678"/>
      <c r="CC82" s="678"/>
      <c r="CD82" s="678"/>
      <c r="CE82" s="678"/>
      <c r="CF82" s="678"/>
      <c r="CG82" s="678"/>
      <c r="CH82" s="678"/>
      <c r="CI82" s="678"/>
      <c r="CJ82" s="678"/>
      <c r="CK82" s="678"/>
      <c r="CL82" s="678"/>
      <c r="CM82" s="678"/>
      <c r="CN82" s="678"/>
      <c r="CO82" s="678"/>
      <c r="CP82" s="678"/>
      <c r="CQ82" s="678"/>
      <c r="CR82" s="678"/>
      <c r="CS82" s="678"/>
      <c r="CT82" s="678"/>
      <c r="CU82" s="679">
        <f>COUNT(BP82:CT82)*$X$25</f>
        <v>0</v>
      </c>
      <c r="CV82" s="686">
        <v>0</v>
      </c>
    </row>
    <row r="83" spans="1:100">
      <c r="A83" s="630" t="s">
        <v>192</v>
      </c>
      <c r="B83" s="701"/>
      <c r="C83" s="678"/>
      <c r="D83" s="678"/>
      <c r="E83" s="678"/>
      <c r="F83" s="678"/>
      <c r="G83" s="678"/>
      <c r="H83" s="678"/>
      <c r="I83" s="678"/>
      <c r="J83" s="678"/>
      <c r="K83" s="678"/>
      <c r="L83" s="678"/>
      <c r="M83" s="678"/>
      <c r="N83" s="678"/>
      <c r="O83" s="678"/>
      <c r="P83" s="678"/>
      <c r="Q83" s="678"/>
      <c r="R83" s="678"/>
      <c r="S83" s="678"/>
      <c r="T83" s="678"/>
      <c r="U83" s="678"/>
      <c r="V83" s="678"/>
      <c r="W83" s="678"/>
      <c r="X83" s="678"/>
      <c r="Y83" s="678"/>
      <c r="Z83" s="678"/>
      <c r="AA83" s="678"/>
      <c r="AB83" s="678"/>
      <c r="AC83" s="678"/>
      <c r="AD83" s="678"/>
      <c r="AE83" s="678"/>
      <c r="AF83" s="678"/>
      <c r="AG83" s="679">
        <f t="shared" ref="AG83:AG92" si="12">COUNT(B83:AF83)</f>
        <v>0</v>
      </c>
      <c r="AH83" s="686"/>
      <c r="AI83" s="701"/>
      <c r="AJ83" s="678"/>
      <c r="AK83" s="678"/>
      <c r="AL83" s="678"/>
      <c r="AM83" s="678"/>
      <c r="AN83" s="678"/>
      <c r="AO83" s="678"/>
      <c r="AP83" s="678"/>
      <c r="AQ83" s="678"/>
      <c r="AR83" s="678"/>
      <c r="AS83" s="678"/>
      <c r="AT83" s="678"/>
      <c r="AU83" s="678"/>
      <c r="AV83" s="678"/>
      <c r="AW83" s="678"/>
      <c r="AX83" s="678"/>
      <c r="AY83" s="678"/>
      <c r="AZ83" s="678"/>
      <c r="BA83" s="678"/>
      <c r="BB83" s="678"/>
      <c r="BC83" s="678"/>
      <c r="BD83" s="678"/>
      <c r="BE83" s="678"/>
      <c r="BF83" s="678"/>
      <c r="BG83" s="678"/>
      <c r="BH83" s="678"/>
      <c r="BI83" s="678"/>
      <c r="BJ83" s="678"/>
      <c r="BK83" s="678"/>
      <c r="BL83" s="678"/>
      <c r="BM83" s="678"/>
      <c r="BN83" s="679">
        <f t="shared" ref="BN83:BN92" si="13">COUNT(AI83:BM83)</f>
        <v>0</v>
      </c>
      <c r="BO83" s="686"/>
      <c r="BP83" s="701"/>
      <c r="BQ83" s="678"/>
      <c r="BR83" s="678"/>
      <c r="BS83" s="678"/>
      <c r="BT83" s="678"/>
      <c r="BU83" s="678"/>
      <c r="BV83" s="678"/>
      <c r="BW83" s="678"/>
      <c r="BX83" s="678"/>
      <c r="BY83" s="678"/>
      <c r="BZ83" s="678"/>
      <c r="CA83" s="678"/>
      <c r="CB83" s="678"/>
      <c r="CC83" s="678"/>
      <c r="CD83" s="678"/>
      <c r="CE83" s="678"/>
      <c r="CF83" s="678"/>
      <c r="CG83" s="678"/>
      <c r="CH83" s="678"/>
      <c r="CI83" s="678"/>
      <c r="CJ83" s="678"/>
      <c r="CK83" s="678"/>
      <c r="CL83" s="678"/>
      <c r="CM83" s="678"/>
      <c r="CN83" s="678"/>
      <c r="CO83" s="678"/>
      <c r="CP83" s="678"/>
      <c r="CQ83" s="678"/>
      <c r="CR83" s="678"/>
      <c r="CS83" s="678"/>
      <c r="CT83" s="678"/>
      <c r="CU83" s="679">
        <f t="shared" ref="CU83:CU92" si="14">COUNT(BP83:CT83)</f>
        <v>0</v>
      </c>
      <c r="CV83" s="686"/>
    </row>
    <row r="84" spans="1:100" ht="13.5" thickBot="1">
      <c r="A84" s="631" t="s">
        <v>192</v>
      </c>
      <c r="B84" s="701"/>
      <c r="C84" s="678"/>
      <c r="D84" s="678"/>
      <c r="E84" s="678"/>
      <c r="F84" s="678"/>
      <c r="G84" s="678"/>
      <c r="H84" s="678"/>
      <c r="I84" s="678"/>
      <c r="J84" s="678"/>
      <c r="K84" s="678"/>
      <c r="L84" s="678"/>
      <c r="M84" s="678"/>
      <c r="N84" s="678"/>
      <c r="O84" s="678"/>
      <c r="P84" s="678"/>
      <c r="Q84" s="678"/>
      <c r="R84" s="678"/>
      <c r="S84" s="678"/>
      <c r="T84" s="678"/>
      <c r="U84" s="678"/>
      <c r="V84" s="678"/>
      <c r="W84" s="678"/>
      <c r="X84" s="678"/>
      <c r="Y84" s="678"/>
      <c r="Z84" s="678"/>
      <c r="AA84" s="678"/>
      <c r="AB84" s="678"/>
      <c r="AC84" s="678"/>
      <c r="AD84" s="678"/>
      <c r="AE84" s="678"/>
      <c r="AF84" s="678"/>
      <c r="AG84" s="679">
        <f t="shared" si="12"/>
        <v>0</v>
      </c>
      <c r="AH84" s="686"/>
      <c r="AI84" s="701"/>
      <c r="AJ84" s="678"/>
      <c r="AK84" s="678"/>
      <c r="AL84" s="678"/>
      <c r="AM84" s="678"/>
      <c r="AN84" s="678"/>
      <c r="AO84" s="678"/>
      <c r="AP84" s="678"/>
      <c r="AQ84" s="678"/>
      <c r="AR84" s="678"/>
      <c r="AS84" s="678"/>
      <c r="AT84" s="678"/>
      <c r="AU84" s="678"/>
      <c r="AV84" s="678"/>
      <c r="AW84" s="678"/>
      <c r="AX84" s="678"/>
      <c r="AY84" s="678"/>
      <c r="AZ84" s="678"/>
      <c r="BA84" s="678"/>
      <c r="BB84" s="678"/>
      <c r="BC84" s="678"/>
      <c r="BD84" s="678"/>
      <c r="BE84" s="678"/>
      <c r="BF84" s="678"/>
      <c r="BG84" s="678"/>
      <c r="BH84" s="678"/>
      <c r="BI84" s="678"/>
      <c r="BJ84" s="678"/>
      <c r="BK84" s="678"/>
      <c r="BL84" s="678"/>
      <c r="BM84" s="678"/>
      <c r="BN84" s="679">
        <f t="shared" si="13"/>
        <v>0</v>
      </c>
      <c r="BO84" s="686"/>
      <c r="BP84" s="701"/>
      <c r="BQ84" s="678"/>
      <c r="BR84" s="678"/>
      <c r="BS84" s="678"/>
      <c r="BT84" s="678"/>
      <c r="BU84" s="678"/>
      <c r="BV84" s="678"/>
      <c r="BW84" s="678"/>
      <c r="BX84" s="678"/>
      <c r="BY84" s="678"/>
      <c r="BZ84" s="678"/>
      <c r="CA84" s="678"/>
      <c r="CB84" s="678"/>
      <c r="CC84" s="678"/>
      <c r="CD84" s="678"/>
      <c r="CE84" s="678"/>
      <c r="CF84" s="678"/>
      <c r="CG84" s="678"/>
      <c r="CH84" s="678"/>
      <c r="CI84" s="678"/>
      <c r="CJ84" s="678"/>
      <c r="CK84" s="678"/>
      <c r="CL84" s="678"/>
      <c r="CM84" s="678"/>
      <c r="CN84" s="678"/>
      <c r="CO84" s="678"/>
      <c r="CP84" s="678"/>
      <c r="CQ84" s="678"/>
      <c r="CR84" s="678"/>
      <c r="CS84" s="678"/>
      <c r="CT84" s="678"/>
      <c r="CU84" s="679">
        <f t="shared" si="14"/>
        <v>0</v>
      </c>
      <c r="CV84" s="686"/>
    </row>
    <row r="85" spans="1:100">
      <c r="A85" s="629" t="s">
        <v>193</v>
      </c>
      <c r="B85" s="701"/>
      <c r="C85" s="692"/>
      <c r="D85" s="692"/>
      <c r="E85" s="692"/>
      <c r="F85" s="692"/>
      <c r="G85" s="692"/>
      <c r="H85" s="692"/>
      <c r="I85" s="692"/>
      <c r="J85" s="692"/>
      <c r="K85" s="678"/>
      <c r="L85" s="678"/>
      <c r="M85" s="678"/>
      <c r="N85" s="678"/>
      <c r="O85" s="678"/>
      <c r="P85" s="678"/>
      <c r="Q85" s="678"/>
      <c r="R85" s="678"/>
      <c r="S85" s="678"/>
      <c r="T85" s="678"/>
      <c r="U85" s="678"/>
      <c r="V85" s="678"/>
      <c r="W85" s="678"/>
      <c r="X85" s="678"/>
      <c r="Y85" s="678"/>
      <c r="Z85" s="678"/>
      <c r="AA85" s="678"/>
      <c r="AB85" s="678"/>
      <c r="AC85" s="678"/>
      <c r="AD85" s="678"/>
      <c r="AE85" s="678"/>
      <c r="AF85" s="678"/>
      <c r="AG85" s="680">
        <f t="shared" si="12"/>
        <v>0</v>
      </c>
      <c r="AH85" s="687"/>
      <c r="AI85" s="701"/>
      <c r="AJ85" s="692"/>
      <c r="AK85" s="692"/>
      <c r="AL85" s="692"/>
      <c r="AM85" s="692"/>
      <c r="AN85" s="692"/>
      <c r="AO85" s="692"/>
      <c r="AP85" s="692"/>
      <c r="AQ85" s="692"/>
      <c r="AR85" s="678"/>
      <c r="AS85" s="678"/>
      <c r="AT85" s="678"/>
      <c r="AU85" s="678"/>
      <c r="AV85" s="678"/>
      <c r="AW85" s="678"/>
      <c r="AX85" s="678"/>
      <c r="AY85" s="678"/>
      <c r="AZ85" s="678"/>
      <c r="BA85" s="678"/>
      <c r="BB85" s="678"/>
      <c r="BC85" s="678"/>
      <c r="BD85" s="678"/>
      <c r="BE85" s="678"/>
      <c r="BF85" s="678"/>
      <c r="BG85" s="678"/>
      <c r="BH85" s="678"/>
      <c r="BI85" s="678"/>
      <c r="BJ85" s="678"/>
      <c r="BK85" s="678"/>
      <c r="BL85" s="678"/>
      <c r="BM85" s="678"/>
      <c r="BN85" s="680">
        <f t="shared" si="13"/>
        <v>0</v>
      </c>
      <c r="BO85" s="687"/>
      <c r="BP85" s="701"/>
      <c r="BQ85" s="692"/>
      <c r="BR85" s="692"/>
      <c r="BS85" s="692"/>
      <c r="BT85" s="692"/>
      <c r="BU85" s="692"/>
      <c r="BV85" s="692"/>
      <c r="BW85" s="692"/>
      <c r="BX85" s="692"/>
      <c r="BY85" s="678"/>
      <c r="BZ85" s="678"/>
      <c r="CA85" s="678"/>
      <c r="CB85" s="678"/>
      <c r="CC85" s="678"/>
      <c r="CD85" s="678"/>
      <c r="CE85" s="678"/>
      <c r="CF85" s="678"/>
      <c r="CG85" s="678"/>
      <c r="CH85" s="678"/>
      <c r="CI85" s="678"/>
      <c r="CJ85" s="678"/>
      <c r="CK85" s="678"/>
      <c r="CL85" s="678"/>
      <c r="CM85" s="678"/>
      <c r="CN85" s="678"/>
      <c r="CO85" s="678"/>
      <c r="CP85" s="678"/>
      <c r="CQ85" s="678"/>
      <c r="CR85" s="678"/>
      <c r="CS85" s="678"/>
      <c r="CT85" s="678"/>
      <c r="CU85" s="680">
        <f t="shared" si="14"/>
        <v>0</v>
      </c>
      <c r="CV85" s="687"/>
    </row>
    <row r="86" spans="1:100">
      <c r="A86" s="630" t="s">
        <v>194</v>
      </c>
      <c r="B86" s="701"/>
      <c r="C86" s="678"/>
      <c r="D86" s="678"/>
      <c r="E86" s="678"/>
      <c r="F86" s="678"/>
      <c r="G86" s="678"/>
      <c r="H86" s="678"/>
      <c r="I86" s="678"/>
      <c r="J86" s="678"/>
      <c r="K86" s="678"/>
      <c r="L86" s="678"/>
      <c r="M86" s="678"/>
      <c r="N86" s="678"/>
      <c r="O86" s="678"/>
      <c r="P86" s="678"/>
      <c r="Q86" s="678"/>
      <c r="R86" s="678"/>
      <c r="S86" s="678"/>
      <c r="T86" s="678"/>
      <c r="U86" s="678"/>
      <c r="V86" s="678"/>
      <c r="W86" s="678"/>
      <c r="X86" s="678"/>
      <c r="Y86" s="678"/>
      <c r="Z86" s="678"/>
      <c r="AA86" s="678"/>
      <c r="AB86" s="678"/>
      <c r="AC86" s="678"/>
      <c r="AD86" s="678"/>
      <c r="AE86" s="678"/>
      <c r="AF86" s="678"/>
      <c r="AG86" s="679">
        <f t="shared" si="12"/>
        <v>0</v>
      </c>
      <c r="AH86" s="686"/>
      <c r="AI86" s="701"/>
      <c r="AJ86" s="678"/>
      <c r="AK86" s="678"/>
      <c r="AL86" s="678"/>
      <c r="AM86" s="678"/>
      <c r="AN86" s="678"/>
      <c r="AO86" s="678"/>
      <c r="AP86" s="678"/>
      <c r="AQ86" s="678"/>
      <c r="AR86" s="678"/>
      <c r="AS86" s="678"/>
      <c r="AT86" s="678"/>
      <c r="AU86" s="678"/>
      <c r="AV86" s="678"/>
      <c r="AW86" s="678"/>
      <c r="AX86" s="678"/>
      <c r="AY86" s="678"/>
      <c r="AZ86" s="678"/>
      <c r="BA86" s="678"/>
      <c r="BB86" s="678"/>
      <c r="BC86" s="678"/>
      <c r="BD86" s="678"/>
      <c r="BE86" s="678"/>
      <c r="BF86" s="678"/>
      <c r="BG86" s="678"/>
      <c r="BH86" s="678"/>
      <c r="BI86" s="678"/>
      <c r="BJ86" s="678"/>
      <c r="BK86" s="678"/>
      <c r="BL86" s="678"/>
      <c r="BM86" s="678"/>
      <c r="BN86" s="679">
        <f t="shared" si="13"/>
        <v>0</v>
      </c>
      <c r="BO86" s="686"/>
      <c r="BP86" s="701"/>
      <c r="BQ86" s="678"/>
      <c r="BR86" s="678"/>
      <c r="BS86" s="678"/>
      <c r="BT86" s="678"/>
      <c r="BU86" s="678"/>
      <c r="BV86" s="678"/>
      <c r="BW86" s="678"/>
      <c r="BX86" s="678"/>
      <c r="BY86" s="678"/>
      <c r="BZ86" s="678"/>
      <c r="CA86" s="678"/>
      <c r="CB86" s="678"/>
      <c r="CC86" s="678"/>
      <c r="CD86" s="678"/>
      <c r="CE86" s="678"/>
      <c r="CF86" s="678"/>
      <c r="CG86" s="678"/>
      <c r="CH86" s="678"/>
      <c r="CI86" s="678"/>
      <c r="CJ86" s="678"/>
      <c r="CK86" s="678"/>
      <c r="CL86" s="678"/>
      <c r="CM86" s="678"/>
      <c r="CN86" s="678"/>
      <c r="CO86" s="678"/>
      <c r="CP86" s="678"/>
      <c r="CQ86" s="678"/>
      <c r="CR86" s="678"/>
      <c r="CS86" s="678"/>
      <c r="CT86" s="678"/>
      <c r="CU86" s="679">
        <f t="shared" si="14"/>
        <v>0</v>
      </c>
      <c r="CV86" s="686"/>
    </row>
    <row r="87" spans="1:100">
      <c r="A87" s="630" t="s">
        <v>192</v>
      </c>
      <c r="B87" s="701"/>
      <c r="C87" s="678"/>
      <c r="D87" s="678"/>
      <c r="E87" s="678"/>
      <c r="F87" s="678"/>
      <c r="G87" s="678"/>
      <c r="H87" s="678"/>
      <c r="I87" s="678"/>
      <c r="J87" s="678"/>
      <c r="K87" s="678"/>
      <c r="L87" s="678"/>
      <c r="M87" s="678"/>
      <c r="N87" s="678"/>
      <c r="O87" s="678"/>
      <c r="P87" s="678"/>
      <c r="Q87" s="678"/>
      <c r="R87" s="678"/>
      <c r="S87" s="678"/>
      <c r="T87" s="678"/>
      <c r="U87" s="678"/>
      <c r="V87" s="678"/>
      <c r="W87" s="678"/>
      <c r="X87" s="678"/>
      <c r="Y87" s="678"/>
      <c r="Z87" s="678"/>
      <c r="AA87" s="678"/>
      <c r="AB87" s="678"/>
      <c r="AC87" s="678"/>
      <c r="AD87" s="678"/>
      <c r="AE87" s="678"/>
      <c r="AF87" s="678"/>
      <c r="AG87" s="679">
        <f t="shared" si="12"/>
        <v>0</v>
      </c>
      <c r="AH87" s="686"/>
      <c r="AI87" s="701"/>
      <c r="AJ87" s="678"/>
      <c r="AK87" s="678"/>
      <c r="AL87" s="678"/>
      <c r="AM87" s="678"/>
      <c r="AN87" s="678"/>
      <c r="AO87" s="678"/>
      <c r="AP87" s="678"/>
      <c r="AQ87" s="678"/>
      <c r="AR87" s="678"/>
      <c r="AS87" s="678"/>
      <c r="AT87" s="678"/>
      <c r="AU87" s="678"/>
      <c r="AV87" s="678"/>
      <c r="AW87" s="678"/>
      <c r="AX87" s="678"/>
      <c r="AY87" s="678"/>
      <c r="AZ87" s="678"/>
      <c r="BA87" s="678"/>
      <c r="BB87" s="678"/>
      <c r="BC87" s="678"/>
      <c r="BD87" s="678"/>
      <c r="BE87" s="678"/>
      <c r="BF87" s="678"/>
      <c r="BG87" s="678"/>
      <c r="BH87" s="678"/>
      <c r="BI87" s="678"/>
      <c r="BJ87" s="678"/>
      <c r="BK87" s="678"/>
      <c r="BL87" s="678"/>
      <c r="BM87" s="678"/>
      <c r="BN87" s="679">
        <f t="shared" si="13"/>
        <v>0</v>
      </c>
      <c r="BO87" s="686"/>
      <c r="BP87" s="701"/>
      <c r="BQ87" s="678"/>
      <c r="BR87" s="678"/>
      <c r="BS87" s="678"/>
      <c r="BT87" s="678"/>
      <c r="BU87" s="678"/>
      <c r="BV87" s="678"/>
      <c r="BW87" s="678"/>
      <c r="BX87" s="678"/>
      <c r="BY87" s="678"/>
      <c r="BZ87" s="678"/>
      <c r="CA87" s="678"/>
      <c r="CB87" s="678"/>
      <c r="CC87" s="678"/>
      <c r="CD87" s="678"/>
      <c r="CE87" s="678"/>
      <c r="CF87" s="678"/>
      <c r="CG87" s="678"/>
      <c r="CH87" s="678"/>
      <c r="CI87" s="678"/>
      <c r="CJ87" s="678"/>
      <c r="CK87" s="678"/>
      <c r="CL87" s="678"/>
      <c r="CM87" s="678"/>
      <c r="CN87" s="678"/>
      <c r="CO87" s="678"/>
      <c r="CP87" s="678"/>
      <c r="CQ87" s="678"/>
      <c r="CR87" s="678"/>
      <c r="CS87" s="678"/>
      <c r="CT87" s="678"/>
      <c r="CU87" s="679">
        <f t="shared" si="14"/>
        <v>0</v>
      </c>
      <c r="CV87" s="686"/>
    </row>
    <row r="88" spans="1:100" ht="13.5" thickBot="1">
      <c r="A88" s="631" t="s">
        <v>192</v>
      </c>
      <c r="B88" s="701"/>
      <c r="C88" s="678"/>
      <c r="D88" s="678"/>
      <c r="E88" s="678"/>
      <c r="F88" s="678"/>
      <c r="G88" s="678"/>
      <c r="H88" s="678"/>
      <c r="I88" s="678"/>
      <c r="J88" s="678"/>
      <c r="K88" s="678"/>
      <c r="L88" s="678"/>
      <c r="M88" s="678"/>
      <c r="N88" s="678"/>
      <c r="O88" s="678"/>
      <c r="P88" s="678"/>
      <c r="Q88" s="678"/>
      <c r="R88" s="678"/>
      <c r="S88" s="678"/>
      <c r="T88" s="678"/>
      <c r="U88" s="678"/>
      <c r="V88" s="678"/>
      <c r="W88" s="678"/>
      <c r="X88" s="678"/>
      <c r="Y88" s="678"/>
      <c r="Z88" s="678"/>
      <c r="AA88" s="678"/>
      <c r="AB88" s="678"/>
      <c r="AC88" s="678"/>
      <c r="AD88" s="678"/>
      <c r="AE88" s="678"/>
      <c r="AF88" s="678"/>
      <c r="AG88" s="679">
        <f t="shared" si="12"/>
        <v>0</v>
      </c>
      <c r="AH88" s="686"/>
      <c r="AI88" s="701"/>
      <c r="AJ88" s="678"/>
      <c r="AK88" s="678"/>
      <c r="AL88" s="678"/>
      <c r="AM88" s="678"/>
      <c r="AN88" s="678"/>
      <c r="AO88" s="678"/>
      <c r="AP88" s="678"/>
      <c r="AQ88" s="678"/>
      <c r="AR88" s="678"/>
      <c r="AS88" s="678"/>
      <c r="AT88" s="678"/>
      <c r="AU88" s="678"/>
      <c r="AV88" s="678"/>
      <c r="AW88" s="678"/>
      <c r="AX88" s="678"/>
      <c r="AY88" s="678"/>
      <c r="AZ88" s="678"/>
      <c r="BA88" s="678"/>
      <c r="BB88" s="678"/>
      <c r="BC88" s="678"/>
      <c r="BD88" s="678"/>
      <c r="BE88" s="678"/>
      <c r="BF88" s="678"/>
      <c r="BG88" s="678"/>
      <c r="BH88" s="678"/>
      <c r="BI88" s="678"/>
      <c r="BJ88" s="678"/>
      <c r="BK88" s="678"/>
      <c r="BL88" s="678"/>
      <c r="BM88" s="678"/>
      <c r="BN88" s="679">
        <f t="shared" si="13"/>
        <v>0</v>
      </c>
      <c r="BO88" s="686"/>
      <c r="BP88" s="701"/>
      <c r="BQ88" s="678"/>
      <c r="BR88" s="678"/>
      <c r="BS88" s="678"/>
      <c r="BT88" s="678"/>
      <c r="BU88" s="678"/>
      <c r="BV88" s="678"/>
      <c r="BW88" s="678"/>
      <c r="BX88" s="678"/>
      <c r="BY88" s="678"/>
      <c r="BZ88" s="678"/>
      <c r="CA88" s="678"/>
      <c r="CB88" s="678"/>
      <c r="CC88" s="678"/>
      <c r="CD88" s="678"/>
      <c r="CE88" s="678"/>
      <c r="CF88" s="678"/>
      <c r="CG88" s="678"/>
      <c r="CH88" s="678"/>
      <c r="CI88" s="678"/>
      <c r="CJ88" s="678"/>
      <c r="CK88" s="678"/>
      <c r="CL88" s="678"/>
      <c r="CM88" s="678"/>
      <c r="CN88" s="678"/>
      <c r="CO88" s="678"/>
      <c r="CP88" s="678"/>
      <c r="CQ88" s="678"/>
      <c r="CR88" s="678"/>
      <c r="CS88" s="678"/>
      <c r="CT88" s="678"/>
      <c r="CU88" s="679">
        <f t="shared" si="14"/>
        <v>0</v>
      </c>
      <c r="CV88" s="686"/>
    </row>
    <row r="89" spans="1:100">
      <c r="A89" s="629" t="s">
        <v>195</v>
      </c>
      <c r="B89" s="701"/>
      <c r="C89" s="678"/>
      <c r="D89" s="678"/>
      <c r="E89" s="678"/>
      <c r="F89" s="678"/>
      <c r="G89" s="678"/>
      <c r="H89" s="678"/>
      <c r="I89" s="678"/>
      <c r="J89" s="678"/>
      <c r="K89" s="678"/>
      <c r="L89" s="678"/>
      <c r="M89" s="678"/>
      <c r="N89" s="678"/>
      <c r="O89" s="678"/>
      <c r="P89" s="678"/>
      <c r="Q89" s="692"/>
      <c r="R89" s="692"/>
      <c r="S89" s="692"/>
      <c r="T89" s="692"/>
      <c r="U89" s="692"/>
      <c r="V89" s="692"/>
      <c r="W89" s="692"/>
      <c r="X89" s="692"/>
      <c r="Y89" s="692"/>
      <c r="Z89" s="692"/>
      <c r="AA89" s="692"/>
      <c r="AB89" s="692"/>
      <c r="AC89" s="692"/>
      <c r="AD89" s="692"/>
      <c r="AE89" s="692"/>
      <c r="AF89" s="692"/>
      <c r="AG89" s="680">
        <f t="shared" si="12"/>
        <v>0</v>
      </c>
      <c r="AH89" s="687"/>
      <c r="AI89" s="701"/>
      <c r="AJ89" s="678"/>
      <c r="AK89" s="678"/>
      <c r="AL89" s="678"/>
      <c r="AM89" s="678"/>
      <c r="AN89" s="678"/>
      <c r="AO89" s="678"/>
      <c r="AP89" s="678"/>
      <c r="AQ89" s="678"/>
      <c r="AR89" s="678"/>
      <c r="AS89" s="678"/>
      <c r="AT89" s="678"/>
      <c r="AU89" s="678"/>
      <c r="AV89" s="678"/>
      <c r="AW89" s="678"/>
      <c r="AX89" s="692"/>
      <c r="AY89" s="692"/>
      <c r="AZ89" s="692"/>
      <c r="BA89" s="692"/>
      <c r="BB89" s="692"/>
      <c r="BC89" s="692"/>
      <c r="BD89" s="692"/>
      <c r="BE89" s="692"/>
      <c r="BF89" s="692"/>
      <c r="BG89" s="692"/>
      <c r="BH89" s="692"/>
      <c r="BI89" s="692"/>
      <c r="BJ89" s="692"/>
      <c r="BK89" s="692"/>
      <c r="BL89" s="692"/>
      <c r="BM89" s="692"/>
      <c r="BN89" s="680">
        <f t="shared" si="13"/>
        <v>0</v>
      </c>
      <c r="BO89" s="687"/>
      <c r="BP89" s="701"/>
      <c r="BQ89" s="678"/>
      <c r="BR89" s="678"/>
      <c r="BS89" s="678"/>
      <c r="BT89" s="678"/>
      <c r="BU89" s="678"/>
      <c r="BV89" s="678"/>
      <c r="BW89" s="678"/>
      <c r="BX89" s="678"/>
      <c r="BY89" s="678"/>
      <c r="BZ89" s="678"/>
      <c r="CA89" s="678"/>
      <c r="CB89" s="678"/>
      <c r="CC89" s="678"/>
      <c r="CD89" s="678"/>
      <c r="CE89" s="692"/>
      <c r="CF89" s="692"/>
      <c r="CG89" s="692"/>
      <c r="CH89" s="692"/>
      <c r="CI89" s="692"/>
      <c r="CJ89" s="692"/>
      <c r="CK89" s="692"/>
      <c r="CL89" s="692"/>
      <c r="CM89" s="692"/>
      <c r="CN89" s="692"/>
      <c r="CO89" s="692"/>
      <c r="CP89" s="692"/>
      <c r="CQ89" s="692"/>
      <c r="CR89" s="692"/>
      <c r="CS89" s="692"/>
      <c r="CT89" s="692"/>
      <c r="CU89" s="680">
        <f t="shared" si="14"/>
        <v>0</v>
      </c>
      <c r="CV89" s="687"/>
    </row>
    <row r="90" spans="1:100">
      <c r="A90" s="630" t="s">
        <v>196</v>
      </c>
      <c r="B90" s="701"/>
      <c r="C90" s="678"/>
      <c r="D90" s="678"/>
      <c r="E90" s="678"/>
      <c r="F90" s="678"/>
      <c r="G90" s="678"/>
      <c r="H90" s="678"/>
      <c r="I90" s="678"/>
      <c r="J90" s="678"/>
      <c r="K90" s="678"/>
      <c r="L90" s="678"/>
      <c r="M90" s="678"/>
      <c r="N90" s="678"/>
      <c r="O90" s="678"/>
      <c r="P90" s="678"/>
      <c r="Q90" s="678"/>
      <c r="R90" s="678"/>
      <c r="S90" s="678"/>
      <c r="T90" s="678"/>
      <c r="U90" s="678"/>
      <c r="V90" s="678"/>
      <c r="W90" s="678"/>
      <c r="X90" s="678"/>
      <c r="Y90" s="678"/>
      <c r="Z90" s="678"/>
      <c r="AA90" s="678"/>
      <c r="AB90" s="678"/>
      <c r="AC90" s="678"/>
      <c r="AD90" s="678"/>
      <c r="AE90" s="678"/>
      <c r="AF90" s="678"/>
      <c r="AG90" s="679">
        <f t="shared" si="12"/>
        <v>0</v>
      </c>
      <c r="AH90" s="686"/>
      <c r="AI90" s="701"/>
      <c r="AJ90" s="678"/>
      <c r="AK90" s="678"/>
      <c r="AL90" s="678"/>
      <c r="AM90" s="678"/>
      <c r="AN90" s="678"/>
      <c r="AO90" s="678"/>
      <c r="AP90" s="678"/>
      <c r="AQ90" s="678"/>
      <c r="AR90" s="678"/>
      <c r="AS90" s="678"/>
      <c r="AT90" s="678"/>
      <c r="AU90" s="678"/>
      <c r="AV90" s="678"/>
      <c r="AW90" s="678"/>
      <c r="AX90" s="678"/>
      <c r="AY90" s="678"/>
      <c r="AZ90" s="678"/>
      <c r="BA90" s="678"/>
      <c r="BB90" s="678"/>
      <c r="BC90" s="678"/>
      <c r="BD90" s="678"/>
      <c r="BE90" s="678"/>
      <c r="BF90" s="678"/>
      <c r="BG90" s="678"/>
      <c r="BH90" s="678"/>
      <c r="BI90" s="678"/>
      <c r="BJ90" s="678"/>
      <c r="BK90" s="678"/>
      <c r="BL90" s="678"/>
      <c r="BM90" s="678"/>
      <c r="BN90" s="679">
        <f t="shared" si="13"/>
        <v>0</v>
      </c>
      <c r="BO90" s="686"/>
      <c r="BP90" s="701"/>
      <c r="BQ90" s="678"/>
      <c r="BR90" s="678"/>
      <c r="BS90" s="678"/>
      <c r="BT90" s="678"/>
      <c r="BU90" s="678"/>
      <c r="BV90" s="678"/>
      <c r="BW90" s="678"/>
      <c r="BX90" s="678"/>
      <c r="BY90" s="678"/>
      <c r="BZ90" s="678"/>
      <c r="CA90" s="678"/>
      <c r="CB90" s="678"/>
      <c r="CC90" s="678"/>
      <c r="CD90" s="678"/>
      <c r="CE90" s="678"/>
      <c r="CF90" s="678"/>
      <c r="CG90" s="678"/>
      <c r="CH90" s="678"/>
      <c r="CI90" s="678"/>
      <c r="CJ90" s="678"/>
      <c r="CK90" s="678"/>
      <c r="CL90" s="678"/>
      <c r="CM90" s="678"/>
      <c r="CN90" s="678"/>
      <c r="CO90" s="678"/>
      <c r="CP90" s="678"/>
      <c r="CQ90" s="678"/>
      <c r="CR90" s="678"/>
      <c r="CS90" s="678"/>
      <c r="CT90" s="678"/>
      <c r="CU90" s="679">
        <f t="shared" si="14"/>
        <v>0</v>
      </c>
      <c r="CV90" s="686"/>
    </row>
    <row r="91" spans="1:100">
      <c r="A91" s="630" t="s">
        <v>192</v>
      </c>
      <c r="B91" s="701"/>
      <c r="C91" s="678"/>
      <c r="D91" s="678"/>
      <c r="E91" s="678"/>
      <c r="F91" s="678"/>
      <c r="G91" s="678"/>
      <c r="H91" s="678"/>
      <c r="I91" s="678"/>
      <c r="J91" s="678"/>
      <c r="K91" s="678"/>
      <c r="L91" s="678"/>
      <c r="M91" s="678"/>
      <c r="N91" s="678"/>
      <c r="O91" s="678"/>
      <c r="P91" s="678"/>
      <c r="Q91" s="678"/>
      <c r="R91" s="678"/>
      <c r="S91" s="678"/>
      <c r="T91" s="678"/>
      <c r="U91" s="678"/>
      <c r="V91" s="678"/>
      <c r="W91" s="678"/>
      <c r="X91" s="678"/>
      <c r="Y91" s="678"/>
      <c r="Z91" s="678"/>
      <c r="AA91" s="678"/>
      <c r="AB91" s="678"/>
      <c r="AC91" s="678"/>
      <c r="AD91" s="678"/>
      <c r="AE91" s="678"/>
      <c r="AF91" s="678"/>
      <c r="AG91" s="679">
        <f t="shared" si="12"/>
        <v>0</v>
      </c>
      <c r="AH91" s="686"/>
      <c r="AI91" s="701"/>
      <c r="AJ91" s="678"/>
      <c r="AK91" s="678"/>
      <c r="AL91" s="678"/>
      <c r="AM91" s="678"/>
      <c r="AN91" s="678"/>
      <c r="AO91" s="678"/>
      <c r="AP91" s="678"/>
      <c r="AQ91" s="678"/>
      <c r="AR91" s="678"/>
      <c r="AS91" s="678"/>
      <c r="AT91" s="678"/>
      <c r="AU91" s="678"/>
      <c r="AV91" s="678"/>
      <c r="AW91" s="678"/>
      <c r="AX91" s="678"/>
      <c r="AY91" s="678"/>
      <c r="AZ91" s="678"/>
      <c r="BA91" s="678"/>
      <c r="BB91" s="678"/>
      <c r="BC91" s="678"/>
      <c r="BD91" s="678"/>
      <c r="BE91" s="678"/>
      <c r="BF91" s="678"/>
      <c r="BG91" s="678"/>
      <c r="BH91" s="678"/>
      <c r="BI91" s="678"/>
      <c r="BJ91" s="678"/>
      <c r="BK91" s="678"/>
      <c r="BL91" s="678"/>
      <c r="BM91" s="678"/>
      <c r="BN91" s="679">
        <f t="shared" si="13"/>
        <v>0</v>
      </c>
      <c r="BO91" s="686"/>
      <c r="BP91" s="701"/>
      <c r="BQ91" s="678"/>
      <c r="BR91" s="678"/>
      <c r="BS91" s="678"/>
      <c r="BT91" s="678"/>
      <c r="BU91" s="678"/>
      <c r="BV91" s="678"/>
      <c r="BW91" s="678"/>
      <c r="BX91" s="678"/>
      <c r="BY91" s="678"/>
      <c r="BZ91" s="678"/>
      <c r="CA91" s="678"/>
      <c r="CB91" s="678"/>
      <c r="CC91" s="678"/>
      <c r="CD91" s="678"/>
      <c r="CE91" s="678"/>
      <c r="CF91" s="678"/>
      <c r="CG91" s="678"/>
      <c r="CH91" s="678"/>
      <c r="CI91" s="678"/>
      <c r="CJ91" s="678"/>
      <c r="CK91" s="678"/>
      <c r="CL91" s="678"/>
      <c r="CM91" s="678"/>
      <c r="CN91" s="678"/>
      <c r="CO91" s="678"/>
      <c r="CP91" s="678"/>
      <c r="CQ91" s="678"/>
      <c r="CR91" s="678"/>
      <c r="CS91" s="678"/>
      <c r="CT91" s="678"/>
      <c r="CU91" s="679">
        <f t="shared" si="14"/>
        <v>0</v>
      </c>
      <c r="CV91" s="686"/>
    </row>
    <row r="92" spans="1:100" ht="13.5" thickBot="1">
      <c r="A92" s="631" t="s">
        <v>192</v>
      </c>
      <c r="B92" s="701"/>
      <c r="C92" s="678"/>
      <c r="D92" s="678"/>
      <c r="E92" s="678"/>
      <c r="F92" s="678"/>
      <c r="G92" s="678"/>
      <c r="H92" s="678"/>
      <c r="I92" s="678"/>
      <c r="J92" s="678"/>
      <c r="K92" s="678"/>
      <c r="L92" s="678"/>
      <c r="M92" s="678"/>
      <c r="N92" s="678"/>
      <c r="O92" s="678"/>
      <c r="P92" s="678"/>
      <c r="Q92" s="678"/>
      <c r="R92" s="678"/>
      <c r="S92" s="678"/>
      <c r="T92" s="678"/>
      <c r="U92" s="678"/>
      <c r="V92" s="678"/>
      <c r="W92" s="678"/>
      <c r="X92" s="678"/>
      <c r="Y92" s="678"/>
      <c r="Z92" s="678"/>
      <c r="AA92" s="678"/>
      <c r="AB92" s="678"/>
      <c r="AC92" s="678"/>
      <c r="AD92" s="678"/>
      <c r="AE92" s="678"/>
      <c r="AF92" s="678"/>
      <c r="AG92" s="680">
        <f t="shared" si="12"/>
        <v>0</v>
      </c>
      <c r="AH92" s="687"/>
      <c r="AI92" s="701"/>
      <c r="AJ92" s="678"/>
      <c r="AK92" s="678"/>
      <c r="AL92" s="678"/>
      <c r="AM92" s="678"/>
      <c r="AN92" s="678"/>
      <c r="AO92" s="678"/>
      <c r="AP92" s="678"/>
      <c r="AQ92" s="678"/>
      <c r="AR92" s="678"/>
      <c r="AS92" s="678"/>
      <c r="AT92" s="678"/>
      <c r="AU92" s="678"/>
      <c r="AV92" s="678"/>
      <c r="AW92" s="678"/>
      <c r="AX92" s="678"/>
      <c r="AY92" s="678"/>
      <c r="AZ92" s="678"/>
      <c r="BA92" s="678"/>
      <c r="BB92" s="678"/>
      <c r="BC92" s="678"/>
      <c r="BD92" s="678"/>
      <c r="BE92" s="678"/>
      <c r="BF92" s="678"/>
      <c r="BG92" s="678"/>
      <c r="BH92" s="678"/>
      <c r="BI92" s="678"/>
      <c r="BJ92" s="678"/>
      <c r="BK92" s="678"/>
      <c r="BL92" s="678"/>
      <c r="BM92" s="678"/>
      <c r="BN92" s="680">
        <f t="shared" si="13"/>
        <v>0</v>
      </c>
      <c r="BO92" s="687"/>
      <c r="BP92" s="701"/>
      <c r="BQ92" s="678"/>
      <c r="BR92" s="678"/>
      <c r="BS92" s="678"/>
      <c r="BT92" s="678"/>
      <c r="BU92" s="678"/>
      <c r="BV92" s="678"/>
      <c r="BW92" s="678"/>
      <c r="BX92" s="678"/>
      <c r="BY92" s="678"/>
      <c r="BZ92" s="678"/>
      <c r="CA92" s="678"/>
      <c r="CB92" s="678"/>
      <c r="CC92" s="678"/>
      <c r="CD92" s="678"/>
      <c r="CE92" s="678"/>
      <c r="CF92" s="678"/>
      <c r="CG92" s="678"/>
      <c r="CH92" s="678"/>
      <c r="CI92" s="678"/>
      <c r="CJ92" s="678"/>
      <c r="CK92" s="678"/>
      <c r="CL92" s="678"/>
      <c r="CM92" s="678"/>
      <c r="CN92" s="678"/>
      <c r="CO92" s="678"/>
      <c r="CP92" s="678"/>
      <c r="CQ92" s="678"/>
      <c r="CR92" s="678"/>
      <c r="CS92" s="678"/>
      <c r="CT92" s="678"/>
      <c r="CU92" s="680">
        <f t="shared" si="14"/>
        <v>0</v>
      </c>
      <c r="CV92" s="687"/>
    </row>
    <row r="93" spans="1:100" ht="12.75" customHeight="1">
      <c r="A93" s="1024" t="s">
        <v>197</v>
      </c>
      <c r="B93" s="702"/>
      <c r="C93" s="703"/>
      <c r="D93" s="703"/>
      <c r="E93" s="703"/>
      <c r="F93" s="703"/>
      <c r="G93" s="703"/>
      <c r="H93" s="703"/>
      <c r="I93" s="703"/>
      <c r="J93" s="703"/>
      <c r="K93" s="703"/>
      <c r="L93" s="703"/>
      <c r="M93" s="703"/>
      <c r="N93" s="703"/>
      <c r="O93" s="703"/>
      <c r="P93" s="703"/>
      <c r="Q93" s="703"/>
      <c r="R93" s="703"/>
      <c r="S93" s="703"/>
      <c r="T93" s="703"/>
      <c r="U93" s="703"/>
      <c r="V93" s="703"/>
      <c r="W93" s="703"/>
      <c r="X93" s="703"/>
      <c r="Y93" s="703"/>
      <c r="Z93" s="703"/>
      <c r="AA93" s="703"/>
      <c r="AB93" s="703"/>
      <c r="AC93" s="703"/>
      <c r="AD93" s="703"/>
      <c r="AE93" s="703"/>
      <c r="AF93" s="708"/>
      <c r="AG93" s="683">
        <f t="shared" ref="AG93:AG100" si="15">SUM(B93:AF93)*$X$25</f>
        <v>0</v>
      </c>
      <c r="AH93" s="689"/>
      <c r="AI93" s="702"/>
      <c r="AJ93" s="703"/>
      <c r="AK93" s="703"/>
      <c r="AL93" s="703"/>
      <c r="AM93" s="703"/>
      <c r="AN93" s="703"/>
      <c r="AO93" s="703"/>
      <c r="AP93" s="703"/>
      <c r="AQ93" s="703"/>
      <c r="AR93" s="703"/>
      <c r="AS93" s="703"/>
      <c r="AT93" s="703"/>
      <c r="AU93" s="703"/>
      <c r="AV93" s="703"/>
      <c r="AW93" s="703"/>
      <c r="AX93" s="703"/>
      <c r="AY93" s="703"/>
      <c r="AZ93" s="703"/>
      <c r="BA93" s="703"/>
      <c r="BB93" s="703"/>
      <c r="BC93" s="703"/>
      <c r="BD93" s="703"/>
      <c r="BE93" s="703"/>
      <c r="BF93" s="703"/>
      <c r="BG93" s="703"/>
      <c r="BH93" s="703"/>
      <c r="BI93" s="703"/>
      <c r="BJ93" s="703"/>
      <c r="BK93" s="703"/>
      <c r="BL93" s="703"/>
      <c r="BM93" s="708"/>
      <c r="BN93" s="683">
        <f t="shared" ref="BN93:BN100" si="16">SUM(AI93:BM93)*$X$25</f>
        <v>0</v>
      </c>
      <c r="BO93" s="689"/>
      <c r="BP93" s="702"/>
      <c r="BQ93" s="703"/>
      <c r="BR93" s="703"/>
      <c r="BS93" s="703"/>
      <c r="BT93" s="703"/>
      <c r="BU93" s="703"/>
      <c r="BV93" s="703"/>
      <c r="BW93" s="703"/>
      <c r="BX93" s="703"/>
      <c r="BY93" s="703"/>
      <c r="BZ93" s="703"/>
      <c r="CA93" s="703"/>
      <c r="CB93" s="703"/>
      <c r="CC93" s="703"/>
      <c r="CD93" s="703"/>
      <c r="CE93" s="703"/>
      <c r="CF93" s="703"/>
      <c r="CG93" s="703"/>
      <c r="CH93" s="703"/>
      <c r="CI93" s="703"/>
      <c r="CJ93" s="703"/>
      <c r="CK93" s="703"/>
      <c r="CL93" s="703"/>
      <c r="CM93" s="703"/>
      <c r="CN93" s="703"/>
      <c r="CO93" s="703"/>
      <c r="CP93" s="703"/>
      <c r="CQ93" s="703"/>
      <c r="CR93" s="703"/>
      <c r="CS93" s="703"/>
      <c r="CT93" s="708"/>
      <c r="CU93" s="683">
        <f t="shared" ref="CU93:CU100" si="17">SUM(BP93:CT93)*$X$25</f>
        <v>0</v>
      </c>
      <c r="CV93" s="689"/>
    </row>
    <row r="94" spans="1:100">
      <c r="A94" s="1025"/>
      <c r="B94" s="701"/>
      <c r="C94" s="678"/>
      <c r="D94" s="678"/>
      <c r="E94" s="678"/>
      <c r="F94" s="678"/>
      <c r="G94" s="678"/>
      <c r="H94" s="678"/>
      <c r="I94" s="678"/>
      <c r="J94" s="678"/>
      <c r="K94" s="678"/>
      <c r="L94" s="678"/>
      <c r="M94" s="678"/>
      <c r="N94" s="678"/>
      <c r="O94" s="678"/>
      <c r="P94" s="678"/>
      <c r="Q94" s="678"/>
      <c r="R94" s="678"/>
      <c r="S94" s="678"/>
      <c r="T94" s="678"/>
      <c r="U94" s="678"/>
      <c r="V94" s="678"/>
      <c r="W94" s="678"/>
      <c r="X94" s="678"/>
      <c r="Y94" s="678"/>
      <c r="Z94" s="678"/>
      <c r="AA94" s="678"/>
      <c r="AB94" s="678"/>
      <c r="AC94" s="678"/>
      <c r="AD94" s="678"/>
      <c r="AE94" s="678"/>
      <c r="AF94" s="709"/>
      <c r="AG94" s="683">
        <f t="shared" si="15"/>
        <v>0</v>
      </c>
      <c r="AH94" s="689"/>
      <c r="AI94" s="701"/>
      <c r="AJ94" s="678"/>
      <c r="AK94" s="678"/>
      <c r="AL94" s="678"/>
      <c r="AM94" s="678"/>
      <c r="AN94" s="678"/>
      <c r="AO94" s="678"/>
      <c r="AP94" s="678"/>
      <c r="AQ94" s="678"/>
      <c r="AR94" s="678"/>
      <c r="AS94" s="678"/>
      <c r="AT94" s="678"/>
      <c r="AU94" s="678"/>
      <c r="AV94" s="678"/>
      <c r="AW94" s="678"/>
      <c r="AX94" s="678"/>
      <c r="AY94" s="678"/>
      <c r="AZ94" s="678"/>
      <c r="BA94" s="678"/>
      <c r="BB94" s="678"/>
      <c r="BC94" s="678"/>
      <c r="BD94" s="678"/>
      <c r="BE94" s="678"/>
      <c r="BF94" s="678"/>
      <c r="BG94" s="678"/>
      <c r="BH94" s="678"/>
      <c r="BI94" s="678"/>
      <c r="BJ94" s="678"/>
      <c r="BK94" s="678"/>
      <c r="BL94" s="678"/>
      <c r="BM94" s="709"/>
      <c r="BN94" s="683">
        <f t="shared" si="16"/>
        <v>0</v>
      </c>
      <c r="BO94" s="689"/>
      <c r="BP94" s="701"/>
      <c r="BQ94" s="678"/>
      <c r="BR94" s="678"/>
      <c r="BS94" s="678"/>
      <c r="BT94" s="678"/>
      <c r="BU94" s="678"/>
      <c r="BV94" s="678"/>
      <c r="BW94" s="678"/>
      <c r="BX94" s="678"/>
      <c r="BY94" s="695">
        <v>1</v>
      </c>
      <c r="BZ94" s="678"/>
      <c r="CA94" s="678"/>
      <c r="CB94" s="678"/>
      <c r="CC94" s="678"/>
      <c r="CD94" s="678"/>
      <c r="CE94" s="678"/>
      <c r="CF94" s="678"/>
      <c r="CG94" s="678"/>
      <c r="CH94" s="678"/>
      <c r="CI94" s="678"/>
      <c r="CJ94" s="678"/>
      <c r="CK94" s="678"/>
      <c r="CL94" s="678"/>
      <c r="CM94" s="678"/>
      <c r="CN94" s="678"/>
      <c r="CO94" s="678"/>
      <c r="CP94" s="678"/>
      <c r="CQ94" s="678"/>
      <c r="CR94" s="678"/>
      <c r="CS94" s="678"/>
      <c r="CT94" s="709"/>
      <c r="CU94" s="683">
        <f t="shared" si="17"/>
        <v>1</v>
      </c>
      <c r="CV94" s="689"/>
    </row>
    <row r="95" spans="1:100">
      <c r="A95" s="1025"/>
      <c r="B95" s="701"/>
      <c r="C95" s="678"/>
      <c r="D95" s="678"/>
      <c r="E95" s="678"/>
      <c r="F95" s="678"/>
      <c r="G95" s="678"/>
      <c r="H95" s="678"/>
      <c r="I95" s="678"/>
      <c r="J95" s="678"/>
      <c r="K95" s="678"/>
      <c r="L95" s="678"/>
      <c r="M95" s="678"/>
      <c r="N95" s="678"/>
      <c r="O95" s="678"/>
      <c r="P95" s="678"/>
      <c r="Q95" s="678"/>
      <c r="R95" s="678"/>
      <c r="S95" s="678"/>
      <c r="T95" s="678"/>
      <c r="U95" s="678"/>
      <c r="V95" s="678"/>
      <c r="W95" s="678"/>
      <c r="X95" s="678"/>
      <c r="Y95" s="678"/>
      <c r="Z95" s="678"/>
      <c r="AA95" s="678"/>
      <c r="AB95" s="678"/>
      <c r="AC95" s="678"/>
      <c r="AD95" s="678"/>
      <c r="AE95" s="678"/>
      <c r="AF95" s="709"/>
      <c r="AG95" s="683">
        <f t="shared" si="15"/>
        <v>0</v>
      </c>
      <c r="AH95" s="689"/>
      <c r="AI95" s="701"/>
      <c r="AJ95" s="678"/>
      <c r="AK95" s="678"/>
      <c r="AL95" s="678"/>
      <c r="AM95" s="678"/>
      <c r="AN95" s="678"/>
      <c r="AO95" s="678"/>
      <c r="AP95" s="678"/>
      <c r="AQ95" s="678"/>
      <c r="AR95" s="678"/>
      <c r="AS95" s="678"/>
      <c r="AT95" s="678"/>
      <c r="AU95" s="678"/>
      <c r="AV95" s="678"/>
      <c r="AW95" s="678"/>
      <c r="AX95" s="678"/>
      <c r="AY95" s="678"/>
      <c r="AZ95" s="678"/>
      <c r="BA95" s="678"/>
      <c r="BB95" s="678"/>
      <c r="BC95" s="678"/>
      <c r="BD95" s="678"/>
      <c r="BE95" s="678"/>
      <c r="BF95" s="678"/>
      <c r="BG95" s="678"/>
      <c r="BH95" s="678"/>
      <c r="BI95" s="678"/>
      <c r="BJ95" s="678"/>
      <c r="BK95" s="678"/>
      <c r="BL95" s="678"/>
      <c r="BM95" s="709"/>
      <c r="BN95" s="683">
        <f t="shared" si="16"/>
        <v>0</v>
      </c>
      <c r="BO95" s="689"/>
      <c r="BP95" s="701"/>
      <c r="BQ95" s="678"/>
      <c r="BR95" s="678"/>
      <c r="BS95" s="678"/>
      <c r="BT95" s="678"/>
      <c r="BU95" s="678"/>
      <c r="BV95" s="678"/>
      <c r="BW95" s="678"/>
      <c r="BX95" s="678"/>
      <c r="BY95" s="678"/>
      <c r="BZ95" s="678"/>
      <c r="CA95" s="678"/>
      <c r="CB95" s="678"/>
      <c r="CC95" s="678"/>
      <c r="CD95" s="678"/>
      <c r="CE95" s="678"/>
      <c r="CF95" s="678"/>
      <c r="CG95" s="678"/>
      <c r="CH95" s="678"/>
      <c r="CI95" s="678"/>
      <c r="CJ95" s="678"/>
      <c r="CK95" s="678"/>
      <c r="CL95" s="678"/>
      <c r="CM95" s="678"/>
      <c r="CN95" s="678"/>
      <c r="CO95" s="678"/>
      <c r="CP95" s="678"/>
      <c r="CQ95" s="678"/>
      <c r="CR95" s="678"/>
      <c r="CS95" s="678"/>
      <c r="CT95" s="709"/>
      <c r="CU95" s="683">
        <f t="shared" si="17"/>
        <v>0</v>
      </c>
      <c r="CV95" s="689"/>
    </row>
    <row r="96" spans="1:100" ht="13.5" thickBot="1">
      <c r="A96" s="1025"/>
      <c r="B96" s="704"/>
      <c r="C96" s="705"/>
      <c r="D96" s="705"/>
      <c r="E96" s="705"/>
      <c r="F96" s="705"/>
      <c r="G96" s="705"/>
      <c r="H96" s="705"/>
      <c r="I96" s="705"/>
      <c r="J96" s="705"/>
      <c r="K96" s="705"/>
      <c r="L96" s="705"/>
      <c r="M96" s="705"/>
      <c r="N96" s="705"/>
      <c r="O96" s="705"/>
      <c r="P96" s="705"/>
      <c r="Q96" s="705"/>
      <c r="R96" s="705"/>
      <c r="S96" s="705"/>
      <c r="T96" s="705"/>
      <c r="U96" s="705"/>
      <c r="V96" s="705"/>
      <c r="W96" s="705"/>
      <c r="X96" s="705"/>
      <c r="Y96" s="705"/>
      <c r="Z96" s="705"/>
      <c r="AA96" s="705"/>
      <c r="AB96" s="705"/>
      <c r="AC96" s="705"/>
      <c r="AD96" s="705"/>
      <c r="AE96" s="705"/>
      <c r="AF96" s="710"/>
      <c r="AG96" s="683">
        <f t="shared" si="15"/>
        <v>0</v>
      </c>
      <c r="AH96" s="689"/>
      <c r="AI96" s="704"/>
      <c r="AJ96" s="705"/>
      <c r="AK96" s="705"/>
      <c r="AL96" s="705"/>
      <c r="AM96" s="705"/>
      <c r="AN96" s="705"/>
      <c r="AO96" s="705"/>
      <c r="AP96" s="705"/>
      <c r="AQ96" s="705"/>
      <c r="AR96" s="705"/>
      <c r="AS96" s="705"/>
      <c r="AT96" s="705"/>
      <c r="AU96" s="705"/>
      <c r="AV96" s="705"/>
      <c r="AW96" s="705"/>
      <c r="AX96" s="705"/>
      <c r="AY96" s="705"/>
      <c r="AZ96" s="705"/>
      <c r="BA96" s="705"/>
      <c r="BB96" s="705"/>
      <c r="BC96" s="705"/>
      <c r="BD96" s="705"/>
      <c r="BE96" s="705"/>
      <c r="BF96" s="705"/>
      <c r="BG96" s="705"/>
      <c r="BH96" s="705"/>
      <c r="BI96" s="705"/>
      <c r="BJ96" s="705"/>
      <c r="BK96" s="705"/>
      <c r="BL96" s="705"/>
      <c r="BM96" s="710"/>
      <c r="BN96" s="683">
        <f t="shared" si="16"/>
        <v>0</v>
      </c>
      <c r="BO96" s="689"/>
      <c r="BP96" s="704"/>
      <c r="BQ96" s="705"/>
      <c r="BR96" s="705"/>
      <c r="BS96" s="705"/>
      <c r="BT96" s="705"/>
      <c r="BU96" s="705"/>
      <c r="BV96" s="705"/>
      <c r="BW96" s="705"/>
      <c r="BX96" s="705"/>
      <c r="BY96" s="700">
        <v>2</v>
      </c>
      <c r="BZ96" s="705"/>
      <c r="CA96" s="705"/>
      <c r="CB96" s="705"/>
      <c r="CC96" s="705"/>
      <c r="CD96" s="705"/>
      <c r="CE96" s="705"/>
      <c r="CF96" s="705"/>
      <c r="CG96" s="705"/>
      <c r="CH96" s="705"/>
      <c r="CI96" s="705"/>
      <c r="CJ96" s="705"/>
      <c r="CK96" s="705"/>
      <c r="CL96" s="705"/>
      <c r="CM96" s="705"/>
      <c r="CN96" s="705"/>
      <c r="CO96" s="705"/>
      <c r="CP96" s="705"/>
      <c r="CQ96" s="705"/>
      <c r="CR96" s="705"/>
      <c r="CS96" s="705"/>
      <c r="CT96" s="710"/>
      <c r="CU96" s="683">
        <f t="shared" si="17"/>
        <v>2</v>
      </c>
      <c r="CV96" s="689"/>
    </row>
    <row r="97" spans="1:100" ht="12.75" customHeight="1">
      <c r="A97" s="1024" t="s">
        <v>198</v>
      </c>
      <c r="B97" s="702"/>
      <c r="C97" s="703"/>
      <c r="D97" s="703"/>
      <c r="E97" s="703"/>
      <c r="F97" s="703"/>
      <c r="G97" s="703"/>
      <c r="H97" s="703"/>
      <c r="I97" s="703"/>
      <c r="J97" s="703"/>
      <c r="K97" s="703"/>
      <c r="L97" s="703"/>
      <c r="M97" s="703"/>
      <c r="N97" s="703"/>
      <c r="O97" s="703"/>
      <c r="P97" s="703"/>
      <c r="Q97" s="703"/>
      <c r="R97" s="703"/>
      <c r="S97" s="703"/>
      <c r="T97" s="703"/>
      <c r="U97" s="703"/>
      <c r="V97" s="703"/>
      <c r="W97" s="703"/>
      <c r="X97" s="703"/>
      <c r="Y97" s="703"/>
      <c r="Z97" s="703"/>
      <c r="AA97" s="703"/>
      <c r="AB97" s="703"/>
      <c r="AC97" s="703"/>
      <c r="AD97" s="703"/>
      <c r="AE97" s="703"/>
      <c r="AF97" s="708"/>
      <c r="AG97" s="693">
        <f t="shared" si="15"/>
        <v>0</v>
      </c>
      <c r="AH97" s="689"/>
      <c r="AI97" s="702"/>
      <c r="AJ97" s="703"/>
      <c r="AK97" s="703"/>
      <c r="AL97" s="703"/>
      <c r="AM97" s="703"/>
      <c r="AN97" s="703"/>
      <c r="AO97" s="703"/>
      <c r="AP97" s="703"/>
      <c r="AQ97" s="703"/>
      <c r="AR97" s="703"/>
      <c r="AS97" s="703"/>
      <c r="AT97" s="703"/>
      <c r="AU97" s="703"/>
      <c r="AV97" s="703"/>
      <c r="AW97" s="703"/>
      <c r="AX97" s="703"/>
      <c r="AY97" s="703"/>
      <c r="AZ97" s="703"/>
      <c r="BA97" s="703"/>
      <c r="BB97" s="703"/>
      <c r="BC97" s="703"/>
      <c r="BD97" s="703"/>
      <c r="BE97" s="703"/>
      <c r="BF97" s="703"/>
      <c r="BG97" s="703"/>
      <c r="BH97" s="703"/>
      <c r="BI97" s="703"/>
      <c r="BJ97" s="703"/>
      <c r="BK97" s="703"/>
      <c r="BL97" s="703"/>
      <c r="BM97" s="708"/>
      <c r="BN97" s="693">
        <f t="shared" si="16"/>
        <v>0</v>
      </c>
      <c r="BO97" s="689"/>
      <c r="BP97" s="702"/>
      <c r="BQ97" s="703"/>
      <c r="BR97" s="703"/>
      <c r="BS97" s="703"/>
      <c r="BT97" s="703"/>
      <c r="BU97" s="703"/>
      <c r="BV97" s="703"/>
      <c r="BW97" s="703"/>
      <c r="BX97" s="703"/>
      <c r="BY97" s="703"/>
      <c r="BZ97" s="703"/>
      <c r="CA97" s="703"/>
      <c r="CB97" s="703"/>
      <c r="CC97" s="703"/>
      <c r="CD97" s="703"/>
      <c r="CE97" s="703"/>
      <c r="CF97" s="703"/>
      <c r="CG97" s="703"/>
      <c r="CH97" s="703"/>
      <c r="CI97" s="703"/>
      <c r="CJ97" s="703"/>
      <c r="CK97" s="703"/>
      <c r="CL97" s="703"/>
      <c r="CM97" s="703"/>
      <c r="CN97" s="703"/>
      <c r="CO97" s="703"/>
      <c r="CP97" s="703"/>
      <c r="CQ97" s="703"/>
      <c r="CR97" s="703"/>
      <c r="CS97" s="703"/>
      <c r="CT97" s="708"/>
      <c r="CU97" s="693">
        <f t="shared" si="17"/>
        <v>0</v>
      </c>
      <c r="CV97" s="689"/>
    </row>
    <row r="98" spans="1:100">
      <c r="A98" s="1025"/>
      <c r="B98" s="701"/>
      <c r="C98" s="678"/>
      <c r="D98" s="678"/>
      <c r="E98" s="678"/>
      <c r="F98" s="678"/>
      <c r="G98" s="678"/>
      <c r="H98" s="678"/>
      <c r="I98" s="678"/>
      <c r="J98" s="678"/>
      <c r="K98" s="678"/>
      <c r="L98" s="678"/>
      <c r="M98" s="678"/>
      <c r="N98" s="678"/>
      <c r="O98" s="678"/>
      <c r="P98" s="678"/>
      <c r="Q98" s="678"/>
      <c r="R98" s="678"/>
      <c r="S98" s="678"/>
      <c r="T98" s="678"/>
      <c r="U98" s="678"/>
      <c r="V98" s="678"/>
      <c r="W98" s="678"/>
      <c r="X98" s="678"/>
      <c r="Y98" s="678"/>
      <c r="Z98" s="678"/>
      <c r="AA98" s="678"/>
      <c r="AB98" s="678"/>
      <c r="AC98" s="678"/>
      <c r="AD98" s="678"/>
      <c r="AE98" s="678"/>
      <c r="AF98" s="709"/>
      <c r="AG98" s="683">
        <f t="shared" si="15"/>
        <v>0</v>
      </c>
      <c r="AH98" s="689"/>
      <c r="AI98" s="701"/>
      <c r="AJ98" s="678"/>
      <c r="AK98" s="678"/>
      <c r="AL98" s="678"/>
      <c r="AM98" s="678"/>
      <c r="AN98" s="678"/>
      <c r="AO98" s="678"/>
      <c r="AP98" s="678"/>
      <c r="AQ98" s="678"/>
      <c r="AR98" s="678"/>
      <c r="AS98" s="678"/>
      <c r="AT98" s="678"/>
      <c r="AU98" s="678"/>
      <c r="AV98" s="678"/>
      <c r="AW98" s="678"/>
      <c r="AX98" s="678"/>
      <c r="AY98" s="678"/>
      <c r="AZ98" s="678"/>
      <c r="BA98" s="678"/>
      <c r="BB98" s="678"/>
      <c r="BC98" s="678"/>
      <c r="BD98" s="678"/>
      <c r="BE98" s="678"/>
      <c r="BF98" s="678"/>
      <c r="BG98" s="678"/>
      <c r="BH98" s="678"/>
      <c r="BI98" s="678"/>
      <c r="BJ98" s="678"/>
      <c r="BK98" s="678"/>
      <c r="BL98" s="678"/>
      <c r="BM98" s="709"/>
      <c r="BN98" s="683">
        <f t="shared" si="16"/>
        <v>0</v>
      </c>
      <c r="BO98" s="689"/>
      <c r="BP98" s="701"/>
      <c r="BQ98" s="678"/>
      <c r="BR98" s="678"/>
      <c r="BS98" s="678"/>
      <c r="BT98" s="678"/>
      <c r="BU98" s="678"/>
      <c r="BV98" s="678"/>
      <c r="BW98" s="678"/>
      <c r="BX98" s="678"/>
      <c r="BY98" s="678"/>
      <c r="BZ98" s="678"/>
      <c r="CA98" s="678"/>
      <c r="CB98" s="678"/>
      <c r="CC98" s="678"/>
      <c r="CD98" s="678"/>
      <c r="CE98" s="678"/>
      <c r="CF98" s="678"/>
      <c r="CG98" s="678"/>
      <c r="CH98" s="678"/>
      <c r="CI98" s="678"/>
      <c r="CJ98" s="678"/>
      <c r="CK98" s="678"/>
      <c r="CL98" s="678"/>
      <c r="CM98" s="678"/>
      <c r="CN98" s="678"/>
      <c r="CO98" s="678"/>
      <c r="CP98" s="678"/>
      <c r="CQ98" s="678"/>
      <c r="CR98" s="678"/>
      <c r="CS98" s="678"/>
      <c r="CT98" s="709"/>
      <c r="CU98" s="683">
        <f t="shared" si="17"/>
        <v>0</v>
      </c>
      <c r="CV98" s="689"/>
    </row>
    <row r="99" spans="1:100">
      <c r="A99" s="1025"/>
      <c r="B99" s="701"/>
      <c r="C99" s="678"/>
      <c r="D99" s="678"/>
      <c r="E99" s="678"/>
      <c r="F99" s="678"/>
      <c r="G99" s="678"/>
      <c r="H99" s="678"/>
      <c r="I99" s="678"/>
      <c r="J99" s="678"/>
      <c r="K99" s="678"/>
      <c r="L99" s="678"/>
      <c r="M99" s="678"/>
      <c r="N99" s="678"/>
      <c r="O99" s="678"/>
      <c r="P99" s="678"/>
      <c r="Q99" s="678"/>
      <c r="R99" s="678"/>
      <c r="S99" s="678"/>
      <c r="T99" s="678"/>
      <c r="U99" s="678"/>
      <c r="V99" s="678"/>
      <c r="W99" s="678"/>
      <c r="X99" s="678"/>
      <c r="Y99" s="678"/>
      <c r="Z99" s="678"/>
      <c r="AA99" s="678"/>
      <c r="AB99" s="678"/>
      <c r="AC99" s="678"/>
      <c r="AD99" s="678"/>
      <c r="AE99" s="678"/>
      <c r="AF99" s="709"/>
      <c r="AG99" s="683">
        <f t="shared" si="15"/>
        <v>0</v>
      </c>
      <c r="AH99" s="689"/>
      <c r="AI99" s="701"/>
      <c r="AJ99" s="678"/>
      <c r="AK99" s="678"/>
      <c r="AL99" s="678"/>
      <c r="AM99" s="678"/>
      <c r="AN99" s="678"/>
      <c r="AO99" s="678"/>
      <c r="AP99" s="678"/>
      <c r="AQ99" s="678"/>
      <c r="AR99" s="678"/>
      <c r="AS99" s="678"/>
      <c r="AT99" s="678"/>
      <c r="AU99" s="678"/>
      <c r="AV99" s="678"/>
      <c r="AW99" s="678"/>
      <c r="AX99" s="678"/>
      <c r="AY99" s="678"/>
      <c r="AZ99" s="678"/>
      <c r="BA99" s="678"/>
      <c r="BB99" s="678"/>
      <c r="BC99" s="678"/>
      <c r="BD99" s="678"/>
      <c r="BE99" s="678"/>
      <c r="BF99" s="678"/>
      <c r="BG99" s="678"/>
      <c r="BH99" s="678"/>
      <c r="BI99" s="678"/>
      <c r="BJ99" s="678"/>
      <c r="BK99" s="678"/>
      <c r="BL99" s="678"/>
      <c r="BM99" s="709"/>
      <c r="BN99" s="683">
        <f t="shared" si="16"/>
        <v>0</v>
      </c>
      <c r="BO99" s="689"/>
      <c r="BP99" s="701"/>
      <c r="BQ99" s="678"/>
      <c r="BR99" s="678"/>
      <c r="BS99" s="678"/>
      <c r="BT99" s="678"/>
      <c r="BU99" s="678"/>
      <c r="BV99" s="678"/>
      <c r="BW99" s="678"/>
      <c r="BX99" s="678"/>
      <c r="BY99" s="678"/>
      <c r="BZ99" s="678"/>
      <c r="CA99" s="678"/>
      <c r="CB99" s="678"/>
      <c r="CC99" s="678"/>
      <c r="CD99" s="678"/>
      <c r="CE99" s="678"/>
      <c r="CF99" s="678"/>
      <c r="CG99" s="678"/>
      <c r="CH99" s="678"/>
      <c r="CI99" s="678"/>
      <c r="CJ99" s="678"/>
      <c r="CK99" s="678"/>
      <c r="CL99" s="678"/>
      <c r="CM99" s="678"/>
      <c r="CN99" s="678"/>
      <c r="CO99" s="678"/>
      <c r="CP99" s="678"/>
      <c r="CQ99" s="678"/>
      <c r="CR99" s="678"/>
      <c r="CS99" s="678"/>
      <c r="CT99" s="709"/>
      <c r="CU99" s="683">
        <f t="shared" si="17"/>
        <v>0</v>
      </c>
      <c r="CV99" s="689"/>
    </row>
    <row r="100" spans="1:100" ht="13.5" thickBot="1">
      <c r="A100" s="1026"/>
      <c r="B100" s="704"/>
      <c r="C100" s="705"/>
      <c r="D100" s="705"/>
      <c r="E100" s="705"/>
      <c r="F100" s="705"/>
      <c r="G100" s="705"/>
      <c r="H100" s="705"/>
      <c r="I100" s="705"/>
      <c r="J100" s="705"/>
      <c r="K100" s="705"/>
      <c r="L100" s="705"/>
      <c r="M100" s="705"/>
      <c r="N100" s="705"/>
      <c r="O100" s="705"/>
      <c r="P100" s="705"/>
      <c r="Q100" s="705"/>
      <c r="R100" s="705"/>
      <c r="S100" s="705"/>
      <c r="T100" s="705"/>
      <c r="U100" s="705"/>
      <c r="V100" s="705"/>
      <c r="W100" s="705"/>
      <c r="X100" s="705"/>
      <c r="Y100" s="705"/>
      <c r="Z100" s="705"/>
      <c r="AA100" s="705"/>
      <c r="AB100" s="705"/>
      <c r="AC100" s="705"/>
      <c r="AD100" s="705"/>
      <c r="AE100" s="705"/>
      <c r="AF100" s="710"/>
      <c r="AG100" s="684">
        <f t="shared" si="15"/>
        <v>0</v>
      </c>
      <c r="AH100" s="690"/>
      <c r="AI100" s="704"/>
      <c r="AJ100" s="705"/>
      <c r="AK100" s="705"/>
      <c r="AL100" s="705"/>
      <c r="AM100" s="705"/>
      <c r="AN100" s="705"/>
      <c r="AO100" s="705"/>
      <c r="AP100" s="705"/>
      <c r="AQ100" s="705"/>
      <c r="AR100" s="705"/>
      <c r="AS100" s="705"/>
      <c r="AT100" s="705"/>
      <c r="AU100" s="705"/>
      <c r="AV100" s="705"/>
      <c r="AW100" s="705"/>
      <c r="AX100" s="705"/>
      <c r="AY100" s="705"/>
      <c r="AZ100" s="705"/>
      <c r="BA100" s="705"/>
      <c r="BB100" s="705"/>
      <c r="BC100" s="705"/>
      <c r="BD100" s="705"/>
      <c r="BE100" s="705"/>
      <c r="BF100" s="705"/>
      <c r="BG100" s="705"/>
      <c r="BH100" s="705"/>
      <c r="BI100" s="705"/>
      <c r="BJ100" s="705"/>
      <c r="BK100" s="705"/>
      <c r="BL100" s="705"/>
      <c r="BM100" s="710"/>
      <c r="BN100" s="684">
        <f t="shared" si="16"/>
        <v>0</v>
      </c>
      <c r="BO100" s="690"/>
      <c r="BP100" s="704"/>
      <c r="BQ100" s="705"/>
      <c r="BR100" s="705"/>
      <c r="BS100" s="705"/>
      <c r="BT100" s="705"/>
      <c r="BU100" s="705"/>
      <c r="BV100" s="705"/>
      <c r="BW100" s="705"/>
      <c r="BX100" s="705"/>
      <c r="BY100" s="705"/>
      <c r="BZ100" s="705"/>
      <c r="CA100" s="705"/>
      <c r="CB100" s="705"/>
      <c r="CC100" s="705"/>
      <c r="CD100" s="705"/>
      <c r="CE100" s="705"/>
      <c r="CF100" s="705"/>
      <c r="CG100" s="705"/>
      <c r="CH100" s="705"/>
      <c r="CI100" s="705"/>
      <c r="CJ100" s="705"/>
      <c r="CK100" s="705"/>
      <c r="CL100" s="705"/>
      <c r="CM100" s="705"/>
      <c r="CN100" s="705"/>
      <c r="CO100" s="705"/>
      <c r="CP100" s="705"/>
      <c r="CQ100" s="705"/>
      <c r="CR100" s="705"/>
      <c r="CS100" s="705"/>
      <c r="CT100" s="710"/>
      <c r="CU100" s="684">
        <f t="shared" si="17"/>
        <v>0</v>
      </c>
      <c r="CV100" s="690"/>
    </row>
    <row r="101" spans="1:100" ht="13.5" thickBot="1">
      <c r="A101" s="621"/>
      <c r="BO101" s="647"/>
      <c r="CT101" s="621"/>
      <c r="CV101" s="647"/>
    </row>
    <row r="102" spans="1:100">
      <c r="A102" s="621"/>
      <c r="R102" s="1021" t="s">
        <v>184</v>
      </c>
      <c r="S102" s="1022"/>
      <c r="T102" s="1022"/>
      <c r="U102" s="1022"/>
      <c r="V102" s="1023"/>
      <c r="AY102" s="1021" t="s">
        <v>184</v>
      </c>
      <c r="AZ102" s="1022"/>
      <c r="BA102" s="1022"/>
      <c r="BB102" s="1022"/>
      <c r="BC102" s="1023"/>
      <c r="BO102" s="647"/>
      <c r="CF102" s="1021" t="s">
        <v>184</v>
      </c>
      <c r="CG102" s="1022"/>
      <c r="CH102" s="1022"/>
      <c r="CI102" s="1022"/>
      <c r="CJ102" s="1023"/>
      <c r="CT102" s="621"/>
      <c r="CV102" s="647"/>
    </row>
    <row r="103" spans="1:100" ht="18.600000000000001" customHeight="1" thickBot="1">
      <c r="O103" s="628"/>
      <c r="R103" s="672" cm="1">
        <f t="array" aca="1" ref="R103" ca="1">+CONTARCOLORCELDA($C$12,B105:AF105)*$X$25</f>
        <v>31</v>
      </c>
      <c r="S103" s="673" cm="1">
        <f t="array" aca="1" ref="S103" ca="1">+CONTARCOLORCELDA($C$13,B105:AF105)*$X$25</f>
        <v>0</v>
      </c>
      <c r="T103" s="674" cm="1">
        <f t="array" aca="1" ref="T103" ca="1">+CONTARCOLORCELDA($C$14,D105:AI105)*$X$25</f>
        <v>0</v>
      </c>
      <c r="U103" s="675" cm="1">
        <f t="array" aca="1" ref="U103" ca="1">+CONTARCOLORCELDA($C$15,B105:AF105)*$X$25</f>
        <v>0</v>
      </c>
      <c r="V103" s="676" cm="1">
        <f t="array" aca="1" ref="V103" ca="1">+CONTARCOLORCELDA($C$16,B105:AF105)*$X$25</f>
        <v>0</v>
      </c>
      <c r="W103" s="628"/>
      <c r="AD103" s="628"/>
      <c r="AE103" s="628"/>
      <c r="AF103" s="628"/>
      <c r="AI103" s="628"/>
      <c r="AJ103" s="628"/>
      <c r="AK103" s="628"/>
      <c r="AL103" s="628"/>
      <c r="AM103" s="628"/>
      <c r="AN103" s="628"/>
      <c r="AO103" s="628"/>
      <c r="AP103" s="628"/>
      <c r="AQ103" s="628"/>
      <c r="AR103" s="628"/>
      <c r="AS103" s="628"/>
      <c r="AT103" s="628"/>
      <c r="AU103" s="628"/>
      <c r="AV103" s="628"/>
      <c r="AW103" s="628"/>
      <c r="AX103" s="628"/>
      <c r="AY103" s="672" cm="1">
        <f t="array" aca="1" ref="AY103" ca="1">+CONTARCOLORCELDA($C$12,AI105:BM105)*$X$25</f>
        <v>31</v>
      </c>
      <c r="AZ103" s="673" cm="1">
        <f t="array" aca="1" ref="AZ103" ca="1">+CONTARCOLORCELDA($C$13,AI105:BM105)*$X$25</f>
        <v>0</v>
      </c>
      <c r="BA103" s="674" cm="1">
        <f t="array" aca="1" ref="BA103" ca="1">+CONTARCOLORCELDA($C$14,AK105:BP105)*$X$25</f>
        <v>0</v>
      </c>
      <c r="BB103" s="675" cm="1">
        <f t="array" aca="1" ref="BB103" ca="1">+CONTARCOLORCELDA($C$15,AI105:BM105)*$X$25</f>
        <v>0</v>
      </c>
      <c r="BC103" s="676" cm="1">
        <f t="array" aca="1" ref="BC103" ca="1">+CONTARCOLORCELDA($C$16,AI105:BM105)*$X$25</f>
        <v>0</v>
      </c>
      <c r="BD103" s="628"/>
      <c r="BE103" s="628"/>
      <c r="BM103" s="628"/>
      <c r="BP103" s="628"/>
      <c r="BQ103" s="628"/>
      <c r="BR103" s="628"/>
      <c r="BS103" s="628"/>
      <c r="BT103" s="628"/>
      <c r="BU103" s="628"/>
      <c r="BV103" s="628"/>
      <c r="BW103" s="628"/>
      <c r="CF103" s="672" cm="1">
        <f t="array" aca="1" ref="CF103" ca="1">+CONTARCOLORCELDA($C$12,BP105:CT105)*$X$25</f>
        <v>5</v>
      </c>
      <c r="CG103" s="673" cm="1">
        <f t="array" aca="1" ref="CG103" ca="1">+CONTARCOLORCELDA($C$13,BP105:CT105)*$X$25</f>
        <v>0</v>
      </c>
      <c r="CH103" s="674" cm="1">
        <f t="array" aca="1" ref="CH103" ca="1">+CONTARCOLORCELDA($C$14,BR105:CW105)*$X$25</f>
        <v>1</v>
      </c>
      <c r="CI103" s="675" cm="1">
        <f t="array" aca="1" ref="CI103" ca="1">+CONTARCOLORCELDA($C$15,BP105:CT105)*$X$25</f>
        <v>0</v>
      </c>
      <c r="CJ103" s="676" cm="1">
        <f t="array" aca="1" ref="CJ103" ca="1">+CONTARCOLORCELDA($C$16,BP105:CT105)*$X$25</f>
        <v>0</v>
      </c>
      <c r="CV103" s="647"/>
    </row>
    <row r="104" spans="1:100" ht="15.6" customHeight="1" thickBot="1">
      <c r="B104" s="667" t="s">
        <v>205</v>
      </c>
      <c r="C104" s="665"/>
      <c r="D104" s="665"/>
      <c r="E104" s="665"/>
      <c r="F104" s="665"/>
      <c r="G104" s="665"/>
      <c r="H104" s="665"/>
      <c r="I104" s="665"/>
      <c r="J104" s="665"/>
      <c r="K104" s="665"/>
      <c r="L104" s="665"/>
      <c r="M104" s="665"/>
      <c r="N104" s="665"/>
      <c r="O104" s="665"/>
      <c r="P104" s="665"/>
      <c r="Q104" s="665"/>
      <c r="R104" s="665"/>
      <c r="S104" s="665"/>
      <c r="T104" s="665"/>
      <c r="U104" s="665"/>
      <c r="V104" s="665"/>
      <c r="W104" s="665"/>
      <c r="X104" s="665"/>
      <c r="Y104" s="665"/>
      <c r="Z104" s="665"/>
      <c r="AA104" s="665"/>
      <c r="AB104" s="665"/>
      <c r="AC104" s="665"/>
      <c r="AD104" s="665"/>
      <c r="AE104" s="665"/>
      <c r="AF104" s="665"/>
      <c r="AG104" s="682"/>
      <c r="AH104" s="688" t="s">
        <v>187</v>
      </c>
      <c r="AI104" s="668" t="s">
        <v>206</v>
      </c>
      <c r="AJ104" s="665"/>
      <c r="AK104" s="665"/>
      <c r="AL104" s="665"/>
      <c r="AM104" s="665"/>
      <c r="AN104" s="665"/>
      <c r="AO104" s="665"/>
      <c r="AP104" s="665"/>
      <c r="AQ104" s="665"/>
      <c r="AR104" s="665"/>
      <c r="AS104" s="665"/>
      <c r="AT104" s="665"/>
      <c r="AU104" s="665"/>
      <c r="AV104" s="665"/>
      <c r="AW104" s="665"/>
      <c r="AX104" s="665"/>
      <c r="AY104" s="665"/>
      <c r="AZ104" s="665"/>
      <c r="BA104" s="665"/>
      <c r="BB104" s="665"/>
      <c r="BC104" s="665"/>
      <c r="BD104" s="665"/>
      <c r="BE104" s="665"/>
      <c r="BF104" s="665"/>
      <c r="BG104" s="665"/>
      <c r="BH104" s="665"/>
      <c r="BI104" s="665"/>
      <c r="BJ104" s="665"/>
      <c r="BK104" s="665"/>
      <c r="BL104" s="665"/>
      <c r="BM104" s="665"/>
      <c r="BN104" s="682"/>
      <c r="BO104" s="688" t="s">
        <v>187</v>
      </c>
      <c r="BP104" s="668" t="s">
        <v>207</v>
      </c>
      <c r="BQ104" s="665"/>
      <c r="BR104" s="665"/>
      <c r="BS104" s="665"/>
      <c r="BT104" s="665"/>
      <c r="BU104" s="665"/>
      <c r="BV104" s="665"/>
      <c r="BW104" s="665"/>
      <c r="BX104" s="665"/>
      <c r="BY104" s="665"/>
      <c r="BZ104" s="665"/>
      <c r="CA104" s="665"/>
      <c r="CB104" s="665"/>
      <c r="CC104" s="665"/>
      <c r="CD104" s="665"/>
      <c r="CE104" s="665"/>
      <c r="CF104" s="665"/>
      <c r="CG104" s="665"/>
      <c r="CH104" s="665"/>
      <c r="CI104" s="665"/>
      <c r="CJ104" s="665"/>
      <c r="CK104" s="665"/>
      <c r="CL104" s="665"/>
      <c r="CM104" s="665"/>
      <c r="CN104" s="665"/>
      <c r="CO104" s="665"/>
      <c r="CP104" s="665"/>
      <c r="CQ104" s="665"/>
      <c r="CR104" s="665"/>
      <c r="CS104" s="665"/>
      <c r="CT104" s="665"/>
      <c r="CU104" s="682"/>
      <c r="CV104" s="688" t="s">
        <v>187</v>
      </c>
    </row>
    <row r="105" spans="1:100" ht="13.5" thickBot="1">
      <c r="B105" s="699">
        <v>1</v>
      </c>
      <c r="C105" s="699">
        <v>2</v>
      </c>
      <c r="D105" s="699">
        <v>3</v>
      </c>
      <c r="E105" s="699">
        <v>4</v>
      </c>
      <c r="F105" s="699">
        <v>5</v>
      </c>
      <c r="G105" s="699">
        <v>6</v>
      </c>
      <c r="H105" s="699">
        <v>7</v>
      </c>
      <c r="I105" s="699">
        <v>8</v>
      </c>
      <c r="J105" s="699">
        <v>9</v>
      </c>
      <c r="K105" s="699">
        <v>10</v>
      </c>
      <c r="L105" s="699">
        <v>11</v>
      </c>
      <c r="M105" s="699">
        <v>12</v>
      </c>
      <c r="N105" s="699">
        <v>13</v>
      </c>
      <c r="O105" s="699">
        <v>14</v>
      </c>
      <c r="P105" s="699">
        <v>15</v>
      </c>
      <c r="Q105" s="699">
        <v>16</v>
      </c>
      <c r="R105" s="699">
        <v>17</v>
      </c>
      <c r="S105" s="699">
        <v>18</v>
      </c>
      <c r="T105" s="699">
        <v>19</v>
      </c>
      <c r="U105" s="699">
        <v>20</v>
      </c>
      <c r="V105" s="699">
        <v>21</v>
      </c>
      <c r="W105" s="699">
        <v>22</v>
      </c>
      <c r="X105" s="699">
        <v>27</v>
      </c>
      <c r="Y105" s="699">
        <v>24</v>
      </c>
      <c r="Z105" s="699">
        <v>25</v>
      </c>
      <c r="AA105" s="699">
        <v>26</v>
      </c>
      <c r="AB105" s="699">
        <v>27</v>
      </c>
      <c r="AC105" s="699">
        <v>28</v>
      </c>
      <c r="AD105" s="699">
        <v>29</v>
      </c>
      <c r="AE105" s="699">
        <v>30</v>
      </c>
      <c r="AF105" s="699">
        <v>31</v>
      </c>
      <c r="AG105" s="679"/>
      <c r="AH105" s="685"/>
      <c r="AI105" s="699">
        <v>1</v>
      </c>
      <c r="AJ105" s="699">
        <v>2</v>
      </c>
      <c r="AK105" s="699">
        <v>3</v>
      </c>
      <c r="AL105" s="699">
        <v>4</v>
      </c>
      <c r="AM105" s="699">
        <v>5</v>
      </c>
      <c r="AN105" s="699">
        <v>6</v>
      </c>
      <c r="AO105" s="699">
        <v>7</v>
      </c>
      <c r="AP105" s="699">
        <v>8</v>
      </c>
      <c r="AQ105" s="699">
        <v>9</v>
      </c>
      <c r="AR105" s="699">
        <v>10</v>
      </c>
      <c r="AS105" s="699">
        <v>11</v>
      </c>
      <c r="AT105" s="699">
        <v>12</v>
      </c>
      <c r="AU105" s="699">
        <v>13</v>
      </c>
      <c r="AV105" s="699">
        <v>14</v>
      </c>
      <c r="AW105" s="699">
        <v>15</v>
      </c>
      <c r="AX105" s="699">
        <v>16</v>
      </c>
      <c r="AY105" s="699">
        <v>17</v>
      </c>
      <c r="AZ105" s="699">
        <v>18</v>
      </c>
      <c r="BA105" s="699">
        <v>19</v>
      </c>
      <c r="BB105" s="699">
        <v>20</v>
      </c>
      <c r="BC105" s="699">
        <v>21</v>
      </c>
      <c r="BD105" s="699">
        <v>22</v>
      </c>
      <c r="BE105" s="699">
        <v>27</v>
      </c>
      <c r="BF105" s="699">
        <v>24</v>
      </c>
      <c r="BG105" s="699">
        <v>25</v>
      </c>
      <c r="BH105" s="699">
        <v>26</v>
      </c>
      <c r="BI105" s="699">
        <v>27</v>
      </c>
      <c r="BJ105" s="699">
        <v>28</v>
      </c>
      <c r="BK105" s="699">
        <v>29</v>
      </c>
      <c r="BL105" s="699">
        <v>30</v>
      </c>
      <c r="BM105" s="699">
        <v>31</v>
      </c>
      <c r="BN105" s="679"/>
      <c r="BO105" s="685"/>
      <c r="BP105" s="699">
        <v>1</v>
      </c>
      <c r="BQ105" s="699">
        <v>2</v>
      </c>
      <c r="BR105" s="699">
        <v>3</v>
      </c>
      <c r="BS105" s="699">
        <v>4</v>
      </c>
      <c r="BT105" s="699">
        <v>5</v>
      </c>
      <c r="BU105" s="674">
        <v>6</v>
      </c>
      <c r="BV105" s="803">
        <v>7</v>
      </c>
      <c r="BW105" s="803">
        <v>8</v>
      </c>
      <c r="BX105" s="803">
        <v>9</v>
      </c>
      <c r="BY105" s="803">
        <v>10</v>
      </c>
      <c r="BZ105" s="803">
        <v>11</v>
      </c>
      <c r="CA105" s="803">
        <v>12</v>
      </c>
      <c r="CB105" s="803">
        <v>13</v>
      </c>
      <c r="CC105" s="803">
        <v>14</v>
      </c>
      <c r="CD105" s="803">
        <v>15</v>
      </c>
      <c r="CE105" s="803">
        <v>16</v>
      </c>
      <c r="CF105" s="803">
        <v>17</v>
      </c>
      <c r="CG105" s="803">
        <v>18</v>
      </c>
      <c r="CH105" s="803">
        <v>19</v>
      </c>
      <c r="CI105" s="803">
        <v>20</v>
      </c>
      <c r="CJ105" s="803">
        <v>21</v>
      </c>
      <c r="CK105" s="803">
        <v>22</v>
      </c>
      <c r="CL105" s="803">
        <v>27</v>
      </c>
      <c r="CM105" s="803">
        <v>24</v>
      </c>
      <c r="CN105" s="803">
        <v>25</v>
      </c>
      <c r="CO105" s="803">
        <v>26</v>
      </c>
      <c r="CP105" s="803">
        <v>27</v>
      </c>
      <c r="CQ105" s="803">
        <v>28</v>
      </c>
      <c r="CR105" s="803">
        <v>29</v>
      </c>
      <c r="CS105" s="803">
        <v>30</v>
      </c>
      <c r="CT105" s="803">
        <v>31</v>
      </c>
      <c r="CU105" s="679"/>
      <c r="CV105" s="685"/>
    </row>
    <row r="106" spans="1:100">
      <c r="A106" s="629" t="s">
        <v>190</v>
      </c>
      <c r="B106" s="678">
        <v>1</v>
      </c>
      <c r="C106" s="678">
        <v>2</v>
      </c>
      <c r="D106" s="678">
        <v>3</v>
      </c>
      <c r="E106" s="678">
        <v>4</v>
      </c>
      <c r="F106" s="678">
        <v>5</v>
      </c>
      <c r="G106" s="678">
        <v>6</v>
      </c>
      <c r="H106" s="678">
        <v>7</v>
      </c>
      <c r="I106" s="678">
        <v>8</v>
      </c>
      <c r="J106" s="678">
        <v>9</v>
      </c>
      <c r="K106" s="678">
        <v>10</v>
      </c>
      <c r="L106" s="678">
        <v>11</v>
      </c>
      <c r="M106" s="678">
        <v>12</v>
      </c>
      <c r="N106" s="678">
        <v>13</v>
      </c>
      <c r="O106" s="678">
        <v>14</v>
      </c>
      <c r="P106" s="678">
        <v>15</v>
      </c>
      <c r="Q106" s="678">
        <v>16</v>
      </c>
      <c r="R106" s="678">
        <v>17</v>
      </c>
      <c r="S106" s="678">
        <v>18</v>
      </c>
      <c r="T106" s="678">
        <v>19</v>
      </c>
      <c r="U106" s="678">
        <v>20</v>
      </c>
      <c r="V106" s="678">
        <v>21</v>
      </c>
      <c r="W106" s="678">
        <v>22</v>
      </c>
      <c r="X106" s="678">
        <v>23</v>
      </c>
      <c r="Y106" s="678">
        <v>24</v>
      </c>
      <c r="Z106" s="678">
        <v>25</v>
      </c>
      <c r="AA106" s="678">
        <v>26</v>
      </c>
      <c r="AB106" s="678">
        <v>27</v>
      </c>
      <c r="AC106" s="678">
        <v>28</v>
      </c>
      <c r="AD106" s="678">
        <v>29</v>
      </c>
      <c r="AE106" s="678">
        <v>30</v>
      </c>
      <c r="AF106" s="678">
        <v>31</v>
      </c>
      <c r="AG106" s="679">
        <f>COUNT(B106:AF106)*$X$25</f>
        <v>31</v>
      </c>
      <c r="AH106" s="686">
        <v>7.0000000000000001E-3</v>
      </c>
      <c r="AI106" s="678">
        <v>1</v>
      </c>
      <c r="AJ106" s="678">
        <v>2</v>
      </c>
      <c r="AK106" s="678">
        <v>3</v>
      </c>
      <c r="AL106" s="678">
        <v>4</v>
      </c>
      <c r="AM106" s="678">
        <v>5</v>
      </c>
      <c r="AN106" s="678">
        <v>6</v>
      </c>
      <c r="AO106" s="678">
        <v>7</v>
      </c>
      <c r="AP106" s="678">
        <v>8</v>
      </c>
      <c r="AQ106" s="678">
        <v>9</v>
      </c>
      <c r="AR106" s="678">
        <v>10</v>
      </c>
      <c r="AS106" s="678">
        <v>11</v>
      </c>
      <c r="AT106" s="678">
        <v>12</v>
      </c>
      <c r="AU106" s="678">
        <v>13</v>
      </c>
      <c r="AV106" s="678">
        <v>14</v>
      </c>
      <c r="AW106" s="678">
        <v>15</v>
      </c>
      <c r="AX106" s="678">
        <v>16</v>
      </c>
      <c r="AY106" s="678">
        <v>17</v>
      </c>
      <c r="AZ106" s="678">
        <v>18</v>
      </c>
      <c r="BA106" s="678">
        <v>19</v>
      </c>
      <c r="BB106" s="678">
        <v>20</v>
      </c>
      <c r="BC106" s="678">
        <v>21</v>
      </c>
      <c r="BD106" s="678">
        <v>22</v>
      </c>
      <c r="BE106" s="678">
        <v>23</v>
      </c>
      <c r="BF106" s="678">
        <v>24</v>
      </c>
      <c r="BG106" s="678">
        <v>25</v>
      </c>
      <c r="BH106" s="678">
        <v>26</v>
      </c>
      <c r="BI106" s="678">
        <v>27</v>
      </c>
      <c r="BJ106" s="678">
        <v>28</v>
      </c>
      <c r="BK106" s="678">
        <v>29</v>
      </c>
      <c r="BL106" s="678">
        <v>30</v>
      </c>
      <c r="BM106" s="678">
        <v>31</v>
      </c>
      <c r="BN106" s="679">
        <f>COUNT(AI106:BM106)*$X$25</f>
        <v>31</v>
      </c>
      <c r="BO106" s="686">
        <v>7.0000000000000001E-3</v>
      </c>
      <c r="BP106" s="678">
        <v>1</v>
      </c>
      <c r="BQ106" s="678">
        <v>2</v>
      </c>
      <c r="BR106" s="678">
        <v>3</v>
      </c>
      <c r="BS106" s="678">
        <v>4</v>
      </c>
      <c r="BT106" s="678">
        <v>5</v>
      </c>
      <c r="BU106" s="678">
        <v>6</v>
      </c>
      <c r="BV106" s="678"/>
      <c r="BW106" s="678"/>
      <c r="BX106" s="678"/>
      <c r="BY106" s="678"/>
      <c r="BZ106" s="678"/>
      <c r="CA106" s="678"/>
      <c r="CB106" s="678"/>
      <c r="CC106" s="678"/>
      <c r="CD106" s="678"/>
      <c r="CE106" s="678"/>
      <c r="CF106" s="678"/>
      <c r="CG106" s="678"/>
      <c r="CH106" s="678"/>
      <c r="CI106" s="678"/>
      <c r="CJ106" s="678"/>
      <c r="CK106" s="678"/>
      <c r="CL106" s="678"/>
      <c r="CM106" s="678"/>
      <c r="CN106" s="678"/>
      <c r="CO106" s="678"/>
      <c r="CP106" s="678"/>
      <c r="CQ106" s="678"/>
      <c r="CR106" s="678"/>
      <c r="CS106" s="678"/>
      <c r="CT106" s="678"/>
      <c r="CU106" s="679">
        <f>COUNT(BP106:CT106)*$X$25</f>
        <v>6</v>
      </c>
      <c r="CV106" s="686">
        <v>7.0000000000000001E-3</v>
      </c>
    </row>
    <row r="107" spans="1:100">
      <c r="A107" s="630" t="s">
        <v>191</v>
      </c>
      <c r="B107" s="701"/>
      <c r="C107" s="678"/>
      <c r="D107" s="678"/>
      <c r="E107" s="678"/>
      <c r="F107" s="678"/>
      <c r="G107" s="678"/>
      <c r="H107" s="678"/>
      <c r="I107" s="678"/>
      <c r="J107" s="678"/>
      <c r="K107" s="678"/>
      <c r="L107" s="678"/>
      <c r="M107" s="678"/>
      <c r="N107" s="678"/>
      <c r="O107" s="678"/>
      <c r="P107" s="678"/>
      <c r="Q107" s="678"/>
      <c r="R107" s="678"/>
      <c r="S107" s="678"/>
      <c r="T107" s="678"/>
      <c r="U107" s="678"/>
      <c r="V107" s="678"/>
      <c r="W107" s="678"/>
      <c r="X107" s="678"/>
      <c r="Y107" s="678"/>
      <c r="Z107" s="678"/>
      <c r="AA107" s="678"/>
      <c r="AB107" s="678"/>
      <c r="AC107" s="678"/>
      <c r="AD107" s="678"/>
      <c r="AE107" s="678"/>
      <c r="AF107" s="678"/>
      <c r="AG107" s="679">
        <f>COUNT(B107:AF107)*$X$25</f>
        <v>0</v>
      </c>
      <c r="AH107" s="686">
        <v>0</v>
      </c>
      <c r="AI107" s="701"/>
      <c r="AJ107" s="678"/>
      <c r="AK107" s="678"/>
      <c r="AL107" s="678"/>
      <c r="AM107" s="678"/>
      <c r="AN107" s="678"/>
      <c r="AO107" s="678"/>
      <c r="AP107" s="678"/>
      <c r="AQ107" s="678"/>
      <c r="AR107" s="678"/>
      <c r="AS107" s="678"/>
      <c r="AT107" s="678"/>
      <c r="AU107" s="678"/>
      <c r="AV107" s="678"/>
      <c r="AW107" s="678"/>
      <c r="AX107" s="678"/>
      <c r="AY107" s="678"/>
      <c r="AZ107" s="678"/>
      <c r="BA107" s="678"/>
      <c r="BB107" s="678"/>
      <c r="BC107" s="678"/>
      <c r="BD107" s="678"/>
      <c r="BE107" s="678"/>
      <c r="BF107" s="678"/>
      <c r="BG107" s="678"/>
      <c r="BH107" s="678"/>
      <c r="BI107" s="678"/>
      <c r="BJ107" s="678"/>
      <c r="BK107" s="678"/>
      <c r="BL107" s="678"/>
      <c r="BM107" s="678"/>
      <c r="BN107" s="679">
        <f>COUNT(AI107:BM107)*$X$25</f>
        <v>0</v>
      </c>
      <c r="BO107" s="686"/>
      <c r="BP107" s="701"/>
      <c r="BQ107" s="678"/>
      <c r="BR107" s="678"/>
      <c r="BS107" s="678"/>
      <c r="BT107" s="678"/>
      <c r="BU107" s="678"/>
      <c r="BV107" s="678"/>
      <c r="BW107" s="678"/>
      <c r="BX107" s="678"/>
      <c r="BY107" s="678"/>
      <c r="BZ107" s="678"/>
      <c r="CA107" s="678"/>
      <c r="CB107" s="678"/>
      <c r="CC107" s="678"/>
      <c r="CD107" s="678"/>
      <c r="CE107" s="678"/>
      <c r="CF107" s="678"/>
      <c r="CG107" s="678"/>
      <c r="CH107" s="678"/>
      <c r="CI107" s="678"/>
      <c r="CJ107" s="678"/>
      <c r="CK107" s="678"/>
      <c r="CL107" s="678"/>
      <c r="CM107" s="678"/>
      <c r="CN107" s="678"/>
      <c r="CO107" s="678"/>
      <c r="CP107" s="678"/>
      <c r="CQ107" s="678"/>
      <c r="CR107" s="678"/>
      <c r="CS107" s="678"/>
      <c r="CT107" s="678"/>
      <c r="CU107" s="679">
        <f>COUNT(BP107:CT107)*$X$25</f>
        <v>0</v>
      </c>
      <c r="CV107" s="686"/>
    </row>
    <row r="108" spans="1:100">
      <c r="A108" s="630" t="s">
        <v>192</v>
      </c>
      <c r="B108" s="701"/>
      <c r="C108" s="678"/>
      <c r="D108" s="678"/>
      <c r="E108" s="678"/>
      <c r="F108" s="678"/>
      <c r="G108" s="678"/>
      <c r="H108" s="678"/>
      <c r="I108" s="678"/>
      <c r="J108" s="678"/>
      <c r="K108" s="678"/>
      <c r="L108" s="678"/>
      <c r="M108" s="678"/>
      <c r="N108" s="678"/>
      <c r="O108" s="678"/>
      <c r="P108" s="678"/>
      <c r="Q108" s="678"/>
      <c r="R108" s="678"/>
      <c r="S108" s="678"/>
      <c r="T108" s="678"/>
      <c r="U108" s="678"/>
      <c r="V108" s="678"/>
      <c r="W108" s="678"/>
      <c r="X108" s="678"/>
      <c r="Y108" s="678"/>
      <c r="Z108" s="678"/>
      <c r="AA108" s="678"/>
      <c r="AB108" s="678"/>
      <c r="AC108" s="678"/>
      <c r="AD108" s="678"/>
      <c r="AE108" s="678"/>
      <c r="AF108" s="678"/>
      <c r="AG108" s="679">
        <f t="shared" ref="AG108:AG117" si="18">COUNT(B108:AF108)</f>
        <v>0</v>
      </c>
      <c r="AH108" s="686"/>
      <c r="AI108" s="701"/>
      <c r="AJ108" s="678"/>
      <c r="AK108" s="678"/>
      <c r="AL108" s="678"/>
      <c r="AM108" s="678"/>
      <c r="AN108" s="678"/>
      <c r="AO108" s="678"/>
      <c r="AP108" s="678"/>
      <c r="AQ108" s="678"/>
      <c r="AR108" s="678"/>
      <c r="AS108" s="678"/>
      <c r="AT108" s="678"/>
      <c r="AU108" s="678"/>
      <c r="AV108" s="678"/>
      <c r="AW108" s="678"/>
      <c r="AX108" s="678"/>
      <c r="AY108" s="678"/>
      <c r="AZ108" s="678"/>
      <c r="BA108" s="678"/>
      <c r="BB108" s="678"/>
      <c r="BC108" s="678"/>
      <c r="BD108" s="678"/>
      <c r="BE108" s="678"/>
      <c r="BF108" s="678"/>
      <c r="BG108" s="678"/>
      <c r="BH108" s="678"/>
      <c r="BI108" s="678"/>
      <c r="BJ108" s="678"/>
      <c r="BK108" s="678"/>
      <c r="BL108" s="678"/>
      <c r="BM108" s="678"/>
      <c r="BN108" s="679">
        <f t="shared" ref="BN108:BN117" si="19">COUNT(AI108:BM108)</f>
        <v>0</v>
      </c>
      <c r="BO108" s="686"/>
      <c r="BP108" s="701"/>
      <c r="BQ108" s="678"/>
      <c r="BR108" s="678"/>
      <c r="BS108" s="678"/>
      <c r="BT108" s="678"/>
      <c r="BU108" s="678"/>
      <c r="BV108" s="678"/>
      <c r="BW108" s="678"/>
      <c r="BX108" s="678"/>
      <c r="BY108" s="678"/>
      <c r="BZ108" s="678"/>
      <c r="CA108" s="678"/>
      <c r="CB108" s="678"/>
      <c r="CC108" s="678"/>
      <c r="CD108" s="678"/>
      <c r="CE108" s="678"/>
      <c r="CF108" s="678"/>
      <c r="CG108" s="678"/>
      <c r="CH108" s="678"/>
      <c r="CI108" s="678"/>
      <c r="CJ108" s="678"/>
      <c r="CK108" s="678"/>
      <c r="CL108" s="678"/>
      <c r="CM108" s="678"/>
      <c r="CN108" s="678"/>
      <c r="CO108" s="678"/>
      <c r="CP108" s="678"/>
      <c r="CQ108" s="678"/>
      <c r="CR108" s="678"/>
      <c r="CS108" s="678"/>
      <c r="CT108" s="678"/>
      <c r="CU108" s="679">
        <f t="shared" ref="CU108:CU117" si="20">COUNT(BP108:CT108)</f>
        <v>0</v>
      </c>
      <c r="CV108" s="686"/>
    </row>
    <row r="109" spans="1:100" ht="13.5" thickBot="1">
      <c r="A109" s="631" t="s">
        <v>192</v>
      </c>
      <c r="B109" s="701"/>
      <c r="C109" s="678"/>
      <c r="D109" s="678"/>
      <c r="E109" s="678"/>
      <c r="F109" s="678"/>
      <c r="G109" s="678"/>
      <c r="H109" s="678"/>
      <c r="I109" s="678"/>
      <c r="J109" s="678"/>
      <c r="K109" s="678"/>
      <c r="L109" s="678"/>
      <c r="M109" s="678"/>
      <c r="N109" s="678"/>
      <c r="O109" s="678"/>
      <c r="P109" s="678"/>
      <c r="Q109" s="678"/>
      <c r="R109" s="678"/>
      <c r="S109" s="678"/>
      <c r="T109" s="678"/>
      <c r="U109" s="678"/>
      <c r="V109" s="678"/>
      <c r="W109" s="678"/>
      <c r="X109" s="678"/>
      <c r="Y109" s="678"/>
      <c r="Z109" s="678"/>
      <c r="AA109" s="678"/>
      <c r="AB109" s="678"/>
      <c r="AC109" s="678"/>
      <c r="AD109" s="678"/>
      <c r="AE109" s="678"/>
      <c r="AF109" s="678"/>
      <c r="AG109" s="679">
        <f t="shared" si="18"/>
        <v>0</v>
      </c>
      <c r="AH109" s="686"/>
      <c r="AI109" s="701"/>
      <c r="AJ109" s="678"/>
      <c r="AK109" s="678"/>
      <c r="AL109" s="678"/>
      <c r="AM109" s="678"/>
      <c r="AN109" s="678"/>
      <c r="AO109" s="678"/>
      <c r="AP109" s="678"/>
      <c r="AQ109" s="678"/>
      <c r="AR109" s="678"/>
      <c r="AS109" s="678"/>
      <c r="AT109" s="678"/>
      <c r="AU109" s="678"/>
      <c r="AV109" s="678"/>
      <c r="AW109" s="678"/>
      <c r="AX109" s="678"/>
      <c r="AY109" s="678"/>
      <c r="AZ109" s="678"/>
      <c r="BA109" s="678"/>
      <c r="BB109" s="678"/>
      <c r="BC109" s="678"/>
      <c r="BD109" s="678"/>
      <c r="BE109" s="678"/>
      <c r="BF109" s="678"/>
      <c r="BG109" s="678"/>
      <c r="BH109" s="678"/>
      <c r="BI109" s="678"/>
      <c r="BJ109" s="678"/>
      <c r="BK109" s="678"/>
      <c r="BL109" s="678"/>
      <c r="BM109" s="678"/>
      <c r="BN109" s="679">
        <f t="shared" si="19"/>
        <v>0</v>
      </c>
      <c r="BO109" s="686"/>
      <c r="BP109" s="701"/>
      <c r="BQ109" s="678"/>
      <c r="BR109" s="678"/>
      <c r="BS109" s="678"/>
      <c r="BT109" s="678"/>
      <c r="BU109" s="678"/>
      <c r="BV109" s="678"/>
      <c r="BW109" s="678"/>
      <c r="BX109" s="678"/>
      <c r="BY109" s="678"/>
      <c r="BZ109" s="678"/>
      <c r="CA109" s="678"/>
      <c r="CB109" s="678"/>
      <c r="CC109" s="678"/>
      <c r="CD109" s="678"/>
      <c r="CE109" s="678"/>
      <c r="CF109" s="678"/>
      <c r="CG109" s="678"/>
      <c r="CH109" s="678"/>
      <c r="CI109" s="678"/>
      <c r="CJ109" s="678"/>
      <c r="CK109" s="678"/>
      <c r="CL109" s="678"/>
      <c r="CM109" s="678"/>
      <c r="CN109" s="678"/>
      <c r="CO109" s="678"/>
      <c r="CP109" s="678"/>
      <c r="CQ109" s="678"/>
      <c r="CR109" s="678"/>
      <c r="CS109" s="678"/>
      <c r="CT109" s="678"/>
      <c r="CU109" s="679">
        <f t="shared" si="20"/>
        <v>0</v>
      </c>
      <c r="CV109" s="686"/>
    </row>
    <row r="110" spans="1:100">
      <c r="A110" s="629" t="s">
        <v>193</v>
      </c>
      <c r="B110" s="701"/>
      <c r="C110" s="692"/>
      <c r="D110" s="692"/>
      <c r="E110" s="692"/>
      <c r="F110" s="692"/>
      <c r="G110" s="692"/>
      <c r="H110" s="692"/>
      <c r="I110" s="692"/>
      <c r="J110" s="692"/>
      <c r="K110" s="678"/>
      <c r="L110" s="678"/>
      <c r="M110" s="678"/>
      <c r="N110" s="678"/>
      <c r="O110" s="678"/>
      <c r="P110" s="678"/>
      <c r="Q110" s="678"/>
      <c r="R110" s="678"/>
      <c r="S110" s="678"/>
      <c r="T110" s="678"/>
      <c r="U110" s="678"/>
      <c r="V110" s="678"/>
      <c r="W110" s="678"/>
      <c r="X110" s="678"/>
      <c r="Y110" s="678"/>
      <c r="Z110" s="678"/>
      <c r="AA110" s="678"/>
      <c r="AB110" s="678"/>
      <c r="AC110" s="678"/>
      <c r="AD110" s="678"/>
      <c r="AE110" s="678"/>
      <c r="AF110" s="678"/>
      <c r="AG110" s="680">
        <f t="shared" si="18"/>
        <v>0</v>
      </c>
      <c r="AH110" s="687"/>
      <c r="AI110" s="701"/>
      <c r="AJ110" s="692"/>
      <c r="AK110" s="692"/>
      <c r="AL110" s="692"/>
      <c r="AM110" s="692"/>
      <c r="AN110" s="692"/>
      <c r="AO110" s="692"/>
      <c r="AP110" s="692"/>
      <c r="AQ110" s="692"/>
      <c r="AR110" s="678"/>
      <c r="AS110" s="678"/>
      <c r="AT110" s="678"/>
      <c r="AU110" s="678"/>
      <c r="AV110" s="678"/>
      <c r="AW110" s="678"/>
      <c r="AX110" s="678"/>
      <c r="AY110" s="678"/>
      <c r="AZ110" s="678"/>
      <c r="BA110" s="678"/>
      <c r="BB110" s="678"/>
      <c r="BC110" s="678"/>
      <c r="BD110" s="678"/>
      <c r="BE110" s="678"/>
      <c r="BF110" s="678"/>
      <c r="BG110" s="678"/>
      <c r="BH110" s="678"/>
      <c r="BI110" s="678"/>
      <c r="BJ110" s="678"/>
      <c r="BK110" s="678"/>
      <c r="BL110" s="678"/>
      <c r="BM110" s="678"/>
      <c r="BN110" s="680">
        <f t="shared" si="19"/>
        <v>0</v>
      </c>
      <c r="BO110" s="687"/>
      <c r="BP110" s="701"/>
      <c r="BQ110" s="692"/>
      <c r="BR110" s="692"/>
      <c r="BS110" s="692"/>
      <c r="BT110" s="692"/>
      <c r="BU110" s="692"/>
      <c r="BV110" s="692"/>
      <c r="BW110" s="692"/>
      <c r="BX110" s="692"/>
      <c r="BY110" s="678"/>
      <c r="BZ110" s="678"/>
      <c r="CA110" s="678"/>
      <c r="CB110" s="678"/>
      <c r="CC110" s="678"/>
      <c r="CD110" s="678"/>
      <c r="CE110" s="678"/>
      <c r="CF110" s="678"/>
      <c r="CG110" s="678"/>
      <c r="CH110" s="678"/>
      <c r="CI110" s="678"/>
      <c r="CJ110" s="678"/>
      <c r="CK110" s="678"/>
      <c r="CL110" s="678"/>
      <c r="CM110" s="678"/>
      <c r="CN110" s="678"/>
      <c r="CO110" s="678"/>
      <c r="CP110" s="678"/>
      <c r="CQ110" s="678"/>
      <c r="CR110" s="678"/>
      <c r="CS110" s="678"/>
      <c r="CT110" s="678"/>
      <c r="CU110" s="680">
        <f t="shared" si="20"/>
        <v>0</v>
      </c>
      <c r="CV110" s="687"/>
    </row>
    <row r="111" spans="1:100">
      <c r="A111" s="630" t="s">
        <v>194</v>
      </c>
      <c r="B111" s="701"/>
      <c r="C111" s="678"/>
      <c r="D111" s="678"/>
      <c r="E111" s="678"/>
      <c r="F111" s="678"/>
      <c r="G111" s="678"/>
      <c r="H111" s="678"/>
      <c r="I111" s="678"/>
      <c r="J111" s="678"/>
      <c r="K111" s="678"/>
      <c r="L111" s="678"/>
      <c r="M111" s="678"/>
      <c r="N111" s="678"/>
      <c r="O111" s="678"/>
      <c r="P111" s="678"/>
      <c r="Q111" s="678"/>
      <c r="R111" s="678"/>
      <c r="S111" s="678"/>
      <c r="T111" s="678"/>
      <c r="U111" s="678"/>
      <c r="V111" s="678"/>
      <c r="W111" s="678"/>
      <c r="X111" s="678"/>
      <c r="Y111" s="678"/>
      <c r="Z111" s="678"/>
      <c r="AA111" s="678"/>
      <c r="AB111" s="678"/>
      <c r="AC111" s="678"/>
      <c r="AD111" s="678"/>
      <c r="AE111" s="678"/>
      <c r="AF111" s="678"/>
      <c r="AG111" s="679">
        <f t="shared" si="18"/>
        <v>0</v>
      </c>
      <c r="AH111" s="686"/>
      <c r="AI111" s="701"/>
      <c r="AJ111" s="678"/>
      <c r="AK111" s="678"/>
      <c r="AL111" s="678"/>
      <c r="AM111" s="678"/>
      <c r="AN111" s="678"/>
      <c r="AO111" s="678"/>
      <c r="AP111" s="678"/>
      <c r="AQ111" s="678"/>
      <c r="AR111" s="678"/>
      <c r="AS111" s="678"/>
      <c r="AT111" s="678"/>
      <c r="AU111" s="678"/>
      <c r="AV111" s="678"/>
      <c r="AW111" s="678"/>
      <c r="AX111" s="678"/>
      <c r="AY111" s="678"/>
      <c r="AZ111" s="678"/>
      <c r="BA111" s="678"/>
      <c r="BB111" s="678"/>
      <c r="BC111" s="678"/>
      <c r="BD111" s="678"/>
      <c r="BE111" s="678"/>
      <c r="BF111" s="678"/>
      <c r="BG111" s="678"/>
      <c r="BH111" s="678"/>
      <c r="BI111" s="678"/>
      <c r="BJ111" s="678"/>
      <c r="BK111" s="678"/>
      <c r="BL111" s="678"/>
      <c r="BM111" s="678"/>
      <c r="BN111" s="679">
        <f t="shared" si="19"/>
        <v>0</v>
      </c>
      <c r="BO111" s="686"/>
      <c r="BP111" s="701"/>
      <c r="BQ111" s="678"/>
      <c r="BR111" s="678"/>
      <c r="BS111" s="678"/>
      <c r="BT111" s="678"/>
      <c r="BU111" s="678"/>
      <c r="BV111" s="678"/>
      <c r="BW111" s="678"/>
      <c r="BX111" s="678"/>
      <c r="BY111" s="678"/>
      <c r="BZ111" s="678"/>
      <c r="CA111" s="678"/>
      <c r="CB111" s="678"/>
      <c r="CC111" s="678"/>
      <c r="CD111" s="678"/>
      <c r="CE111" s="678"/>
      <c r="CF111" s="678"/>
      <c r="CG111" s="678"/>
      <c r="CH111" s="678"/>
      <c r="CI111" s="678"/>
      <c r="CJ111" s="678"/>
      <c r="CK111" s="678"/>
      <c r="CL111" s="678"/>
      <c r="CM111" s="678"/>
      <c r="CN111" s="678"/>
      <c r="CO111" s="678"/>
      <c r="CP111" s="678"/>
      <c r="CQ111" s="678"/>
      <c r="CR111" s="678"/>
      <c r="CS111" s="678"/>
      <c r="CT111" s="678"/>
      <c r="CU111" s="679">
        <f t="shared" si="20"/>
        <v>0</v>
      </c>
      <c r="CV111" s="686"/>
    </row>
    <row r="112" spans="1:100">
      <c r="A112" s="630" t="s">
        <v>192</v>
      </c>
      <c r="B112" s="701"/>
      <c r="C112" s="678"/>
      <c r="D112" s="678"/>
      <c r="E112" s="678"/>
      <c r="F112" s="678"/>
      <c r="G112" s="678"/>
      <c r="H112" s="678"/>
      <c r="I112" s="678"/>
      <c r="J112" s="678"/>
      <c r="K112" s="678"/>
      <c r="L112" s="678"/>
      <c r="M112" s="678"/>
      <c r="N112" s="678"/>
      <c r="O112" s="678"/>
      <c r="P112" s="678"/>
      <c r="Q112" s="678"/>
      <c r="R112" s="678"/>
      <c r="S112" s="678"/>
      <c r="T112" s="678"/>
      <c r="U112" s="678"/>
      <c r="V112" s="678"/>
      <c r="W112" s="678"/>
      <c r="X112" s="678"/>
      <c r="Y112" s="678"/>
      <c r="Z112" s="678"/>
      <c r="AA112" s="678"/>
      <c r="AB112" s="678"/>
      <c r="AC112" s="678"/>
      <c r="AD112" s="678"/>
      <c r="AE112" s="678"/>
      <c r="AF112" s="678"/>
      <c r="AG112" s="679">
        <f t="shared" si="18"/>
        <v>0</v>
      </c>
      <c r="AH112" s="686"/>
      <c r="AI112" s="701"/>
      <c r="AJ112" s="678"/>
      <c r="AK112" s="678"/>
      <c r="AL112" s="678"/>
      <c r="AM112" s="678"/>
      <c r="AN112" s="678"/>
      <c r="AO112" s="678"/>
      <c r="AP112" s="678"/>
      <c r="AQ112" s="678"/>
      <c r="AR112" s="678"/>
      <c r="AS112" s="678"/>
      <c r="AT112" s="678"/>
      <c r="AU112" s="678"/>
      <c r="AV112" s="678"/>
      <c r="AW112" s="678"/>
      <c r="AX112" s="678"/>
      <c r="AY112" s="678"/>
      <c r="AZ112" s="678"/>
      <c r="BA112" s="678"/>
      <c r="BB112" s="678"/>
      <c r="BC112" s="678"/>
      <c r="BD112" s="678"/>
      <c r="BE112" s="678"/>
      <c r="BF112" s="678"/>
      <c r="BG112" s="678"/>
      <c r="BH112" s="678"/>
      <c r="BI112" s="678"/>
      <c r="BJ112" s="678"/>
      <c r="BK112" s="678"/>
      <c r="BL112" s="678"/>
      <c r="BM112" s="678"/>
      <c r="BN112" s="679">
        <f t="shared" si="19"/>
        <v>0</v>
      </c>
      <c r="BO112" s="686"/>
      <c r="BP112" s="701"/>
      <c r="BQ112" s="678"/>
      <c r="BR112" s="678"/>
      <c r="BS112" s="678"/>
      <c r="BT112" s="678"/>
      <c r="BU112" s="678"/>
      <c r="BV112" s="678"/>
      <c r="BW112" s="678"/>
      <c r="BX112" s="678"/>
      <c r="BY112" s="678"/>
      <c r="BZ112" s="678"/>
      <c r="CA112" s="678"/>
      <c r="CB112" s="678"/>
      <c r="CC112" s="678"/>
      <c r="CD112" s="678"/>
      <c r="CE112" s="678"/>
      <c r="CF112" s="678"/>
      <c r="CG112" s="678"/>
      <c r="CH112" s="678"/>
      <c r="CI112" s="678"/>
      <c r="CJ112" s="678"/>
      <c r="CK112" s="678"/>
      <c r="CL112" s="678"/>
      <c r="CM112" s="678"/>
      <c r="CN112" s="678"/>
      <c r="CO112" s="678"/>
      <c r="CP112" s="678"/>
      <c r="CQ112" s="678"/>
      <c r="CR112" s="678"/>
      <c r="CS112" s="678"/>
      <c r="CT112" s="678"/>
      <c r="CU112" s="679">
        <f t="shared" si="20"/>
        <v>0</v>
      </c>
      <c r="CV112" s="686"/>
    </row>
    <row r="113" spans="1:100" ht="13.5" thickBot="1">
      <c r="A113" s="631" t="s">
        <v>192</v>
      </c>
      <c r="B113" s="701"/>
      <c r="C113" s="678"/>
      <c r="D113" s="678"/>
      <c r="E113" s="678"/>
      <c r="F113" s="678"/>
      <c r="G113" s="678"/>
      <c r="H113" s="678"/>
      <c r="I113" s="678"/>
      <c r="J113" s="678"/>
      <c r="K113" s="678"/>
      <c r="L113" s="678"/>
      <c r="M113" s="678"/>
      <c r="N113" s="678"/>
      <c r="O113" s="678"/>
      <c r="P113" s="678"/>
      <c r="Q113" s="678"/>
      <c r="R113" s="678"/>
      <c r="S113" s="678"/>
      <c r="T113" s="678"/>
      <c r="U113" s="678"/>
      <c r="V113" s="678"/>
      <c r="W113" s="678"/>
      <c r="X113" s="678"/>
      <c r="Y113" s="678"/>
      <c r="Z113" s="678"/>
      <c r="AA113" s="678"/>
      <c r="AB113" s="678"/>
      <c r="AC113" s="678"/>
      <c r="AD113" s="678"/>
      <c r="AE113" s="678"/>
      <c r="AF113" s="678"/>
      <c r="AG113" s="679">
        <f t="shared" si="18"/>
        <v>0</v>
      </c>
      <c r="AH113" s="686"/>
      <c r="AI113" s="701"/>
      <c r="AJ113" s="678"/>
      <c r="AK113" s="678"/>
      <c r="AL113" s="678"/>
      <c r="AM113" s="678"/>
      <c r="AN113" s="678"/>
      <c r="AO113" s="678"/>
      <c r="AP113" s="678"/>
      <c r="AQ113" s="678"/>
      <c r="AR113" s="678"/>
      <c r="AS113" s="678"/>
      <c r="AT113" s="678"/>
      <c r="AU113" s="678"/>
      <c r="AV113" s="678"/>
      <c r="AW113" s="678"/>
      <c r="AX113" s="678"/>
      <c r="AY113" s="678"/>
      <c r="AZ113" s="678"/>
      <c r="BA113" s="678"/>
      <c r="BB113" s="678"/>
      <c r="BC113" s="678"/>
      <c r="BD113" s="678"/>
      <c r="BE113" s="678"/>
      <c r="BF113" s="678"/>
      <c r="BG113" s="678"/>
      <c r="BH113" s="678"/>
      <c r="BI113" s="678"/>
      <c r="BJ113" s="678"/>
      <c r="BK113" s="678"/>
      <c r="BL113" s="678"/>
      <c r="BM113" s="678"/>
      <c r="BN113" s="679">
        <f t="shared" si="19"/>
        <v>0</v>
      </c>
      <c r="BO113" s="686"/>
      <c r="BP113" s="701"/>
      <c r="BQ113" s="678"/>
      <c r="BR113" s="678"/>
      <c r="BS113" s="678"/>
      <c r="BT113" s="678"/>
      <c r="BU113" s="678"/>
      <c r="BV113" s="678"/>
      <c r="BW113" s="678"/>
      <c r="BX113" s="678"/>
      <c r="BY113" s="678"/>
      <c r="BZ113" s="678"/>
      <c r="CA113" s="678"/>
      <c r="CB113" s="678"/>
      <c r="CC113" s="678"/>
      <c r="CD113" s="678"/>
      <c r="CE113" s="678"/>
      <c r="CF113" s="678"/>
      <c r="CG113" s="678"/>
      <c r="CH113" s="678"/>
      <c r="CI113" s="678"/>
      <c r="CJ113" s="678"/>
      <c r="CK113" s="678"/>
      <c r="CL113" s="678"/>
      <c r="CM113" s="678"/>
      <c r="CN113" s="678"/>
      <c r="CO113" s="678"/>
      <c r="CP113" s="678"/>
      <c r="CQ113" s="678"/>
      <c r="CR113" s="678"/>
      <c r="CS113" s="678"/>
      <c r="CT113" s="678"/>
      <c r="CU113" s="679">
        <f t="shared" si="20"/>
        <v>0</v>
      </c>
      <c r="CV113" s="686"/>
    </row>
    <row r="114" spans="1:100">
      <c r="A114" s="629" t="s">
        <v>195</v>
      </c>
      <c r="B114" s="701"/>
      <c r="C114" s="678"/>
      <c r="D114" s="678"/>
      <c r="E114" s="678"/>
      <c r="F114" s="678"/>
      <c r="G114" s="678"/>
      <c r="H114" s="678"/>
      <c r="I114" s="678"/>
      <c r="J114" s="678"/>
      <c r="K114" s="678"/>
      <c r="L114" s="678"/>
      <c r="M114" s="678"/>
      <c r="N114" s="678"/>
      <c r="O114" s="678"/>
      <c r="P114" s="678"/>
      <c r="Q114" s="692"/>
      <c r="R114" s="692"/>
      <c r="S114" s="692"/>
      <c r="T114" s="692"/>
      <c r="U114" s="692"/>
      <c r="V114" s="692"/>
      <c r="W114" s="692"/>
      <c r="X114" s="692"/>
      <c r="Y114" s="692"/>
      <c r="Z114" s="692"/>
      <c r="AA114" s="692"/>
      <c r="AB114" s="692"/>
      <c r="AC114" s="692"/>
      <c r="AD114" s="692"/>
      <c r="AE114" s="692"/>
      <c r="AF114" s="692"/>
      <c r="AG114" s="680">
        <f t="shared" si="18"/>
        <v>0</v>
      </c>
      <c r="AH114" s="687"/>
      <c r="AI114" s="701"/>
      <c r="AJ114" s="678"/>
      <c r="AK114" s="678"/>
      <c r="AL114" s="678"/>
      <c r="AM114" s="678"/>
      <c r="AN114" s="678"/>
      <c r="AO114" s="678"/>
      <c r="AP114" s="678"/>
      <c r="AQ114" s="678"/>
      <c r="AR114" s="678"/>
      <c r="AS114" s="678"/>
      <c r="AT114" s="678"/>
      <c r="AU114" s="678"/>
      <c r="AV114" s="678"/>
      <c r="AW114" s="678"/>
      <c r="AX114" s="692"/>
      <c r="AY114" s="692"/>
      <c r="AZ114" s="692"/>
      <c r="BA114" s="692"/>
      <c r="BB114" s="692"/>
      <c r="BC114" s="692"/>
      <c r="BD114" s="692"/>
      <c r="BE114" s="692"/>
      <c r="BF114" s="692"/>
      <c r="BG114" s="692"/>
      <c r="BH114" s="692"/>
      <c r="BI114" s="692"/>
      <c r="BJ114" s="692"/>
      <c r="BK114" s="692"/>
      <c r="BL114" s="692"/>
      <c r="BM114" s="692"/>
      <c r="BN114" s="680">
        <f t="shared" si="19"/>
        <v>0</v>
      </c>
      <c r="BO114" s="687"/>
      <c r="BP114" s="701"/>
      <c r="BQ114" s="678"/>
      <c r="BR114" s="678"/>
      <c r="BS114" s="678"/>
      <c r="BT114" s="678"/>
      <c r="BU114" s="678"/>
      <c r="BV114" s="678"/>
      <c r="BW114" s="678"/>
      <c r="BX114" s="678"/>
      <c r="BY114" s="678"/>
      <c r="BZ114" s="678"/>
      <c r="CA114" s="678"/>
      <c r="CB114" s="678"/>
      <c r="CC114" s="678"/>
      <c r="CD114" s="678"/>
      <c r="CE114" s="692"/>
      <c r="CF114" s="692"/>
      <c r="CG114" s="692"/>
      <c r="CH114" s="692"/>
      <c r="CI114" s="692"/>
      <c r="CJ114" s="692"/>
      <c r="CK114" s="692"/>
      <c r="CL114" s="692"/>
      <c r="CM114" s="692"/>
      <c r="CN114" s="692"/>
      <c r="CO114" s="692"/>
      <c r="CP114" s="692"/>
      <c r="CQ114" s="692"/>
      <c r="CR114" s="692"/>
      <c r="CS114" s="692"/>
      <c r="CT114" s="692"/>
      <c r="CU114" s="680">
        <f t="shared" si="20"/>
        <v>0</v>
      </c>
      <c r="CV114" s="687"/>
    </row>
    <row r="115" spans="1:100">
      <c r="A115" s="630" t="s">
        <v>196</v>
      </c>
      <c r="B115" s="701"/>
      <c r="C115" s="678"/>
      <c r="D115" s="678"/>
      <c r="E115" s="678"/>
      <c r="F115" s="678"/>
      <c r="G115" s="678"/>
      <c r="H115" s="678"/>
      <c r="I115" s="678"/>
      <c r="J115" s="678"/>
      <c r="K115" s="678"/>
      <c r="L115" s="678"/>
      <c r="M115" s="678"/>
      <c r="N115" s="678"/>
      <c r="O115" s="678"/>
      <c r="P115" s="678"/>
      <c r="Q115" s="678"/>
      <c r="R115" s="678"/>
      <c r="S115" s="678"/>
      <c r="T115" s="678"/>
      <c r="U115" s="678"/>
      <c r="V115" s="678"/>
      <c r="W115" s="678"/>
      <c r="X115" s="678"/>
      <c r="Y115" s="678"/>
      <c r="Z115" s="678"/>
      <c r="AA115" s="678"/>
      <c r="AB115" s="678"/>
      <c r="AC115" s="678"/>
      <c r="AD115" s="678"/>
      <c r="AE115" s="678"/>
      <c r="AF115" s="678"/>
      <c r="AG115" s="679">
        <f t="shared" si="18"/>
        <v>0</v>
      </c>
      <c r="AH115" s="686"/>
      <c r="AI115" s="701"/>
      <c r="AJ115" s="678"/>
      <c r="AK115" s="678"/>
      <c r="AL115" s="678"/>
      <c r="AM115" s="678"/>
      <c r="AN115" s="678"/>
      <c r="AO115" s="678"/>
      <c r="AP115" s="678"/>
      <c r="AQ115" s="678"/>
      <c r="AR115" s="678"/>
      <c r="AS115" s="678"/>
      <c r="AT115" s="678"/>
      <c r="AU115" s="678"/>
      <c r="AV115" s="678"/>
      <c r="AW115" s="678"/>
      <c r="AX115" s="678"/>
      <c r="AY115" s="678"/>
      <c r="AZ115" s="678"/>
      <c r="BA115" s="678"/>
      <c r="BB115" s="678"/>
      <c r="BC115" s="678"/>
      <c r="BD115" s="678"/>
      <c r="BE115" s="678"/>
      <c r="BF115" s="678"/>
      <c r="BG115" s="678"/>
      <c r="BH115" s="678"/>
      <c r="BI115" s="678"/>
      <c r="BJ115" s="678"/>
      <c r="BK115" s="678"/>
      <c r="BL115" s="678"/>
      <c r="BM115" s="678"/>
      <c r="BN115" s="679">
        <f t="shared" si="19"/>
        <v>0</v>
      </c>
      <c r="BO115" s="686"/>
      <c r="BP115" s="701"/>
      <c r="BQ115" s="678"/>
      <c r="BR115" s="678"/>
      <c r="BS115" s="678"/>
      <c r="BT115" s="678"/>
      <c r="BU115" s="678"/>
      <c r="BV115" s="678"/>
      <c r="BW115" s="678"/>
      <c r="BX115" s="678"/>
      <c r="BY115" s="678"/>
      <c r="BZ115" s="678"/>
      <c r="CA115" s="678"/>
      <c r="CB115" s="678"/>
      <c r="CC115" s="678"/>
      <c r="CD115" s="678"/>
      <c r="CE115" s="678"/>
      <c r="CF115" s="678"/>
      <c r="CG115" s="678"/>
      <c r="CH115" s="678"/>
      <c r="CI115" s="678"/>
      <c r="CJ115" s="678"/>
      <c r="CK115" s="678"/>
      <c r="CL115" s="678"/>
      <c r="CM115" s="678"/>
      <c r="CN115" s="678"/>
      <c r="CO115" s="678"/>
      <c r="CP115" s="678"/>
      <c r="CQ115" s="678"/>
      <c r="CR115" s="678"/>
      <c r="CS115" s="678"/>
      <c r="CT115" s="678"/>
      <c r="CU115" s="679">
        <f t="shared" si="20"/>
        <v>0</v>
      </c>
      <c r="CV115" s="686"/>
    </row>
    <row r="116" spans="1:100">
      <c r="A116" s="630" t="s">
        <v>192</v>
      </c>
      <c r="B116" s="701"/>
      <c r="C116" s="678"/>
      <c r="D116" s="678"/>
      <c r="E116" s="678"/>
      <c r="F116" s="678"/>
      <c r="G116" s="678"/>
      <c r="H116" s="678"/>
      <c r="I116" s="678"/>
      <c r="J116" s="678"/>
      <c r="K116" s="678"/>
      <c r="L116" s="678"/>
      <c r="M116" s="678"/>
      <c r="N116" s="678"/>
      <c r="O116" s="678"/>
      <c r="P116" s="678"/>
      <c r="Q116" s="678"/>
      <c r="R116" s="678"/>
      <c r="S116" s="678"/>
      <c r="T116" s="678"/>
      <c r="U116" s="678"/>
      <c r="V116" s="678"/>
      <c r="W116" s="678"/>
      <c r="X116" s="678"/>
      <c r="Y116" s="678"/>
      <c r="Z116" s="678"/>
      <c r="AA116" s="678"/>
      <c r="AB116" s="678"/>
      <c r="AC116" s="678"/>
      <c r="AD116" s="678"/>
      <c r="AE116" s="678"/>
      <c r="AF116" s="678"/>
      <c r="AG116" s="679">
        <f t="shared" si="18"/>
        <v>0</v>
      </c>
      <c r="AH116" s="686"/>
      <c r="AI116" s="701"/>
      <c r="AJ116" s="678"/>
      <c r="AK116" s="678"/>
      <c r="AL116" s="678"/>
      <c r="AM116" s="678"/>
      <c r="AN116" s="678"/>
      <c r="AO116" s="678"/>
      <c r="AP116" s="678"/>
      <c r="AQ116" s="678"/>
      <c r="AR116" s="678"/>
      <c r="AS116" s="678"/>
      <c r="AT116" s="678"/>
      <c r="AU116" s="678"/>
      <c r="AV116" s="678"/>
      <c r="AW116" s="678"/>
      <c r="AX116" s="678"/>
      <c r="AY116" s="678"/>
      <c r="AZ116" s="678"/>
      <c r="BA116" s="678"/>
      <c r="BB116" s="678"/>
      <c r="BC116" s="678"/>
      <c r="BD116" s="678"/>
      <c r="BE116" s="678"/>
      <c r="BF116" s="678"/>
      <c r="BG116" s="678"/>
      <c r="BH116" s="678"/>
      <c r="BI116" s="678"/>
      <c r="BJ116" s="678"/>
      <c r="BK116" s="678"/>
      <c r="BL116" s="678"/>
      <c r="BM116" s="678"/>
      <c r="BN116" s="679">
        <f t="shared" si="19"/>
        <v>0</v>
      </c>
      <c r="BO116" s="686"/>
      <c r="BP116" s="701"/>
      <c r="BQ116" s="678"/>
      <c r="BR116" s="678"/>
      <c r="BS116" s="678"/>
      <c r="BT116" s="678"/>
      <c r="BU116" s="678"/>
      <c r="BV116" s="678"/>
      <c r="BW116" s="678"/>
      <c r="BX116" s="678"/>
      <c r="BY116" s="678"/>
      <c r="BZ116" s="678"/>
      <c r="CA116" s="678"/>
      <c r="CB116" s="678"/>
      <c r="CC116" s="678"/>
      <c r="CD116" s="678"/>
      <c r="CE116" s="678"/>
      <c r="CF116" s="678"/>
      <c r="CG116" s="678"/>
      <c r="CH116" s="678"/>
      <c r="CI116" s="678"/>
      <c r="CJ116" s="678"/>
      <c r="CK116" s="678"/>
      <c r="CL116" s="678"/>
      <c r="CM116" s="678"/>
      <c r="CN116" s="678"/>
      <c r="CO116" s="678"/>
      <c r="CP116" s="678"/>
      <c r="CQ116" s="678"/>
      <c r="CR116" s="678"/>
      <c r="CS116" s="678"/>
      <c r="CT116" s="678"/>
      <c r="CU116" s="679">
        <f t="shared" si="20"/>
        <v>0</v>
      </c>
      <c r="CV116" s="686"/>
    </row>
    <row r="117" spans="1:100" ht="13.5" thickBot="1">
      <c r="A117" s="631" t="s">
        <v>192</v>
      </c>
      <c r="B117" s="701"/>
      <c r="C117" s="678"/>
      <c r="D117" s="678"/>
      <c r="E117" s="678"/>
      <c r="F117" s="678"/>
      <c r="G117" s="678"/>
      <c r="H117" s="678"/>
      <c r="I117" s="678"/>
      <c r="J117" s="678"/>
      <c r="K117" s="678"/>
      <c r="L117" s="678"/>
      <c r="M117" s="678"/>
      <c r="N117" s="678"/>
      <c r="O117" s="678"/>
      <c r="P117" s="678"/>
      <c r="Q117" s="678"/>
      <c r="R117" s="678"/>
      <c r="S117" s="678"/>
      <c r="T117" s="678"/>
      <c r="U117" s="678"/>
      <c r="V117" s="678"/>
      <c r="W117" s="678"/>
      <c r="X117" s="678"/>
      <c r="Y117" s="678"/>
      <c r="Z117" s="678"/>
      <c r="AA117" s="678"/>
      <c r="AB117" s="678"/>
      <c r="AC117" s="678"/>
      <c r="AD117" s="678"/>
      <c r="AE117" s="678"/>
      <c r="AF117" s="678"/>
      <c r="AG117" s="680">
        <f t="shared" si="18"/>
        <v>0</v>
      </c>
      <c r="AH117" s="687"/>
      <c r="AI117" s="701"/>
      <c r="AJ117" s="678"/>
      <c r="AK117" s="678"/>
      <c r="AL117" s="678"/>
      <c r="AM117" s="678"/>
      <c r="AN117" s="678"/>
      <c r="AO117" s="678"/>
      <c r="AP117" s="678"/>
      <c r="AQ117" s="678"/>
      <c r="AR117" s="678"/>
      <c r="AS117" s="678"/>
      <c r="AT117" s="678"/>
      <c r="AU117" s="678"/>
      <c r="AV117" s="678"/>
      <c r="AW117" s="678"/>
      <c r="AX117" s="678"/>
      <c r="AY117" s="678"/>
      <c r="AZ117" s="678"/>
      <c r="BA117" s="678"/>
      <c r="BB117" s="678"/>
      <c r="BC117" s="678"/>
      <c r="BD117" s="678"/>
      <c r="BE117" s="678"/>
      <c r="BF117" s="678"/>
      <c r="BG117" s="678"/>
      <c r="BH117" s="678"/>
      <c r="BI117" s="678"/>
      <c r="BJ117" s="678"/>
      <c r="BK117" s="678"/>
      <c r="BL117" s="678"/>
      <c r="BM117" s="678"/>
      <c r="BN117" s="680">
        <f t="shared" si="19"/>
        <v>0</v>
      </c>
      <c r="BO117" s="687"/>
      <c r="BP117" s="701"/>
      <c r="BQ117" s="678"/>
      <c r="BR117" s="678"/>
      <c r="BS117" s="678"/>
      <c r="BT117" s="678"/>
      <c r="BU117" s="678"/>
      <c r="BV117" s="678"/>
      <c r="BW117" s="678"/>
      <c r="BX117" s="678"/>
      <c r="BY117" s="678"/>
      <c r="BZ117" s="678"/>
      <c r="CA117" s="678"/>
      <c r="CB117" s="678"/>
      <c r="CC117" s="678"/>
      <c r="CD117" s="678"/>
      <c r="CE117" s="678"/>
      <c r="CF117" s="678"/>
      <c r="CG117" s="678"/>
      <c r="CH117" s="678"/>
      <c r="CI117" s="678"/>
      <c r="CJ117" s="678"/>
      <c r="CK117" s="678"/>
      <c r="CL117" s="678"/>
      <c r="CM117" s="678"/>
      <c r="CN117" s="678"/>
      <c r="CO117" s="678"/>
      <c r="CP117" s="678"/>
      <c r="CQ117" s="678"/>
      <c r="CR117" s="678"/>
      <c r="CS117" s="678"/>
      <c r="CT117" s="678"/>
      <c r="CU117" s="680">
        <f t="shared" si="20"/>
        <v>0</v>
      </c>
      <c r="CV117" s="687"/>
    </row>
    <row r="118" spans="1:100" ht="12.75" customHeight="1">
      <c r="A118" s="1024" t="s">
        <v>197</v>
      </c>
      <c r="B118" s="702"/>
      <c r="C118" s="703"/>
      <c r="D118" s="703"/>
      <c r="E118" s="703"/>
      <c r="F118" s="703"/>
      <c r="G118" s="703"/>
      <c r="H118" s="703"/>
      <c r="I118" s="703"/>
      <c r="J118" s="703"/>
      <c r="K118" s="703"/>
      <c r="L118" s="703"/>
      <c r="M118" s="703"/>
      <c r="N118" s="703"/>
      <c r="O118" s="703"/>
      <c r="P118" s="703"/>
      <c r="Q118" s="703"/>
      <c r="R118" s="703"/>
      <c r="S118" s="703"/>
      <c r="T118" s="703"/>
      <c r="U118" s="703"/>
      <c r="V118" s="703"/>
      <c r="W118" s="703"/>
      <c r="X118" s="703"/>
      <c r="Y118" s="703"/>
      <c r="Z118" s="703"/>
      <c r="AA118" s="703"/>
      <c r="AB118" s="703"/>
      <c r="AC118" s="703"/>
      <c r="AD118" s="703"/>
      <c r="AE118" s="703"/>
      <c r="AF118" s="708"/>
      <c r="AG118" s="683">
        <f t="shared" ref="AG118:AG125" si="21">SUM(B118:AF118)*$X$25</f>
        <v>0</v>
      </c>
      <c r="AH118" s="689"/>
      <c r="AI118" s="702"/>
      <c r="AJ118" s="703"/>
      <c r="AK118" s="703"/>
      <c r="AL118" s="703"/>
      <c r="AM118" s="703"/>
      <c r="AN118" s="703"/>
      <c r="AO118" s="703"/>
      <c r="AP118" s="703"/>
      <c r="AQ118" s="703"/>
      <c r="AR118" s="703"/>
      <c r="AS118" s="703"/>
      <c r="AT118" s="703"/>
      <c r="AU118" s="703"/>
      <c r="AV118" s="703"/>
      <c r="AW118" s="703"/>
      <c r="AX118" s="703"/>
      <c r="AY118" s="703"/>
      <c r="AZ118" s="703"/>
      <c r="BA118" s="703"/>
      <c r="BB118" s="703"/>
      <c r="BC118" s="703"/>
      <c r="BD118" s="703"/>
      <c r="BE118" s="703"/>
      <c r="BF118" s="703"/>
      <c r="BG118" s="703"/>
      <c r="BH118" s="703"/>
      <c r="BI118" s="703"/>
      <c r="BJ118" s="703"/>
      <c r="BK118" s="703"/>
      <c r="BL118" s="703"/>
      <c r="BM118" s="708"/>
      <c r="BN118" s="683">
        <f t="shared" ref="BN118:BN125" si="22">SUM(AI118:BM118)*$X$25</f>
        <v>0</v>
      </c>
      <c r="BO118" s="689"/>
      <c r="BP118" s="702"/>
      <c r="BQ118" s="703"/>
      <c r="BR118" s="703"/>
      <c r="BS118" s="703"/>
      <c r="BT118" s="703"/>
      <c r="BU118" s="703"/>
      <c r="BV118" s="703"/>
      <c r="BW118" s="703"/>
      <c r="BX118" s="703"/>
      <c r="BY118" s="703"/>
      <c r="BZ118" s="703"/>
      <c r="CA118" s="703"/>
      <c r="CB118" s="703"/>
      <c r="CC118" s="703"/>
      <c r="CD118" s="703"/>
      <c r="CE118" s="703"/>
      <c r="CF118" s="703"/>
      <c r="CG118" s="703"/>
      <c r="CH118" s="703"/>
      <c r="CI118" s="703"/>
      <c r="CJ118" s="703"/>
      <c r="CK118" s="703"/>
      <c r="CL118" s="703"/>
      <c r="CM118" s="703"/>
      <c r="CN118" s="703"/>
      <c r="CO118" s="703"/>
      <c r="CP118" s="703"/>
      <c r="CQ118" s="703"/>
      <c r="CR118" s="703"/>
      <c r="CS118" s="703"/>
      <c r="CT118" s="708"/>
      <c r="CU118" s="683">
        <f t="shared" ref="CU118:CU125" si="23">SUM(BP118:CT118)*$X$25</f>
        <v>0</v>
      </c>
      <c r="CV118" s="689"/>
    </row>
    <row r="119" spans="1:100">
      <c r="A119" s="1025"/>
      <c r="B119" s="701"/>
      <c r="C119" s="678"/>
      <c r="D119" s="678"/>
      <c r="E119" s="678"/>
      <c r="F119" s="678"/>
      <c r="G119" s="678"/>
      <c r="H119" s="678"/>
      <c r="I119" s="678"/>
      <c r="J119" s="678"/>
      <c r="K119" s="695"/>
      <c r="L119" s="678"/>
      <c r="M119" s="678"/>
      <c r="N119" s="678"/>
      <c r="O119" s="678"/>
      <c r="P119" s="678"/>
      <c r="Q119" s="678"/>
      <c r="R119" s="678"/>
      <c r="S119" s="678"/>
      <c r="T119" s="678"/>
      <c r="U119" s="678"/>
      <c r="V119" s="678"/>
      <c r="W119" s="678"/>
      <c r="X119" s="695"/>
      <c r="Y119" s="678"/>
      <c r="Z119" s="678"/>
      <c r="AA119" s="678"/>
      <c r="AB119" s="678"/>
      <c r="AC119" s="678"/>
      <c r="AD119" s="678"/>
      <c r="AE119" s="678"/>
      <c r="AF119" s="709"/>
      <c r="AG119" s="683">
        <f t="shared" si="21"/>
        <v>0</v>
      </c>
      <c r="AH119" s="689"/>
      <c r="AI119" s="701"/>
      <c r="AJ119" s="678"/>
      <c r="AK119" s="678"/>
      <c r="AL119" s="678"/>
      <c r="AM119" s="678"/>
      <c r="AN119" s="678"/>
      <c r="AO119" s="678"/>
      <c r="AP119" s="678"/>
      <c r="AQ119" s="678"/>
      <c r="AR119" s="695"/>
      <c r="AS119" s="678"/>
      <c r="AT119" s="678"/>
      <c r="AU119" s="678"/>
      <c r="AV119" s="678"/>
      <c r="AW119" s="678"/>
      <c r="AX119" s="678"/>
      <c r="AY119" s="678"/>
      <c r="AZ119" s="678"/>
      <c r="BA119" s="678"/>
      <c r="BB119" s="678"/>
      <c r="BC119" s="678"/>
      <c r="BD119" s="678"/>
      <c r="BE119" s="695"/>
      <c r="BF119" s="678"/>
      <c r="BG119" s="678"/>
      <c r="BH119" s="678"/>
      <c r="BI119" s="678"/>
      <c r="BJ119" s="678"/>
      <c r="BK119" s="678"/>
      <c r="BL119" s="678"/>
      <c r="BM119" s="709"/>
      <c r="BN119" s="683">
        <f t="shared" si="22"/>
        <v>0</v>
      </c>
      <c r="BO119" s="689"/>
      <c r="BP119" s="701"/>
      <c r="BQ119" s="678"/>
      <c r="BR119" s="678"/>
      <c r="BS119" s="678"/>
      <c r="BT119" s="678"/>
      <c r="BU119" s="678"/>
      <c r="BV119" s="678"/>
      <c r="BW119" s="678"/>
      <c r="BX119" s="678"/>
      <c r="BY119" s="695">
        <v>1</v>
      </c>
      <c r="BZ119" s="678"/>
      <c r="CA119" s="678"/>
      <c r="CB119" s="678"/>
      <c r="CC119" s="678"/>
      <c r="CD119" s="678"/>
      <c r="CE119" s="678"/>
      <c r="CF119" s="678"/>
      <c r="CG119" s="678"/>
      <c r="CH119" s="678"/>
      <c r="CI119" s="678"/>
      <c r="CJ119" s="678"/>
      <c r="CK119" s="678"/>
      <c r="CL119" s="678"/>
      <c r="CM119" s="678"/>
      <c r="CN119" s="678"/>
      <c r="CO119" s="678"/>
      <c r="CP119" s="678"/>
      <c r="CQ119" s="678"/>
      <c r="CR119" s="678"/>
      <c r="CS119" s="678"/>
      <c r="CT119" s="709"/>
      <c r="CU119" s="683">
        <f t="shared" si="23"/>
        <v>1</v>
      </c>
      <c r="CV119" s="689"/>
    </row>
    <row r="120" spans="1:100">
      <c r="A120" s="1025"/>
      <c r="B120" s="701"/>
      <c r="C120" s="678"/>
      <c r="D120" s="678"/>
      <c r="E120" s="678"/>
      <c r="F120" s="678"/>
      <c r="G120" s="678"/>
      <c r="H120" s="678"/>
      <c r="I120" s="678"/>
      <c r="J120" s="678"/>
      <c r="K120" s="678"/>
      <c r="L120" s="678"/>
      <c r="M120" s="678"/>
      <c r="N120" s="678"/>
      <c r="O120" s="678"/>
      <c r="P120" s="678"/>
      <c r="Q120" s="678"/>
      <c r="R120" s="678"/>
      <c r="S120" s="678"/>
      <c r="T120" s="678"/>
      <c r="U120" s="678"/>
      <c r="V120" s="678"/>
      <c r="W120" s="678"/>
      <c r="X120" s="678"/>
      <c r="Y120" s="678"/>
      <c r="Z120" s="678"/>
      <c r="AA120" s="678"/>
      <c r="AB120" s="678"/>
      <c r="AC120" s="678"/>
      <c r="AD120" s="678"/>
      <c r="AE120" s="678"/>
      <c r="AF120" s="709"/>
      <c r="AG120" s="683">
        <f t="shared" si="21"/>
        <v>0</v>
      </c>
      <c r="AH120" s="689"/>
      <c r="AI120" s="701"/>
      <c r="AJ120" s="678"/>
      <c r="AK120" s="678"/>
      <c r="AL120" s="678"/>
      <c r="AM120" s="678"/>
      <c r="AN120" s="678"/>
      <c r="AO120" s="678"/>
      <c r="AP120" s="678"/>
      <c r="AQ120" s="678"/>
      <c r="AR120" s="678"/>
      <c r="AS120" s="678"/>
      <c r="AT120" s="678"/>
      <c r="AU120" s="678"/>
      <c r="AV120" s="678"/>
      <c r="AW120" s="678"/>
      <c r="AX120" s="678"/>
      <c r="AY120" s="678"/>
      <c r="AZ120" s="678"/>
      <c r="BA120" s="678"/>
      <c r="BB120" s="678"/>
      <c r="BC120" s="678"/>
      <c r="BD120" s="678"/>
      <c r="BE120" s="678"/>
      <c r="BF120" s="678"/>
      <c r="BG120" s="678"/>
      <c r="BH120" s="678"/>
      <c r="BI120" s="678"/>
      <c r="BJ120" s="678"/>
      <c r="BK120" s="678"/>
      <c r="BL120" s="678"/>
      <c r="BM120" s="709"/>
      <c r="BN120" s="683">
        <f t="shared" si="22"/>
        <v>0</v>
      </c>
      <c r="BO120" s="689"/>
      <c r="BP120" s="701"/>
      <c r="BQ120" s="678"/>
      <c r="BR120" s="678"/>
      <c r="BS120" s="678"/>
      <c r="BT120" s="678"/>
      <c r="BU120" s="678"/>
      <c r="BV120" s="678"/>
      <c r="BW120" s="678"/>
      <c r="BX120" s="678"/>
      <c r="BY120" s="678"/>
      <c r="BZ120" s="678"/>
      <c r="CA120" s="678"/>
      <c r="CB120" s="678"/>
      <c r="CC120" s="678"/>
      <c r="CD120" s="678"/>
      <c r="CE120" s="678"/>
      <c r="CF120" s="678"/>
      <c r="CG120" s="678"/>
      <c r="CH120" s="678"/>
      <c r="CI120" s="678"/>
      <c r="CJ120" s="678"/>
      <c r="CK120" s="678"/>
      <c r="CL120" s="678"/>
      <c r="CM120" s="678"/>
      <c r="CN120" s="678"/>
      <c r="CO120" s="678"/>
      <c r="CP120" s="678"/>
      <c r="CQ120" s="678"/>
      <c r="CR120" s="678"/>
      <c r="CS120" s="678"/>
      <c r="CT120" s="709"/>
      <c r="CU120" s="683">
        <f t="shared" si="23"/>
        <v>0</v>
      </c>
      <c r="CV120" s="689"/>
    </row>
    <row r="121" spans="1:100" ht="13.5" thickBot="1">
      <c r="A121" s="1025"/>
      <c r="B121" s="704"/>
      <c r="C121" s="705"/>
      <c r="D121" s="705"/>
      <c r="E121" s="705"/>
      <c r="F121" s="705"/>
      <c r="G121" s="705"/>
      <c r="H121" s="705"/>
      <c r="I121" s="705"/>
      <c r="J121" s="705"/>
      <c r="K121" s="700"/>
      <c r="L121" s="705"/>
      <c r="M121" s="705"/>
      <c r="N121" s="705"/>
      <c r="O121" s="705"/>
      <c r="P121" s="705"/>
      <c r="Q121" s="705"/>
      <c r="R121" s="705"/>
      <c r="S121" s="705"/>
      <c r="T121" s="705"/>
      <c r="U121" s="705"/>
      <c r="V121" s="705"/>
      <c r="W121" s="705"/>
      <c r="X121" s="700"/>
      <c r="Y121" s="705"/>
      <c r="Z121" s="705"/>
      <c r="AA121" s="705"/>
      <c r="AB121" s="705"/>
      <c r="AC121" s="705"/>
      <c r="AD121" s="705"/>
      <c r="AE121" s="705"/>
      <c r="AF121" s="710"/>
      <c r="AG121" s="683">
        <f t="shared" si="21"/>
        <v>0</v>
      </c>
      <c r="AH121" s="689"/>
      <c r="AI121" s="704"/>
      <c r="AJ121" s="705"/>
      <c r="AK121" s="705"/>
      <c r="AL121" s="705"/>
      <c r="AM121" s="705"/>
      <c r="AN121" s="705"/>
      <c r="AO121" s="705"/>
      <c r="AP121" s="705"/>
      <c r="AQ121" s="705"/>
      <c r="AR121" s="700"/>
      <c r="AS121" s="705"/>
      <c r="AT121" s="705"/>
      <c r="AU121" s="705"/>
      <c r="AV121" s="705"/>
      <c r="AW121" s="705"/>
      <c r="AX121" s="705"/>
      <c r="AY121" s="705"/>
      <c r="AZ121" s="705"/>
      <c r="BA121" s="705"/>
      <c r="BB121" s="705"/>
      <c r="BC121" s="705"/>
      <c r="BD121" s="705"/>
      <c r="BE121" s="700"/>
      <c r="BF121" s="705"/>
      <c r="BG121" s="705"/>
      <c r="BH121" s="705"/>
      <c r="BI121" s="705"/>
      <c r="BJ121" s="705"/>
      <c r="BK121" s="705"/>
      <c r="BL121" s="705"/>
      <c r="BM121" s="710"/>
      <c r="BN121" s="683">
        <f t="shared" si="22"/>
        <v>0</v>
      </c>
      <c r="BO121" s="689"/>
      <c r="BP121" s="704"/>
      <c r="BQ121" s="705"/>
      <c r="BR121" s="705"/>
      <c r="BS121" s="705"/>
      <c r="BT121" s="705"/>
      <c r="BU121" s="705"/>
      <c r="BV121" s="705"/>
      <c r="BW121" s="705"/>
      <c r="BX121" s="705"/>
      <c r="BY121" s="700">
        <v>1</v>
      </c>
      <c r="BZ121" s="705"/>
      <c r="CA121" s="705"/>
      <c r="CB121" s="705"/>
      <c r="CC121" s="705"/>
      <c r="CD121" s="705"/>
      <c r="CE121" s="705"/>
      <c r="CF121" s="705"/>
      <c r="CG121" s="705"/>
      <c r="CH121" s="705"/>
      <c r="CI121" s="705"/>
      <c r="CJ121" s="705"/>
      <c r="CK121" s="705"/>
      <c r="CL121" s="705"/>
      <c r="CM121" s="705"/>
      <c r="CN121" s="705"/>
      <c r="CO121" s="705"/>
      <c r="CP121" s="705"/>
      <c r="CQ121" s="705"/>
      <c r="CR121" s="705"/>
      <c r="CS121" s="705"/>
      <c r="CT121" s="710"/>
      <c r="CU121" s="683">
        <f t="shared" si="23"/>
        <v>1</v>
      </c>
      <c r="CV121" s="689"/>
    </row>
    <row r="122" spans="1:100" ht="12.75" customHeight="1">
      <c r="A122" s="1024" t="s">
        <v>198</v>
      </c>
      <c r="B122" s="702"/>
      <c r="C122" s="703"/>
      <c r="D122" s="703"/>
      <c r="E122" s="703"/>
      <c r="F122" s="703"/>
      <c r="G122" s="703"/>
      <c r="H122" s="703"/>
      <c r="I122" s="703"/>
      <c r="J122" s="703"/>
      <c r="K122" s="703"/>
      <c r="L122" s="703"/>
      <c r="M122" s="703"/>
      <c r="N122" s="703"/>
      <c r="O122" s="703"/>
      <c r="P122" s="703"/>
      <c r="Q122" s="703"/>
      <c r="R122" s="703"/>
      <c r="S122" s="703"/>
      <c r="T122" s="703"/>
      <c r="U122" s="703"/>
      <c r="V122" s="703"/>
      <c r="W122" s="703"/>
      <c r="X122" s="703"/>
      <c r="Y122" s="703"/>
      <c r="Z122" s="703"/>
      <c r="AA122" s="703"/>
      <c r="AB122" s="703"/>
      <c r="AC122" s="703"/>
      <c r="AD122" s="703"/>
      <c r="AE122" s="703"/>
      <c r="AF122" s="708"/>
      <c r="AG122" s="693">
        <f t="shared" si="21"/>
        <v>0</v>
      </c>
      <c r="AH122" s="689"/>
      <c r="AI122" s="702"/>
      <c r="AJ122" s="703"/>
      <c r="AK122" s="703"/>
      <c r="AL122" s="703"/>
      <c r="AM122" s="703"/>
      <c r="AN122" s="703"/>
      <c r="AO122" s="703"/>
      <c r="AP122" s="703"/>
      <c r="AQ122" s="703"/>
      <c r="AR122" s="703"/>
      <c r="AS122" s="703"/>
      <c r="AT122" s="703"/>
      <c r="AU122" s="703"/>
      <c r="AV122" s="703"/>
      <c r="AW122" s="703"/>
      <c r="AX122" s="703"/>
      <c r="AY122" s="703"/>
      <c r="AZ122" s="703"/>
      <c r="BA122" s="703"/>
      <c r="BB122" s="703"/>
      <c r="BC122" s="703"/>
      <c r="BD122" s="703"/>
      <c r="BE122" s="703"/>
      <c r="BF122" s="703"/>
      <c r="BG122" s="703"/>
      <c r="BH122" s="703"/>
      <c r="BI122" s="703"/>
      <c r="BJ122" s="703"/>
      <c r="BK122" s="703"/>
      <c r="BL122" s="703"/>
      <c r="BM122" s="708"/>
      <c r="BN122" s="693">
        <f t="shared" si="22"/>
        <v>0</v>
      </c>
      <c r="BO122" s="689"/>
      <c r="BP122" s="702"/>
      <c r="BQ122" s="703"/>
      <c r="BR122" s="703"/>
      <c r="BS122" s="703"/>
      <c r="BT122" s="703"/>
      <c r="BU122" s="703"/>
      <c r="BV122" s="703"/>
      <c r="BW122" s="703"/>
      <c r="BX122" s="703"/>
      <c r="BY122" s="703">
        <v>1</v>
      </c>
      <c r="BZ122" s="703"/>
      <c r="CA122" s="703"/>
      <c r="CB122" s="703"/>
      <c r="CC122" s="703"/>
      <c r="CD122" s="703"/>
      <c r="CE122" s="703"/>
      <c r="CF122" s="703"/>
      <c r="CG122" s="703"/>
      <c r="CH122" s="703"/>
      <c r="CI122" s="703"/>
      <c r="CJ122" s="703"/>
      <c r="CK122" s="703"/>
      <c r="CL122" s="703"/>
      <c r="CM122" s="703"/>
      <c r="CN122" s="703"/>
      <c r="CO122" s="703"/>
      <c r="CP122" s="703"/>
      <c r="CQ122" s="703"/>
      <c r="CR122" s="703"/>
      <c r="CS122" s="703"/>
      <c r="CT122" s="708"/>
      <c r="CU122" s="693">
        <f t="shared" si="23"/>
        <v>1</v>
      </c>
      <c r="CV122" s="689"/>
    </row>
    <row r="123" spans="1:100">
      <c r="A123" s="1025"/>
      <c r="B123" s="701"/>
      <c r="C123" s="678"/>
      <c r="D123" s="678"/>
      <c r="E123" s="678"/>
      <c r="F123" s="678"/>
      <c r="G123" s="678"/>
      <c r="H123" s="678"/>
      <c r="I123" s="678"/>
      <c r="J123" s="678"/>
      <c r="K123" s="678"/>
      <c r="L123" s="678"/>
      <c r="M123" s="678"/>
      <c r="N123" s="678"/>
      <c r="O123" s="678"/>
      <c r="P123" s="678"/>
      <c r="Q123" s="678"/>
      <c r="R123" s="678"/>
      <c r="S123" s="678"/>
      <c r="T123" s="678"/>
      <c r="U123" s="678"/>
      <c r="V123" s="678"/>
      <c r="W123" s="678"/>
      <c r="X123" s="678"/>
      <c r="Y123" s="678"/>
      <c r="Z123" s="678"/>
      <c r="AA123" s="678"/>
      <c r="AB123" s="678"/>
      <c r="AC123" s="678"/>
      <c r="AD123" s="678"/>
      <c r="AE123" s="678"/>
      <c r="AF123" s="709"/>
      <c r="AG123" s="683">
        <f t="shared" si="21"/>
        <v>0</v>
      </c>
      <c r="AH123" s="689"/>
      <c r="AI123" s="701"/>
      <c r="AJ123" s="678"/>
      <c r="AK123" s="678"/>
      <c r="AL123" s="678"/>
      <c r="AM123" s="678"/>
      <c r="AN123" s="678"/>
      <c r="AO123" s="678"/>
      <c r="AP123" s="678"/>
      <c r="AQ123" s="678"/>
      <c r="AR123" s="678"/>
      <c r="AS123" s="678"/>
      <c r="AT123" s="678"/>
      <c r="AU123" s="678"/>
      <c r="AV123" s="678"/>
      <c r="AW123" s="678"/>
      <c r="AX123" s="678"/>
      <c r="AY123" s="678"/>
      <c r="AZ123" s="678"/>
      <c r="BA123" s="678"/>
      <c r="BB123" s="678"/>
      <c r="BC123" s="678"/>
      <c r="BD123" s="678"/>
      <c r="BE123" s="678"/>
      <c r="BF123" s="678"/>
      <c r="BG123" s="678"/>
      <c r="BH123" s="678"/>
      <c r="BI123" s="678"/>
      <c r="BJ123" s="678"/>
      <c r="BK123" s="678"/>
      <c r="BL123" s="678"/>
      <c r="BM123" s="709"/>
      <c r="BN123" s="683">
        <f t="shared" si="22"/>
        <v>0</v>
      </c>
      <c r="BO123" s="689"/>
      <c r="BP123" s="701"/>
      <c r="BQ123" s="678"/>
      <c r="BR123" s="678"/>
      <c r="BS123" s="678"/>
      <c r="BT123" s="678"/>
      <c r="BU123" s="678"/>
      <c r="BV123" s="678"/>
      <c r="BW123" s="678"/>
      <c r="BX123" s="678"/>
      <c r="BY123" s="678"/>
      <c r="BZ123" s="678"/>
      <c r="CA123" s="678"/>
      <c r="CB123" s="678"/>
      <c r="CC123" s="678"/>
      <c r="CD123" s="678"/>
      <c r="CE123" s="678"/>
      <c r="CF123" s="678"/>
      <c r="CG123" s="678"/>
      <c r="CH123" s="678"/>
      <c r="CI123" s="678"/>
      <c r="CJ123" s="678"/>
      <c r="CK123" s="678"/>
      <c r="CL123" s="678"/>
      <c r="CM123" s="678"/>
      <c r="CN123" s="678"/>
      <c r="CO123" s="678"/>
      <c r="CP123" s="678"/>
      <c r="CQ123" s="678"/>
      <c r="CR123" s="678"/>
      <c r="CS123" s="678"/>
      <c r="CT123" s="709"/>
      <c r="CU123" s="683">
        <f t="shared" si="23"/>
        <v>0</v>
      </c>
      <c r="CV123" s="689"/>
    </row>
    <row r="124" spans="1:100">
      <c r="A124" s="1025"/>
      <c r="B124" s="701"/>
      <c r="C124" s="678"/>
      <c r="D124" s="678"/>
      <c r="E124" s="678"/>
      <c r="F124" s="678"/>
      <c r="G124" s="678"/>
      <c r="H124" s="678"/>
      <c r="I124" s="678"/>
      <c r="J124" s="678"/>
      <c r="K124" s="678"/>
      <c r="L124" s="678"/>
      <c r="M124" s="678"/>
      <c r="N124" s="678"/>
      <c r="O124" s="678"/>
      <c r="P124" s="678"/>
      <c r="Q124" s="678"/>
      <c r="R124" s="678"/>
      <c r="S124" s="678"/>
      <c r="T124" s="678"/>
      <c r="U124" s="678"/>
      <c r="V124" s="678"/>
      <c r="W124" s="678"/>
      <c r="X124" s="678"/>
      <c r="Y124" s="678"/>
      <c r="Z124" s="678"/>
      <c r="AA124" s="678"/>
      <c r="AB124" s="678"/>
      <c r="AC124" s="678"/>
      <c r="AD124" s="678"/>
      <c r="AE124" s="678"/>
      <c r="AF124" s="709"/>
      <c r="AG124" s="683">
        <f t="shared" si="21"/>
        <v>0</v>
      </c>
      <c r="AH124" s="689"/>
      <c r="AI124" s="701"/>
      <c r="AJ124" s="678"/>
      <c r="AK124" s="678"/>
      <c r="AL124" s="678"/>
      <c r="AM124" s="678"/>
      <c r="AN124" s="678"/>
      <c r="AO124" s="678"/>
      <c r="AP124" s="678"/>
      <c r="AQ124" s="678"/>
      <c r="AR124" s="678"/>
      <c r="AS124" s="678"/>
      <c r="AT124" s="678"/>
      <c r="AU124" s="678"/>
      <c r="AV124" s="678"/>
      <c r="AW124" s="678"/>
      <c r="AX124" s="678"/>
      <c r="AY124" s="678"/>
      <c r="AZ124" s="678"/>
      <c r="BA124" s="678"/>
      <c r="BB124" s="678"/>
      <c r="BC124" s="678"/>
      <c r="BD124" s="678"/>
      <c r="BE124" s="678"/>
      <c r="BF124" s="678"/>
      <c r="BG124" s="678"/>
      <c r="BH124" s="678"/>
      <c r="BI124" s="678"/>
      <c r="BJ124" s="678"/>
      <c r="BK124" s="678"/>
      <c r="BL124" s="678"/>
      <c r="BM124" s="709"/>
      <c r="BN124" s="683">
        <f t="shared" si="22"/>
        <v>0</v>
      </c>
      <c r="BO124" s="689"/>
      <c r="BP124" s="701"/>
      <c r="BQ124" s="678"/>
      <c r="BR124" s="678"/>
      <c r="BS124" s="678"/>
      <c r="BT124" s="678"/>
      <c r="BU124" s="678"/>
      <c r="BV124" s="678"/>
      <c r="BW124" s="678"/>
      <c r="BX124" s="678"/>
      <c r="BY124" s="678"/>
      <c r="BZ124" s="678"/>
      <c r="CA124" s="678"/>
      <c r="CB124" s="678"/>
      <c r="CC124" s="678"/>
      <c r="CD124" s="678"/>
      <c r="CE124" s="678"/>
      <c r="CF124" s="678"/>
      <c r="CG124" s="678"/>
      <c r="CH124" s="678"/>
      <c r="CI124" s="678"/>
      <c r="CJ124" s="678"/>
      <c r="CK124" s="678"/>
      <c r="CL124" s="678"/>
      <c r="CM124" s="678"/>
      <c r="CN124" s="678"/>
      <c r="CO124" s="678"/>
      <c r="CP124" s="678"/>
      <c r="CQ124" s="678"/>
      <c r="CR124" s="678"/>
      <c r="CS124" s="678"/>
      <c r="CT124" s="709"/>
      <c r="CU124" s="683">
        <f t="shared" si="23"/>
        <v>0</v>
      </c>
      <c r="CV124" s="689"/>
    </row>
    <row r="125" spans="1:100" ht="13.5" thickBot="1">
      <c r="A125" s="1026"/>
      <c r="B125" s="704"/>
      <c r="C125" s="705"/>
      <c r="D125" s="705"/>
      <c r="E125" s="705"/>
      <c r="F125" s="705"/>
      <c r="G125" s="705"/>
      <c r="H125" s="705"/>
      <c r="I125" s="705"/>
      <c r="J125" s="705"/>
      <c r="K125" s="705"/>
      <c r="L125" s="705"/>
      <c r="M125" s="705"/>
      <c r="N125" s="705"/>
      <c r="O125" s="705"/>
      <c r="P125" s="705"/>
      <c r="Q125" s="705"/>
      <c r="R125" s="705"/>
      <c r="S125" s="705"/>
      <c r="T125" s="705"/>
      <c r="U125" s="705"/>
      <c r="V125" s="705"/>
      <c r="W125" s="705"/>
      <c r="X125" s="705"/>
      <c r="Y125" s="705"/>
      <c r="Z125" s="705"/>
      <c r="AA125" s="705"/>
      <c r="AB125" s="705"/>
      <c r="AC125" s="705"/>
      <c r="AD125" s="705"/>
      <c r="AE125" s="705"/>
      <c r="AF125" s="710"/>
      <c r="AG125" s="684">
        <f t="shared" si="21"/>
        <v>0</v>
      </c>
      <c r="AH125" s="690"/>
      <c r="AI125" s="704"/>
      <c r="AJ125" s="705"/>
      <c r="AK125" s="705"/>
      <c r="AL125" s="705"/>
      <c r="AM125" s="705"/>
      <c r="AN125" s="705"/>
      <c r="AO125" s="705"/>
      <c r="AP125" s="705"/>
      <c r="AQ125" s="705"/>
      <c r="AR125" s="705"/>
      <c r="AS125" s="705"/>
      <c r="AT125" s="705"/>
      <c r="AU125" s="705"/>
      <c r="AV125" s="705"/>
      <c r="AW125" s="705"/>
      <c r="AX125" s="705"/>
      <c r="AY125" s="705"/>
      <c r="AZ125" s="705"/>
      <c r="BA125" s="705"/>
      <c r="BB125" s="705"/>
      <c r="BC125" s="705"/>
      <c r="BD125" s="705"/>
      <c r="BE125" s="705"/>
      <c r="BF125" s="705"/>
      <c r="BG125" s="705"/>
      <c r="BH125" s="705"/>
      <c r="BI125" s="705"/>
      <c r="BJ125" s="705"/>
      <c r="BK125" s="705"/>
      <c r="BL125" s="705"/>
      <c r="BM125" s="710"/>
      <c r="BN125" s="684">
        <f t="shared" si="22"/>
        <v>0</v>
      </c>
      <c r="BO125" s="690"/>
      <c r="BP125" s="704"/>
      <c r="BQ125" s="705"/>
      <c r="BR125" s="705"/>
      <c r="BS125" s="705"/>
      <c r="BT125" s="705"/>
      <c r="BU125" s="705"/>
      <c r="BV125" s="705"/>
      <c r="BW125" s="705"/>
      <c r="BX125" s="705"/>
      <c r="BY125" s="705"/>
      <c r="BZ125" s="705"/>
      <c r="CA125" s="705"/>
      <c r="CB125" s="705"/>
      <c r="CC125" s="705"/>
      <c r="CD125" s="705"/>
      <c r="CE125" s="705"/>
      <c r="CF125" s="705"/>
      <c r="CG125" s="705"/>
      <c r="CH125" s="705"/>
      <c r="CI125" s="705"/>
      <c r="CJ125" s="705"/>
      <c r="CK125" s="705"/>
      <c r="CL125" s="705"/>
      <c r="CM125" s="705"/>
      <c r="CN125" s="705"/>
      <c r="CO125" s="705"/>
      <c r="CP125" s="705"/>
      <c r="CQ125" s="705"/>
      <c r="CR125" s="705"/>
      <c r="CS125" s="705"/>
      <c r="CT125" s="710"/>
      <c r="CU125" s="684">
        <f t="shared" si="23"/>
        <v>0</v>
      </c>
      <c r="CV125" s="690"/>
    </row>
    <row r="126" spans="1:100">
      <c r="AX126" s="621"/>
      <c r="AY126" s="621"/>
      <c r="AZ126" s="621"/>
      <c r="BA126" s="621"/>
      <c r="BB126" s="621"/>
      <c r="BC126" s="621"/>
      <c r="BD126" s="621"/>
      <c r="BE126" s="621"/>
      <c r="BF126" s="621"/>
      <c r="BG126" s="621"/>
      <c r="BH126" s="621"/>
      <c r="BI126" s="621"/>
      <c r="BJ126" s="621"/>
      <c r="BK126" s="621"/>
      <c r="BL126" s="621"/>
      <c r="BM126" s="621"/>
      <c r="BN126" s="691"/>
      <c r="BO126" s="691"/>
    </row>
    <row r="128" spans="1:100">
      <c r="R128" s="647"/>
    </row>
    <row r="192" spans="101:102">
      <c r="CW192" s="624"/>
      <c r="CX192" s="624"/>
    </row>
  </sheetData>
  <mergeCells count="23">
    <mergeCell ref="B19:N19"/>
    <mergeCell ref="AJ2:CB16"/>
    <mergeCell ref="R27:V27"/>
    <mergeCell ref="AY27:BC27"/>
    <mergeCell ref="R52:V52"/>
    <mergeCell ref="AY52:BC52"/>
    <mergeCell ref="A122:A125"/>
    <mergeCell ref="R102:V102"/>
    <mergeCell ref="A43:A46"/>
    <mergeCell ref="A47:A50"/>
    <mergeCell ref="B24:N24"/>
    <mergeCell ref="A68:A71"/>
    <mergeCell ref="A72:A75"/>
    <mergeCell ref="R77:V77"/>
    <mergeCell ref="CF27:CJ27"/>
    <mergeCell ref="CF102:CJ102"/>
    <mergeCell ref="A93:A96"/>
    <mergeCell ref="A97:A100"/>
    <mergeCell ref="A118:A121"/>
    <mergeCell ref="AY102:BC102"/>
    <mergeCell ref="AY77:BC77"/>
    <mergeCell ref="CF77:CJ77"/>
    <mergeCell ref="CF52:CJ52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0C89D-E010-426D-813D-515F47F6F8EC}">
  <sheetPr codeName="Hoja4">
    <tabColor rgb="FFFF0000"/>
  </sheetPr>
  <dimension ref="B1:AE15"/>
  <sheetViews>
    <sheetView topLeftCell="B1" workbookViewId="0">
      <selection activeCell="E4" sqref="E4"/>
    </sheetView>
  </sheetViews>
  <sheetFormatPr baseColWidth="10" defaultColWidth="11.42578125" defaultRowHeight="12.75"/>
  <cols>
    <col min="1" max="1" width="4.140625" customWidth="1"/>
    <col min="2" max="2" width="45.5703125" customWidth="1"/>
    <col min="3" max="3" width="5.5703125" bestFit="1" customWidth="1"/>
    <col min="4" max="4" width="8.5703125" customWidth="1"/>
    <col min="5" max="5" width="9.5703125" customWidth="1"/>
    <col min="6" max="6" width="11.42578125" bestFit="1" customWidth="1"/>
    <col min="7" max="7" width="1.7109375" customWidth="1"/>
    <col min="8" max="8" width="11.42578125" customWidth="1"/>
    <col min="9" max="9" width="1.7109375" customWidth="1"/>
    <col min="10" max="10" width="10.42578125" customWidth="1"/>
    <col min="11" max="11" width="1.7109375" customWidth="1"/>
    <col min="12" max="12" width="10.42578125" customWidth="1"/>
    <col min="13" max="13" width="1.7109375" customWidth="1"/>
    <col min="14" max="14" width="10.42578125" customWidth="1"/>
    <col min="15" max="15" width="1.7109375" customWidth="1"/>
    <col min="16" max="16" width="10.42578125" customWidth="1"/>
    <col min="17" max="17" width="1.7109375" customWidth="1"/>
    <col min="18" max="18" width="10.42578125" customWidth="1"/>
    <col min="19" max="19" width="1.7109375" customWidth="1"/>
    <col min="20" max="20" width="11.42578125" customWidth="1"/>
    <col min="21" max="21" width="1.7109375" customWidth="1"/>
    <col min="22" max="22" width="11.42578125" customWidth="1"/>
    <col min="23" max="23" width="1.7109375" customWidth="1"/>
    <col min="24" max="24" width="9.85546875" customWidth="1"/>
    <col min="25" max="25" width="1.7109375" customWidth="1"/>
    <col min="26" max="26" width="9.85546875" customWidth="1"/>
    <col min="27" max="27" width="1.7109375" customWidth="1"/>
    <col min="28" max="28" width="9.85546875" customWidth="1"/>
    <col min="29" max="29" width="12" bestFit="1" customWidth="1"/>
    <col min="30" max="30" width="12.140625" bestFit="1" customWidth="1"/>
  </cols>
  <sheetData>
    <row r="1" spans="2:31">
      <c r="C1" s="136"/>
      <c r="F1" s="1040"/>
      <c r="G1" s="1040"/>
      <c r="H1" s="1040"/>
      <c r="I1" s="1040"/>
      <c r="J1" s="1040"/>
      <c r="K1" s="1040"/>
      <c r="L1" s="1040"/>
      <c r="M1" s="1040"/>
      <c r="N1" s="1040"/>
      <c r="O1" s="1040"/>
      <c r="P1" s="1040"/>
      <c r="Q1" s="167"/>
      <c r="T1" s="1040"/>
      <c r="U1" s="1040"/>
      <c r="V1" s="1040"/>
      <c r="W1" s="1040"/>
      <c r="X1" s="1040"/>
      <c r="Y1" s="1040"/>
      <c r="Z1" s="1040"/>
      <c r="AA1" s="167"/>
      <c r="AB1" s="167"/>
    </row>
    <row r="2" spans="2:31">
      <c r="E2" s="571">
        <v>1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31">
      <c r="B3" s="21" t="s">
        <v>208</v>
      </c>
      <c r="C3" s="633" t="s">
        <v>209</v>
      </c>
      <c r="E3" s="21" t="s">
        <v>210</v>
      </c>
      <c r="F3" s="21" t="s">
        <v>211</v>
      </c>
      <c r="G3" s="21"/>
      <c r="H3" s="21" t="s">
        <v>212</v>
      </c>
      <c r="I3" s="21"/>
      <c r="J3" s="21" t="s">
        <v>213</v>
      </c>
      <c r="K3" s="21"/>
      <c r="L3" s="21" t="s">
        <v>214</v>
      </c>
      <c r="M3" s="21"/>
      <c r="N3" s="21" t="s">
        <v>215</v>
      </c>
      <c r="O3" s="21"/>
      <c r="P3" s="21" t="s">
        <v>216</v>
      </c>
      <c r="Q3" s="21"/>
      <c r="R3" s="21" t="s">
        <v>217</v>
      </c>
      <c r="S3" s="21"/>
      <c r="T3" s="21" t="s">
        <v>218</v>
      </c>
      <c r="U3" s="21"/>
      <c r="V3" s="21" t="s">
        <v>219</v>
      </c>
      <c r="W3" s="21"/>
      <c r="X3" s="21" t="s">
        <v>220</v>
      </c>
      <c r="Y3" s="21"/>
      <c r="Z3" s="21" t="s">
        <v>221</v>
      </c>
      <c r="AA3" s="21"/>
      <c r="AB3" s="21" t="s">
        <v>222</v>
      </c>
      <c r="AC3" s="204" t="s">
        <v>223</v>
      </c>
      <c r="AD3" s="332" t="s">
        <v>224</v>
      </c>
    </row>
    <row r="4" spans="2:31" s="642" customFormat="1" ht="15.6" customHeight="1">
      <c r="B4" s="1000" t="s">
        <v>225</v>
      </c>
      <c r="D4" s="619" t="s">
        <v>226</v>
      </c>
      <c r="E4" s="644">
        <v>88</v>
      </c>
      <c r="F4" s="643">
        <f ca="1">$E4*Staff_shift!R28</f>
        <v>1144</v>
      </c>
      <c r="G4" s="643"/>
      <c r="H4" s="643">
        <f ca="1">$E4*Staff_shift!$AY$28</f>
        <v>2728</v>
      </c>
      <c r="I4" s="643"/>
      <c r="J4" s="643">
        <f ca="1">$E4*Staff_shift!$CF$28</f>
        <v>2728</v>
      </c>
      <c r="K4" s="643"/>
      <c r="L4" s="643">
        <f ca="1">$E4*Staff_shift!$R$53</f>
        <v>2728</v>
      </c>
      <c r="M4" s="643"/>
      <c r="N4" s="643">
        <f ca="1">$E4*Staff_shift!AY53</f>
        <v>2728</v>
      </c>
      <c r="O4" s="643"/>
      <c r="P4" s="643">
        <f ca="1">$E4*Staff_shift!$CF$53</f>
        <v>2728</v>
      </c>
      <c r="Q4" s="643"/>
      <c r="R4" s="643">
        <f ca="1">$E4*Staff_shift!$R$78</f>
        <v>2728</v>
      </c>
      <c r="S4" s="643"/>
      <c r="T4" s="643">
        <f ca="1">$E4*Staff_shift!$AY$78</f>
        <v>2728</v>
      </c>
      <c r="U4" s="643"/>
      <c r="V4" s="643">
        <f ca="1">$E4*Staff_shift!$CF$78</f>
        <v>2728</v>
      </c>
      <c r="W4" s="643"/>
      <c r="X4" s="643">
        <f ca="1">$E4*Staff_shift!$R$103</f>
        <v>2728</v>
      </c>
      <c r="Y4" s="643"/>
      <c r="Z4" s="643">
        <f ca="1">$E4*Staff_shift!$AY$103</f>
        <v>2728</v>
      </c>
      <c r="AA4" s="643"/>
      <c r="AB4" s="643">
        <f ca="1">$E4*Staff_shift!$CF$103</f>
        <v>440</v>
      </c>
      <c r="AC4" s="644">
        <f ca="1">SUM(F4:AB4)</f>
        <v>28864</v>
      </c>
      <c r="AD4" s="645"/>
      <c r="AE4" s="646"/>
    </row>
    <row r="5" spans="2:31">
      <c r="B5" s="1001" t="s">
        <v>227</v>
      </c>
      <c r="D5" s="619" t="s">
        <v>228</v>
      </c>
      <c r="E5" s="495">
        <v>0</v>
      </c>
      <c r="F5" s="632">
        <f>E5</f>
        <v>0</v>
      </c>
      <c r="G5" s="632"/>
      <c r="H5" s="632">
        <f>E5</f>
        <v>0</v>
      </c>
      <c r="I5" s="632"/>
      <c r="J5" s="632">
        <f>E5</f>
        <v>0</v>
      </c>
      <c r="K5" s="632"/>
      <c r="L5" s="632">
        <f>E5</f>
        <v>0</v>
      </c>
      <c r="M5" s="632"/>
      <c r="N5" s="632">
        <f>E5</f>
        <v>0</v>
      </c>
      <c r="O5" s="632"/>
      <c r="P5" s="632">
        <f>E5</f>
        <v>0</v>
      </c>
      <c r="Q5" s="632"/>
      <c r="R5" s="632">
        <f>E5</f>
        <v>0</v>
      </c>
      <c r="S5" s="632"/>
      <c r="T5" s="632">
        <f>E5</f>
        <v>0</v>
      </c>
      <c r="U5" s="632"/>
      <c r="V5" s="632">
        <f>E5</f>
        <v>0</v>
      </c>
      <c r="W5" s="632"/>
      <c r="X5" s="632">
        <f>E5</f>
        <v>0</v>
      </c>
      <c r="Y5" s="632"/>
      <c r="Z5" s="632">
        <f>E5</f>
        <v>0</v>
      </c>
      <c r="AA5" s="632"/>
      <c r="AB5" s="632">
        <f>E5</f>
        <v>0</v>
      </c>
      <c r="AC5" s="644">
        <f t="shared" ref="AC5:AC10" si="0">SUM(F5:AB5)</f>
        <v>0</v>
      </c>
      <c r="AD5" s="609"/>
    </row>
    <row r="6" spans="2:31">
      <c r="B6" s="1001" t="s">
        <v>229</v>
      </c>
      <c r="D6" s="619" t="s">
        <v>228</v>
      </c>
      <c r="E6" s="495">
        <v>0</v>
      </c>
      <c r="F6" s="632">
        <f>E6</f>
        <v>0</v>
      </c>
      <c r="G6" s="632"/>
      <c r="H6" s="632">
        <f>E6</f>
        <v>0</v>
      </c>
      <c r="I6" s="632"/>
      <c r="J6" s="632">
        <f>E6</f>
        <v>0</v>
      </c>
      <c r="K6" s="632"/>
      <c r="L6" s="632">
        <f>E6</f>
        <v>0</v>
      </c>
      <c r="M6" s="632"/>
      <c r="N6" s="632">
        <f>E6</f>
        <v>0</v>
      </c>
      <c r="O6" s="632"/>
      <c r="P6" s="632">
        <f>E6</f>
        <v>0</v>
      </c>
      <c r="Q6" s="632"/>
      <c r="R6" s="632">
        <f>E6</f>
        <v>0</v>
      </c>
      <c r="S6" s="632"/>
      <c r="T6" s="632">
        <f>E6</f>
        <v>0</v>
      </c>
      <c r="U6" s="632"/>
      <c r="V6" s="632">
        <f>E6</f>
        <v>0</v>
      </c>
      <c r="W6" s="632"/>
      <c r="X6" s="632">
        <f>E6</f>
        <v>0</v>
      </c>
      <c r="Y6" s="632"/>
      <c r="Z6" s="632">
        <f>E6</f>
        <v>0</v>
      </c>
      <c r="AA6" s="632"/>
      <c r="AB6" s="632">
        <f>E6</f>
        <v>0</v>
      </c>
      <c r="AC6" s="644">
        <f t="shared" si="0"/>
        <v>0</v>
      </c>
      <c r="AD6" s="609"/>
    </row>
    <row r="7" spans="2:31">
      <c r="B7" s="1001" t="s">
        <v>169</v>
      </c>
      <c r="D7" s="619" t="s">
        <v>226</v>
      </c>
      <c r="E7" s="495">
        <v>0</v>
      </c>
      <c r="F7" s="632">
        <f ca="1">+E7*Staff_shift!S28</f>
        <v>0</v>
      </c>
      <c r="G7" s="632"/>
      <c r="H7" s="632">
        <f ca="1">$E$7*Staff_shift!$AZ$28</f>
        <v>0</v>
      </c>
      <c r="I7" s="632"/>
      <c r="J7" s="632">
        <f ca="1">$E$7*Staff_shift!$CG$28</f>
        <v>0</v>
      </c>
      <c r="K7" s="632"/>
      <c r="L7" s="632">
        <f ca="1">$E$7*Staff_shift!$S$53</f>
        <v>0</v>
      </c>
      <c r="M7" s="632"/>
      <c r="N7" s="632">
        <f ca="1">$E$7*Staff_shift!$AZ$53</f>
        <v>0</v>
      </c>
      <c r="O7" s="632"/>
      <c r="P7" s="632">
        <f ca="1">$E$7*Staff_shift!$CG$53</f>
        <v>0</v>
      </c>
      <c r="Q7" s="632"/>
      <c r="R7" s="632">
        <f ca="1">$E$7*Staff_shift!$S$78</f>
        <v>0</v>
      </c>
      <c r="S7" s="632"/>
      <c r="T7" s="632">
        <f ca="1">$E$7*Staff_shift!$AZ$78</f>
        <v>0</v>
      </c>
      <c r="U7" s="632"/>
      <c r="V7" s="632">
        <f ca="1">$E$7*Staff_shift!$CG$78</f>
        <v>0</v>
      </c>
      <c r="W7" s="632"/>
      <c r="X7" s="632">
        <f ca="1">$E$7*Staff_shift!$S$103</f>
        <v>0</v>
      </c>
      <c r="Y7" s="632"/>
      <c r="Z7" s="632">
        <f ca="1">$E$7*Staff_shift!$AZ$103</f>
        <v>0</v>
      </c>
      <c r="AA7" s="632"/>
      <c r="AB7" s="632">
        <f ca="1">$E$7*Staff_shift!$CG$103</f>
        <v>0</v>
      </c>
      <c r="AC7" s="644">
        <f t="shared" ca="1" si="0"/>
        <v>0</v>
      </c>
      <c r="AD7" s="609"/>
    </row>
    <row r="8" spans="2:31">
      <c r="B8" s="1001" t="s">
        <v>170</v>
      </c>
      <c r="D8" s="619" t="s">
        <v>226</v>
      </c>
      <c r="E8" s="495">
        <v>0</v>
      </c>
      <c r="F8" s="632">
        <f ca="1">+E8*Staff_shift!T28</f>
        <v>0</v>
      </c>
      <c r="G8" s="632"/>
      <c r="H8" s="632">
        <f ca="1">$E$8*Staff_shift!$BA$28</f>
        <v>0</v>
      </c>
      <c r="I8" s="632"/>
      <c r="J8" s="632">
        <f ca="1">$E$8*Staff_shift!$CH$28</f>
        <v>0</v>
      </c>
      <c r="K8" s="632"/>
      <c r="L8" s="632">
        <f ca="1">$E$8*Staff_shift!$T$53</f>
        <v>0</v>
      </c>
      <c r="M8" s="632"/>
      <c r="N8" s="632">
        <f ca="1">$E$8*Staff_shift!$BA$53</f>
        <v>0</v>
      </c>
      <c r="O8" s="632"/>
      <c r="P8" s="632">
        <f ca="1">$E$8*Staff_shift!$CH$53</f>
        <v>0</v>
      </c>
      <c r="Q8" s="632"/>
      <c r="R8" s="632">
        <f ca="1">$E$8*Staff_shift!$T$78</f>
        <v>0</v>
      </c>
      <c r="S8" s="632"/>
      <c r="T8" s="632">
        <f ca="1">$E$8*Staff_shift!$BA$78</f>
        <v>0</v>
      </c>
      <c r="U8" s="632"/>
      <c r="V8" s="632">
        <f ca="1">$E$8*Staff_shift!$CH$78</f>
        <v>0</v>
      </c>
      <c r="W8" s="632"/>
      <c r="X8" s="632">
        <f ca="1">$E$8*Staff_shift!$T$103</f>
        <v>0</v>
      </c>
      <c r="Y8" s="632"/>
      <c r="Z8" s="632">
        <f ca="1">$E$8*Staff_shift!$BA$103</f>
        <v>0</v>
      </c>
      <c r="AA8" s="632"/>
      <c r="AB8" s="632">
        <f ca="1">$E$8*Staff_shift!$CH$103</f>
        <v>0</v>
      </c>
      <c r="AC8" s="644">
        <f t="shared" ca="1" si="0"/>
        <v>0</v>
      </c>
      <c r="AD8" s="609"/>
    </row>
    <row r="9" spans="2:31">
      <c r="B9" s="1001" t="s">
        <v>230</v>
      </c>
      <c r="D9" s="619" t="s">
        <v>226</v>
      </c>
      <c r="E9" s="570">
        <v>0</v>
      </c>
      <c r="F9" s="168">
        <f ca="1">$E$9*Staff_shift!$U$28</f>
        <v>0</v>
      </c>
      <c r="G9" s="168"/>
      <c r="H9" s="632">
        <f ca="1">$E$9*Staff_shift!$BB$28</f>
        <v>0</v>
      </c>
      <c r="I9" s="632"/>
      <c r="J9" s="632">
        <f ca="1">$E$9*Staff_shift!$CI$28</f>
        <v>0</v>
      </c>
      <c r="K9" s="632"/>
      <c r="L9" s="632">
        <f ca="1">$E$9*Staff_shift!$U$53</f>
        <v>0</v>
      </c>
      <c r="M9" s="632"/>
      <c r="N9" s="632">
        <f ca="1">$E$9*Staff_shift!$BB$53</f>
        <v>0</v>
      </c>
      <c r="O9" s="632"/>
      <c r="P9" s="632">
        <f ca="1">$E$9*Staff_shift!$CI$53</f>
        <v>0</v>
      </c>
      <c r="Q9" s="632"/>
      <c r="R9" s="632">
        <f ca="1">$E$9*Staff_shift!$U$78</f>
        <v>0</v>
      </c>
      <c r="S9" s="632"/>
      <c r="T9" s="632">
        <f ca="1">$E$9*Staff_shift!$BB$78</f>
        <v>0</v>
      </c>
      <c r="U9" s="632"/>
      <c r="V9" s="632">
        <f ca="1">$E$9*Staff_shift!$CJ$78</f>
        <v>0</v>
      </c>
      <c r="W9" s="632"/>
      <c r="X9" s="632">
        <f ca="1">$E$9*Staff_shift!$U$103</f>
        <v>0</v>
      </c>
      <c r="Y9" s="632"/>
      <c r="Z9" s="632">
        <f ca="1">$E$9*Staff_shift!$BB$103</f>
        <v>0</v>
      </c>
      <c r="AA9" s="632"/>
      <c r="AB9" s="632">
        <f ca="1">$E$9*Staff_shift!$CI$103</f>
        <v>0</v>
      </c>
      <c r="AC9" s="644">
        <f t="shared" ca="1" si="0"/>
        <v>0</v>
      </c>
      <c r="AD9" s="609"/>
    </row>
    <row r="10" spans="2:31">
      <c r="B10" s="1001" t="s">
        <v>231</v>
      </c>
      <c r="D10" s="619" t="s">
        <v>226</v>
      </c>
      <c r="E10" s="570">
        <v>0</v>
      </c>
      <c r="F10" s="168">
        <f ca="1">+$E$10*Staff_shift!$V$28</f>
        <v>0</v>
      </c>
      <c r="G10" s="168"/>
      <c r="H10" s="632">
        <f ca="1">$E$10*Staff_shift!BC28</f>
        <v>0</v>
      </c>
      <c r="I10" s="632"/>
      <c r="J10" s="632">
        <f ca="1">$E$10*Staff_shift!$CJ$28</f>
        <v>0</v>
      </c>
      <c r="K10" s="632"/>
      <c r="L10" s="632">
        <f ca="1">$E$10*Staff_shift!$V$53</f>
        <v>0</v>
      </c>
      <c r="M10" s="632"/>
      <c r="N10" s="632">
        <f ca="1">$E$10*Staff_shift!$BC$53</f>
        <v>0</v>
      </c>
      <c r="O10" s="632"/>
      <c r="P10" s="632">
        <f ca="1">$E$10*Staff_shift!$CJ$53</f>
        <v>0</v>
      </c>
      <c r="Q10" s="632"/>
      <c r="R10" s="632">
        <f ca="1">$E$10*Staff_shift!$V$78</f>
        <v>0</v>
      </c>
      <c r="S10" s="632"/>
      <c r="T10" s="632">
        <f ca="1">$E$10*Staff_shift!$BC$78</f>
        <v>0</v>
      </c>
      <c r="U10" s="632"/>
      <c r="V10" s="632">
        <f ca="1">$E$10*Staff_shift!$CI$78</f>
        <v>0</v>
      </c>
      <c r="W10" s="632"/>
      <c r="X10" s="632">
        <f ca="1">$E$10*Staff_shift!$V$103</f>
        <v>0</v>
      </c>
      <c r="Y10" s="632"/>
      <c r="Z10" s="632">
        <f ca="1">$E$10*Staff_shift!$BC$103</f>
        <v>0</v>
      </c>
      <c r="AA10" s="632"/>
      <c r="AB10" s="632">
        <f ca="1">$E$10*Staff_shift!$CJ$103</f>
        <v>0</v>
      </c>
      <c r="AC10" s="644">
        <f t="shared" ca="1" si="0"/>
        <v>0</v>
      </c>
      <c r="AD10" s="609"/>
    </row>
    <row r="11" spans="2:31">
      <c r="B11" s="1001"/>
      <c r="E11" s="168"/>
      <c r="AC11" s="1"/>
      <c r="AD11" s="609"/>
    </row>
    <row r="12" spans="2:31">
      <c r="B12" s="1001" t="s">
        <v>232</v>
      </c>
      <c r="D12" s="493" t="s">
        <v>97</v>
      </c>
      <c r="E12" s="142"/>
      <c r="F12" s="572">
        <f ca="1">SUM(F3:F10)</f>
        <v>1144</v>
      </c>
      <c r="G12" s="572"/>
      <c r="H12" s="572">
        <f ca="1">SUM(H3:H10)</f>
        <v>2728</v>
      </c>
      <c r="I12" s="572"/>
      <c r="J12" s="572">
        <f ca="1">SUM(J3:J10)</f>
        <v>2728</v>
      </c>
      <c r="K12" s="572"/>
      <c r="L12" s="572">
        <f ca="1">SUM(L3:L10)</f>
        <v>2728</v>
      </c>
      <c r="M12" s="572"/>
      <c r="N12" s="572">
        <f ca="1">SUM(N3:N10)</f>
        <v>2728</v>
      </c>
      <c r="O12" s="572"/>
      <c r="P12" s="572">
        <f ca="1">SUM(P3:P10)</f>
        <v>2728</v>
      </c>
      <c r="Q12" s="572"/>
      <c r="R12" s="572">
        <f ca="1">SUM(R3:R10)</f>
        <v>2728</v>
      </c>
      <c r="S12" s="572"/>
      <c r="T12" s="572">
        <f ca="1">SUM(T3:T10)</f>
        <v>2728</v>
      </c>
      <c r="U12" s="572"/>
      <c r="V12" s="572">
        <f ca="1">SUM(V3:V10)</f>
        <v>2728</v>
      </c>
      <c r="W12" s="572"/>
      <c r="X12" s="572">
        <f ca="1">SUM(X3:X10)</f>
        <v>2728</v>
      </c>
      <c r="Y12" s="572"/>
      <c r="Z12" s="572">
        <f ca="1">SUM(Z3:Z10)</f>
        <v>2728</v>
      </c>
      <c r="AA12" s="572"/>
      <c r="AB12" s="572">
        <f ca="1">SUM(AB3:AB10)</f>
        <v>440</v>
      </c>
      <c r="AC12" s="635">
        <f ca="1">SUM(AC4:AC11)</f>
        <v>28864</v>
      </c>
      <c r="AD12" s="609"/>
    </row>
    <row r="13" spans="2:31">
      <c r="B13" s="1001" t="s">
        <v>233</v>
      </c>
      <c r="E13" s="168"/>
      <c r="F13" s="572">
        <f ca="1">+F12/(1+$E$12)</f>
        <v>1144</v>
      </c>
      <c r="G13" s="572"/>
      <c r="H13" s="572">
        <f t="shared" ref="H13:AB13" ca="1" si="1">+H12/(1+$E$12)</f>
        <v>2728</v>
      </c>
      <c r="I13" s="572"/>
      <c r="J13" s="572">
        <f t="shared" ca="1" si="1"/>
        <v>2728</v>
      </c>
      <c r="K13" s="572"/>
      <c r="L13" s="572">
        <f t="shared" ca="1" si="1"/>
        <v>2728</v>
      </c>
      <c r="M13" s="572"/>
      <c r="N13" s="572">
        <f t="shared" ca="1" si="1"/>
        <v>2728</v>
      </c>
      <c r="O13" s="572"/>
      <c r="P13" s="572">
        <f t="shared" ca="1" si="1"/>
        <v>2728</v>
      </c>
      <c r="Q13" s="572"/>
      <c r="R13" s="572">
        <f t="shared" ca="1" si="1"/>
        <v>2728</v>
      </c>
      <c r="S13" s="572"/>
      <c r="T13" s="572">
        <f t="shared" ca="1" si="1"/>
        <v>2728</v>
      </c>
      <c r="U13" s="572"/>
      <c r="V13" s="572">
        <f t="shared" ca="1" si="1"/>
        <v>2728</v>
      </c>
      <c r="W13" s="572"/>
      <c r="X13" s="572">
        <f t="shared" ca="1" si="1"/>
        <v>2728</v>
      </c>
      <c r="Y13" s="572"/>
      <c r="Z13" s="572">
        <f t="shared" ca="1" si="1"/>
        <v>2728</v>
      </c>
      <c r="AA13" s="572"/>
      <c r="AB13" s="572">
        <f t="shared" ca="1" si="1"/>
        <v>440</v>
      </c>
      <c r="AC13" s="638">
        <f ca="1">SUM(F13:AB13)</f>
        <v>28864</v>
      </c>
      <c r="AD13" s="609"/>
    </row>
    <row r="14" spans="2:31">
      <c r="E14" s="168"/>
    </row>
    <row r="15" spans="2:31">
      <c r="E15" s="168"/>
      <c r="F15" s="612"/>
      <c r="G15" s="612"/>
      <c r="H15" s="178"/>
      <c r="I15" s="178"/>
      <c r="Z15" s="640" t="s">
        <v>234</v>
      </c>
      <c r="AA15" s="640"/>
      <c r="AB15" s="640"/>
      <c r="AC15" s="641">
        <f ca="1">1-(Cost!BD129/Sales!AC13)</f>
        <v>0.71</v>
      </c>
    </row>
  </sheetData>
  <mergeCells count="2">
    <mergeCell ref="F1:P1"/>
    <mergeCell ref="T1:Z1"/>
  </mergeCells>
  <phoneticPr fontId="9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8F92B-6808-4352-A140-5049BE8715B6}">
  <sheetPr codeName="Hoja10">
    <tabColor rgb="FFFF0000"/>
  </sheetPr>
  <dimension ref="A1:M18"/>
  <sheetViews>
    <sheetView workbookViewId="0">
      <selection activeCell="G22" sqref="G22"/>
    </sheetView>
  </sheetViews>
  <sheetFormatPr baseColWidth="10" defaultColWidth="11.42578125" defaultRowHeight="12.75"/>
  <cols>
    <col min="2" max="2" width="27.7109375" customWidth="1"/>
    <col min="5" max="5" width="13.7109375" bestFit="1" customWidth="1"/>
    <col min="6" max="6" width="12.140625" bestFit="1" customWidth="1"/>
    <col min="7" max="7" width="11" bestFit="1" customWidth="1"/>
    <col min="9" max="10" width="12.140625" bestFit="1" customWidth="1"/>
    <col min="11" max="12" width="11.140625" bestFit="1" customWidth="1"/>
  </cols>
  <sheetData>
    <row r="1" spans="1:13">
      <c r="B1" s="723" t="s">
        <v>235</v>
      </c>
      <c r="C1">
        <f>Cost!D7</f>
        <v>4100</v>
      </c>
      <c r="K1" s="168"/>
      <c r="L1" s="168"/>
      <c r="M1" s="168"/>
    </row>
    <row r="2" spans="1:13">
      <c r="F2" s="588">
        <v>0</v>
      </c>
      <c r="L2" s="493" t="s">
        <v>236</v>
      </c>
      <c r="M2" s="655">
        <v>0.46</v>
      </c>
    </row>
    <row r="3" spans="1:13">
      <c r="A3" s="633" t="s">
        <v>237</v>
      </c>
      <c r="B3" s="21" t="s">
        <v>238</v>
      </c>
      <c r="C3" s="21" t="s">
        <v>209</v>
      </c>
      <c r="D3" s="21" t="s">
        <v>239</v>
      </c>
      <c r="E3" s="21" t="s">
        <v>240</v>
      </c>
      <c r="F3" s="21" t="s">
        <v>241</v>
      </c>
      <c r="G3" s="21" t="s">
        <v>242</v>
      </c>
      <c r="H3" s="21" t="s">
        <v>243</v>
      </c>
      <c r="I3" s="21" t="s">
        <v>244</v>
      </c>
      <c r="J3" s="21" t="s">
        <v>245</v>
      </c>
      <c r="K3" s="21" t="s">
        <v>246</v>
      </c>
      <c r="L3" s="21" t="s">
        <v>247</v>
      </c>
      <c r="M3" s="21" t="s">
        <v>248</v>
      </c>
    </row>
    <row r="4" spans="1:13">
      <c r="A4" s="633">
        <v>1</v>
      </c>
      <c r="B4" s="493" t="s">
        <v>249</v>
      </c>
      <c r="C4" s="493">
        <v>0</v>
      </c>
      <c r="D4" s="493">
        <v>1</v>
      </c>
      <c r="E4" s="528">
        <v>2750000</v>
      </c>
      <c r="F4" s="149">
        <v>150000</v>
      </c>
      <c r="G4" s="168">
        <f>+((F4+E4)/$C$1)*(1-$F$2)</f>
        <v>707.32</v>
      </c>
      <c r="H4" s="494">
        <v>1</v>
      </c>
      <c r="I4" s="149">
        <v>220000</v>
      </c>
      <c r="J4" s="149">
        <v>45000</v>
      </c>
      <c r="K4" s="149">
        <v>25000</v>
      </c>
      <c r="L4" s="149">
        <v>80000</v>
      </c>
      <c r="M4" s="168">
        <f>((I4+J4+K4)/$C$1)*(1-$F$2)</f>
        <v>70.73</v>
      </c>
    </row>
    <row r="5" spans="1:13">
      <c r="A5" s="633">
        <v>2</v>
      </c>
      <c r="B5" s="493" t="s">
        <v>250</v>
      </c>
      <c r="C5" s="493">
        <v>0</v>
      </c>
      <c r="D5" s="493">
        <v>1</v>
      </c>
      <c r="E5" s="528">
        <v>2394000</v>
      </c>
      <c r="F5" s="149">
        <v>150000</v>
      </c>
      <c r="G5" s="168">
        <f t="shared" ref="G5:G17" si="0">+((F5+E5)/$C$1)*(1-$F$2)</f>
        <v>620.49</v>
      </c>
      <c r="H5" s="494">
        <v>1</v>
      </c>
      <c r="I5" s="149">
        <v>199800</v>
      </c>
      <c r="J5" s="149">
        <v>45000</v>
      </c>
      <c r="K5" s="149">
        <v>20000</v>
      </c>
      <c r="L5" s="149">
        <v>80000</v>
      </c>
      <c r="M5" s="168">
        <f t="shared" ref="M5:M17" si="1">((I5+J5+K5)/$C$1)*(1-$F$2)</f>
        <v>64.59</v>
      </c>
    </row>
    <row r="6" spans="1:13">
      <c r="A6" s="633">
        <v>3</v>
      </c>
      <c r="B6" s="493" t="s">
        <v>251</v>
      </c>
      <c r="C6" s="493">
        <v>0</v>
      </c>
      <c r="D6" s="493">
        <v>1</v>
      </c>
      <c r="E6" s="528">
        <v>2250000</v>
      </c>
      <c r="F6" s="149">
        <v>150000</v>
      </c>
      <c r="G6" s="168">
        <f t="shared" si="0"/>
        <v>585.37</v>
      </c>
      <c r="H6" s="494">
        <v>0</v>
      </c>
      <c r="I6" s="149">
        <v>175395</v>
      </c>
      <c r="J6" s="149">
        <v>45000</v>
      </c>
      <c r="K6" s="149">
        <v>20000</v>
      </c>
      <c r="L6" s="149">
        <v>80000</v>
      </c>
      <c r="M6" s="168">
        <f t="shared" si="1"/>
        <v>58.63</v>
      </c>
    </row>
    <row r="7" spans="1:13">
      <c r="A7" s="633">
        <v>4</v>
      </c>
      <c r="B7" s="493" t="s">
        <v>252</v>
      </c>
      <c r="C7" s="493">
        <v>0</v>
      </c>
      <c r="D7" s="493">
        <v>1</v>
      </c>
      <c r="E7" s="528">
        <v>2400000</v>
      </c>
      <c r="F7" s="149">
        <v>150000</v>
      </c>
      <c r="G7" s="168">
        <f t="shared" si="0"/>
        <v>621.95000000000005</v>
      </c>
      <c r="H7" s="494">
        <v>1</v>
      </c>
      <c r="I7" s="149">
        <v>200000</v>
      </c>
      <c r="J7" s="149">
        <v>45000</v>
      </c>
      <c r="K7" s="149">
        <v>20000</v>
      </c>
      <c r="L7" s="149">
        <v>80000</v>
      </c>
      <c r="M7" s="168">
        <f t="shared" si="1"/>
        <v>64.63</v>
      </c>
    </row>
    <row r="8" spans="1:13">
      <c r="A8" s="633">
        <v>5</v>
      </c>
      <c r="B8" s="493" t="s">
        <v>253</v>
      </c>
      <c r="C8" s="493">
        <v>0</v>
      </c>
      <c r="D8" s="493">
        <v>1</v>
      </c>
      <c r="E8" s="528">
        <v>2250000</v>
      </c>
      <c r="F8" s="149">
        <v>150000</v>
      </c>
      <c r="G8" s="168">
        <f t="shared" si="0"/>
        <v>585.37</v>
      </c>
      <c r="H8" s="494">
        <v>1</v>
      </c>
      <c r="I8" s="149">
        <v>185000</v>
      </c>
      <c r="J8" s="149">
        <v>45000</v>
      </c>
      <c r="K8" s="149">
        <v>20000</v>
      </c>
      <c r="L8" s="149">
        <v>80000</v>
      </c>
      <c r="M8" s="168">
        <f t="shared" si="1"/>
        <v>60.98</v>
      </c>
    </row>
    <row r="9" spans="1:13">
      <c r="A9" s="633">
        <v>6</v>
      </c>
      <c r="B9" s="493" t="s">
        <v>254</v>
      </c>
      <c r="C9" s="493">
        <v>0</v>
      </c>
      <c r="D9" s="493">
        <v>1</v>
      </c>
      <c r="E9" s="528">
        <v>1980000</v>
      </c>
      <c r="F9" s="149">
        <v>150000</v>
      </c>
      <c r="G9" s="168">
        <f t="shared" si="0"/>
        <v>519.51</v>
      </c>
      <c r="H9" s="494">
        <v>0</v>
      </c>
      <c r="I9" s="149">
        <v>175970</v>
      </c>
      <c r="J9" s="149">
        <v>45000</v>
      </c>
      <c r="K9" s="149">
        <v>15000</v>
      </c>
      <c r="L9" s="149">
        <v>80000</v>
      </c>
      <c r="M9" s="168">
        <f t="shared" si="1"/>
        <v>57.55</v>
      </c>
    </row>
    <row r="10" spans="1:13">
      <c r="A10" s="633">
        <v>7</v>
      </c>
      <c r="B10" s="493" t="s">
        <v>255</v>
      </c>
      <c r="C10" s="493">
        <v>0</v>
      </c>
      <c r="D10" s="493">
        <v>1</v>
      </c>
      <c r="E10" s="528">
        <v>0</v>
      </c>
      <c r="F10" s="149">
        <v>0</v>
      </c>
      <c r="G10" s="168">
        <f t="shared" si="0"/>
        <v>0</v>
      </c>
      <c r="H10" s="494">
        <v>0</v>
      </c>
      <c r="I10" s="149">
        <v>0</v>
      </c>
      <c r="J10" s="149">
        <v>0</v>
      </c>
      <c r="K10" s="149">
        <v>0</v>
      </c>
      <c r="L10" s="149">
        <v>0</v>
      </c>
      <c r="M10" s="168">
        <f t="shared" si="1"/>
        <v>0</v>
      </c>
    </row>
    <row r="11" spans="1:13">
      <c r="A11" s="633">
        <v>8</v>
      </c>
      <c r="B11" s="493" t="s">
        <v>256</v>
      </c>
      <c r="C11" s="493">
        <v>0</v>
      </c>
      <c r="D11" s="493">
        <v>1</v>
      </c>
      <c r="E11" s="528">
        <v>0</v>
      </c>
      <c r="F11" s="149">
        <v>0</v>
      </c>
      <c r="G11" s="168">
        <f t="shared" si="0"/>
        <v>0</v>
      </c>
      <c r="H11" s="494">
        <v>0</v>
      </c>
      <c r="I11" s="149">
        <v>0</v>
      </c>
      <c r="J11" s="149">
        <v>0</v>
      </c>
      <c r="K11" s="149">
        <v>0</v>
      </c>
      <c r="L11" s="149">
        <v>0</v>
      </c>
      <c r="M11" s="168">
        <f t="shared" si="1"/>
        <v>0</v>
      </c>
    </row>
    <row r="12" spans="1:13">
      <c r="A12" s="633">
        <v>9</v>
      </c>
      <c r="B12" s="493" t="s">
        <v>257</v>
      </c>
      <c r="C12" s="493">
        <v>0</v>
      </c>
      <c r="D12" s="493">
        <v>3</v>
      </c>
      <c r="E12" s="528">
        <v>1200000</v>
      </c>
      <c r="F12" s="149">
        <v>150000</v>
      </c>
      <c r="G12" s="168">
        <f t="shared" si="0"/>
        <v>329.27</v>
      </c>
      <c r="H12" s="494">
        <v>1</v>
      </c>
      <c r="I12" s="149">
        <v>80000</v>
      </c>
      <c r="J12" s="149">
        <v>0</v>
      </c>
      <c r="K12" s="149">
        <v>0</v>
      </c>
      <c r="L12" s="149">
        <v>80000</v>
      </c>
      <c r="M12" s="168">
        <f>((I12+J12+K12)/$C$1)*(1-$F$2)</f>
        <v>19.510000000000002</v>
      </c>
    </row>
    <row r="13" spans="1:13">
      <c r="A13" s="633">
        <v>10</v>
      </c>
      <c r="B13" s="493" t="s">
        <v>258</v>
      </c>
      <c r="C13" s="493">
        <v>0</v>
      </c>
      <c r="D13" s="605">
        <v>0.05</v>
      </c>
      <c r="E13" s="528">
        <v>9500000</v>
      </c>
      <c r="F13" s="149">
        <v>500000</v>
      </c>
      <c r="G13" s="168">
        <f t="shared" si="0"/>
        <v>2439.02</v>
      </c>
      <c r="H13" s="494">
        <v>1</v>
      </c>
      <c r="I13" s="149">
        <v>0</v>
      </c>
      <c r="J13" s="149">
        <v>0</v>
      </c>
      <c r="K13" s="149">
        <v>0</v>
      </c>
      <c r="L13" s="149">
        <v>0</v>
      </c>
      <c r="M13" s="168">
        <f t="shared" si="1"/>
        <v>0</v>
      </c>
    </row>
    <row r="14" spans="1:13">
      <c r="A14" s="633">
        <v>11</v>
      </c>
      <c r="B14" s="493" t="s">
        <v>259</v>
      </c>
      <c r="C14" s="493">
        <v>0</v>
      </c>
      <c r="D14" s="605">
        <v>0.05</v>
      </c>
      <c r="E14" s="528">
        <v>1650000</v>
      </c>
      <c r="F14" s="149">
        <v>150000</v>
      </c>
      <c r="G14" s="168">
        <f t="shared" si="0"/>
        <v>439.02</v>
      </c>
      <c r="H14" s="494">
        <v>1</v>
      </c>
      <c r="I14" s="149">
        <v>75000</v>
      </c>
      <c r="J14" s="149">
        <v>700000</v>
      </c>
      <c r="K14" s="149">
        <v>0</v>
      </c>
      <c r="L14" s="149">
        <v>0</v>
      </c>
      <c r="M14" s="168">
        <f>((I14+K14)/$C$1)*(1-$F$2)</f>
        <v>18.29</v>
      </c>
    </row>
    <row r="15" spans="1:13">
      <c r="A15" s="633">
        <v>12</v>
      </c>
      <c r="B15" s="493" t="s">
        <v>260</v>
      </c>
      <c r="C15" s="493">
        <v>0</v>
      </c>
      <c r="D15" s="493">
        <v>1</v>
      </c>
      <c r="E15" s="528">
        <v>1485000</v>
      </c>
      <c r="F15" s="149">
        <v>150000</v>
      </c>
      <c r="G15" s="168">
        <f t="shared" si="0"/>
        <v>398.78</v>
      </c>
      <c r="H15" s="494">
        <v>0</v>
      </c>
      <c r="I15" s="149">
        <v>120000</v>
      </c>
      <c r="J15" s="149">
        <v>35000</v>
      </c>
      <c r="K15" s="149">
        <v>0</v>
      </c>
      <c r="L15" s="149">
        <v>80000</v>
      </c>
      <c r="M15" s="168">
        <f>((I15+J15+K15)/$C$1)*(1-$F$2)</f>
        <v>37.799999999999997</v>
      </c>
    </row>
    <row r="16" spans="1:13">
      <c r="A16" s="633">
        <v>13</v>
      </c>
      <c r="B16" s="493" t="s">
        <v>261</v>
      </c>
      <c r="C16" s="493">
        <v>0</v>
      </c>
      <c r="D16">
        <v>1</v>
      </c>
      <c r="E16" s="149">
        <v>1980000</v>
      </c>
      <c r="F16" s="149">
        <v>150000</v>
      </c>
      <c r="G16" s="168">
        <f t="shared" si="0"/>
        <v>519.51</v>
      </c>
      <c r="H16" s="494">
        <v>0</v>
      </c>
      <c r="I16" s="149">
        <v>175970</v>
      </c>
      <c r="J16" s="149">
        <v>45000</v>
      </c>
      <c r="K16" s="149">
        <v>15000</v>
      </c>
      <c r="L16" s="149">
        <v>80000</v>
      </c>
      <c r="M16" s="168">
        <f t="shared" si="1"/>
        <v>57.55</v>
      </c>
    </row>
    <row r="17" spans="1:13">
      <c r="A17" s="633">
        <v>14</v>
      </c>
      <c r="B17" s="493" t="s">
        <v>262</v>
      </c>
      <c r="C17" s="493">
        <v>0</v>
      </c>
      <c r="E17" s="149">
        <v>5500000</v>
      </c>
      <c r="F17" s="149">
        <v>150000</v>
      </c>
      <c r="G17" s="168">
        <f t="shared" si="0"/>
        <v>1378.05</v>
      </c>
      <c r="H17" s="494">
        <v>0</v>
      </c>
      <c r="I17" s="149">
        <v>0</v>
      </c>
      <c r="J17" s="149">
        <v>0</v>
      </c>
      <c r="K17" s="149">
        <v>0</v>
      </c>
      <c r="L17" s="149">
        <v>0</v>
      </c>
      <c r="M17" s="168">
        <f t="shared" si="1"/>
        <v>0</v>
      </c>
    </row>
    <row r="18" spans="1:13">
      <c r="A18" s="633">
        <v>15</v>
      </c>
      <c r="B18" s="493" t="s">
        <v>263</v>
      </c>
      <c r="C18" s="493">
        <v>0</v>
      </c>
      <c r="D18" s="725">
        <v>0</v>
      </c>
      <c r="E18" s="528">
        <v>7410000</v>
      </c>
      <c r="F18" s="149">
        <v>0</v>
      </c>
      <c r="G18" s="168">
        <f t="shared" ref="G18" si="2">+((F18+E18)/$C$1)*(1-$F$2)</f>
        <v>1807.32</v>
      </c>
      <c r="H18" s="494">
        <v>1</v>
      </c>
      <c r="I18" s="149">
        <v>0</v>
      </c>
      <c r="J18" s="149">
        <v>700000</v>
      </c>
      <c r="K18" s="149">
        <v>0</v>
      </c>
      <c r="L18" s="149">
        <v>0</v>
      </c>
      <c r="M18" s="168">
        <f>((I18+J18+K18)/$C$1)*(1-$F$2)</f>
        <v>170.73</v>
      </c>
    </row>
  </sheetData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423AD-A950-4680-B1B9-AE4B43A87F08}">
  <sheetPr codeName="Hoja5">
    <tabColor rgb="FFFF0000"/>
  </sheetPr>
  <dimension ref="A1:BF146"/>
  <sheetViews>
    <sheetView topLeftCell="C73" workbookViewId="0">
      <selection activeCell="P68" sqref="P68"/>
    </sheetView>
  </sheetViews>
  <sheetFormatPr baseColWidth="10" defaultColWidth="11.42578125" defaultRowHeight="12.75"/>
  <cols>
    <col min="1" max="1" width="6.7109375" customWidth="1"/>
    <col min="2" max="2" width="8.42578125" bestFit="1" customWidth="1"/>
    <col min="3" max="3" width="49.42578125" customWidth="1"/>
    <col min="4" max="4" width="5" customWidth="1"/>
    <col min="5" max="5" width="6.42578125" customWidth="1"/>
    <col min="6" max="6" width="11.42578125" bestFit="1" customWidth="1"/>
    <col min="7" max="7" width="12.140625" customWidth="1"/>
    <col min="8" max="8" width="10.5703125" customWidth="1"/>
    <col min="9" max="9" width="10.85546875" customWidth="1"/>
    <col min="10" max="10" width="13.42578125" customWidth="1"/>
    <col min="11" max="11" width="11.5703125" customWidth="1"/>
    <col min="12" max="12" width="9.42578125" customWidth="1"/>
    <col min="13" max="13" width="11.5703125" customWidth="1"/>
    <col min="14" max="14" width="11.42578125" customWidth="1"/>
    <col min="15" max="15" width="1.140625" style="653" customWidth="1"/>
    <col min="17" max="17" width="1.85546875" customWidth="1"/>
    <col min="18" max="18" width="11.42578125" customWidth="1"/>
    <col min="19" max="19" width="1.85546875" customWidth="1"/>
    <col min="20" max="20" width="10.85546875" customWidth="1"/>
    <col min="21" max="21" width="1.85546875" customWidth="1"/>
    <col min="22" max="22" width="10.85546875" customWidth="1"/>
    <col min="23" max="23" width="1.85546875" customWidth="1"/>
    <col min="24" max="24" width="10.85546875" customWidth="1"/>
    <col min="25" max="25" width="1.5703125" customWidth="1"/>
    <col min="26" max="26" width="10.85546875" customWidth="1"/>
    <col min="27" max="27" width="3.5703125" customWidth="1"/>
    <col min="28" max="28" width="10.85546875" customWidth="1"/>
    <col min="29" max="29" width="2.140625" customWidth="1"/>
    <col min="30" max="30" width="10.85546875" customWidth="1"/>
    <col min="31" max="31" width="2.5703125" customWidth="1"/>
    <col min="32" max="32" width="10.85546875" customWidth="1"/>
    <col min="33" max="33" width="1.85546875" customWidth="1"/>
    <col min="34" max="34" width="10.85546875" customWidth="1"/>
    <col min="35" max="35" width="1.5703125" customWidth="1"/>
    <col min="36" max="36" width="10.85546875" customWidth="1"/>
    <col min="37" max="37" width="2.5703125" customWidth="1"/>
    <col min="38" max="38" width="10.85546875" customWidth="1"/>
    <col min="39" max="39" width="3.42578125" customWidth="1"/>
    <col min="40" max="40" width="10.85546875" customWidth="1"/>
    <col min="41" max="41" width="3.42578125" customWidth="1"/>
    <col min="42" max="42" width="10.85546875" customWidth="1"/>
    <col min="43" max="43" width="1.85546875" customWidth="1"/>
    <col min="44" max="44" width="10.85546875" customWidth="1"/>
    <col min="45" max="45" width="2.42578125" customWidth="1"/>
    <col min="46" max="46" width="10.85546875" customWidth="1"/>
    <col min="47" max="47" width="2.5703125" customWidth="1"/>
    <col min="48" max="48" width="10.85546875" customWidth="1"/>
    <col min="49" max="49" width="2.5703125" customWidth="1"/>
    <col min="50" max="50" width="10.85546875" customWidth="1"/>
    <col min="51" max="51" width="2.42578125" customWidth="1"/>
    <col min="52" max="52" width="10.85546875" customWidth="1"/>
    <col min="53" max="53" width="2.42578125" customWidth="1"/>
    <col min="54" max="55" width="10.85546875" customWidth="1"/>
    <col min="56" max="56" width="11.42578125" bestFit="1" customWidth="1"/>
  </cols>
  <sheetData>
    <row r="1" spans="1:54" ht="13.5" thickBot="1">
      <c r="P1">
        <f>P28/2</f>
        <v>9.06</v>
      </c>
      <c r="AQ1" s="1"/>
      <c r="AR1" s="1"/>
      <c r="AS1" s="1"/>
      <c r="AT1" s="1"/>
      <c r="AU1" s="1"/>
      <c r="AV1" s="1"/>
    </row>
    <row r="2" spans="1:54" ht="13.5" thickBot="1">
      <c r="B2" s="493"/>
      <c r="C2" s="660" t="s">
        <v>264</v>
      </c>
      <c r="D2" s="392">
        <v>1</v>
      </c>
      <c r="E2" s="21"/>
      <c r="F2" s="21"/>
      <c r="G2" s="21"/>
      <c r="H2" s="21"/>
      <c r="I2" s="21"/>
      <c r="J2" s="633"/>
      <c r="L2" s="633" t="s">
        <v>265</v>
      </c>
      <c r="M2" s="633"/>
      <c r="N2" s="633"/>
      <c r="P2" s="21" t="s">
        <v>186</v>
      </c>
      <c r="Q2" s="21"/>
      <c r="R2" s="21" t="s">
        <v>188</v>
      </c>
      <c r="S2" s="21"/>
      <c r="T2" s="21" t="s">
        <v>189</v>
      </c>
      <c r="U2" s="21"/>
      <c r="V2" s="21" t="s">
        <v>199</v>
      </c>
      <c r="W2" s="21"/>
      <c r="X2" s="21" t="s">
        <v>200</v>
      </c>
      <c r="Y2" s="21"/>
      <c r="Z2" s="21" t="s">
        <v>201</v>
      </c>
      <c r="AA2" s="21"/>
      <c r="AB2" s="21" t="s">
        <v>202</v>
      </c>
      <c r="AC2" s="21"/>
      <c r="AD2" s="21" t="s">
        <v>203</v>
      </c>
      <c r="AE2" s="21"/>
      <c r="AF2" s="21" t="s">
        <v>204</v>
      </c>
      <c r="AG2" s="21"/>
      <c r="AH2" s="21" t="s">
        <v>205</v>
      </c>
      <c r="AI2" s="21"/>
      <c r="AJ2" s="21" t="s">
        <v>206</v>
      </c>
      <c r="AK2" s="21"/>
      <c r="AL2" s="21" t="s">
        <v>207</v>
      </c>
      <c r="AM2" s="21"/>
      <c r="AN2" s="21"/>
      <c r="AO2" s="21"/>
      <c r="AP2" s="21"/>
      <c r="AQ2" s="21"/>
      <c r="AR2" s="21"/>
      <c r="AS2" s="21"/>
      <c r="AT2" s="21"/>
      <c r="AU2" s="21"/>
      <c r="AV2" s="21"/>
      <c r="AX2" s="21"/>
      <c r="AZ2" s="21"/>
      <c r="BB2" s="21"/>
    </row>
    <row r="3" spans="1:54">
      <c r="C3" s="493"/>
      <c r="D3" s="493"/>
      <c r="E3" s="493"/>
      <c r="F3" s="493"/>
      <c r="G3" s="493"/>
      <c r="H3" s="493"/>
      <c r="I3" s="493"/>
      <c r="J3" s="493"/>
      <c r="O3" s="654"/>
      <c r="P3" s="557"/>
      <c r="Q3" s="463"/>
      <c r="R3" s="557"/>
      <c r="S3" s="463"/>
      <c r="T3" s="557"/>
      <c r="U3" s="463"/>
      <c r="V3" s="557"/>
      <c r="W3" s="463"/>
      <c r="X3" s="557"/>
      <c r="Y3" s="463"/>
      <c r="Z3" s="557"/>
      <c r="AA3" s="463"/>
      <c r="AB3" s="557"/>
      <c r="AC3" s="187"/>
      <c r="AD3" s="557"/>
      <c r="AE3" s="187"/>
      <c r="AF3" s="557"/>
      <c r="AG3" s="187"/>
      <c r="AH3" s="557"/>
      <c r="AI3" s="187"/>
      <c r="AJ3" s="557"/>
      <c r="AK3" s="187"/>
      <c r="AL3" s="557"/>
      <c r="AM3" s="187"/>
      <c r="AN3" s="495"/>
      <c r="AP3" s="495"/>
      <c r="AR3" s="495"/>
      <c r="AT3" s="495"/>
      <c r="AV3" s="495"/>
      <c r="AX3" s="495"/>
      <c r="AZ3" s="495"/>
    </row>
    <row r="4" spans="1:54">
      <c r="C4" s="493"/>
      <c r="D4" s="493"/>
      <c r="E4" s="493"/>
      <c r="F4" s="493"/>
      <c r="G4" s="493"/>
      <c r="H4" s="493"/>
      <c r="I4" s="493"/>
      <c r="J4" s="493"/>
      <c r="K4" s="167"/>
      <c r="L4" s="167"/>
      <c r="M4" s="167"/>
      <c r="N4" s="167"/>
      <c r="O4" s="654"/>
      <c r="P4" s="567"/>
      <c r="Q4" s="568"/>
      <c r="R4" s="567"/>
      <c r="S4" s="568"/>
      <c r="T4" s="567"/>
      <c r="U4" s="568"/>
      <c r="V4" s="567"/>
      <c r="W4" s="568"/>
      <c r="X4" s="567"/>
      <c r="Y4" s="568"/>
      <c r="Z4" s="567"/>
      <c r="AA4" s="568"/>
      <c r="AB4" s="567"/>
      <c r="AC4" s="569"/>
      <c r="AD4" s="567"/>
      <c r="AE4" s="569"/>
      <c r="AF4" s="567"/>
      <c r="AG4" s="569"/>
      <c r="AH4" s="567"/>
      <c r="AI4" s="569"/>
      <c r="AJ4" s="567"/>
      <c r="AK4" s="569"/>
      <c r="AL4" s="567"/>
      <c r="AM4" s="569"/>
      <c r="AN4" s="495"/>
      <c r="AP4" s="495"/>
      <c r="AR4" s="495"/>
      <c r="AT4" s="495"/>
      <c r="AV4" s="495"/>
      <c r="AX4" s="495"/>
      <c r="AZ4" s="495"/>
      <c r="BB4" s="495"/>
    </row>
    <row r="5" spans="1:54">
      <c r="C5" s="21" t="s">
        <v>266</v>
      </c>
      <c r="D5" s="493"/>
      <c r="E5" s="493"/>
      <c r="F5" s="493"/>
      <c r="G5" s="493"/>
      <c r="H5" s="493"/>
      <c r="I5" s="493"/>
      <c r="K5" s="167"/>
      <c r="L5" s="167"/>
      <c r="M5" s="167"/>
      <c r="N5" s="836">
        <f>N10*N8*D7</f>
        <v>133397</v>
      </c>
      <c r="O5" s="654"/>
      <c r="Q5" s="168"/>
      <c r="S5" s="168"/>
      <c r="U5" s="168"/>
      <c r="W5" s="168"/>
      <c r="Y5" s="168"/>
      <c r="AA5" s="168"/>
      <c r="AB5" s="495"/>
      <c r="AD5" s="495"/>
      <c r="AF5" s="495"/>
    </row>
    <row r="6" spans="1:54">
      <c r="C6" s="493"/>
      <c r="D6" s="493"/>
      <c r="E6" s="493"/>
      <c r="F6" s="493"/>
      <c r="G6" s="493"/>
      <c r="H6" s="493"/>
      <c r="I6" s="493"/>
      <c r="K6" s="167"/>
      <c r="L6" s="167"/>
      <c r="M6" s="167"/>
      <c r="N6" s="167"/>
      <c r="O6" s="654"/>
      <c r="Q6" s="168"/>
      <c r="S6" s="168"/>
      <c r="U6" s="168"/>
      <c r="W6" s="168"/>
      <c r="Y6" s="168"/>
      <c r="AA6" s="168"/>
      <c r="AB6" s="495"/>
      <c r="AD6" s="495"/>
      <c r="AF6" s="495"/>
    </row>
    <row r="7" spans="1:54">
      <c r="C7" s="640" t="s">
        <v>235</v>
      </c>
      <c r="D7" s="659">
        <v>4100</v>
      </c>
      <c r="L7" s="168"/>
      <c r="M7" s="168"/>
      <c r="N7" s="168"/>
      <c r="O7" s="654"/>
      <c r="Q7" s="168"/>
      <c r="S7" s="168"/>
      <c r="U7" s="168"/>
      <c r="W7" s="168"/>
      <c r="Y7" s="168"/>
      <c r="AA7" s="168"/>
      <c r="AB7" s="168"/>
    </row>
    <row r="8" spans="1:54">
      <c r="G8" s="588">
        <v>0</v>
      </c>
      <c r="L8" s="493" t="s">
        <v>236</v>
      </c>
      <c r="M8" s="168"/>
      <c r="N8" s="655">
        <v>0.46</v>
      </c>
      <c r="O8" s="654"/>
      <c r="Q8" s="168"/>
      <c r="S8" s="168"/>
      <c r="T8" s="168"/>
      <c r="U8" s="168"/>
      <c r="V8" s="168"/>
      <c r="W8" s="168"/>
      <c r="X8" s="168"/>
      <c r="Y8" s="168"/>
      <c r="Z8" s="168"/>
      <c r="AA8" s="168"/>
      <c r="AB8" s="168"/>
    </row>
    <row r="9" spans="1:54">
      <c r="B9" s="657" t="s">
        <v>237</v>
      </c>
      <c r="C9" s="21" t="s">
        <v>238</v>
      </c>
      <c r="D9" s="21"/>
      <c r="E9" s="21" t="s">
        <v>239</v>
      </c>
      <c r="F9" s="21" t="s">
        <v>240</v>
      </c>
      <c r="G9" s="21" t="s">
        <v>241</v>
      </c>
      <c r="H9" s="21" t="s">
        <v>242</v>
      </c>
      <c r="I9" s="21"/>
      <c r="J9" s="21" t="s">
        <v>244</v>
      </c>
      <c r="K9" s="21" t="s">
        <v>245</v>
      </c>
      <c r="L9" s="21" t="s">
        <v>246</v>
      </c>
      <c r="M9" s="21" t="s">
        <v>247</v>
      </c>
      <c r="N9" s="21" t="s">
        <v>248</v>
      </c>
      <c r="O9" s="654"/>
      <c r="Q9" s="168"/>
      <c r="R9" s="168"/>
      <c r="S9" s="168"/>
      <c r="T9" s="168"/>
      <c r="U9" s="168"/>
      <c r="V9" s="168"/>
      <c r="W9" s="168"/>
      <c r="X9" s="168"/>
      <c r="Y9" s="168"/>
      <c r="Z9" s="168"/>
      <c r="AA9" s="168"/>
      <c r="AB9" s="168"/>
      <c r="AF9" s="168"/>
    </row>
    <row r="10" spans="1:54">
      <c r="A10" s="1" t="s">
        <v>192</v>
      </c>
      <c r="B10" s="633">
        <v>1</v>
      </c>
      <c r="C10" s="992" t="str">
        <f>VLOOKUP($B10,Profile!$A:$Z,2,FALSE)</f>
        <v>Ingenieros de datos Cat-6</v>
      </c>
      <c r="D10" s="992"/>
      <c r="E10" s="992"/>
      <c r="F10" s="994">
        <f>VLOOKUP($B10,Profile!$A:$Z,5,FALSE)</f>
        <v>2750000</v>
      </c>
      <c r="G10" s="994">
        <f>VLOOKUP($B10,Profile!$A:$Z,6,FALSE)</f>
        <v>150000</v>
      </c>
      <c r="H10" s="995">
        <f>VLOOKUP($B10,Profile!$A:$Z,7,FALSE)</f>
        <v>707.32</v>
      </c>
      <c r="I10" s="996"/>
      <c r="J10" s="994">
        <f>VLOOKUP($B10,Profile!$A:$Z,9,FALSE)</f>
        <v>220000</v>
      </c>
      <c r="K10" s="994">
        <f>VLOOKUP($B10,Profile!$A:$Z,10,FALSE)</f>
        <v>45000</v>
      </c>
      <c r="L10" s="994">
        <f>VLOOKUP($B10,Profile!$A:$Z,11,FALSE)</f>
        <v>25000</v>
      </c>
      <c r="M10" s="994">
        <v>160000</v>
      </c>
      <c r="N10" s="995">
        <f>VLOOKUP($B10,Profile!$A:$Z,13,FALSE)</f>
        <v>70.73</v>
      </c>
      <c r="O10" s="654"/>
      <c r="P10" s="495">
        <f>((($H10+(($G10+$M10)/$D$7))+($N10*Staff_shift!$AG31))*(1+$N$8))*Staff_shift!$AH31</f>
        <v>18.12</v>
      </c>
      <c r="Q10" s="168"/>
      <c r="R10" s="495">
        <f>((($H10+(($G10+$M10)/$D$7))+($N10*Staff_shift!$BN31))*(1+$N$8))*Staff_shift!$BO31</f>
        <v>30.41</v>
      </c>
      <c r="S10" s="168"/>
      <c r="T10" s="495">
        <f>((($H10+(($G10+$M10)/$D$7))+($N10*Staff_shift!$CU31))*(1+$N$8))*Staff_shift!$CV31</f>
        <v>30.41</v>
      </c>
      <c r="U10" s="168"/>
      <c r="V10" s="495">
        <f>((($H10+(($G10+$M10)/$D$7))+($N10*Staff_shift!$AG56))*(1+$N$8))*Staff_shift!$AH56</f>
        <v>30.41</v>
      </c>
      <c r="W10" s="168"/>
      <c r="X10" s="495">
        <f>((($H10+(($G10+$M10)/$D$7))+($N10*Staff_shift!$BN56))*(1+$N$8))*Staff_shift!$BO56</f>
        <v>30.41</v>
      </c>
      <c r="Y10" s="168"/>
      <c r="Z10" s="495">
        <f>((($H10+(($G10+$M10)/$D$7))+($N10*Staff_shift!$CU56))*(1+$N$8))*Staff_shift!$CV56</f>
        <v>30.41</v>
      </c>
      <c r="AA10" s="168"/>
      <c r="AB10" s="495">
        <f>((($H10+(($G10+$M10)/$D$7))+($N10*Staff_shift!$AG81))*(1+$N$8))*Staff_shift!$AH81</f>
        <v>30.41</v>
      </c>
      <c r="AD10" s="495">
        <f>((($H10+(($G10+$M10)/$D$7))+($N10*Staff_shift!$BN81))*(1+$N$8))*Staff_shift!$BO81</f>
        <v>30.41</v>
      </c>
      <c r="AF10" s="495">
        <f>((($H10+(($G10+$M10)/$D$7))+($N10*Staff_shift!$CU81))*(1+$N$8))*Staff_shift!$CV81</f>
        <v>30.41</v>
      </c>
      <c r="AH10" s="495">
        <f>((($H10+(($G10+$M10)/$D$7))+($N10*Staff_shift!$AG106))*(1+$N$8))*Staff_shift!$AH106</f>
        <v>30.41</v>
      </c>
      <c r="AJ10" s="495">
        <f>((($H10+(($G10+$M10)/$D$7))+($N10*Staff_shift!$BN106))*(1+$N$8))*Staff_shift!$BO106</f>
        <v>30.41</v>
      </c>
      <c r="AL10" s="495">
        <f>((($H10+(($G10+$M10)/$D$7))+($N10*Staff_shift!$CU106))*(1+$N$8))*Staff_shift!$CV106</f>
        <v>12.34</v>
      </c>
    </row>
    <row r="11" spans="1:54">
      <c r="A11" s="1" t="s">
        <v>191</v>
      </c>
      <c r="B11" s="633">
        <v>12</v>
      </c>
      <c r="C11" s="493" t="str">
        <f>VLOOKUP($B11,Profile!$A:$Z,2,FALSE)</f>
        <v>Analista geoquímica Cat-1</v>
      </c>
      <c r="D11" s="493"/>
      <c r="E11" s="555"/>
      <c r="F11" s="528">
        <f>VLOOKUP($B11,Profile!$A:$Z,5,FALSE)</f>
        <v>1485000</v>
      </c>
      <c r="G11" s="528">
        <f>VLOOKUP($B11,Profile!$A:$Z,6,FALSE)</f>
        <v>150000</v>
      </c>
      <c r="H11" s="495">
        <f>VLOOKUP($B11,Profile!$A:$Z,7,FALSE)</f>
        <v>398.78</v>
      </c>
      <c r="I11" s="658"/>
      <c r="J11" s="528">
        <f>VLOOKUP($B11,Profile!$A:$Z,9,FALSE)</f>
        <v>120000</v>
      </c>
      <c r="K11" s="528">
        <f>VLOOKUP($B11,Profile!$A:$Z,10,FALSE)</f>
        <v>35000</v>
      </c>
      <c r="L11" s="528">
        <f>VLOOKUP($B11,Profile!$A:$Z,11,FALSE)</f>
        <v>0</v>
      </c>
      <c r="M11" s="528">
        <v>160000</v>
      </c>
      <c r="N11" s="495">
        <f>VLOOKUP($B11,Profile!$A:$Z,13,FALSE)</f>
        <v>37.799999999999997</v>
      </c>
      <c r="O11" s="654"/>
      <c r="P11" s="495">
        <f>((($H11+(($G11+$M11)/$D$7))+($N11*Staff_shift!$AG32))*(1+$N$8))*Staff_shift!$AH32</f>
        <v>0</v>
      </c>
      <c r="Q11" s="168"/>
      <c r="R11" s="495">
        <f>((($H11+(($G11+$M11)/$D$7))+($N11*Staff_shift!$BN32))*(1+$N$8))*Staff_shift!$BO32</f>
        <v>0</v>
      </c>
      <c r="S11" s="168"/>
      <c r="T11" s="495">
        <f>((($H11+(($G11+$M11)/$D$7))+($N11*Staff_shift!$CU32))*(1+$N$8))*Staff_shift!$CV32</f>
        <v>0</v>
      </c>
      <c r="U11" s="168"/>
      <c r="V11" s="495">
        <f>((($H11+(($G11+$M11)/$D$7))+($N11*Staff_shift!$AG57))*(1+$N$8))*Staff_shift!$AH57</f>
        <v>0</v>
      </c>
      <c r="W11" s="168"/>
      <c r="X11" s="495">
        <f>((($H11+(($G11+$M11)/$D$7))+($N11*Staff_shift!$BN57))*(1+$N$8))*Staff_shift!$BO57</f>
        <v>0</v>
      </c>
      <c r="Y11" s="168"/>
      <c r="Z11" s="495">
        <f>((($H11+(($G11+$M11)/$D$7))+($N11*Staff_shift!$CU57))*(1+$N$8))*Staff_shift!$CV57</f>
        <v>0</v>
      </c>
      <c r="AA11" s="168"/>
      <c r="AB11" s="495">
        <f>((($H11+(($G11+$M11)/$D$7))+($N11*Staff_shift!$AG82))*(1+$N$8))*Staff_shift!$AH82</f>
        <v>0</v>
      </c>
      <c r="AD11" s="495">
        <f>((($H11+(($G11+$M11)/$D$7))+($N11*Staff_shift!$BN82))*(1+$N$8))*Staff_shift!$BO82</f>
        <v>0</v>
      </c>
      <c r="AF11" s="495">
        <f>((($H11+(($G11+$M11)/$D$7))+($N11*Staff_shift!$CU82))*(1+$N$8))*Staff_shift!$CV82</f>
        <v>0</v>
      </c>
      <c r="AH11" s="495">
        <f>((($H11+(($G11+$M11)/$D$7))+($N11*Staff_shift!$AG107))*(1+$N$8))*Staff_shift!$AH107</f>
        <v>0</v>
      </c>
      <c r="AJ11" s="495">
        <f>((($H11+(($G11+$M11)/$D$7))+($N11*Staff_shift!$BN107))*(1+$N$8))*Staff_shift!$BO107</f>
        <v>0</v>
      </c>
      <c r="AL11" s="495">
        <f>((($H11+(($G11+$M11)/$D$7))+($N11*Staff_shift!$CU107))*(1+$N$8))*Staff_shift!$CV107</f>
        <v>0</v>
      </c>
    </row>
    <row r="12" spans="1:54">
      <c r="A12" s="1" t="s">
        <v>192</v>
      </c>
      <c r="B12" s="633">
        <v>1</v>
      </c>
      <c r="C12" s="493" t="str">
        <f>VLOOKUP($B12,Profile!$A:$Z,2,FALSE)</f>
        <v>Ingenieros de datos Cat-6</v>
      </c>
      <c r="D12" s="493"/>
      <c r="E12" s="555"/>
      <c r="F12" s="528">
        <f>VLOOKUP($B12,Profile!$A:$Z,5,FALSE)</f>
        <v>2750000</v>
      </c>
      <c r="G12" s="528">
        <f>VLOOKUP($B12,Profile!$A:$Z,6,FALSE)</f>
        <v>150000</v>
      </c>
      <c r="H12" s="495">
        <f>VLOOKUP($B12,Profile!$A:$Z,7,FALSE)</f>
        <v>707.32</v>
      </c>
      <c r="I12" s="658"/>
      <c r="J12" s="528">
        <f>VLOOKUP($B12,Profile!$A:$Z,9,FALSE)</f>
        <v>220000</v>
      </c>
      <c r="K12" s="528">
        <f>VLOOKUP($B12,Profile!$A:$Z,10,FALSE)</f>
        <v>45000</v>
      </c>
      <c r="L12" s="528">
        <f>VLOOKUP($B12,Profile!$A:$Z,11,FALSE)</f>
        <v>25000</v>
      </c>
      <c r="M12" s="528">
        <v>160000</v>
      </c>
      <c r="N12" s="495">
        <f>VLOOKUP($B12,Profile!$A:$Z,13,FALSE)</f>
        <v>70.73</v>
      </c>
      <c r="O12" s="654"/>
      <c r="P12" s="495">
        <f>((($H12+(($G12+$M12)/$D$7))+($N12*Staff_shift!$AG33))*(1+$N$8))*Staff_shift!$AH33</f>
        <v>0</v>
      </c>
      <c r="Q12" s="168"/>
      <c r="R12" s="495">
        <f>((($H12+(($G12+$M12)/$D$7))+($N12*Staff_shift!$BN33))*(1+$N$8))*Staff_shift!$BO33</f>
        <v>0</v>
      </c>
      <c r="S12" s="168"/>
      <c r="T12" s="495">
        <f>((($H12+(($G12+$M12)/$D$7))+($N12*Staff_shift!$CU33))*(1+$N$8))*Staff_shift!$CV33</f>
        <v>0</v>
      </c>
      <c r="U12" s="168"/>
      <c r="V12" s="495">
        <f>((($H12+(($G12+$M12)/$D$7))+($N12*Staff_shift!$AG58))*(1+$N$8))*Staff_shift!$AH58</f>
        <v>0</v>
      </c>
      <c r="W12" s="168"/>
      <c r="X12" s="495">
        <f>((($H12+(($G12+$M12)/$D$7))+($N12*Staff_shift!$BN58))*(1+$N$8))*Staff_shift!$BO58</f>
        <v>0</v>
      </c>
      <c r="Y12" s="168"/>
      <c r="Z12" s="495">
        <f>((($H12+(($G12+$M12)/$D$7))+($N12*Staff_shift!$CU58))*(1+$N$8))*Staff_shift!$CV58</f>
        <v>0</v>
      </c>
      <c r="AA12" s="168"/>
      <c r="AB12" s="495">
        <f>((($H12+(($G12+$M12)/$D$7))+($N12*Staff_shift!$AG83))*(1+$N$8))*Staff_shift!$AH83</f>
        <v>0</v>
      </c>
      <c r="AD12" s="495">
        <f>((($H12+(($G12+$M12)/$D$7))+($N12*Staff_shift!$BN83))*(1+$N$8))*Staff_shift!$BO83</f>
        <v>0</v>
      </c>
      <c r="AF12" s="495">
        <f>((($H12+(($G12+$M12)/$D$7))+($N12*Staff_shift!$CU83))*(1+$N$8))*Staff_shift!$CV83</f>
        <v>0</v>
      </c>
      <c r="AH12" s="495">
        <f>((($H12+(($G12+$M12)/$D$7))+($N12*Staff_shift!$AG108))*(1+$N$8))*Staff_shift!$AH108</f>
        <v>0</v>
      </c>
      <c r="AJ12" s="495">
        <f>((($H12+(($G12+$M12)/$D$7))+($N12*Staff_shift!$BN108))*(1+$N$8))*Staff_shift!$BO108</f>
        <v>0</v>
      </c>
      <c r="AL12" s="495">
        <f>((($H12+(($G12+$M12)/$D$7))+($N12*Staff_shift!$CU108))*(1+$N$8))*Staff_shift!$CV108</f>
        <v>0</v>
      </c>
    </row>
    <row r="13" spans="1:54">
      <c r="A13" s="712" t="s">
        <v>192</v>
      </c>
      <c r="B13" s="713">
        <v>1</v>
      </c>
      <c r="C13" s="714" t="str">
        <f>VLOOKUP($B13,Profile!$A:$Z,2,FALSE)</f>
        <v>Ingenieros de datos Cat-6</v>
      </c>
      <c r="D13" s="714"/>
      <c r="E13" s="715"/>
      <c r="F13" s="716">
        <f>VLOOKUP($B13,Profile!$A:$Z,5,FALSE)</f>
        <v>2750000</v>
      </c>
      <c r="G13" s="716">
        <f>VLOOKUP($B13,Profile!$A:$Z,6,FALSE)</f>
        <v>150000</v>
      </c>
      <c r="H13" s="717">
        <f>VLOOKUP($B13,Profile!$A:$Z,7,FALSE)</f>
        <v>707.32</v>
      </c>
      <c r="I13" s="718"/>
      <c r="J13" s="716">
        <f>VLOOKUP($B13,Profile!$A:$Z,9,FALSE)</f>
        <v>220000</v>
      </c>
      <c r="K13" s="716">
        <f>VLOOKUP($B13,Profile!$A:$Z,10,FALSE)</f>
        <v>45000</v>
      </c>
      <c r="L13" s="716">
        <f>VLOOKUP($B13,Profile!$A:$Z,11,FALSE)</f>
        <v>25000</v>
      </c>
      <c r="M13" s="716">
        <v>160000</v>
      </c>
      <c r="N13" s="717">
        <f>VLOOKUP($B13,Profile!$A:$Z,13,FALSE)</f>
        <v>70.73</v>
      </c>
      <c r="O13" s="654"/>
      <c r="P13" s="495">
        <f>((($H13+(($G13+$M13)/$D$7))+($N13*Staff_shift!$AG34))*(1+$N$8))*Staff_shift!$AH34</f>
        <v>0</v>
      </c>
      <c r="Q13" s="168"/>
      <c r="R13" s="495">
        <f>((($H13+(($G13+$M13)/$D$7))+($N13*Staff_shift!$BN34))*(1+$N$8))*Staff_shift!$BO34</f>
        <v>0</v>
      </c>
      <c r="S13" s="168"/>
      <c r="T13" s="495">
        <f>((($H13+(($G13+$M13)/$D$7))+($N13*Staff_shift!$CU34))*(1+$N$8))*Staff_shift!$CV34</f>
        <v>0</v>
      </c>
      <c r="U13" s="168"/>
      <c r="V13" s="495">
        <f>((($H13+(($G13+$M13)/$D$7))+($N13*Staff_shift!$AG59))*(1+$N$8))*Staff_shift!$AH59</f>
        <v>0</v>
      </c>
      <c r="W13" s="168"/>
      <c r="X13" s="495">
        <f>((($H13+(($G13+$M13)/$D$7))+($N13*Staff_shift!$BN59))*(1+$N$8))*Staff_shift!$BO59</f>
        <v>0</v>
      </c>
      <c r="Y13" s="168"/>
      <c r="Z13" s="495">
        <f>((($H13+(($G13+$M13)/$D$7))+($N13*Staff_shift!$CU59))*(1+$N$8))*Staff_shift!$CV59</f>
        <v>0</v>
      </c>
      <c r="AA13" s="168"/>
      <c r="AB13" s="495">
        <f>((($H13+(($G13+$M13)/$D$7))+($N13*Staff_shift!$AG84))*(1+$N$8))*Staff_shift!$AH84</f>
        <v>0</v>
      </c>
      <c r="AD13" s="495">
        <f>((($H13+(($G13+$M13)/$D$7))+($N13*Staff_shift!$BN84))*(1+$N$8))*Staff_shift!$BO84</f>
        <v>0</v>
      </c>
      <c r="AF13" s="495">
        <f>((($H13+(($G13+$M13)/$D$7))+($N13*Staff_shift!$CU84))*(1+$N$8))*Staff_shift!$CV84</f>
        <v>0</v>
      </c>
      <c r="AH13" s="495">
        <f>((($H13+(($G13+$M13)/$D$7))+($N13*Staff_shift!$AG109))*(1+$N$8))*Staff_shift!$AH109</f>
        <v>0</v>
      </c>
      <c r="AJ13" s="495">
        <f>((($H13+(($G13+$M13)/$D$7))+($N13*Staff_shift!$BN109))*(1+$N$8))*Staff_shift!$BO109</f>
        <v>0</v>
      </c>
      <c r="AL13" s="495">
        <f>((($H13+(($G13+$M13)/$D$7))+($N13*Staff_shift!$CU109))*(1+$N$8))*Staff_shift!$CV109</f>
        <v>0</v>
      </c>
    </row>
    <row r="14" spans="1:54">
      <c r="A14" s="1" t="s">
        <v>193</v>
      </c>
      <c r="B14" s="633">
        <v>12</v>
      </c>
      <c r="C14" s="493" t="str">
        <f>VLOOKUP($B14,Profile!$A:$Z,2,FALSE)</f>
        <v>Analista geoquímica Cat-1</v>
      </c>
      <c r="D14" s="493"/>
      <c r="E14" s="555"/>
      <c r="F14" s="528">
        <f>VLOOKUP($B14,Profile!$A:$Z,5,FALSE)</f>
        <v>1485000</v>
      </c>
      <c r="G14" s="528">
        <f>VLOOKUP($B14,Profile!$A:$Z,6,FALSE)</f>
        <v>150000</v>
      </c>
      <c r="H14" s="495">
        <f>VLOOKUP($B14,Profile!$A:$Z,7,FALSE)</f>
        <v>398.78</v>
      </c>
      <c r="I14" s="658"/>
      <c r="J14" s="528">
        <f>VLOOKUP($B14,Profile!$A:$Z,9,FALSE)</f>
        <v>120000</v>
      </c>
      <c r="K14" s="528">
        <f>VLOOKUP($B14,Profile!$A:$Z,10,FALSE)</f>
        <v>35000</v>
      </c>
      <c r="L14" s="528">
        <f>VLOOKUP($B14,Profile!$A:$Z,11,FALSE)</f>
        <v>0</v>
      </c>
      <c r="M14" s="528">
        <v>160000</v>
      </c>
      <c r="N14" s="495">
        <f>VLOOKUP($B14,Profile!$A:$Z,13,FALSE)</f>
        <v>37.799999999999997</v>
      </c>
      <c r="O14" s="654"/>
      <c r="P14" s="495">
        <f>((($H14+(($G14+$M14)/$D$7))+($N14*Staff_shift!$AG35))*(1+$N$8))*Staff_shift!$AH35</f>
        <v>0</v>
      </c>
      <c r="Q14" s="168"/>
      <c r="R14" s="495">
        <f>((($H14+(($G14+$M14)/$D$7))+($N14*Staff_shift!$BN35))*(1+$N$8))*Staff_shift!$BO35</f>
        <v>0</v>
      </c>
      <c r="S14" s="168"/>
      <c r="T14" s="495">
        <f>((($H14+(($G14+$M14)/$D$7))+($N14*Staff_shift!$CU35))*(1+$N$8))*Staff_shift!$CV35</f>
        <v>0</v>
      </c>
      <c r="U14" s="168"/>
      <c r="V14" s="495">
        <f>((($H14+(($G14+$M14)/$D$7))+($N14*Staff_shift!$AG60))*(1+$N$8))*Staff_shift!$AH60</f>
        <v>0</v>
      </c>
      <c r="W14" s="168"/>
      <c r="X14" s="495">
        <f>((($H14+(($G14+$M14)/$D$7))+($N14*Staff_shift!$BN60))*(1+$N$8))*Staff_shift!$BO60</f>
        <v>0</v>
      </c>
      <c r="Y14" s="168"/>
      <c r="Z14" s="495">
        <f>((($H14+(($G14+$M14)/$D$7))+($N14*Staff_shift!$CU60))*(1+$N$8))*Staff_shift!$CV60</f>
        <v>0</v>
      </c>
      <c r="AA14" s="168"/>
      <c r="AB14" s="495">
        <f>((($H14+(($G14+$M14)/$D$7))+($N14*Staff_shift!$AG85))*(1+$N$8))*Staff_shift!$AH85</f>
        <v>0</v>
      </c>
      <c r="AD14" s="495">
        <f>((($H14+(($G14+$M14)/$D$7))+($N14*Staff_shift!$BN85))*(1+$N$8))*Staff_shift!$BO85</f>
        <v>0</v>
      </c>
      <c r="AF14" s="495">
        <f>((($H14+(($G14+$M14)/$D$7))+($N14*Staff_shift!$CU85))*(1+$N$8))*Staff_shift!$CV85</f>
        <v>0</v>
      </c>
      <c r="AH14" s="495">
        <f>((($H14+(($G14+$M14)/$D$7))+($N14*Staff_shift!$AG110))*(1+$N$8))*Staff_shift!$AH110</f>
        <v>0</v>
      </c>
      <c r="AJ14" s="495">
        <f>((($H14+(($G14+$M14)/$D$7))+($N14*Staff_shift!$BN110))*(1+$N$8))*Staff_shift!$BO110</f>
        <v>0</v>
      </c>
      <c r="AL14" s="495">
        <f>((($H14+(($G14+$M14)/$D$7))+($N14*Staff_shift!$CU110))*(1+$N$8))*Staff_shift!$CV110</f>
        <v>0</v>
      </c>
    </row>
    <row r="15" spans="1:54">
      <c r="A15" s="1" t="s">
        <v>194</v>
      </c>
      <c r="B15" s="633">
        <v>12</v>
      </c>
      <c r="C15" s="493" t="str">
        <f>VLOOKUP($B15,Profile!$A:$Z,2,FALSE)</f>
        <v>Analista geoquímica Cat-1</v>
      </c>
      <c r="D15" s="493"/>
      <c r="E15" s="555"/>
      <c r="F15" s="528">
        <f>VLOOKUP($B15,Profile!$A:$Z,5,FALSE)</f>
        <v>1485000</v>
      </c>
      <c r="G15" s="528">
        <f>VLOOKUP($B15,Profile!$A:$Z,6,FALSE)</f>
        <v>150000</v>
      </c>
      <c r="H15" s="495">
        <f>VLOOKUP($B15,Profile!$A:$Z,7,FALSE)</f>
        <v>398.78</v>
      </c>
      <c r="I15" s="658"/>
      <c r="J15" s="528">
        <f>VLOOKUP($B15,Profile!$A:$Z,9,FALSE)</f>
        <v>120000</v>
      </c>
      <c r="K15" s="528">
        <f>VLOOKUP($B15,Profile!$A:$Z,10,FALSE)</f>
        <v>35000</v>
      </c>
      <c r="L15" s="528">
        <f>VLOOKUP($B15,Profile!$A:$Z,11,FALSE)</f>
        <v>0</v>
      </c>
      <c r="M15" s="528">
        <v>160000</v>
      </c>
      <c r="N15" s="495">
        <f>VLOOKUP($B15,Profile!$A:$Z,13,FALSE)</f>
        <v>37.799999999999997</v>
      </c>
      <c r="P15" s="495">
        <f>((($H15+(($G15+$M15)/$D$7))+($N15*Staff_shift!$AG36))*(1+$N$8))*Staff_shift!$AH36</f>
        <v>0</v>
      </c>
      <c r="R15" s="495">
        <f>((($H15+(($G15+$M15)/$D$7))+($N15*Staff_shift!$BN36))*(1+$N$8))*Staff_shift!$BO36</f>
        <v>0</v>
      </c>
      <c r="T15" s="495">
        <f>((($H15+(($G15+$M15)/$D$7))+($N15*Staff_shift!$CU36))*(1+$N$8))*Staff_shift!$CV36</f>
        <v>0</v>
      </c>
      <c r="V15" s="495">
        <f>((($H15+(($G15+$M15)/$D$7))+($N15*Staff_shift!$AG61))*(1+$N$8))*Staff_shift!$AH61</f>
        <v>0</v>
      </c>
      <c r="X15" s="495">
        <f>((($H15+(($G15+$M15)/$D$7))+($N15*Staff_shift!$BN61))*(1+$N$8))*Staff_shift!$BO61</f>
        <v>0</v>
      </c>
      <c r="Z15" s="495">
        <f>((($H15+(($G15+$M15)/$D$7))+($N15*Staff_shift!$CU61))*(1+$N$8))*Staff_shift!$CV61</f>
        <v>0</v>
      </c>
      <c r="AB15" s="495">
        <f>((($H15+(($G15+$M15)/$D$7))+($N15*Staff_shift!$AG86))*(1+$N$8))*Staff_shift!$AH86</f>
        <v>0</v>
      </c>
      <c r="AD15" s="495">
        <f>((($H15+(($G15+$M15)/$D$7))+($N15*Staff_shift!$BN86))*(1+$N$8))*Staff_shift!$BO86</f>
        <v>0</v>
      </c>
      <c r="AF15" s="495">
        <f>((($H15+(($G15+$M15)/$D$7))+($N15*Staff_shift!$CU86))*(1+$N$8))*Staff_shift!$CV86</f>
        <v>0</v>
      </c>
      <c r="AH15" s="495">
        <f>((($H15+(($G15+$M15)/$D$7))+($N15*Staff_shift!$AG111))*(1+$N$8))*Staff_shift!$AH111</f>
        <v>0</v>
      </c>
      <c r="AJ15" s="495">
        <f>((($H15+(($G15+$M15)/$D$7))+($N15*Staff_shift!$BN111))*(1+$N$8))*Staff_shift!$BO111</f>
        <v>0</v>
      </c>
      <c r="AL15" s="495">
        <f>((($H15+(($G15+$M15)/$D$7))+($N15*Staff_shift!$CU111))*(1+$N$8))*Staff_shift!$CV111</f>
        <v>0</v>
      </c>
    </row>
    <row r="16" spans="1:54">
      <c r="A16" s="1" t="s">
        <v>192</v>
      </c>
      <c r="B16" s="633">
        <v>1</v>
      </c>
      <c r="C16" s="493" t="str">
        <f>VLOOKUP($B16,Profile!$A:$Z,2,FALSE)</f>
        <v>Ingenieros de datos Cat-6</v>
      </c>
      <c r="D16" s="493"/>
      <c r="E16" s="555"/>
      <c r="F16" s="528">
        <f>VLOOKUP($B16,Profile!$A:$Z,5,FALSE)</f>
        <v>2750000</v>
      </c>
      <c r="G16" s="528">
        <f>VLOOKUP($B16,Profile!$A:$Z,6,FALSE)</f>
        <v>150000</v>
      </c>
      <c r="H16" s="495">
        <f>VLOOKUP($B16,Profile!$A:$Z,7,FALSE)</f>
        <v>707.32</v>
      </c>
      <c r="I16" s="658"/>
      <c r="J16" s="528">
        <f>VLOOKUP($B16,Profile!$A:$Z,9,FALSE)</f>
        <v>220000</v>
      </c>
      <c r="K16" s="528">
        <f>VLOOKUP($B16,Profile!$A:$Z,10,FALSE)</f>
        <v>45000</v>
      </c>
      <c r="L16" s="528">
        <f>VLOOKUP($B16,Profile!$A:$Z,11,FALSE)</f>
        <v>25000</v>
      </c>
      <c r="M16" s="528">
        <v>160000</v>
      </c>
      <c r="N16" s="495">
        <f>VLOOKUP($B16,Profile!$A:$Z,13,FALSE)</f>
        <v>70.73</v>
      </c>
      <c r="P16" s="495">
        <f>((($H16+(($G16+$M16)/$D$7))+($N16*Staff_shift!$AG37))*(1+$N$8))*Staff_shift!$AH37</f>
        <v>0</v>
      </c>
      <c r="R16" s="495">
        <f>((($H16+(($G16+$M16)/$D$7))+($N16*Staff_shift!$BN37))*(1+$N$8))*Staff_shift!$BO37</f>
        <v>0</v>
      </c>
      <c r="T16" s="495">
        <f>((($H16+(($G16+$M16)/$D$7))+($N16*Staff_shift!$CU37))*(1+$N$8))*Staff_shift!$CV37</f>
        <v>0</v>
      </c>
      <c r="V16" s="495">
        <f>((($H16+(($G16+$M16)/$D$7))+($N16*Staff_shift!$AG62))*(1+$N$8))*Staff_shift!$AH62</f>
        <v>0</v>
      </c>
      <c r="X16" s="495">
        <f>((($H16+(($G16+$M16)/$D$7))+($N16*Staff_shift!$BN62))*(1+$N$8))*Staff_shift!$BO62</f>
        <v>0</v>
      </c>
      <c r="Z16" s="495">
        <f>((($H16+(($G16+$M16)/$D$7))+($N16*Staff_shift!$CU62))*(1+$N$8))*Staff_shift!$CV62</f>
        <v>0</v>
      </c>
      <c r="AB16" s="495">
        <f>((($H16+(($G16+$M16)/$D$7))+($N16*Staff_shift!$AG87))*(1+$N$8))*Staff_shift!$AH87</f>
        <v>0</v>
      </c>
      <c r="AD16" s="495">
        <f>((($H16+(($G16+$M16)/$D$7))+($N16*Staff_shift!$BN87))*(1+$N$8))*Staff_shift!$BO87</f>
        <v>0</v>
      </c>
      <c r="AF16" s="495">
        <f>((($H16+(($G16+$M16)/$D$7))+($N16*Staff_shift!$CU87))*(1+$N$8))*Staff_shift!$CV87</f>
        <v>0</v>
      </c>
      <c r="AH16" s="495">
        <f>((($H16+(($G16+$M16)/$D$7))+($N16*Staff_shift!$AG112))*(1+$N$8))*Staff_shift!$AH112</f>
        <v>0</v>
      </c>
      <c r="AJ16" s="495">
        <f>((($H16+(($G16+$M16)/$D$7))+($N16*Staff_shift!$BN112))*(1+$N$8))*Staff_shift!$BO112</f>
        <v>0</v>
      </c>
      <c r="AL16" s="495">
        <f>((($H16+(($G16+$M16)/$D$7))+($N16*Staff_shift!$CU112))*(1+$N$8))*Staff_shift!$CV112</f>
        <v>0</v>
      </c>
    </row>
    <row r="17" spans="1:54">
      <c r="A17" s="712" t="s">
        <v>192</v>
      </c>
      <c r="B17" s="713">
        <v>1</v>
      </c>
      <c r="C17" s="714" t="str">
        <f>VLOOKUP($B17,Profile!$A:$Z,2,FALSE)</f>
        <v>Ingenieros de datos Cat-6</v>
      </c>
      <c r="D17" s="714"/>
      <c r="E17" s="715"/>
      <c r="F17" s="716">
        <f>VLOOKUP($B17,Profile!$A:$Z,5,FALSE)</f>
        <v>2750000</v>
      </c>
      <c r="G17" s="716">
        <f>VLOOKUP($B17,Profile!$A:$Z,6,FALSE)</f>
        <v>150000</v>
      </c>
      <c r="H17" s="717">
        <f>VLOOKUP($B17,Profile!$A:$Z,7,FALSE)</f>
        <v>707.32</v>
      </c>
      <c r="I17" s="718"/>
      <c r="J17" s="716">
        <f>VLOOKUP($B17,Profile!$A:$Z,9,FALSE)</f>
        <v>220000</v>
      </c>
      <c r="K17" s="716">
        <f>VLOOKUP($B17,Profile!$A:$Z,10,FALSE)</f>
        <v>45000</v>
      </c>
      <c r="L17" s="716">
        <f>VLOOKUP($B17,Profile!$A:$Z,11,FALSE)</f>
        <v>25000</v>
      </c>
      <c r="M17" s="716">
        <v>160000</v>
      </c>
      <c r="N17" s="717">
        <f>VLOOKUP($B17,Profile!$A:$Z,13,FALSE)</f>
        <v>70.73</v>
      </c>
      <c r="P17" s="495">
        <f>((($H17+(($G17+$M17)/$D$7))+($N17*Staff_shift!$AG38))*(1+$N$8))*Staff_shift!$AH38</f>
        <v>0</v>
      </c>
      <c r="R17" s="495">
        <f>((($H17+(($G17+$M17)/$D$7))+($N17*Staff_shift!$BN38))*(1+$N$8))*Staff_shift!$BO38</f>
        <v>0</v>
      </c>
      <c r="T17" s="495">
        <f>((($H17+(($G17+$M17)/$D$7))+($N17*Staff_shift!$CU38))*(1+$N$8))*Staff_shift!$CV38</f>
        <v>0</v>
      </c>
      <c r="V17" s="495">
        <f>((($H17+(($G17+$M17)/$D$7))+($N17*Staff_shift!$AG63))*(1+$N$8))*Staff_shift!$AH63</f>
        <v>0</v>
      </c>
      <c r="X17" s="495">
        <f>((($H17+(($G17+$M17)/$D$7))+($N17*Staff_shift!$BN63))*(1+$N$8))*Staff_shift!$BO63</f>
        <v>0</v>
      </c>
      <c r="Z17" s="495">
        <f>((($H17+(($G17+$M17)/$D$7))+($N17*Staff_shift!$CU63))*(1+$N$8))*Staff_shift!$CV63</f>
        <v>0</v>
      </c>
      <c r="AB17" s="495">
        <f>((($H17+(($G17+$M17)/$D$7))+($N17*Staff_shift!$AG88))*(1+$N$8))*Staff_shift!$AH88</f>
        <v>0</v>
      </c>
      <c r="AD17" s="495">
        <f>((($H17+(($G17+$M17)/$D$7))+($N17*Staff_shift!$BN88))*(1+$N$8))*Staff_shift!$BO88</f>
        <v>0</v>
      </c>
      <c r="AF17" s="495">
        <f>((($H17+(($G17+$M17)/$D$7))+($N17*Staff_shift!$CU88))*(1+$N$8))*Staff_shift!$CV88</f>
        <v>0</v>
      </c>
      <c r="AH17" s="495">
        <f>((($H17+(($G17+$M17)/$D$7))+($N17*Staff_shift!$AG113))*(1+$N$8))*Staff_shift!$AH113</f>
        <v>0</v>
      </c>
      <c r="AJ17" s="495">
        <f>((($H17+(($G17+$M17)/$D$7))+($N17*Staff_shift!$BN113))*(1+$N$8))*Staff_shift!$BO113</f>
        <v>0</v>
      </c>
      <c r="AL17" s="495">
        <f>((($H17+(($G17+$M17)/$D$7))+($N17*Staff_shift!$CU113))*(1+$N$8))*Staff_shift!$CV113</f>
        <v>0</v>
      </c>
    </row>
    <row r="18" spans="1:54">
      <c r="A18" s="1" t="s">
        <v>195</v>
      </c>
      <c r="B18" s="633">
        <v>1</v>
      </c>
      <c r="C18" s="493" t="str">
        <f>VLOOKUP($B18,Profile!$A:$Z,2,FALSE)</f>
        <v>Ingenieros de datos Cat-6</v>
      </c>
      <c r="D18" s="493"/>
      <c r="E18" s="555"/>
      <c r="F18" s="528">
        <f>VLOOKUP($B18,Profile!$A:$Z,5,FALSE)</f>
        <v>2750000</v>
      </c>
      <c r="G18" s="528">
        <f>VLOOKUP($B18,Profile!$A:$Z,6,FALSE)</f>
        <v>150000</v>
      </c>
      <c r="H18" s="495">
        <f>VLOOKUP($B18,Profile!$A:$Z,7,FALSE)</f>
        <v>707.32</v>
      </c>
      <c r="I18" s="658"/>
      <c r="J18" s="528">
        <f>VLOOKUP($B18,Profile!$A:$Z,9,FALSE)</f>
        <v>220000</v>
      </c>
      <c r="K18" s="528">
        <f>VLOOKUP($B18,Profile!$A:$Z,10,FALSE)</f>
        <v>45000</v>
      </c>
      <c r="L18" s="528">
        <f>VLOOKUP($B18,Profile!$A:$Z,11,FALSE)</f>
        <v>25000</v>
      </c>
      <c r="M18" s="528">
        <v>160000</v>
      </c>
      <c r="N18" s="495">
        <f>VLOOKUP($B18,Profile!$A:$Z,13,FALSE)</f>
        <v>70.73</v>
      </c>
      <c r="P18" s="495">
        <f>((($H18+(($G18+$M18)/$D$7))+($N18*Staff_shift!$AG39))*(1+$N$8))*Staff_shift!$AH39</f>
        <v>0</v>
      </c>
      <c r="R18" s="495">
        <f>((($H18+(($G18+$M18)/$D$7))+($N18*Staff_shift!$BN39))*(1+$N$8))*Staff_shift!$BO39</f>
        <v>0</v>
      </c>
      <c r="T18" s="495">
        <f>((($H18+(($G18+$M18)/$D$7))+($N18*Staff_shift!$CU39))*(1+$N$8))*Staff_shift!$CV39</f>
        <v>0</v>
      </c>
      <c r="V18" s="495">
        <f>((($H18+(($G18+$M18)/$D$7))+($N18*Staff_shift!$AG64))*(1+$N$8))*Staff_shift!$AH64</f>
        <v>0</v>
      </c>
      <c r="X18" s="495">
        <f>((($H18+(($G18+$M18)/$D$7))+($N18*Staff_shift!$BN64))*(1+$N$8))*Staff_shift!$BO64</f>
        <v>0</v>
      </c>
      <c r="Z18" s="495">
        <f>((($H18+(($G18+$M18)/$D$7))+($N18*Staff_shift!$CU64))*(1+$N$8))*Staff_shift!$CV64</f>
        <v>0</v>
      </c>
      <c r="AB18" s="495">
        <f>((($H18+(($G18+$M18)/$D$7))+($N18*Staff_shift!$AG89))*(1+$N$8))*Staff_shift!$AH89</f>
        <v>0</v>
      </c>
      <c r="AD18" s="495">
        <f>((($H18+(($G18+$M18)/$D$7))+($N18*Staff_shift!$BN89))*(1+$N$8))*Staff_shift!$BO89</f>
        <v>0</v>
      </c>
      <c r="AF18" s="495">
        <f>((($H18+(($G18+$M18)/$D$7))+($N18*Staff_shift!$CU89))*(1+$N$8))*Staff_shift!$CV89</f>
        <v>0</v>
      </c>
      <c r="AH18" s="495">
        <f>((($H18+(($G18+$M18)/$D$7))+($N18*Staff_shift!$AG114))*(1+$N$8))*Staff_shift!$AH114</f>
        <v>0</v>
      </c>
      <c r="AJ18" s="495">
        <f>((($H18+(($G18+$M18)/$D$7))+($N18*Staff_shift!$BN114))*(1+$N$8))*Staff_shift!$BO114</f>
        <v>0</v>
      </c>
      <c r="AL18" s="495">
        <f>((($H18+(($G18+$M18)/$D$7))+($N18*Staff_shift!$CU114))*(1+$N$8))*Staff_shift!$CV114</f>
        <v>0</v>
      </c>
    </row>
    <row r="19" spans="1:54">
      <c r="A19" s="1" t="s">
        <v>196</v>
      </c>
      <c r="B19" s="633">
        <v>1</v>
      </c>
      <c r="C19" s="493" t="str">
        <f>VLOOKUP($B19,Profile!$A:$Z,2,FALSE)</f>
        <v>Ingenieros de datos Cat-6</v>
      </c>
      <c r="D19" s="493"/>
      <c r="E19" s="661"/>
      <c r="F19" s="528">
        <f>VLOOKUP($B19,Profile!$A:$Z,5,FALSE)</f>
        <v>2750000</v>
      </c>
      <c r="G19" s="528">
        <f>VLOOKUP($B19,Profile!$A:$Z,6,FALSE)</f>
        <v>150000</v>
      </c>
      <c r="H19" s="495">
        <f>VLOOKUP($B19,Profile!$A:$Z,7,FALSE)</f>
        <v>707.32</v>
      </c>
      <c r="I19" s="658"/>
      <c r="J19" s="528">
        <f>VLOOKUP($B19,Profile!$A:$Z,9,FALSE)</f>
        <v>220000</v>
      </c>
      <c r="K19" s="528">
        <f>VLOOKUP($B19,Profile!$A:$Z,10,FALSE)</f>
        <v>45000</v>
      </c>
      <c r="L19" s="528">
        <f>VLOOKUP($B19,Profile!$A:$Z,11,FALSE)</f>
        <v>25000</v>
      </c>
      <c r="M19" s="528">
        <v>160000</v>
      </c>
      <c r="N19" s="495">
        <f>VLOOKUP($B19,Profile!$A:$Z,13,FALSE)</f>
        <v>70.73</v>
      </c>
      <c r="P19" s="495">
        <f>((($H19+(($G19+$M19)/$D$7))+($N19*Staff_shift!$AG40))*(1+$N$8))*Staff_shift!$AH40</f>
        <v>0</v>
      </c>
      <c r="R19" s="495">
        <f>((($H19+(($G19+$M19)/$D$7))+($N19*Staff_shift!$BN40))*(1+$N$8))*Staff_shift!$BO40</f>
        <v>0</v>
      </c>
      <c r="T19" s="495">
        <f>((($H19+(($G19+$M19)/$D$7))+($N19*Staff_shift!$CU40))*(1+$N$8))*Staff_shift!$CV40</f>
        <v>0</v>
      </c>
      <c r="V19" s="495">
        <f>((($H19+(($G19+$M19)/$D$7))+($N19*Staff_shift!$AG65))*(1+$N$8))*Staff_shift!$AH65</f>
        <v>0</v>
      </c>
      <c r="X19" s="495">
        <f>((($H19+(($G19+$M19)/$D$7))+($N19*Staff_shift!$BN65))*(1+$N$8))*Staff_shift!$BO65</f>
        <v>0</v>
      </c>
      <c r="Z19" s="495">
        <f>((($H19+(($G19+$M19)/$D$7))+($N19*Staff_shift!$CU65))*(1+$N$8))*Staff_shift!$CV65</f>
        <v>0</v>
      </c>
      <c r="AB19" s="495">
        <f>((($H19+(($G19+$M19)/$D$7))+($N19*Staff_shift!$AG90))*(1+$N$8))*Staff_shift!$AH90</f>
        <v>0</v>
      </c>
      <c r="AD19" s="495">
        <f>((($H19+(($G19+$M19)/$D$7))+($N19*Staff_shift!$BN90))*(1+$N$8))*Staff_shift!$BO90</f>
        <v>0</v>
      </c>
      <c r="AF19" s="495">
        <f>((($H19+(($G19+$M19)/$D$7))+($N19*Staff_shift!$CU90))*(1+$N$8))*Staff_shift!$CV90</f>
        <v>0</v>
      </c>
      <c r="AH19" s="495">
        <f>((($H19+(($G19+$M19)/$D$7))+($N19*Staff_shift!$AG115))*(1+$N$8))*Staff_shift!$AH115</f>
        <v>0</v>
      </c>
      <c r="AJ19" s="495">
        <f>((($H19+(($G19+$M19)/$D$7))+($N19*Staff_shift!$BN115))*(1+$N$8))*Staff_shift!$BO115</f>
        <v>0</v>
      </c>
      <c r="AL19" s="495">
        <f>((($H19+(($G19+$M19)/$D$7))+($N19*Staff_shift!$CU115))*(1+$N$8))*Staff_shift!$CV115</f>
        <v>0</v>
      </c>
    </row>
    <row r="20" spans="1:54">
      <c r="A20" s="1" t="s">
        <v>192</v>
      </c>
      <c r="B20" s="633">
        <v>1</v>
      </c>
      <c r="C20" s="493" t="str">
        <f>VLOOKUP($B20,Profile!$A:$Z,2,FALSE)</f>
        <v>Ingenieros de datos Cat-6</v>
      </c>
      <c r="D20" s="493"/>
      <c r="E20" s="661"/>
      <c r="F20" s="528">
        <f>VLOOKUP($B20,Profile!$A:$Z,5,FALSE)</f>
        <v>2750000</v>
      </c>
      <c r="G20" s="528">
        <f>VLOOKUP($B20,Profile!$A:$Z,6,FALSE)</f>
        <v>150000</v>
      </c>
      <c r="H20" s="495">
        <f>VLOOKUP($B20,Profile!$A:$Z,7,FALSE)</f>
        <v>707.32</v>
      </c>
      <c r="I20" s="658"/>
      <c r="J20" s="528">
        <f>VLOOKUP($B20,Profile!$A:$Z,9,FALSE)</f>
        <v>220000</v>
      </c>
      <c r="K20" s="528">
        <f>VLOOKUP($B20,Profile!$A:$Z,10,FALSE)</f>
        <v>45000</v>
      </c>
      <c r="L20" s="528">
        <f>VLOOKUP($B20,Profile!$A:$Z,11,FALSE)</f>
        <v>25000</v>
      </c>
      <c r="M20" s="528">
        <v>160000</v>
      </c>
      <c r="N20" s="495">
        <f>VLOOKUP($B20,Profile!$A:$Z,13,FALSE)</f>
        <v>70.73</v>
      </c>
      <c r="P20" s="495">
        <f>((($H20+(($G20+$M20)/$D$7))+($N20*Staff_shift!$AG41))*(1+$N$8))*Staff_shift!$AH41</f>
        <v>0</v>
      </c>
      <c r="R20" s="495">
        <f>((($H20+(($G20+$M20)/$D$7))+($N20*Staff_shift!$BN41))*(1+$N$8))*Staff_shift!$BO41</f>
        <v>0</v>
      </c>
      <c r="T20" s="495">
        <f>((($H20+(($G20+$M20)/$D$7))+($N20*Staff_shift!$CU41))*(1+$N$8))*Staff_shift!$CV41</f>
        <v>0</v>
      </c>
      <c r="V20" s="495">
        <f>((($H20+(($G20+$M20)/$D$7))+($N20*Staff_shift!$AG66))*(1+$N$8))*Staff_shift!$AH66</f>
        <v>0</v>
      </c>
      <c r="X20" s="495">
        <f>((($H20+(($G20+$M20)/$D$7))+($N20*Staff_shift!$BN66))*(1+$N$8))*Staff_shift!$BO66</f>
        <v>0</v>
      </c>
      <c r="Z20" s="495">
        <f>((($H20+(($G20+$M20)/$D$7))+($N20*Staff_shift!$CU66))*(1+$N$8))*Staff_shift!$CV66</f>
        <v>0</v>
      </c>
      <c r="AB20" s="495">
        <f>((($H20+(($G20+$M20)/$D$7))+($N20*Staff_shift!$AG91))*(1+$N$8))*Staff_shift!$AH91</f>
        <v>0</v>
      </c>
      <c r="AD20" s="495">
        <f>((($H20+(($G20+$M20)/$D$7))+($N20*Staff_shift!$BN91))*(1+$N$8))*Staff_shift!$BO91</f>
        <v>0</v>
      </c>
      <c r="AF20" s="495">
        <f>((($H20+(($G20+$M20)/$D$7))+($N20*Staff_shift!$CU91))*(1+$N$8))*Staff_shift!$CV91</f>
        <v>0</v>
      </c>
      <c r="AH20" s="495">
        <f>((($H20+(($G20+$M20)/$D$7))+($N20*Staff_shift!$AG116))*(1+$N$8))*Staff_shift!$AH116</f>
        <v>0</v>
      </c>
      <c r="AJ20" s="495">
        <f>((($H20+(($G20+$M20)/$D$7))+($N20*Staff_shift!$BN116))*(1+$N$8))*Staff_shift!$BO116</f>
        <v>0</v>
      </c>
      <c r="AL20" s="495">
        <f>((($H20+(($G20+$M20)/$D$7))+($N20*Staff_shift!$CU116))*(1+$N$8))*Staff_shift!$CV116</f>
        <v>0</v>
      </c>
    </row>
    <row r="21" spans="1:54">
      <c r="A21" s="712" t="s">
        <v>192</v>
      </c>
      <c r="B21" s="713">
        <v>1</v>
      </c>
      <c r="C21" s="714" t="str">
        <f>VLOOKUP($B21,Profile!$A:$Z,2,FALSE)</f>
        <v>Ingenieros de datos Cat-6</v>
      </c>
      <c r="D21" s="714"/>
      <c r="E21" s="719"/>
      <c r="F21" s="716">
        <f>VLOOKUP($B21,Profile!$A:$Z,5,FALSE)</f>
        <v>2750000</v>
      </c>
      <c r="G21" s="716">
        <f>VLOOKUP($B21,Profile!$A:$Z,6,FALSE)</f>
        <v>150000</v>
      </c>
      <c r="H21" s="717">
        <f>VLOOKUP($B21,Profile!$A:$Z,7,FALSE)</f>
        <v>707.32</v>
      </c>
      <c r="I21" s="718"/>
      <c r="J21" s="716">
        <f>VLOOKUP($B21,Profile!$A:$Z,9,FALSE)</f>
        <v>220000</v>
      </c>
      <c r="K21" s="716">
        <f>VLOOKUP($B21,Profile!$A:$Z,10,FALSE)</f>
        <v>45000</v>
      </c>
      <c r="L21" s="716">
        <f>VLOOKUP($B21,Profile!$A:$Z,11,FALSE)</f>
        <v>25000</v>
      </c>
      <c r="M21" s="716">
        <v>160000</v>
      </c>
      <c r="N21" s="717">
        <f>VLOOKUP($B21,Profile!$A:$Z,13,FALSE)</f>
        <v>70.73</v>
      </c>
      <c r="P21" s="495">
        <f>((($H21+(($G21+$M21)/$D$7))+($N21*Staff_shift!$AG42))*(1+$N$8))*Staff_shift!$AH42</f>
        <v>0</v>
      </c>
      <c r="R21" s="495">
        <f>((($H21+(($G21+$M21)/$D$7))+($N21*Staff_shift!$BN42))*(1+$N$8))*Staff_shift!$BO42</f>
        <v>0</v>
      </c>
      <c r="T21" s="495">
        <f>((($H21+(($G21+$M21)/$D$7))+($N21*Staff_shift!$CU42))*(1+$N$8))*Staff_shift!$CV42</f>
        <v>0</v>
      </c>
      <c r="V21" s="495">
        <f>((($H21+(($G21+$M21)/$D$7))+($N21*Staff_shift!$AG67))*(1+$N$8))*Staff_shift!$AH67</f>
        <v>0</v>
      </c>
      <c r="X21" s="495">
        <f>((($H21+(($G21+$M21)/$D$7))+($N21*Staff_shift!$BN67))*(1+$N$8))*Staff_shift!$BO67</f>
        <v>0</v>
      </c>
      <c r="Z21" s="495">
        <f>((($H21+(($G21+$M21)/$D$7))+($N21*Staff_shift!$CU67))*(1+$N$8))*Staff_shift!$CV67</f>
        <v>0</v>
      </c>
      <c r="AB21" s="495">
        <f>((($H21+(($G21+$M21)/$D$7))+($N21*Staff_shift!$AG92))*(1+$N$8))*Staff_shift!$AH92</f>
        <v>0</v>
      </c>
      <c r="AD21" s="495">
        <f>((($H21+(($G21+$M21)/$D$7))+($N21*Staff_shift!$BN92))*(1+$N$8))*Staff_shift!$BO92</f>
        <v>0</v>
      </c>
      <c r="AF21" s="495">
        <f>((($H21+(($G21+$M21)/$D$7))+($N21*Staff_shift!$CU92))*(1+$N$8))*Staff_shift!$CV92</f>
        <v>0</v>
      </c>
      <c r="AH21" s="495">
        <f>((($H21+(($G21+$M21)/$D$7))+($N21*Staff_shift!$AG117))*(1+$N$8))*Staff_shift!$AH117</f>
        <v>0</v>
      </c>
      <c r="AJ21" s="495">
        <f>((($H21+(($G21+$M21)/$D$7))+($N21*Staff_shift!$BN117))*(1+$N$8))*Staff_shift!$BO117</f>
        <v>0</v>
      </c>
      <c r="AL21" s="495">
        <f>((($H21+(($G21+$M21)/$D$7))+($N21*Staff_shift!$CU117))*(1+$N$8))*Staff_shift!$CV117</f>
        <v>0</v>
      </c>
    </row>
    <row r="22" spans="1:54">
      <c r="A22" s="1" t="s">
        <v>267</v>
      </c>
      <c r="B22" s="633">
        <v>1</v>
      </c>
      <c r="C22" s="493" t="str">
        <f>VLOOKUP($B22,Profile!$A:$Z,2,FALSE)</f>
        <v>Ingenieros de datos Cat-6</v>
      </c>
      <c r="D22" s="493"/>
      <c r="E22" s="493">
        <v>3</v>
      </c>
      <c r="F22" s="528">
        <f>VLOOKUP($B22,Profile!$A:$Z,5,FALSE)</f>
        <v>2750000</v>
      </c>
      <c r="G22" s="528">
        <f>VLOOKUP($B22,Profile!$A:$Z,6,FALSE)</f>
        <v>150000</v>
      </c>
      <c r="H22" s="495">
        <f>VLOOKUP($B22,Profile!$A:$Z,7,FALSE)</f>
        <v>707.32</v>
      </c>
      <c r="I22" s="658"/>
      <c r="J22" s="528">
        <f>VLOOKUP($B22,Profile!$A:$Z,9,FALSE)</f>
        <v>220000</v>
      </c>
      <c r="K22" s="528">
        <f>VLOOKUP($B22,Profile!$A:$Z,10,FALSE)</f>
        <v>45000</v>
      </c>
      <c r="L22" s="528">
        <f>VLOOKUP($B22,Profile!$A:$Z,11,FALSE)</f>
        <v>25000</v>
      </c>
      <c r="M22" s="528">
        <v>160000</v>
      </c>
      <c r="N22" s="495">
        <f>VLOOKUP($B22,Profile!$A:$Z,13,FALSE)</f>
        <v>70.73</v>
      </c>
      <c r="P22" s="168"/>
      <c r="AP22" s="168"/>
      <c r="AR22" s="168"/>
      <c r="AT22" s="168"/>
      <c r="AV22" s="168"/>
      <c r="AX22" s="168"/>
      <c r="AZ22" s="168"/>
      <c r="BB22" s="168"/>
    </row>
    <row r="24" spans="1:54">
      <c r="F24" s="495">
        <f>((((($N11-(Profile!J15/Profile!$C$1))*Staff_shift!$AG32/2)*(1))*Staff_shift!$AH32))</f>
        <v>0</v>
      </c>
      <c r="G24" s="495">
        <f>F24*12</f>
        <v>0</v>
      </c>
      <c r="H24" s="495">
        <f>G24+G25</f>
        <v>117.36</v>
      </c>
      <c r="I24" s="495">
        <v>34728</v>
      </c>
      <c r="J24" s="605">
        <f>H24/I24</f>
        <v>0</v>
      </c>
      <c r="K24" s="757" t="s">
        <v>266</v>
      </c>
    </row>
    <row r="25" spans="1:54">
      <c r="F25" s="168">
        <f>P10*(1-N8)</f>
        <v>9.7799999999999994</v>
      </c>
      <c r="G25" s="495">
        <f>F25*12</f>
        <v>117.36</v>
      </c>
      <c r="H25" s="495"/>
      <c r="J25" s="605"/>
      <c r="K25" s="757"/>
    </row>
    <row r="26" spans="1:54">
      <c r="F26" s="495">
        <f>F24*N8</f>
        <v>0</v>
      </c>
      <c r="G26" s="495">
        <f>F26*12</f>
        <v>0</v>
      </c>
      <c r="H26" s="495">
        <f>G26+G27</f>
        <v>100.02</v>
      </c>
      <c r="I26" s="495">
        <v>15972</v>
      </c>
      <c r="J26" s="605">
        <f>H26/I26</f>
        <v>0.01</v>
      </c>
      <c r="K26" s="757" t="s">
        <v>268</v>
      </c>
      <c r="P26" s="495"/>
      <c r="R26" s="495"/>
      <c r="T26" s="495"/>
      <c r="V26" s="495"/>
      <c r="X26" s="495"/>
      <c r="Z26" s="495"/>
      <c r="AB26" s="495"/>
      <c r="AD26" s="495"/>
      <c r="AF26" s="495"/>
      <c r="AH26" s="168"/>
      <c r="AJ26" s="168"/>
    </row>
    <row r="27" spans="1:54">
      <c r="A27" s="1"/>
      <c r="C27" s="493"/>
      <c r="D27" s="493"/>
      <c r="F27">
        <f>P10*N8</f>
        <v>8.3352000000000004</v>
      </c>
      <c r="G27" s="495">
        <f>F27*12</f>
        <v>100.02</v>
      </c>
      <c r="H27" s="168"/>
      <c r="I27" s="494"/>
      <c r="J27" s="149"/>
      <c r="K27" s="149"/>
      <c r="L27" s="149"/>
      <c r="M27" s="149"/>
      <c r="N27" s="168"/>
      <c r="P27" s="495"/>
      <c r="R27" s="495"/>
      <c r="T27" s="495"/>
      <c r="V27" s="495"/>
      <c r="X27" s="495"/>
      <c r="Z27" s="495"/>
      <c r="AB27" s="495"/>
      <c r="AD27" s="495"/>
      <c r="AF27" s="495"/>
      <c r="AH27" s="168"/>
      <c r="AJ27" s="168"/>
    </row>
    <row r="28" spans="1:54">
      <c r="A28" s="1"/>
      <c r="L28" s="168"/>
      <c r="M28" s="168"/>
      <c r="N28" s="168"/>
      <c r="P28" s="584">
        <f>SUM(P10:P27)</f>
        <v>18.12</v>
      </c>
      <c r="Q28" s="585"/>
      <c r="R28" s="584">
        <f>SUM(R10:R27)</f>
        <v>30.41</v>
      </c>
      <c r="S28" s="585"/>
      <c r="T28" s="584">
        <f>SUM(T10:T27)</f>
        <v>30.41</v>
      </c>
      <c r="U28" s="585"/>
      <c r="V28" s="584">
        <f>SUM(V10:V27)</f>
        <v>30.41</v>
      </c>
      <c r="W28" s="585"/>
      <c r="X28" s="584">
        <f>SUM(X10:X27)</f>
        <v>30.41</v>
      </c>
      <c r="Y28" s="585"/>
      <c r="Z28" s="584">
        <f>SUM(Z10:Z27)</f>
        <v>30.41</v>
      </c>
      <c r="AA28" s="585"/>
      <c r="AB28" s="584">
        <f>SUM(AB10:AB27)</f>
        <v>30.41</v>
      </c>
      <c r="AC28" s="585"/>
      <c r="AD28" s="584">
        <f>SUM(AD10:AD27)</f>
        <v>30.41</v>
      </c>
      <c r="AE28" s="585"/>
      <c r="AF28" s="584">
        <f>SUM(AF10:AF27)</f>
        <v>30.41</v>
      </c>
      <c r="AG28" s="585"/>
      <c r="AH28" s="584">
        <f>SUM(AH10:AH27)</f>
        <v>30.41</v>
      </c>
      <c r="AI28" s="585"/>
      <c r="AJ28" s="584">
        <f>SUM(AJ10:AJ27)</f>
        <v>30.41</v>
      </c>
      <c r="AK28" s="585"/>
      <c r="AL28" s="584">
        <f>SUM(AL10:AL27)</f>
        <v>12.34</v>
      </c>
      <c r="AM28" s="585"/>
      <c r="AN28" s="168"/>
      <c r="AP28" s="168"/>
      <c r="AR28" s="168"/>
      <c r="AT28" s="168"/>
      <c r="AV28" s="168"/>
      <c r="AX28" s="168"/>
      <c r="AZ28" s="168"/>
      <c r="BB28" s="168"/>
    </row>
    <row r="29" spans="1:54">
      <c r="A29" s="1"/>
      <c r="C29" s="633" t="s">
        <v>269</v>
      </c>
      <c r="L29" s="168"/>
      <c r="M29" s="168"/>
      <c r="N29" s="168"/>
      <c r="P29" s="168"/>
      <c r="AP29" s="168"/>
      <c r="AR29" s="168"/>
      <c r="AT29" s="168"/>
      <c r="AV29" s="168"/>
      <c r="AX29" s="168"/>
      <c r="AZ29" s="168"/>
      <c r="BB29" s="168"/>
    </row>
    <row r="30" spans="1:54">
      <c r="B30" s="657" t="s">
        <v>237</v>
      </c>
      <c r="C30" s="21" t="s">
        <v>238</v>
      </c>
      <c r="D30" s="21"/>
      <c r="E30" s="21" t="s">
        <v>239</v>
      </c>
      <c r="F30" s="21" t="s">
        <v>240</v>
      </c>
      <c r="G30" s="21" t="s">
        <v>241</v>
      </c>
      <c r="H30" s="21" t="s">
        <v>242</v>
      </c>
      <c r="I30" s="21"/>
      <c r="J30" s="21" t="s">
        <v>244</v>
      </c>
      <c r="K30" s="21" t="s">
        <v>245</v>
      </c>
      <c r="L30" s="21" t="s">
        <v>246</v>
      </c>
      <c r="M30" s="21" t="s">
        <v>247</v>
      </c>
      <c r="N30" s="21" t="s">
        <v>248</v>
      </c>
      <c r="O30" s="654"/>
      <c r="P30" s="168"/>
      <c r="AP30" s="168"/>
      <c r="AR30" s="168"/>
      <c r="AT30" s="168"/>
      <c r="AV30" s="168"/>
      <c r="AX30" s="168"/>
      <c r="AZ30" s="168"/>
      <c r="BB30" s="168"/>
    </row>
    <row r="31" spans="1:54">
      <c r="A31" s="1" t="s">
        <v>270</v>
      </c>
      <c r="B31" s="633">
        <v>9</v>
      </c>
      <c r="C31" s="992" t="str">
        <f>VLOOKUP($B31,Profile!$A:$Z,2,FALSE)</f>
        <v>Soporte tecnico</v>
      </c>
      <c r="D31" s="992"/>
      <c r="E31" s="993">
        <v>0.1</v>
      </c>
      <c r="F31" s="994">
        <f>VLOOKUP($B31,Profile!$A:$Z,5,FALSE)</f>
        <v>1200000</v>
      </c>
      <c r="G31" s="994">
        <f>VLOOKUP($B31,Profile!$A:$Z,6,FALSE)</f>
        <v>150000</v>
      </c>
      <c r="H31" s="995">
        <f>VLOOKUP($B31,Profile!$A:$Z,7,FALSE)</f>
        <v>329.27</v>
      </c>
      <c r="I31" s="996"/>
      <c r="J31" s="994">
        <f>VLOOKUP($B31,Profile!$A:$Z,9,FALSE)</f>
        <v>80000</v>
      </c>
      <c r="K31" s="994">
        <f>VLOOKUP($B31,Profile!$A:$Z,10,FALSE)</f>
        <v>0</v>
      </c>
      <c r="L31" s="994">
        <f>VLOOKUP($B31,Profile!$A:$Z,11,FALSE)</f>
        <v>0</v>
      </c>
      <c r="M31" s="994">
        <f>VLOOKUP($B31,Profile!$A:$Z,12,FALSE)</f>
        <v>80000</v>
      </c>
      <c r="N31" s="995">
        <f>VLOOKUP($B31,Profile!$A:$Z,13,FALSE)</f>
        <v>19.510000000000002</v>
      </c>
      <c r="P31" s="495">
        <f>$H$31*$E$31*Staff_shift!X25</f>
        <v>32.93</v>
      </c>
      <c r="R31" s="495">
        <v>0</v>
      </c>
      <c r="T31" s="495">
        <f>R31</f>
        <v>0</v>
      </c>
      <c r="V31" s="495">
        <v>0</v>
      </c>
      <c r="X31" s="495">
        <f>P31</f>
        <v>32.93</v>
      </c>
      <c r="Z31" s="495">
        <v>0</v>
      </c>
      <c r="AB31" s="495">
        <f>Z31</f>
        <v>0</v>
      </c>
      <c r="AD31" s="495">
        <f>AB31</f>
        <v>0</v>
      </c>
      <c r="AF31" s="495">
        <f>P31</f>
        <v>32.93</v>
      </c>
      <c r="AH31" s="495">
        <v>0</v>
      </c>
      <c r="AJ31" s="495">
        <f>AH31</f>
        <v>0</v>
      </c>
      <c r="AL31" s="495">
        <f>AJ31</f>
        <v>0</v>
      </c>
      <c r="AP31" s="168"/>
      <c r="AR31" s="168"/>
      <c r="AT31" s="168"/>
      <c r="AV31" s="168"/>
      <c r="AX31" s="168"/>
      <c r="AZ31" s="168"/>
      <c r="BB31" s="168"/>
    </row>
    <row r="32" spans="1:54">
      <c r="A32" s="1" t="s">
        <v>271</v>
      </c>
      <c r="B32" s="633">
        <v>11</v>
      </c>
      <c r="C32" s="493" t="str">
        <f>VLOOKUP($B32,Profile!$A:$Z,2,FALSE)</f>
        <v>Soporte operaciones</v>
      </c>
      <c r="D32" s="493"/>
      <c r="E32" s="997">
        <v>0</v>
      </c>
      <c r="F32" s="528">
        <f>VLOOKUP($B32,Profile!$A:$Z,5,FALSE)</f>
        <v>1650000</v>
      </c>
      <c r="G32" s="528">
        <f>VLOOKUP($B32,Profile!$A:$Z,6,FALSE)</f>
        <v>150000</v>
      </c>
      <c r="H32" s="495">
        <f>VLOOKUP($B32,Profile!$A:$Z,7,FALSE)</f>
        <v>439.02</v>
      </c>
      <c r="I32" s="658"/>
      <c r="J32" s="528">
        <f>VLOOKUP($B32,Profile!$A:$Z,9,FALSE)</f>
        <v>75000</v>
      </c>
      <c r="K32" s="528">
        <f>VLOOKUP($B32,Profile!$A:$Z,10,FALSE)</f>
        <v>700000</v>
      </c>
      <c r="L32" s="528">
        <f>VLOOKUP($B32,Profile!$A:$Z,11,FALSE)</f>
        <v>0</v>
      </c>
      <c r="M32" s="528">
        <f>VLOOKUP($B32,Profile!$A:$Z,12,FALSE)</f>
        <v>0</v>
      </c>
      <c r="N32" s="495">
        <f>VLOOKUP($B32,Profile!$A:$Z,13,FALSE)</f>
        <v>18.29</v>
      </c>
      <c r="P32" s="495">
        <f>((($H$32+(($G$32+$K$32)/$D$7)+(($J$32/$D$7)*21))*$E$32)*(1+$N$8))*Staff_shift!X25</f>
        <v>0</v>
      </c>
      <c r="R32" s="495">
        <f>P32</f>
        <v>0</v>
      </c>
      <c r="T32" s="495">
        <f>R32</f>
        <v>0</v>
      </c>
      <c r="V32" s="495">
        <f>T32</f>
        <v>0</v>
      </c>
      <c r="X32" s="495">
        <f>V32</f>
        <v>0</v>
      </c>
      <c r="Z32" s="495">
        <f>X32</f>
        <v>0</v>
      </c>
      <c r="AB32" s="495">
        <f>Z32</f>
        <v>0</v>
      </c>
      <c r="AD32" s="495">
        <f>AB32</f>
        <v>0</v>
      </c>
      <c r="AF32" s="495">
        <f>AD32</f>
        <v>0</v>
      </c>
      <c r="AH32" s="495">
        <f>AF32</f>
        <v>0</v>
      </c>
      <c r="AJ32" s="495">
        <f>AH32</f>
        <v>0</v>
      </c>
      <c r="AL32" s="495">
        <f>AJ32</f>
        <v>0</v>
      </c>
      <c r="AP32" s="168"/>
      <c r="AR32" s="168"/>
      <c r="AT32" s="168"/>
      <c r="AV32" s="168"/>
      <c r="AX32" s="168"/>
      <c r="AZ32" s="168"/>
      <c r="BB32" s="168"/>
    </row>
    <row r="33" spans="1:54">
      <c r="A33" s="1"/>
      <c r="B33" s="633">
        <v>14</v>
      </c>
      <c r="C33" s="493" t="str">
        <f>VLOOKUP($B33,Profile!$A:$Z,2,FALSE)</f>
        <v>Geomecanico</v>
      </c>
      <c r="D33" s="493"/>
      <c r="F33" s="528">
        <f>VLOOKUP($B33,Profile!$A:$Z,5,FALSE)</f>
        <v>5500000</v>
      </c>
      <c r="G33" s="528">
        <f>VLOOKUP($B33,Profile!$A:$Z,6,FALSE)</f>
        <v>150000</v>
      </c>
      <c r="H33" s="495">
        <f>VLOOKUP($B33,Profile!$A:$Z,7,FALSE)</f>
        <v>1378.05</v>
      </c>
      <c r="I33" s="658"/>
      <c r="J33" s="528">
        <f>VLOOKUP($B33,Profile!$A:$Z,9,FALSE)</f>
        <v>0</v>
      </c>
      <c r="K33" s="528">
        <f>VLOOKUP($B33,Profile!$A:$Z,10,FALSE)</f>
        <v>0</v>
      </c>
      <c r="L33" s="528">
        <f>VLOOKUP($B33,Profile!$A:$Z,11,FALSE)</f>
        <v>0</v>
      </c>
      <c r="M33" s="528">
        <f>VLOOKUP($B33,Profile!$A:$Z,12,FALSE)</f>
        <v>0</v>
      </c>
      <c r="N33" s="495">
        <f>VLOOKUP($B33,Profile!$A:$Z,13,FALSE)</f>
        <v>0</v>
      </c>
      <c r="P33" s="168"/>
      <c r="AP33" s="168"/>
      <c r="AR33" s="168"/>
      <c r="AT33" s="168"/>
      <c r="AV33" s="168"/>
      <c r="AX33" s="168"/>
      <c r="AZ33" s="168"/>
      <c r="BB33" s="168"/>
    </row>
    <row r="34" spans="1:54">
      <c r="A34" s="1"/>
      <c r="C34" s="493"/>
      <c r="L34" s="168"/>
      <c r="M34" s="168"/>
      <c r="N34" s="168"/>
      <c r="P34" s="584">
        <f>SUM(P31:P33)</f>
        <v>32.93</v>
      </c>
      <c r="Q34" s="585"/>
      <c r="R34" s="584">
        <f>SUM(R31:R33)</f>
        <v>0</v>
      </c>
      <c r="S34" s="585"/>
      <c r="T34" s="584">
        <f>SUM(T31:T33)</f>
        <v>0</v>
      </c>
      <c r="U34" s="585"/>
      <c r="V34" s="584">
        <f>SUM(V31:V33)</f>
        <v>0</v>
      </c>
      <c r="W34" s="585"/>
      <c r="X34" s="584">
        <f>SUM(X31:X33)</f>
        <v>32.93</v>
      </c>
      <c r="Y34" s="585"/>
      <c r="Z34" s="584">
        <f>SUM(Z31:Z33)</f>
        <v>0</v>
      </c>
      <c r="AA34" s="585"/>
      <c r="AB34" s="584">
        <f>SUM(AB31:AB33)</f>
        <v>0</v>
      </c>
      <c r="AC34" s="585"/>
      <c r="AD34" s="584">
        <f>SUM(AD31:AD33)</f>
        <v>0</v>
      </c>
      <c r="AE34" s="585"/>
      <c r="AF34" s="584">
        <f>SUM(AF31:AF33)</f>
        <v>32.93</v>
      </c>
      <c r="AG34" s="585"/>
      <c r="AH34" s="584">
        <f>SUM(AH31:AH33)</f>
        <v>0</v>
      </c>
      <c r="AI34" s="585"/>
      <c r="AJ34" s="584">
        <f>SUM(AJ31:AJ33)</f>
        <v>0</v>
      </c>
      <c r="AK34" s="585"/>
      <c r="AL34" s="584">
        <f>P34</f>
        <v>32.93</v>
      </c>
      <c r="AM34" s="585"/>
      <c r="AP34" s="168"/>
      <c r="AR34" s="168"/>
      <c r="AT34" s="168"/>
      <c r="AV34" s="168"/>
      <c r="AX34" s="168"/>
      <c r="AZ34" s="168"/>
      <c r="BB34" s="168"/>
    </row>
    <row r="35" spans="1:54">
      <c r="A35" s="1"/>
      <c r="C35" s="493"/>
      <c r="L35" s="168"/>
      <c r="M35" s="168"/>
      <c r="N35" s="168"/>
      <c r="P35" s="168"/>
      <c r="AP35" s="168"/>
      <c r="AR35" s="168"/>
      <c r="AT35" s="168"/>
      <c r="AV35" s="168"/>
      <c r="AX35" s="168"/>
      <c r="AZ35" s="168"/>
      <c r="BB35" s="168"/>
    </row>
    <row r="36" spans="1:54">
      <c r="A36" s="1"/>
      <c r="L36" s="168"/>
      <c r="M36" s="168"/>
      <c r="N36" s="168"/>
      <c r="P36" s="168"/>
    </row>
    <row r="37" spans="1:54">
      <c r="A37" s="1"/>
      <c r="I37" s="136">
        <v>0.05</v>
      </c>
    </row>
    <row r="38" spans="1:54">
      <c r="A38" s="1"/>
      <c r="C38" s="199" t="s">
        <v>272</v>
      </c>
      <c r="D38" s="199"/>
      <c r="F38" s="493" t="s">
        <v>209</v>
      </c>
      <c r="G38" s="21" t="s">
        <v>273</v>
      </c>
      <c r="H38" s="21" t="s">
        <v>274</v>
      </c>
      <c r="I38" s="21" t="s">
        <v>275</v>
      </c>
      <c r="K38" s="21" t="s">
        <v>276</v>
      </c>
    </row>
    <row r="39" spans="1:54">
      <c r="A39" s="1"/>
      <c r="C39" s="493" t="str">
        <f>Staff_shift!D20</f>
        <v>Camioneta Datalog</v>
      </c>
      <c r="D39" s="493"/>
      <c r="F39">
        <v>0</v>
      </c>
      <c r="G39" s="149">
        <v>1200000</v>
      </c>
      <c r="H39" s="178">
        <f>+G39/$D$7</f>
        <v>293</v>
      </c>
      <c r="I39" s="168">
        <f>+H39*(1+$I$37)</f>
        <v>307.64999999999998</v>
      </c>
      <c r="K39" s="168">
        <f>+I39*$F$39</f>
        <v>0</v>
      </c>
      <c r="P39">
        <f>+K39*Staff_shift!AG43</f>
        <v>0</v>
      </c>
      <c r="R39">
        <f>+K39*Staff_shift!BN43</f>
        <v>0</v>
      </c>
      <c r="T39">
        <f>+K39*Staff_shift!CU43</f>
        <v>0</v>
      </c>
      <c r="V39">
        <f>+K39*Staff_shift!AG68</f>
        <v>0</v>
      </c>
      <c r="X39">
        <f>+K39*Staff_shift!BN68</f>
        <v>0</v>
      </c>
      <c r="Z39">
        <f>+K39*Staff_shift!CU68</f>
        <v>0</v>
      </c>
      <c r="AB39">
        <f>+K39*Staff_shift!AG93</f>
        <v>0</v>
      </c>
      <c r="AD39">
        <f>+K39*Staff_shift!BN93</f>
        <v>0</v>
      </c>
      <c r="AF39">
        <f>+K39*Staff_shift!CU93</f>
        <v>0</v>
      </c>
      <c r="AH39">
        <f>+K39*Staff_shift!AG118</f>
        <v>0</v>
      </c>
      <c r="AJ39">
        <f>+K39*Staff_shift!BN118</f>
        <v>0</v>
      </c>
      <c r="AL39">
        <f>+K39*Staff_shift!CU118</f>
        <v>0</v>
      </c>
    </row>
    <row r="40" spans="1:54">
      <c r="A40" s="1"/>
      <c r="C40" s="493" t="str">
        <f>Staff_shift!D21</f>
        <v>Camioneta comunidad Tipo 1</v>
      </c>
      <c r="D40" s="493"/>
      <c r="F40">
        <v>1</v>
      </c>
      <c r="G40" s="149">
        <v>750000</v>
      </c>
      <c r="H40" s="178">
        <f>+G40/$D$7</f>
        <v>183</v>
      </c>
      <c r="I40" s="168">
        <f>+H40*(1+$I$37)</f>
        <v>192.15</v>
      </c>
      <c r="K40" s="168">
        <f>+I40*$F$40</f>
        <v>192.15</v>
      </c>
      <c r="P40">
        <f>K40*Staff_shift!R44</f>
        <v>192.15</v>
      </c>
      <c r="R40">
        <f>+K40*Staff_shift!BN44</f>
        <v>0</v>
      </c>
      <c r="T40">
        <f>+K40*Staff_shift!CU44</f>
        <v>0</v>
      </c>
      <c r="V40">
        <f>+K40*Staff_shift!AG69</f>
        <v>0</v>
      </c>
      <c r="X40">
        <f>+K40*Staff_shift!BN69</f>
        <v>192.15</v>
      </c>
      <c r="Z40">
        <f>+K40*Staff_shift!CU69</f>
        <v>0</v>
      </c>
      <c r="AB40">
        <f>+K40*Staff_shift!AG94</f>
        <v>0</v>
      </c>
      <c r="AD40">
        <f>+K40*Staff_shift!BN94</f>
        <v>0</v>
      </c>
      <c r="AF40">
        <f>+K40*Staff_shift!CU94</f>
        <v>192.15</v>
      </c>
      <c r="AH40">
        <f>+K40*Staff_shift!AG119</f>
        <v>0</v>
      </c>
      <c r="AJ40">
        <f>+K40*Staff_shift!BN119</f>
        <v>0</v>
      </c>
      <c r="AL40">
        <f>+K40*Staff_shift!CU119</f>
        <v>192.15</v>
      </c>
    </row>
    <row r="41" spans="1:54">
      <c r="A41" s="1"/>
      <c r="C41" s="493" t="str">
        <f>Staff_shift!D22</f>
        <v>Camioneta comunidad Tipo 2</v>
      </c>
      <c r="D41" s="493"/>
      <c r="F41">
        <v>0</v>
      </c>
      <c r="G41" s="149">
        <v>150000</v>
      </c>
      <c r="H41" s="178">
        <f>+G41/$D$7</f>
        <v>37</v>
      </c>
      <c r="I41" s="168">
        <f t="shared" ref="I41:I42" si="0">+H41*(1+$I$37)</f>
        <v>38.85</v>
      </c>
      <c r="K41" s="168">
        <f>+I41*$F$41</f>
        <v>0</v>
      </c>
      <c r="P41">
        <f>+K41*Staff_shift!AG45</f>
        <v>0</v>
      </c>
      <c r="R41">
        <f>+K41*Staff_shift!BN45</f>
        <v>0</v>
      </c>
      <c r="T41">
        <f>+K41*Staff_shift!CU45</f>
        <v>0</v>
      </c>
      <c r="V41">
        <f>+K41*Staff_shift!AG70</f>
        <v>0</v>
      </c>
      <c r="X41">
        <f>+K41*Staff_shift!BN70</f>
        <v>0</v>
      </c>
      <c r="Z41">
        <f>+K41*Staff_shift!CU70</f>
        <v>0</v>
      </c>
      <c r="AB41">
        <f>+K41*Staff_shift!AG95</f>
        <v>0</v>
      </c>
      <c r="AD41">
        <f>+K41*Staff_shift!BN95</f>
        <v>0</v>
      </c>
      <c r="AF41">
        <f>+K41*Staff_shift!CU95</f>
        <v>0</v>
      </c>
      <c r="AH41">
        <f>+K41*Staff_shift!AG120</f>
        <v>0</v>
      </c>
      <c r="AJ41">
        <f>+K41*Staff_shift!BN120</f>
        <v>0</v>
      </c>
      <c r="AL41">
        <f>+K41*Staff_shift!CU120</f>
        <v>0</v>
      </c>
    </row>
    <row r="42" spans="1:54">
      <c r="A42" s="1"/>
      <c r="C42" s="493" t="str">
        <f>Staff_shift!D23</f>
        <v>Vuelos personal</v>
      </c>
      <c r="D42" s="493"/>
      <c r="F42">
        <v>0</v>
      </c>
      <c r="G42" s="149">
        <v>600000</v>
      </c>
      <c r="H42" s="178">
        <f>+G42/$D$7</f>
        <v>146</v>
      </c>
      <c r="I42" s="168">
        <f t="shared" si="0"/>
        <v>153.30000000000001</v>
      </c>
      <c r="K42" s="168">
        <f>+I42*F42</f>
        <v>0</v>
      </c>
      <c r="L42" s="493" t="s">
        <v>277</v>
      </c>
      <c r="P42">
        <f>+K42*Staff_shift!AG46</f>
        <v>0</v>
      </c>
      <c r="R42">
        <f>+K42*Staff_shift!BN46</f>
        <v>0</v>
      </c>
      <c r="T42">
        <f>+K42*Staff_shift!CU46</f>
        <v>0</v>
      </c>
      <c r="V42">
        <f>+K42*Staff_shift!AG71</f>
        <v>0</v>
      </c>
      <c r="X42">
        <f>+K42*Staff_shift!BN71</f>
        <v>0</v>
      </c>
      <c r="Z42">
        <f>+K42*Staff_shift!CU71</f>
        <v>0</v>
      </c>
      <c r="AB42">
        <f>+K42*Staff_shift!AG96</f>
        <v>0</v>
      </c>
      <c r="AD42">
        <f>+K42*Staff_shift!BN96</f>
        <v>0</v>
      </c>
      <c r="AF42">
        <f>+K42*Staff_shift!CU96</f>
        <v>0</v>
      </c>
      <c r="AH42">
        <f>+K42*Staff_shift!AG121</f>
        <v>0</v>
      </c>
      <c r="AJ42">
        <f>+K42*Staff_shift!BN121</f>
        <v>0</v>
      </c>
      <c r="AL42">
        <f>+K42*Staff_shift!CU121</f>
        <v>0</v>
      </c>
    </row>
    <row r="43" spans="1:54">
      <c r="A43" s="1"/>
      <c r="G43" s="168"/>
      <c r="K43" s="496">
        <f>SUM(K39:K42)</f>
        <v>192.15</v>
      </c>
      <c r="L43">
        <f>(P42/2)+P40</f>
        <v>192.15</v>
      </c>
      <c r="M43" s="142">
        <f>L43/P43</f>
        <v>1</v>
      </c>
      <c r="P43" s="584">
        <f>SUM(P39:P42)</f>
        <v>192.15</v>
      </c>
      <c r="Q43" s="585"/>
      <c r="R43" s="584">
        <f>SUM(R39:R42)</f>
        <v>0</v>
      </c>
      <c r="T43" s="584">
        <f>SUM(T39:T42)</f>
        <v>0</v>
      </c>
      <c r="V43" s="584">
        <f>SUM(V39:V42)</f>
        <v>0</v>
      </c>
      <c r="X43" s="584">
        <f>SUM(X39:X42)</f>
        <v>192.15</v>
      </c>
      <c r="Z43" s="584">
        <f>SUM(Z39:Z42)</f>
        <v>0</v>
      </c>
      <c r="AB43" s="584">
        <f>SUM(AB39:AB42)</f>
        <v>0</v>
      </c>
      <c r="AD43" s="584">
        <f>SUM(AD39:AD42)</f>
        <v>0</v>
      </c>
      <c r="AF43" s="584">
        <f>SUM(AF39:AF42)</f>
        <v>192.15</v>
      </c>
      <c r="AH43" s="584">
        <f>SUM(AH39:AH42)</f>
        <v>0</v>
      </c>
      <c r="AJ43" s="584">
        <f>SUM(AJ39:AJ42)</f>
        <v>0</v>
      </c>
      <c r="AL43" s="584">
        <f>SUM(AL39:AL42)</f>
        <v>192.15</v>
      </c>
      <c r="AN43" s="168"/>
      <c r="AP43" s="168"/>
      <c r="AR43" s="168"/>
      <c r="AT43" s="168"/>
      <c r="AV43" s="168"/>
      <c r="AX43" s="168"/>
      <c r="AZ43" s="168"/>
      <c r="BB43" s="168"/>
    </row>
    <row r="44" spans="1:54">
      <c r="A44" s="1"/>
      <c r="K44" s="168"/>
      <c r="P44" s="642"/>
      <c r="Q44" s="642"/>
      <c r="R44" s="642"/>
      <c r="S44" s="642"/>
      <c r="T44" s="642"/>
      <c r="U44" s="642"/>
      <c r="V44" s="642"/>
      <c r="W44" s="642"/>
      <c r="X44" s="642"/>
      <c r="Y44" s="642"/>
      <c r="Z44" s="642"/>
      <c r="AA44" s="642"/>
      <c r="AB44" s="642"/>
      <c r="AC44" s="642"/>
      <c r="AD44" s="642"/>
      <c r="AE44" s="642"/>
      <c r="AF44" s="642"/>
      <c r="AG44" s="642"/>
      <c r="AH44" s="642"/>
      <c r="AI44" s="642"/>
      <c r="AJ44" s="642"/>
      <c r="AK44" s="642"/>
      <c r="AL44" s="642"/>
    </row>
    <row r="45" spans="1:54">
      <c r="C45" s="21" t="s">
        <v>278</v>
      </c>
      <c r="D45" s="21"/>
      <c r="F45" s="21" t="s">
        <v>279</v>
      </c>
      <c r="G45" s="1" t="s">
        <v>280</v>
      </c>
      <c r="H45" s="21" t="s">
        <v>243</v>
      </c>
      <c r="I45" s="21"/>
      <c r="J45" s="21" t="s">
        <v>281</v>
      </c>
      <c r="L45" s="136">
        <v>0.1</v>
      </c>
      <c r="P45" s="642"/>
      <c r="Q45" s="642"/>
      <c r="R45" s="642"/>
      <c r="S45" s="642"/>
      <c r="T45" s="642"/>
      <c r="U45" s="642"/>
      <c r="V45" s="642"/>
      <c r="W45" s="642"/>
      <c r="X45" s="642"/>
      <c r="Y45" s="642"/>
      <c r="Z45" s="642"/>
      <c r="AA45" s="642"/>
      <c r="AB45" s="642"/>
      <c r="AC45" s="642"/>
      <c r="AD45" s="642"/>
      <c r="AE45" s="642"/>
      <c r="AF45" s="642"/>
      <c r="AG45" s="642"/>
      <c r="AH45" s="642"/>
      <c r="AI45" s="642"/>
      <c r="AJ45" s="642"/>
      <c r="AK45" s="642"/>
      <c r="AL45" s="642"/>
    </row>
    <row r="46" spans="1:54">
      <c r="C46" t="s">
        <v>282</v>
      </c>
      <c r="F46" s="149">
        <v>6000</v>
      </c>
      <c r="G46" s="637">
        <f t="shared" ref="G46:G52" si="1">+F46/$D$7</f>
        <v>1.46</v>
      </c>
      <c r="H46" s="167">
        <f>0.4*2</f>
        <v>0.8</v>
      </c>
      <c r="I46" s="167"/>
      <c r="J46" s="168">
        <f>H46*G46</f>
        <v>1.17</v>
      </c>
      <c r="P46" s="642"/>
      <c r="Q46" s="642"/>
      <c r="R46" s="642"/>
      <c r="S46" s="642"/>
      <c r="T46" s="642"/>
      <c r="U46" s="642"/>
      <c r="V46" s="642"/>
      <c r="W46" s="642"/>
      <c r="X46" s="642"/>
      <c r="Y46" s="642"/>
      <c r="Z46" s="642"/>
      <c r="AA46" s="642"/>
      <c r="AB46" s="642"/>
      <c r="AC46" s="642"/>
      <c r="AD46" s="642"/>
      <c r="AE46" s="642"/>
      <c r="AF46" s="642"/>
      <c r="AG46" s="642"/>
      <c r="AH46" s="642"/>
      <c r="AI46" s="642"/>
      <c r="AJ46" s="642"/>
      <c r="AK46" s="642"/>
      <c r="AL46" s="642"/>
    </row>
    <row r="47" spans="1:54">
      <c r="C47" s="493" t="s">
        <v>283</v>
      </c>
      <c r="F47" s="149">
        <v>5000</v>
      </c>
      <c r="G47" s="637">
        <f t="shared" si="1"/>
        <v>1.22</v>
      </c>
      <c r="H47" s="167">
        <f>1.5*2</f>
        <v>3</v>
      </c>
      <c r="I47" s="167"/>
      <c r="J47" s="168">
        <f>H47*G47</f>
        <v>3.66</v>
      </c>
      <c r="P47" s="642"/>
      <c r="Q47" s="642"/>
      <c r="R47" s="642"/>
      <c r="S47" s="642"/>
      <c r="T47" s="642"/>
      <c r="U47" s="642"/>
      <c r="V47" s="642"/>
      <c r="W47" s="642"/>
      <c r="X47" s="642"/>
      <c r="Y47" s="642"/>
      <c r="Z47" s="642"/>
      <c r="AA47" s="642"/>
      <c r="AB47" s="642"/>
      <c r="AC47" s="642"/>
      <c r="AD47" s="642"/>
      <c r="AE47" s="642"/>
      <c r="AF47" s="642"/>
      <c r="AG47" s="642"/>
      <c r="AH47" s="642"/>
      <c r="AI47" s="642"/>
      <c r="AJ47" s="642"/>
      <c r="AK47" s="642"/>
      <c r="AL47" s="642"/>
    </row>
    <row r="48" spans="1:54" ht="114.75">
      <c r="C48" s="804" t="s">
        <v>284</v>
      </c>
      <c r="E48" s="642"/>
      <c r="F48" s="805">
        <v>1053000</v>
      </c>
      <c r="G48" s="806">
        <v>340</v>
      </c>
      <c r="H48" s="768">
        <v>8</v>
      </c>
      <c r="I48" s="768"/>
      <c r="J48" s="805">
        <f>(G48*H48)/100</f>
        <v>27</v>
      </c>
      <c r="P48" s="642"/>
      <c r="Q48" s="642"/>
      <c r="R48" s="642"/>
      <c r="S48" s="642"/>
      <c r="T48" s="642"/>
      <c r="U48" s="642"/>
      <c r="V48" s="642"/>
      <c r="W48" s="642"/>
      <c r="X48" s="642"/>
      <c r="Y48" s="642"/>
      <c r="Z48" s="642"/>
      <c r="AA48" s="642"/>
      <c r="AB48" s="642"/>
      <c r="AC48" s="642"/>
      <c r="AD48" s="642"/>
      <c r="AE48" s="642"/>
      <c r="AF48" s="642"/>
      <c r="AG48" s="642"/>
      <c r="AH48" s="642"/>
      <c r="AI48" s="642"/>
      <c r="AJ48" s="642"/>
      <c r="AK48" s="642"/>
      <c r="AL48" s="642"/>
      <c r="AM48" s="642"/>
      <c r="AN48" s="642"/>
      <c r="AO48" s="642"/>
      <c r="AP48" s="642"/>
      <c r="AQ48" s="642"/>
      <c r="AR48" s="642"/>
      <c r="AS48" s="642"/>
      <c r="AT48" s="642"/>
      <c r="AU48" s="642"/>
    </row>
    <row r="49" spans="3:54">
      <c r="C49" s="493" t="s">
        <v>285</v>
      </c>
      <c r="F49" s="149">
        <v>1715000</v>
      </c>
      <c r="G49" s="637">
        <f>+F49/$D$7</f>
        <v>418.29</v>
      </c>
      <c r="H49" s="167">
        <f>2000/60</f>
        <v>33.3333333333333</v>
      </c>
      <c r="I49" s="167"/>
      <c r="J49" s="637">
        <f>G49/(2000/H49)</f>
        <v>6.97</v>
      </c>
      <c r="P49" s="642"/>
      <c r="Q49" s="642"/>
      <c r="R49" s="642"/>
      <c r="S49" s="642"/>
      <c r="T49" s="642"/>
      <c r="U49" s="642"/>
      <c r="V49" s="642"/>
      <c r="W49" s="642"/>
      <c r="X49" s="642"/>
      <c r="Y49" s="642"/>
      <c r="Z49" s="642"/>
      <c r="AA49" s="642"/>
      <c r="AB49" s="642"/>
      <c r="AC49" s="642"/>
      <c r="AD49" s="642"/>
      <c r="AE49" s="642"/>
      <c r="AF49" s="642"/>
      <c r="AG49" s="642"/>
      <c r="AH49" s="642"/>
      <c r="AI49" s="642"/>
      <c r="AJ49" s="642"/>
      <c r="AK49" s="642"/>
      <c r="AL49" s="642"/>
    </row>
    <row r="50" spans="3:54">
      <c r="C50" t="s">
        <v>286</v>
      </c>
      <c r="F50" s="149">
        <v>1500000</v>
      </c>
      <c r="G50" s="637">
        <f t="shared" si="1"/>
        <v>365.85</v>
      </c>
      <c r="H50" s="167">
        <v>0</v>
      </c>
      <c r="I50" s="167"/>
      <c r="J50" s="149">
        <f t="shared" ref="J50" si="2">(H50*G50)*(1+$L$45)</f>
        <v>0</v>
      </c>
      <c r="P50" s="642"/>
      <c r="Q50" s="642"/>
      <c r="R50" s="642"/>
      <c r="S50" s="642"/>
      <c r="T50" s="642"/>
      <c r="U50" s="642"/>
      <c r="V50" s="642"/>
      <c r="W50" s="642"/>
      <c r="X50" s="642"/>
      <c r="Y50" s="642"/>
      <c r="Z50" s="642"/>
      <c r="AA50" s="642"/>
      <c r="AB50" s="642"/>
      <c r="AC50" s="642"/>
      <c r="AD50" s="642"/>
      <c r="AE50" s="642"/>
      <c r="AF50" s="642"/>
      <c r="AG50" s="642"/>
      <c r="AH50" s="642"/>
      <c r="AI50" s="642"/>
      <c r="AJ50" s="642"/>
      <c r="AK50" s="642"/>
      <c r="AL50" s="642"/>
    </row>
    <row r="51" spans="3:54">
      <c r="C51" s="493" t="s">
        <v>287</v>
      </c>
      <c r="F51" s="149">
        <v>162800</v>
      </c>
      <c r="G51" s="637">
        <f>+F51/$D$7</f>
        <v>39.71</v>
      </c>
      <c r="H51" s="167">
        <v>4</v>
      </c>
      <c r="I51" s="167"/>
      <c r="J51" s="149">
        <f>G51*H51</f>
        <v>159</v>
      </c>
      <c r="P51" s="805"/>
      <c r="Q51" s="642"/>
      <c r="R51" s="805"/>
      <c r="S51" s="642"/>
      <c r="T51" s="805"/>
      <c r="U51" s="642"/>
      <c r="V51" s="805"/>
      <c r="W51" s="642"/>
      <c r="X51" s="805"/>
      <c r="Y51" s="642"/>
      <c r="Z51" s="805"/>
      <c r="AA51" s="642"/>
      <c r="AB51" s="805"/>
      <c r="AC51" s="642"/>
      <c r="AD51" s="805"/>
      <c r="AE51" s="642"/>
      <c r="AF51" s="805"/>
      <c r="AG51" s="642"/>
      <c r="AH51" s="805"/>
      <c r="AI51" s="642"/>
      <c r="AJ51" s="805"/>
      <c r="AK51" s="642"/>
      <c r="AL51" s="805"/>
    </row>
    <row r="52" spans="3:54">
      <c r="C52" s="992" t="s">
        <v>288</v>
      </c>
      <c r="F52" s="587">
        <v>250000</v>
      </c>
      <c r="G52" s="637">
        <f t="shared" si="1"/>
        <v>60.98</v>
      </c>
      <c r="H52" s="167">
        <v>1</v>
      </c>
      <c r="I52" s="167"/>
      <c r="J52" s="149">
        <f>(H52*G52)*(1+$L$45)</f>
        <v>67</v>
      </c>
      <c r="P52" s="805">
        <f>J52</f>
        <v>67</v>
      </c>
      <c r="Q52" s="642"/>
      <c r="R52" s="805">
        <f>P52</f>
        <v>67</v>
      </c>
      <c r="S52" s="642"/>
      <c r="T52" s="805">
        <f>P52</f>
        <v>67</v>
      </c>
      <c r="U52" s="642"/>
      <c r="V52" s="805">
        <f>P52</f>
        <v>67</v>
      </c>
      <c r="W52" s="642"/>
      <c r="X52" s="805">
        <f>$P$52</f>
        <v>67</v>
      </c>
      <c r="Y52" s="642"/>
      <c r="Z52" s="805">
        <f>$P$52</f>
        <v>67</v>
      </c>
      <c r="AA52" s="642"/>
      <c r="AB52" s="805">
        <f>$P$52</f>
        <v>67</v>
      </c>
      <c r="AC52" s="642"/>
      <c r="AD52" s="805">
        <f>$P$52</f>
        <v>67</v>
      </c>
      <c r="AE52" s="642"/>
      <c r="AF52" s="805">
        <f>$P$52</f>
        <v>67</v>
      </c>
      <c r="AG52" s="642"/>
      <c r="AH52" s="805">
        <f>$P$52</f>
        <v>67</v>
      </c>
      <c r="AI52" s="642"/>
      <c r="AJ52" s="805">
        <f>$P$52</f>
        <v>67</v>
      </c>
      <c r="AK52" s="642"/>
      <c r="AL52" s="805">
        <f>$P$52</f>
        <v>67</v>
      </c>
    </row>
    <row r="53" spans="3:54">
      <c r="J53" s="617">
        <f>SUM(J46:J52)</f>
        <v>265</v>
      </c>
      <c r="L53" s="168"/>
      <c r="M53" s="168"/>
      <c r="N53" s="168"/>
      <c r="P53" s="584">
        <f>SUM(P46:P52)</f>
        <v>67</v>
      </c>
      <c r="Q53" s="585"/>
      <c r="R53" s="584">
        <f>SUM(R46:R52)</f>
        <v>67</v>
      </c>
      <c r="S53" s="585"/>
      <c r="T53" s="584">
        <f>SUM(T46:T52)</f>
        <v>67</v>
      </c>
      <c r="U53" s="585"/>
      <c r="V53" s="584">
        <f>SUM(V46:V52)</f>
        <v>67</v>
      </c>
      <c r="W53" s="585"/>
      <c r="X53" s="584">
        <f>SUM(X46:X52)</f>
        <v>67</v>
      </c>
      <c r="Y53" s="585"/>
      <c r="Z53" s="584">
        <f>SUM(Z46:Z52)</f>
        <v>67</v>
      </c>
      <c r="AA53" s="585"/>
      <c r="AB53" s="584">
        <f>SUM(AB46:AB52)</f>
        <v>67</v>
      </c>
      <c r="AC53" s="585"/>
      <c r="AD53" s="584">
        <f>SUM(AD46:AD52)</f>
        <v>67</v>
      </c>
      <c r="AE53" s="585"/>
      <c r="AF53" s="584">
        <f>SUM(AF46:AF52)</f>
        <v>67</v>
      </c>
      <c r="AG53" s="585"/>
      <c r="AH53" s="584">
        <f>SUM(AH46:AH52)</f>
        <v>67</v>
      </c>
      <c r="AI53" s="585"/>
      <c r="AJ53" s="584">
        <f>SUM(AJ46:AJ52)</f>
        <v>67</v>
      </c>
      <c r="AK53" s="585"/>
      <c r="AL53" s="584">
        <f>SUM(AL46:AL52)</f>
        <v>67</v>
      </c>
      <c r="AM53" s="585"/>
      <c r="AN53" s="168"/>
      <c r="AP53" s="168"/>
      <c r="AR53" s="168"/>
      <c r="AT53" s="168"/>
      <c r="AV53" s="168"/>
      <c r="AX53" s="168"/>
      <c r="AZ53" s="168"/>
      <c r="BB53" s="168"/>
    </row>
    <row r="56" spans="3:54">
      <c r="C56" s="21" t="s">
        <v>289</v>
      </c>
      <c r="D56" s="21"/>
      <c r="F56" s="21" t="s">
        <v>279</v>
      </c>
      <c r="G56" s="1" t="s">
        <v>280</v>
      </c>
      <c r="H56" s="21" t="s">
        <v>243</v>
      </c>
    </row>
    <row r="57" spans="3:54">
      <c r="C57" s="493"/>
      <c r="D57" s="493"/>
      <c r="F57" s="168">
        <v>0</v>
      </c>
      <c r="G57" s="637">
        <f>+F57/$D$7</f>
        <v>0</v>
      </c>
      <c r="H57">
        <v>0</v>
      </c>
      <c r="J57" s="495">
        <f>+H57*G57</f>
        <v>0</v>
      </c>
      <c r="P57" s="149"/>
      <c r="R57" s="149"/>
      <c r="T57" s="149"/>
      <c r="V57" s="149"/>
      <c r="X57" s="149"/>
      <c r="Z57" s="149"/>
      <c r="AB57" s="149"/>
    </row>
    <row r="58" spans="3:54">
      <c r="C58" s="493"/>
      <c r="D58" s="493"/>
      <c r="F58" s="168">
        <v>0</v>
      </c>
      <c r="G58" s="637">
        <f>+F58/$D$7</f>
        <v>0</v>
      </c>
      <c r="H58">
        <v>0</v>
      </c>
      <c r="J58" s="495">
        <f>+H58*G58</f>
        <v>0</v>
      </c>
      <c r="P58" s="149"/>
      <c r="R58" s="149"/>
      <c r="T58" s="149"/>
      <c r="V58" s="149"/>
      <c r="X58" s="149"/>
      <c r="Z58" s="149"/>
      <c r="AB58" s="149"/>
    </row>
    <row r="59" spans="3:54">
      <c r="C59" s="493"/>
      <c r="D59" s="493"/>
      <c r="F59">
        <v>0</v>
      </c>
      <c r="G59" s="637">
        <f>+F59/$D$7</f>
        <v>0</v>
      </c>
      <c r="H59">
        <v>0</v>
      </c>
      <c r="J59" s="168">
        <f>+H59*G59</f>
        <v>0</v>
      </c>
      <c r="P59" s="149"/>
      <c r="R59" s="149"/>
      <c r="T59" s="149"/>
      <c r="V59" s="149"/>
      <c r="X59" s="149"/>
      <c r="Z59" s="149"/>
      <c r="AB59" s="149"/>
    </row>
    <row r="60" spans="3:54">
      <c r="J60" s="617">
        <f>SUM(J57:J59)</f>
        <v>0</v>
      </c>
      <c r="L60" s="149"/>
      <c r="M60" s="149"/>
      <c r="N60" s="149"/>
      <c r="P60" s="586">
        <f>+$J$60</f>
        <v>0</v>
      </c>
      <c r="Q60" s="585"/>
      <c r="R60" s="586">
        <f>+$J$60</f>
        <v>0</v>
      </c>
      <c r="S60" s="585"/>
      <c r="T60" s="586">
        <f>+$J$60</f>
        <v>0</v>
      </c>
      <c r="U60" s="585"/>
      <c r="V60" s="586">
        <f>+$J$60</f>
        <v>0</v>
      </c>
      <c r="W60" s="585"/>
      <c r="X60" s="586">
        <f>+$J$60</f>
        <v>0</v>
      </c>
      <c r="Y60" s="585"/>
      <c r="Z60" s="586">
        <f>+$J$60</f>
        <v>0</v>
      </c>
      <c r="AA60" s="585"/>
      <c r="AB60" s="586">
        <f>+$J$60</f>
        <v>0</v>
      </c>
      <c r="AC60" s="585"/>
      <c r="AD60" s="586">
        <f>+$J$60</f>
        <v>0</v>
      </c>
      <c r="AE60" s="585"/>
      <c r="AF60" s="586">
        <f>+$J$60</f>
        <v>0</v>
      </c>
      <c r="AG60" s="585"/>
      <c r="AH60" s="586">
        <f>+$J$60</f>
        <v>0</v>
      </c>
      <c r="AI60" s="585"/>
      <c r="AJ60" s="586">
        <f>+$J$60</f>
        <v>0</v>
      </c>
      <c r="AK60" s="585"/>
      <c r="AL60" s="586">
        <f>+$J$60</f>
        <v>0</v>
      </c>
      <c r="AM60" s="585"/>
      <c r="AN60" s="149"/>
      <c r="AP60" s="149"/>
      <c r="AR60" s="149"/>
      <c r="AT60" s="149"/>
      <c r="AV60" s="149"/>
      <c r="AX60" s="149"/>
      <c r="AZ60" s="149"/>
      <c r="BB60" s="149"/>
    </row>
    <row r="62" spans="3:54">
      <c r="C62" s="21" t="s">
        <v>290</v>
      </c>
      <c r="D62" s="21"/>
      <c r="E62" s="493" t="s">
        <v>291</v>
      </c>
      <c r="F62" s="1" t="s">
        <v>292</v>
      </c>
      <c r="G62" s="1" t="s">
        <v>280</v>
      </c>
      <c r="H62" s="1" t="s">
        <v>293</v>
      </c>
      <c r="I62" s="1" t="s">
        <v>294</v>
      </c>
      <c r="J62" s="1" t="s">
        <v>295</v>
      </c>
    </row>
    <row r="63" spans="3:54">
      <c r="C63" s="992" t="str">
        <f>Staff_shift!D25</f>
        <v>Movilización de unidad</v>
      </c>
      <c r="D63" s="493"/>
      <c r="E63" s="493"/>
      <c r="F63" s="528">
        <v>6000000</v>
      </c>
      <c r="G63" s="656">
        <f>+F63/$D$7</f>
        <v>1463.41</v>
      </c>
      <c r="H63" s="493">
        <v>1</v>
      </c>
      <c r="I63" s="1">
        <v>550</v>
      </c>
      <c r="J63" s="656">
        <f>+G63</f>
        <v>1463.41</v>
      </c>
      <c r="P63" s="493">
        <f>+J63*Staff_shift!AG47</f>
        <v>1463.41</v>
      </c>
      <c r="R63">
        <f>+J63*Staff_shift!BN47</f>
        <v>0</v>
      </c>
      <c r="T63">
        <f>+J63*Staff_shift!CU47</f>
        <v>0</v>
      </c>
      <c r="V63">
        <f>+J63*Staff_shift!AG72</f>
        <v>0</v>
      </c>
      <c r="X63">
        <f>+J63*Staff_shift!BN72</f>
        <v>0</v>
      </c>
      <c r="Z63">
        <f>+P63*Staff_shift!CU72</f>
        <v>0</v>
      </c>
      <c r="AB63">
        <f>+J63*Staff_shift!AG97</f>
        <v>0</v>
      </c>
      <c r="AD63">
        <f>+J63*Staff_shift!BN97</f>
        <v>0</v>
      </c>
      <c r="AF63">
        <f>+J63*Staff_shift!CU97</f>
        <v>0</v>
      </c>
      <c r="AH63">
        <f>+J63*Staff_shift!AG122</f>
        <v>0</v>
      </c>
      <c r="AJ63">
        <f>+J63*Staff_shift!BN122</f>
        <v>0</v>
      </c>
      <c r="AL63">
        <f>+J63*Staff_shift!CU122</f>
        <v>1463.41</v>
      </c>
    </row>
    <row r="64" spans="3:54">
      <c r="C64" s="493" t="str">
        <f>Staff_shift!D26</f>
        <v>Transporte de muestras</v>
      </c>
      <c r="D64" s="493"/>
      <c r="F64" s="528">
        <v>1500000</v>
      </c>
      <c r="G64" s="637">
        <f>+(F64/$D$7)</f>
        <v>365.85</v>
      </c>
      <c r="J64" s="656">
        <f>+G64</f>
        <v>365.85</v>
      </c>
      <c r="P64" s="493">
        <f>+J64*Staff_shift!AG48</f>
        <v>0</v>
      </c>
      <c r="R64">
        <f>+J64*Staff_shift!BN48</f>
        <v>0</v>
      </c>
      <c r="T64">
        <f>+J64*Staff_shift!CU48</f>
        <v>0</v>
      </c>
      <c r="V64">
        <f>+J64*Staff_shift!AG73</f>
        <v>0</v>
      </c>
      <c r="X64">
        <f>+J64*Staff_shift!BN73</f>
        <v>0</v>
      </c>
      <c r="Z64">
        <f>+P64*Staff_shift!CU73</f>
        <v>0</v>
      </c>
      <c r="AB64">
        <f>+J64*Staff_shift!AG98</f>
        <v>0</v>
      </c>
      <c r="AD64">
        <f>+J64*Staff_shift!BN98</f>
        <v>0</v>
      </c>
      <c r="AF64">
        <f>+J64*Staff_shift!CU98</f>
        <v>0</v>
      </c>
      <c r="AH64">
        <f>+J64*Staff_shift!AG123</f>
        <v>0</v>
      </c>
      <c r="AJ64">
        <f>+J64*Staff_shift!BN123</f>
        <v>0</v>
      </c>
      <c r="AL64">
        <f>+J64*Staff_shift!CU123</f>
        <v>0</v>
      </c>
    </row>
    <row r="65" spans="3:54">
      <c r="C65" s="493" t="str">
        <f>Staff_shift!D27</f>
        <v>Envío requisiciones</v>
      </c>
      <c r="D65" s="493"/>
      <c r="F65" s="528">
        <v>400000</v>
      </c>
      <c r="G65" s="637">
        <f>+(F65/$D$7)</f>
        <v>97.56</v>
      </c>
      <c r="J65" s="656">
        <f>+G65</f>
        <v>97.56</v>
      </c>
      <c r="P65" s="493">
        <f>+J65*Staff_shift!AG49</f>
        <v>0</v>
      </c>
      <c r="R65">
        <f>+J65*Staff_shift!BN49</f>
        <v>0</v>
      </c>
      <c r="T65">
        <f>+J65*Staff_shift!CU49</f>
        <v>0</v>
      </c>
      <c r="V65">
        <f>+J65*Staff_shift!AG74</f>
        <v>0</v>
      </c>
      <c r="X65">
        <f>+J65*Staff_shift!BN74</f>
        <v>0</v>
      </c>
      <c r="Z65">
        <f>+P65*Staff_shift!CU74</f>
        <v>0</v>
      </c>
      <c r="AB65">
        <f>+J65*Staff_shift!AG99</f>
        <v>0</v>
      </c>
      <c r="AD65">
        <f>+J65*Staff_shift!BN99</f>
        <v>0</v>
      </c>
      <c r="AF65">
        <f>+J65*Staff_shift!CU99</f>
        <v>0</v>
      </c>
      <c r="AH65">
        <f>+J65*Staff_shift!AG124</f>
        <v>0</v>
      </c>
      <c r="AJ65">
        <f>+J65*Staff_shift!BN124</f>
        <v>0</v>
      </c>
      <c r="AL65">
        <f>+J65*Staff_shift!CU124</f>
        <v>0</v>
      </c>
    </row>
    <row r="66" spans="3:54">
      <c r="C66" s="493" t="str">
        <f>Staff_shift!D28</f>
        <v>Envío equipos servicios</v>
      </c>
      <c r="D66" s="493"/>
      <c r="F66" s="528">
        <v>1500000</v>
      </c>
      <c r="G66" s="637">
        <f>+F66/$D$7</f>
        <v>365.85</v>
      </c>
      <c r="H66">
        <v>1</v>
      </c>
      <c r="J66" s="656">
        <f>+G66</f>
        <v>365.85</v>
      </c>
      <c r="P66" s="493">
        <f>+J66*Staff_shift!AG50</f>
        <v>0</v>
      </c>
      <c r="R66">
        <f>+J66*Staff_shift!BN50</f>
        <v>0</v>
      </c>
      <c r="T66">
        <f>+J66*Staff_shift!CU50</f>
        <v>0</v>
      </c>
      <c r="V66">
        <f>+J66*Staff_shift!AG75</f>
        <v>0</v>
      </c>
      <c r="X66">
        <f>+J66*Staff_shift!BN75</f>
        <v>0</v>
      </c>
      <c r="Z66">
        <f>+P66*Staff_shift!CU75</f>
        <v>0</v>
      </c>
      <c r="AB66">
        <f>+J66*Staff_shift!AG100</f>
        <v>0</v>
      </c>
      <c r="AD66">
        <f>+J66*Staff_shift!BN100</f>
        <v>0</v>
      </c>
      <c r="AF66">
        <f>+J66*Staff_shift!CU100</f>
        <v>0</v>
      </c>
      <c r="AH66">
        <f>+J66*Staff_shift!AG125</f>
        <v>0</v>
      </c>
      <c r="AJ66">
        <f>+J66*Staff_shift!BN125</f>
        <v>0</v>
      </c>
      <c r="AL66">
        <f>+J66*Staff_shift!CU125</f>
        <v>0</v>
      </c>
    </row>
    <row r="67" spans="3:54">
      <c r="C67" s="493" t="s">
        <v>296</v>
      </c>
      <c r="D67" s="493"/>
      <c r="F67" s="528">
        <v>120000</v>
      </c>
      <c r="G67" s="637">
        <f>+(F67/$D$7)</f>
        <v>29.27</v>
      </c>
      <c r="H67">
        <v>1</v>
      </c>
      <c r="J67" s="656">
        <f>+G67*E67</f>
        <v>0</v>
      </c>
      <c r="P67" s="656">
        <f>J67</f>
        <v>0</v>
      </c>
    </row>
    <row r="68" spans="3:54">
      <c r="C68" s="493" t="s">
        <v>51</v>
      </c>
      <c r="D68" s="493"/>
      <c r="J68" s="637">
        <f>+SUM(J63:J66)</f>
        <v>2292.67</v>
      </c>
      <c r="P68" s="586">
        <f>+SUM(P63:P67)</f>
        <v>1463</v>
      </c>
      <c r="Q68" s="585"/>
      <c r="R68" s="586">
        <f>+SUM(R63:R67)</f>
        <v>0</v>
      </c>
      <c r="S68" s="585"/>
      <c r="T68" s="586">
        <f>+SUM(T63:T67)</f>
        <v>0</v>
      </c>
      <c r="U68" s="585"/>
      <c r="V68" s="586">
        <f>+SUM(V63:V67)</f>
        <v>0</v>
      </c>
      <c r="W68" s="585"/>
      <c r="X68" s="586">
        <f>+SUM(X63:X67)</f>
        <v>0</v>
      </c>
      <c r="Y68" s="585"/>
      <c r="Z68" s="586">
        <f>+SUM(Z63:Z67)</f>
        <v>0</v>
      </c>
      <c r="AA68" s="585"/>
      <c r="AB68" s="586">
        <f>+SUM(AB63:AB67)</f>
        <v>0</v>
      </c>
      <c r="AC68" s="585"/>
      <c r="AD68" s="586">
        <f>+SUM(AD63:AD67)</f>
        <v>0</v>
      </c>
      <c r="AE68" s="585"/>
      <c r="AF68" s="586">
        <f>+SUM(AF63:AF67)</f>
        <v>0</v>
      </c>
      <c r="AG68" s="585"/>
      <c r="AH68" s="586">
        <f>+SUM(AH63:AH67)</f>
        <v>0</v>
      </c>
      <c r="AI68" s="585"/>
      <c r="AJ68" s="586">
        <f>+SUM(AJ63:AJ67)</f>
        <v>0</v>
      </c>
      <c r="AK68" s="585"/>
      <c r="AL68" s="586">
        <f>+SUM(AL63:AL67)</f>
        <v>1463</v>
      </c>
      <c r="AM68" s="585"/>
      <c r="AP68" s="149"/>
      <c r="AR68" s="149"/>
      <c r="AT68" s="149"/>
      <c r="BB68" s="634"/>
    </row>
    <row r="70" spans="3:54">
      <c r="C70" s="21" t="s">
        <v>297</v>
      </c>
      <c r="D70" s="21"/>
      <c r="F70" s="1" t="s">
        <v>292</v>
      </c>
      <c r="G70" s="1" t="s">
        <v>280</v>
      </c>
      <c r="H70" s="1" t="s">
        <v>243</v>
      </c>
      <c r="I70" s="1"/>
      <c r="J70" s="1" t="s">
        <v>295</v>
      </c>
    </row>
    <row r="71" spans="3:54">
      <c r="C71" s="493" t="s">
        <v>298</v>
      </c>
      <c r="D71" s="493"/>
      <c r="F71" s="149">
        <v>4750000</v>
      </c>
      <c r="G71" s="637">
        <f>+F71/$D$7</f>
        <v>1158.54</v>
      </c>
      <c r="H71">
        <v>0</v>
      </c>
      <c r="J71">
        <f>+H71*G71</f>
        <v>0</v>
      </c>
      <c r="P71" s="585">
        <f>+$J$71</f>
        <v>0</v>
      </c>
      <c r="Q71" s="585"/>
      <c r="R71" s="585"/>
      <c r="S71" s="585"/>
      <c r="T71" s="585"/>
      <c r="U71" s="585"/>
      <c r="V71" s="585"/>
      <c r="W71" s="585"/>
      <c r="X71" s="585"/>
      <c r="Y71" s="585"/>
      <c r="Z71" s="585"/>
      <c r="AA71" s="585"/>
      <c r="AB71" s="585"/>
      <c r="AC71" s="585"/>
      <c r="AD71" s="585"/>
      <c r="AE71" s="585"/>
      <c r="AF71" s="585"/>
      <c r="AG71" s="585"/>
      <c r="AH71" s="585"/>
      <c r="AI71" s="585"/>
      <c r="AJ71" s="585"/>
      <c r="AK71" s="585"/>
      <c r="AL71" s="585"/>
      <c r="AM71" s="585"/>
    </row>
    <row r="73" spans="3:54">
      <c r="C73" s="21" t="s">
        <v>299</v>
      </c>
      <c r="D73" s="21"/>
      <c r="F73" s="1" t="s">
        <v>292</v>
      </c>
      <c r="G73" s="1" t="s">
        <v>280</v>
      </c>
      <c r="H73" s="1" t="s">
        <v>243</v>
      </c>
    </row>
    <row r="74" spans="3:54">
      <c r="C74" s="998" t="s">
        <v>300</v>
      </c>
      <c r="D74" s="21"/>
      <c r="E74">
        <v>1</v>
      </c>
      <c r="F74" s="149">
        <v>120000</v>
      </c>
      <c r="G74" s="178">
        <f>+F74/$D$7</f>
        <v>29</v>
      </c>
      <c r="H74">
        <v>1</v>
      </c>
      <c r="J74" s="149">
        <f>+G74*H74</f>
        <v>29</v>
      </c>
    </row>
    <row r="75" spans="3:54">
      <c r="C75" s="493" t="s">
        <v>301</v>
      </c>
      <c r="D75" s="493"/>
      <c r="E75">
        <v>0</v>
      </c>
      <c r="F75" s="149">
        <v>150000</v>
      </c>
      <c r="G75" s="178">
        <f>+F75/$D$7</f>
        <v>37</v>
      </c>
      <c r="H75">
        <v>2</v>
      </c>
      <c r="J75" s="149">
        <f>+G75*H75*E75</f>
        <v>0</v>
      </c>
    </row>
    <row r="76" spans="3:54">
      <c r="G76" s="149"/>
      <c r="J76" s="617">
        <f>SUM(J74:J75)</f>
        <v>29</v>
      </c>
      <c r="P76" s="586">
        <f>+($J$76/$D$2)*Staff_shift!$X$25</f>
        <v>29</v>
      </c>
      <c r="Q76" s="585"/>
      <c r="R76" s="586"/>
      <c r="S76" s="585"/>
      <c r="T76" s="586"/>
      <c r="U76" s="585"/>
      <c r="V76" s="586"/>
      <c r="W76" s="585"/>
      <c r="X76" s="586"/>
      <c r="Y76" s="585"/>
      <c r="Z76" s="586"/>
      <c r="AA76" s="585"/>
      <c r="AB76" s="586"/>
      <c r="AC76" s="585"/>
      <c r="AD76" s="586"/>
      <c r="AE76" s="585"/>
      <c r="AF76" s="586"/>
      <c r="AG76" s="585"/>
      <c r="AH76" s="586"/>
      <c r="AI76" s="585"/>
      <c r="AJ76" s="586"/>
      <c r="AK76" s="585"/>
      <c r="AL76" s="586"/>
      <c r="AM76" s="585"/>
      <c r="AN76" s="149"/>
      <c r="AP76" s="149"/>
      <c r="AR76" s="149"/>
      <c r="AT76" s="149"/>
      <c r="AV76" s="149"/>
      <c r="AX76" s="149"/>
      <c r="AZ76" s="149"/>
      <c r="BB76" s="149"/>
    </row>
    <row r="77" spans="3:54">
      <c r="C77" s="21" t="s">
        <v>302</v>
      </c>
      <c r="D77" s="21"/>
      <c r="G77" s="1" t="s">
        <v>280</v>
      </c>
      <c r="H77" s="1" t="s">
        <v>303</v>
      </c>
      <c r="J77" s="149" t="s">
        <v>304</v>
      </c>
    </row>
    <row r="78" spans="3:54">
      <c r="C78" s="493" t="s">
        <v>305</v>
      </c>
      <c r="D78" s="493"/>
    </row>
    <row r="79" spans="3:54">
      <c r="C79" s="493" t="s">
        <v>306</v>
      </c>
      <c r="D79" s="493"/>
      <c r="G79" s="585">
        <v>140</v>
      </c>
      <c r="H79">
        <v>0</v>
      </c>
      <c r="J79" s="149">
        <f>+G79*H79</f>
        <v>0</v>
      </c>
      <c r="P79" s="586">
        <f>+$J$79</f>
        <v>0</v>
      </c>
      <c r="R79" s="149"/>
      <c r="T79" s="149"/>
      <c r="V79" s="149"/>
      <c r="X79" s="149"/>
      <c r="Z79" s="149"/>
      <c r="AB79" s="149"/>
      <c r="AD79" s="149"/>
      <c r="AF79" s="149"/>
      <c r="AH79" s="149"/>
      <c r="AJ79" s="149"/>
    </row>
    <row r="80" spans="3:54">
      <c r="C80" s="493"/>
      <c r="D80" s="493"/>
      <c r="J80" s="149"/>
      <c r="P80" s="149"/>
      <c r="R80" s="149"/>
      <c r="T80" s="149"/>
      <c r="V80" s="149"/>
      <c r="X80" s="149"/>
      <c r="Z80" s="149"/>
      <c r="AB80" s="149"/>
      <c r="AD80" s="149"/>
      <c r="AF80" s="149"/>
    </row>
    <row r="81" spans="3:54">
      <c r="C81" s="21" t="s">
        <v>307</v>
      </c>
      <c r="D81" s="21"/>
      <c r="F81" s="1" t="s">
        <v>292</v>
      </c>
      <c r="G81" s="1" t="s">
        <v>280</v>
      </c>
      <c r="H81" s="1" t="s">
        <v>308</v>
      </c>
    </row>
    <row r="82" spans="3:54">
      <c r="C82" s="998" t="s">
        <v>309</v>
      </c>
      <c r="D82" s="21"/>
      <c r="F82" s="149">
        <v>1500000</v>
      </c>
      <c r="G82" s="637">
        <f>F82/D7</f>
        <v>365.85</v>
      </c>
      <c r="H82" s="493">
        <v>1</v>
      </c>
      <c r="I82" s="493"/>
      <c r="P82" s="642">
        <f>G82/3</f>
        <v>121.95</v>
      </c>
      <c r="T82">
        <f>R82</f>
        <v>0</v>
      </c>
      <c r="V82">
        <f>T82</f>
        <v>0</v>
      </c>
      <c r="X82">
        <f>P82</f>
        <v>121.95</v>
      </c>
      <c r="AB82">
        <f>Z82</f>
        <v>0</v>
      </c>
      <c r="AD82">
        <f>AB82</f>
        <v>0</v>
      </c>
      <c r="AF82">
        <f>P82</f>
        <v>121.95</v>
      </c>
      <c r="AJ82">
        <f>AH82</f>
        <v>0</v>
      </c>
      <c r="AL82">
        <f>P82</f>
        <v>121.95</v>
      </c>
    </row>
    <row r="83" spans="3:54">
      <c r="C83" s="510"/>
      <c r="D83" s="21"/>
      <c r="F83" s="149"/>
      <c r="G83" s="493"/>
      <c r="H83" s="493"/>
      <c r="I83" s="493"/>
      <c r="P83" s="642">
        <f ca="1">$H83*Staff_shift!$R$28</f>
        <v>0</v>
      </c>
      <c r="R83">
        <f ca="1">P83</f>
        <v>0</v>
      </c>
      <c r="T83">
        <f ca="1">R83</f>
        <v>0</v>
      </c>
      <c r="V83">
        <f ca="1">T83</f>
        <v>0</v>
      </c>
      <c r="X83">
        <f ca="1">V83</f>
        <v>0</v>
      </c>
      <c r="Z83">
        <f ca="1">X83</f>
        <v>0</v>
      </c>
      <c r="AB83">
        <f ca="1">Z83</f>
        <v>0</v>
      </c>
      <c r="AD83">
        <f ca="1">AB83</f>
        <v>0</v>
      </c>
      <c r="AF83">
        <f ca="1">AD83</f>
        <v>0</v>
      </c>
      <c r="AH83">
        <f ca="1">AF83</f>
        <v>0</v>
      </c>
      <c r="AJ83">
        <f ca="1">AH83</f>
        <v>0</v>
      </c>
      <c r="AL83">
        <f ca="1">AJ83</f>
        <v>0</v>
      </c>
    </row>
    <row r="84" spans="3:54">
      <c r="C84" s="510"/>
      <c r="D84" s="21"/>
      <c r="F84" s="1"/>
      <c r="G84" s="1"/>
      <c r="H84" s="1"/>
    </row>
    <row r="85" spans="3:54">
      <c r="C85" s="493"/>
      <c r="D85" s="493"/>
      <c r="F85" s="149">
        <v>585000</v>
      </c>
      <c r="G85" s="178">
        <f>+F85/$D$7</f>
        <v>143</v>
      </c>
      <c r="H85">
        <v>1</v>
      </c>
      <c r="J85">
        <f>+H85*G85</f>
        <v>143</v>
      </c>
      <c r="P85" s="586">
        <f ca="1">SUM(P82:P84)</f>
        <v>122</v>
      </c>
      <c r="Q85" s="585"/>
      <c r="R85" s="586">
        <f ca="1">SUM(R82:R84)</f>
        <v>0</v>
      </c>
      <c r="S85" s="585"/>
      <c r="T85" s="586">
        <f ca="1">SUM(T82:T84)</f>
        <v>0</v>
      </c>
      <c r="U85" s="585"/>
      <c r="V85" s="586">
        <f ca="1">SUM(V82:V84)</f>
        <v>0</v>
      </c>
      <c r="W85" s="585"/>
      <c r="X85" s="586">
        <f ca="1">SUM(X82:X84)</f>
        <v>122</v>
      </c>
      <c r="Y85" s="585"/>
      <c r="Z85" s="586">
        <f ca="1">SUM(Z82:Z84)</f>
        <v>0</v>
      </c>
      <c r="AA85" s="585"/>
      <c r="AB85" s="586">
        <f ca="1">SUM(AB82:AB84)</f>
        <v>0</v>
      </c>
      <c r="AC85" s="585"/>
      <c r="AD85" s="586">
        <f ca="1">SUM(AD82:AD84)</f>
        <v>0</v>
      </c>
      <c r="AE85" s="585"/>
      <c r="AF85" s="586">
        <f ca="1">SUM(AF82:AF84)</f>
        <v>122</v>
      </c>
      <c r="AG85" s="585"/>
      <c r="AH85" s="586">
        <f ca="1">SUM(AH82:AH84)</f>
        <v>0</v>
      </c>
      <c r="AI85" s="585"/>
      <c r="AJ85" s="586">
        <f ca="1">SUM(AJ82:AJ84)</f>
        <v>0</v>
      </c>
      <c r="AK85" s="585"/>
      <c r="AL85" s="586">
        <f ca="1">SUM(AL82:AL84)</f>
        <v>122</v>
      </c>
      <c r="AM85" s="585"/>
      <c r="AN85" s="149"/>
      <c r="AP85" s="149"/>
      <c r="AR85" s="149"/>
      <c r="AT85" s="149"/>
      <c r="AV85" s="149"/>
      <c r="AX85" s="149"/>
      <c r="AZ85" s="149"/>
      <c r="BB85" s="149"/>
    </row>
    <row r="86" spans="3:54">
      <c r="C86" s="493"/>
      <c r="D86" s="493"/>
      <c r="P86" s="149"/>
      <c r="R86" s="149"/>
      <c r="T86" s="149"/>
      <c r="V86" s="149"/>
      <c r="X86" s="149"/>
      <c r="Z86" s="149"/>
      <c r="AB86" s="149"/>
      <c r="AD86" s="149"/>
      <c r="AF86" s="149"/>
      <c r="AH86" s="149"/>
      <c r="AJ86" s="149"/>
      <c r="AL86" s="149"/>
      <c r="AN86" s="149"/>
      <c r="AP86" s="149"/>
      <c r="AR86" s="149"/>
      <c r="AT86" s="149"/>
      <c r="AV86" s="149"/>
      <c r="AX86" s="149"/>
      <c r="AZ86" s="149"/>
      <c r="BB86" s="149"/>
    </row>
    <row r="87" spans="3:54">
      <c r="C87" s="21" t="s">
        <v>310</v>
      </c>
      <c r="D87" s="21"/>
      <c r="F87" s="1" t="s">
        <v>311</v>
      </c>
      <c r="G87" t="s">
        <v>293</v>
      </c>
      <c r="J87" t="s">
        <v>312</v>
      </c>
      <c r="K87" s="493" t="s">
        <v>313</v>
      </c>
      <c r="L87" s="493" t="s">
        <v>314</v>
      </c>
      <c r="M87" s="493"/>
      <c r="N87" s="493"/>
      <c r="P87" s="149"/>
      <c r="R87" s="149"/>
      <c r="T87" s="149"/>
      <c r="V87" s="149"/>
      <c r="X87" s="149"/>
      <c r="Z87" s="149"/>
      <c r="AB87" s="149"/>
      <c r="AD87" s="149"/>
      <c r="AF87" s="149"/>
      <c r="AH87" s="149"/>
      <c r="AJ87" s="149"/>
      <c r="AL87" s="149"/>
      <c r="AN87" s="149"/>
      <c r="AP87" s="149"/>
      <c r="AR87" s="149"/>
      <c r="AT87" s="149"/>
      <c r="AV87" s="149"/>
      <c r="AX87" s="149"/>
      <c r="AZ87" s="149"/>
      <c r="BB87" s="149"/>
    </row>
    <row r="88" spans="3:54">
      <c r="C88" s="493" t="s">
        <v>315</v>
      </c>
      <c r="D88" s="493"/>
      <c r="F88">
        <v>0</v>
      </c>
      <c r="G88">
        <v>300</v>
      </c>
      <c r="H88" s="493" t="s">
        <v>316</v>
      </c>
      <c r="J88" s="187">
        <v>320</v>
      </c>
      <c r="K88">
        <f>+J88*G88*F88</f>
        <v>0</v>
      </c>
      <c r="L88">
        <v>7</v>
      </c>
      <c r="P88" s="149"/>
      <c r="R88" s="149"/>
      <c r="T88" s="149"/>
      <c r="V88" s="149"/>
      <c r="X88" s="149"/>
      <c r="Z88" s="149"/>
      <c r="AB88" s="149"/>
      <c r="AD88" s="149"/>
      <c r="AF88" s="149"/>
      <c r="AH88" s="149"/>
      <c r="AJ88" s="149"/>
      <c r="AL88" s="149"/>
      <c r="AP88" s="149"/>
      <c r="AR88" s="149"/>
      <c r="AT88" s="149"/>
    </row>
    <row r="89" spans="3:54">
      <c r="C89" s="493" t="s">
        <v>317</v>
      </c>
      <c r="D89" s="493"/>
      <c r="F89">
        <v>0</v>
      </c>
      <c r="G89">
        <v>600</v>
      </c>
      <c r="H89" s="493" t="s">
        <v>316</v>
      </c>
      <c r="J89" s="187">
        <v>37</v>
      </c>
      <c r="K89">
        <f>+J89*G89*F89</f>
        <v>0</v>
      </c>
      <c r="AD89" s="149"/>
      <c r="AF89" s="149"/>
      <c r="AH89" s="149"/>
      <c r="AJ89" s="149"/>
      <c r="AP89" s="149"/>
      <c r="AR89" s="149"/>
      <c r="AT89" s="149"/>
    </row>
    <row r="90" spans="3:54">
      <c r="C90" s="493" t="s">
        <v>318</v>
      </c>
      <c r="D90" s="493"/>
      <c r="F90">
        <v>0</v>
      </c>
      <c r="G90">
        <v>600</v>
      </c>
      <c r="H90" s="493"/>
      <c r="J90" s="187">
        <v>179</v>
      </c>
      <c r="K90">
        <f>+J90*G90*F90</f>
        <v>0</v>
      </c>
      <c r="AD90" s="149"/>
      <c r="AF90" s="149"/>
      <c r="AH90" s="149"/>
      <c r="AJ90" s="149"/>
      <c r="AP90" s="149"/>
      <c r="AR90" s="149"/>
      <c r="AT90" s="149"/>
    </row>
    <row r="91" spans="3:54">
      <c r="C91" s="493" t="s">
        <v>319</v>
      </c>
      <c r="D91" s="493"/>
      <c r="F91">
        <v>0</v>
      </c>
      <c r="G91">
        <v>600</v>
      </c>
      <c r="H91" s="493"/>
      <c r="J91" s="187">
        <v>106</v>
      </c>
      <c r="K91">
        <f>+J91*G91*F91</f>
        <v>0</v>
      </c>
      <c r="AD91" s="149"/>
      <c r="AF91" s="149"/>
      <c r="AH91" s="149"/>
      <c r="AJ91" s="149"/>
      <c r="AP91" s="149"/>
      <c r="AR91" s="149"/>
      <c r="AT91" s="149"/>
    </row>
    <row r="92" spans="3:54">
      <c r="C92" s="493" t="s">
        <v>320</v>
      </c>
      <c r="D92" s="493"/>
      <c r="F92">
        <v>0</v>
      </c>
      <c r="G92">
        <v>0</v>
      </c>
      <c r="H92" s="493">
        <v>30</v>
      </c>
      <c r="J92" s="187">
        <f>+H92*G92</f>
        <v>0</v>
      </c>
      <c r="K92">
        <v>0</v>
      </c>
    </row>
    <row r="93" spans="3:54">
      <c r="C93" s="493" t="s">
        <v>321</v>
      </c>
      <c r="D93" s="493"/>
      <c r="F93">
        <v>0</v>
      </c>
      <c r="G93">
        <v>0</v>
      </c>
      <c r="H93">
        <v>1</v>
      </c>
      <c r="J93" s="187">
        <f>+H93*G93</f>
        <v>0</v>
      </c>
      <c r="K93">
        <v>0</v>
      </c>
    </row>
    <row r="94" spans="3:54">
      <c r="C94" s="493" t="s">
        <v>322</v>
      </c>
      <c r="D94" s="493"/>
      <c r="F94">
        <v>0</v>
      </c>
      <c r="G94">
        <v>0</v>
      </c>
      <c r="H94">
        <v>30</v>
      </c>
      <c r="J94" s="187">
        <f>+H94*G94</f>
        <v>0</v>
      </c>
    </row>
    <row r="95" spans="3:54">
      <c r="C95" s="493" t="s">
        <v>323</v>
      </c>
      <c r="D95" s="493"/>
      <c r="F95">
        <v>0</v>
      </c>
      <c r="K95" s="636">
        <f>SUM(K88:K94)</f>
        <v>0</v>
      </c>
      <c r="P95" s="586">
        <f>+$K$95/$L$88</f>
        <v>0</v>
      </c>
      <c r="Q95" s="585"/>
      <c r="R95" s="586"/>
      <c r="S95" s="586"/>
      <c r="T95" s="586"/>
      <c r="U95" s="586"/>
      <c r="V95" s="586"/>
      <c r="W95" s="586"/>
      <c r="X95" s="586"/>
      <c r="Y95" s="586"/>
      <c r="Z95" s="586"/>
      <c r="AA95" s="586"/>
      <c r="AB95" s="586"/>
      <c r="AC95" s="586"/>
      <c r="AD95" s="586"/>
      <c r="AE95" s="586"/>
      <c r="AF95" s="586"/>
      <c r="AG95" s="586"/>
      <c r="AH95" s="586"/>
      <c r="AI95" s="586"/>
      <c r="AJ95" s="586"/>
      <c r="AK95" s="586"/>
      <c r="AL95" s="586"/>
      <c r="AM95" s="586"/>
      <c r="AN95" s="149"/>
      <c r="AO95" s="149"/>
      <c r="AP95" s="149"/>
      <c r="AQ95" s="149"/>
      <c r="AR95" s="149"/>
      <c r="AS95" s="149"/>
      <c r="AT95" s="149"/>
      <c r="AU95" s="149"/>
      <c r="AV95" s="149"/>
      <c r="AW95" s="149"/>
      <c r="AX95" s="149"/>
      <c r="AY95" s="149"/>
      <c r="AZ95" s="149"/>
      <c r="BA95" s="149"/>
      <c r="BB95" s="149"/>
    </row>
    <row r="96" spans="3:54">
      <c r="C96" s="493"/>
      <c r="D96" s="493"/>
      <c r="K96" s="636"/>
      <c r="AD96" s="149"/>
      <c r="AE96" s="149"/>
      <c r="AF96" s="149"/>
      <c r="AG96" s="149"/>
      <c r="AH96" s="149"/>
      <c r="AI96" s="149"/>
      <c r="AJ96" s="149"/>
      <c r="AK96" s="149"/>
      <c r="AL96" s="149"/>
      <c r="AM96" s="149"/>
      <c r="AN96" s="149"/>
      <c r="AO96" s="149"/>
      <c r="AP96" s="149"/>
      <c r="AQ96" s="149"/>
      <c r="AR96" s="149"/>
      <c r="AS96" s="149"/>
      <c r="AT96" s="149"/>
      <c r="AU96" s="149"/>
      <c r="AV96" s="149"/>
      <c r="AW96" s="149"/>
      <c r="AX96" s="149"/>
      <c r="AY96" s="149"/>
      <c r="AZ96" s="149"/>
      <c r="BA96" s="149"/>
      <c r="BB96" s="149"/>
    </row>
    <row r="97" spans="1:54">
      <c r="C97" s="21" t="s">
        <v>324</v>
      </c>
      <c r="D97" s="21"/>
      <c r="G97" s="1" t="s">
        <v>280</v>
      </c>
      <c r="H97" s="1" t="s">
        <v>325</v>
      </c>
    </row>
    <row r="98" spans="1:54">
      <c r="C98" s="493" t="s">
        <v>326</v>
      </c>
      <c r="D98" s="493"/>
      <c r="G98" s="581"/>
      <c r="H98">
        <v>1</v>
      </c>
      <c r="J98" s="168">
        <f>+G98/H98</f>
        <v>0</v>
      </c>
      <c r="K98">
        <v>11</v>
      </c>
    </row>
    <row r="99" spans="1:54">
      <c r="C99" s="493" t="s">
        <v>327</v>
      </c>
      <c r="D99" s="493"/>
      <c r="G99" s="616"/>
      <c r="H99">
        <v>1</v>
      </c>
      <c r="J99" s="168">
        <f>+G99/H99</f>
        <v>0</v>
      </c>
    </row>
    <row r="100" spans="1:54">
      <c r="C100" s="493" t="s">
        <v>328</v>
      </c>
      <c r="D100" s="493"/>
      <c r="G100" s="610"/>
      <c r="J100" s="168">
        <f>SUM(J98:J99)+G100</f>
        <v>0</v>
      </c>
      <c r="P100" s="584">
        <f>+$J$100</f>
        <v>0</v>
      </c>
      <c r="Q100" s="585"/>
      <c r="R100" s="584"/>
      <c r="S100" s="585"/>
      <c r="T100" s="584"/>
      <c r="U100" s="585"/>
      <c r="V100" s="584"/>
      <c r="W100" s="585"/>
      <c r="X100" s="584"/>
      <c r="Y100" s="585"/>
      <c r="Z100" s="584"/>
      <c r="AA100" s="585"/>
      <c r="AB100" s="584"/>
      <c r="AC100" s="585"/>
      <c r="AD100" s="584"/>
      <c r="AE100" s="585"/>
      <c r="AF100" s="584"/>
      <c r="AG100" s="585"/>
      <c r="AH100" s="584"/>
      <c r="AI100" s="585"/>
      <c r="AJ100" s="584"/>
      <c r="AK100" s="585"/>
      <c r="AL100" s="168"/>
      <c r="AN100" s="168"/>
      <c r="AP100" s="168"/>
      <c r="AR100" s="168"/>
      <c r="AT100" s="168"/>
      <c r="AV100" s="168"/>
      <c r="AX100" s="168"/>
      <c r="AZ100" s="168"/>
      <c r="BB100" s="168"/>
    </row>
    <row r="102" spans="1:54">
      <c r="A102" s="983"/>
      <c r="B102" s="983"/>
      <c r="C102" s="983" t="s">
        <v>329</v>
      </c>
      <c r="D102" s="983"/>
      <c r="E102" s="983"/>
      <c r="F102" s="983"/>
      <c r="G102" s="983" t="s">
        <v>280</v>
      </c>
      <c r="H102" s="983" t="s">
        <v>325</v>
      </c>
      <c r="I102" s="983"/>
      <c r="J102" s="983"/>
      <c r="K102" s="983"/>
      <c r="L102" s="983"/>
    </row>
    <row r="103" spans="1:54">
      <c r="C103" s="493" t="s">
        <v>330</v>
      </c>
      <c r="D103" s="493" t="s">
        <v>331</v>
      </c>
      <c r="G103" s="999">
        <v>0.02</v>
      </c>
    </row>
    <row r="104" spans="1:54">
      <c r="C104" s="493"/>
      <c r="D104" s="493"/>
    </row>
    <row r="105" spans="1:54">
      <c r="C105" s="493"/>
      <c r="D105" s="493"/>
      <c r="P105" s="584">
        <f ca="1">Sales!F13*Cost!$G$103</f>
        <v>22.88</v>
      </c>
      <c r="Q105" s="585"/>
      <c r="R105" s="584">
        <f ca="1">Sales!H13*Cost!$G$103</f>
        <v>54.56</v>
      </c>
      <c r="S105" s="585"/>
      <c r="T105" s="584">
        <f ca="1">Sales!J13*Cost!$G$103</f>
        <v>54.56</v>
      </c>
      <c r="U105" s="585"/>
      <c r="V105" s="584">
        <f ca="1">Sales!L13*Cost!$G$103</f>
        <v>54.56</v>
      </c>
      <c r="W105" s="585"/>
      <c r="X105" s="584">
        <f ca="1">Sales!N13*Cost!$G$103</f>
        <v>54.56</v>
      </c>
      <c r="Y105" s="585"/>
      <c r="Z105" s="584">
        <f ca="1">Sales!P13*Cost!$G$103</f>
        <v>54.56</v>
      </c>
      <c r="AA105" s="585"/>
      <c r="AB105" s="584">
        <f ca="1">Sales!R13*Cost!$G$103</f>
        <v>54.56</v>
      </c>
      <c r="AC105" s="585"/>
      <c r="AD105" s="584">
        <f ca="1">Sales!T13*Cost!$G$103</f>
        <v>54.56</v>
      </c>
      <c r="AE105" s="585"/>
      <c r="AF105" s="584">
        <f ca="1">Sales!V13*Cost!$G$103</f>
        <v>54.56</v>
      </c>
      <c r="AG105" s="585"/>
      <c r="AH105" s="584">
        <f ca="1">Sales!X13*Cost!$G$103</f>
        <v>54.56</v>
      </c>
      <c r="AI105" s="585"/>
      <c r="AJ105" s="584">
        <f ca="1">Sales!Z13*Cost!$G$103</f>
        <v>54.56</v>
      </c>
      <c r="AK105" s="585"/>
      <c r="AL105" s="584">
        <f ca="1">Sales!AB13*Cost!$G$103</f>
        <v>8.8000000000000007</v>
      </c>
      <c r="AN105" s="168"/>
      <c r="AP105" s="168"/>
      <c r="AR105" s="168"/>
      <c r="AT105" s="168"/>
      <c r="AV105" s="168"/>
      <c r="AX105" s="168"/>
      <c r="AZ105" s="168"/>
      <c r="BB105" s="168"/>
    </row>
    <row r="107" spans="1:54">
      <c r="C107" s="21" t="s">
        <v>332</v>
      </c>
      <c r="D107" s="21"/>
      <c r="F107" s="1" t="s">
        <v>333</v>
      </c>
      <c r="H107" s="493" t="s">
        <v>334</v>
      </c>
      <c r="I107" s="493"/>
    </row>
    <row r="108" spans="1:54">
      <c r="C108" s="493" t="str">
        <f>Depreciación!A2</f>
        <v>Paneles LONGI LR5-72HPH 550Wp</v>
      </c>
      <c r="D108" s="493"/>
      <c r="F108">
        <v>0</v>
      </c>
      <c r="H108" s="168">
        <f>Depreciación!E2</f>
        <v>142</v>
      </c>
      <c r="I108" s="168"/>
    </row>
    <row r="109" spans="1:54">
      <c r="C109" s="493" t="str">
        <f>Depreciación!A3</f>
        <v>Inversores Inversor/cargador Multiplus-II 48/5000</v>
      </c>
      <c r="D109" s="493"/>
      <c r="F109">
        <v>0</v>
      </c>
      <c r="H109" s="168">
        <f>Depreciación!E3</f>
        <v>173</v>
      </c>
      <c r="I109" s="168"/>
    </row>
    <row r="110" spans="1:54">
      <c r="C110" s="493" t="str">
        <f>Depreciación!A4</f>
        <v>Cajas Combinadoras</v>
      </c>
      <c r="D110" s="493"/>
      <c r="F110">
        <v>0</v>
      </c>
      <c r="H110" s="168">
        <f>Depreciación!E4</f>
        <v>46</v>
      </c>
      <c r="I110" s="168"/>
    </row>
    <row r="111" spans="1:54">
      <c r="C111" s="493" t="str">
        <f>Depreciación!A5</f>
        <v>Baterías Narada - Litio 48V/50Ah</v>
      </c>
      <c r="D111" s="493"/>
      <c r="F111">
        <v>0</v>
      </c>
      <c r="H111" s="168">
        <f>Depreciación!E5</f>
        <v>385</v>
      </c>
      <c r="I111" s="168"/>
    </row>
    <row r="112" spans="1:54">
      <c r="C112" s="493" t="str">
        <f>Depreciación!A6</f>
        <v>Controlador de Carga SmartSolar MPPT 250/60-Tr</v>
      </c>
      <c r="D112" s="493"/>
      <c r="F112">
        <v>0</v>
      </c>
      <c r="H112" s="168">
        <f>Depreciación!E6</f>
        <v>122</v>
      </c>
      <c r="I112" s="168"/>
    </row>
    <row r="113" spans="3:57">
      <c r="C113" s="493"/>
      <c r="D113" s="610"/>
      <c r="H113" s="570"/>
      <c r="I113" s="168"/>
    </row>
    <row r="114" spans="3:57">
      <c r="C114" s="493"/>
      <c r="D114" s="493"/>
      <c r="H114" s="168"/>
      <c r="I114" s="168"/>
    </row>
    <row r="115" spans="3:57">
      <c r="C115" s="493"/>
      <c r="H115" s="617">
        <f>SUM(H108:H114)</f>
        <v>868</v>
      </c>
      <c r="I115" s="582"/>
      <c r="K115" s="493"/>
      <c r="P115" s="584">
        <f>+($H$115+$I$115)/12</f>
        <v>72.33</v>
      </c>
      <c r="Q115" s="585"/>
      <c r="R115" s="584">
        <f>P115</f>
        <v>72.33</v>
      </c>
      <c r="S115" s="585"/>
      <c r="T115" s="584">
        <f>R115</f>
        <v>72.33</v>
      </c>
      <c r="U115" s="585"/>
      <c r="V115" s="584">
        <f>T115</f>
        <v>72.33</v>
      </c>
      <c r="W115" s="585"/>
      <c r="X115" s="584">
        <f>V115</f>
        <v>72.33</v>
      </c>
      <c r="Y115" s="585"/>
      <c r="Z115" s="584">
        <f>X115</f>
        <v>72.33</v>
      </c>
      <c r="AA115" s="585"/>
      <c r="AB115" s="584">
        <f>Z115</f>
        <v>72.33</v>
      </c>
      <c r="AC115" s="585"/>
      <c r="AD115" s="584">
        <f>AB115</f>
        <v>72.33</v>
      </c>
      <c r="AE115" s="585"/>
      <c r="AF115" s="584">
        <f>AD115</f>
        <v>72.33</v>
      </c>
      <c r="AG115" s="585"/>
      <c r="AH115" s="584">
        <f>AF115</f>
        <v>72.33</v>
      </c>
      <c r="AI115" s="585"/>
      <c r="AJ115" s="584">
        <f>AH115</f>
        <v>72.33</v>
      </c>
      <c r="AK115" s="585"/>
      <c r="AL115" s="584">
        <f>AJ115</f>
        <v>72.33</v>
      </c>
      <c r="AM115" s="585"/>
      <c r="BD115" s="637"/>
    </row>
    <row r="116" spans="3:57">
      <c r="C116" s="493"/>
      <c r="H116" s="149"/>
      <c r="I116" s="149"/>
    </row>
    <row r="117" spans="3:57">
      <c r="C117" s="633" t="s">
        <v>335</v>
      </c>
      <c r="H117" s="149"/>
      <c r="I117" s="149"/>
    </row>
    <row r="118" spans="3:57">
      <c r="C118" s="633"/>
      <c r="H118" s="149"/>
      <c r="I118" s="149"/>
    </row>
    <row r="119" spans="3:57">
      <c r="C119" s="813" t="s">
        <v>100</v>
      </c>
      <c r="H119" s="617">
        <f>'Presupuesto Inversión'!C17</f>
        <v>3929</v>
      </c>
      <c r="I119" s="149"/>
    </row>
    <row r="120" spans="3:57">
      <c r="C120" s="493"/>
      <c r="H120" s="149"/>
      <c r="I120" s="149"/>
    </row>
    <row r="121" spans="3:57">
      <c r="H121" s="149"/>
      <c r="I121" s="149"/>
      <c r="P121" s="584">
        <f>H119/(5*12)</f>
        <v>65.48</v>
      </c>
      <c r="Q121" s="585"/>
      <c r="R121" s="584">
        <f>P121</f>
        <v>65.48</v>
      </c>
      <c r="S121" s="585"/>
      <c r="T121" s="584">
        <f>R121</f>
        <v>65.48</v>
      </c>
      <c r="U121" s="585"/>
      <c r="V121" s="584">
        <f>T121</f>
        <v>65.48</v>
      </c>
      <c r="W121" s="585"/>
      <c r="X121" s="584">
        <f>V121</f>
        <v>65.48</v>
      </c>
      <c r="Y121" s="585"/>
      <c r="Z121" s="584">
        <f>X121</f>
        <v>65.48</v>
      </c>
      <c r="AA121" s="585"/>
      <c r="AB121" s="584">
        <f>Z121</f>
        <v>65.48</v>
      </c>
      <c r="AC121" s="585"/>
      <c r="AD121" s="584">
        <f>AB121</f>
        <v>65.48</v>
      </c>
      <c r="AE121" s="585"/>
      <c r="AF121" s="584">
        <f>AD121</f>
        <v>65.48</v>
      </c>
      <c r="AG121" s="585"/>
      <c r="AH121" s="584">
        <f>AF121</f>
        <v>65.48</v>
      </c>
      <c r="AI121" s="585"/>
      <c r="AJ121" s="584">
        <f>AH121</f>
        <v>65.48</v>
      </c>
      <c r="AK121" s="585"/>
      <c r="AL121" s="584">
        <f>AJ121</f>
        <v>65.48</v>
      </c>
      <c r="AM121" s="585"/>
    </row>
    <row r="122" spans="3:57">
      <c r="H122" s="149"/>
      <c r="I122" s="149"/>
    </row>
    <row r="123" spans="3:57">
      <c r="C123" s="493" t="s">
        <v>336</v>
      </c>
      <c r="D123" s="493"/>
      <c r="H123" s="617">
        <f>+H115+G99+G98+J76+J53+P28+L4</f>
        <v>1180</v>
      </c>
      <c r="I123" s="582"/>
      <c r="J123" s="493" t="s">
        <v>337</v>
      </c>
    </row>
    <row r="125" spans="3:57">
      <c r="C125" s="493" t="s">
        <v>338</v>
      </c>
      <c r="D125" s="493"/>
      <c r="H125" s="618">
        <f>+H123-H115-P28</f>
        <v>294</v>
      </c>
      <c r="I125" s="583"/>
    </row>
    <row r="126" spans="3:57">
      <c r="C126" s="493"/>
      <c r="D126" s="493"/>
      <c r="H126" s="583"/>
      <c r="I126" s="583"/>
    </row>
    <row r="127" spans="3:57">
      <c r="P127" s="168">
        <f ca="1">+P28+P43+P53+P60+P68+P71+P76+P79+P85+P95+P100+P115+P121+P105+P34</f>
        <v>2084.89</v>
      </c>
      <c r="Q127" s="168"/>
      <c r="R127" s="168">
        <f ca="1">+R28+R43+R53+R60+R68+R71+R76+R79+R85+R95+R100+R115+R121+R105+R34</f>
        <v>289.77999999999997</v>
      </c>
      <c r="S127" s="168"/>
      <c r="T127" s="168">
        <f ca="1">+T28+T43+T53+T60+T68+T71+T76+T79+T85+T95+T100+T115+T121+T105+T34</f>
        <v>289.77999999999997</v>
      </c>
      <c r="U127" s="168"/>
      <c r="V127" s="168">
        <f ca="1">+V28+V43+V53+V60+V68+V71+V76+V79+V85+V95+V100+V115+V121+V105+V34</f>
        <v>289.77999999999997</v>
      </c>
      <c r="W127" s="168"/>
      <c r="X127" s="168">
        <f ca="1">+X28+X43+X53+X60+X68+X71+X76+X79+X85+X95+X100+X115+X121+X105+X34</f>
        <v>636.86</v>
      </c>
      <c r="Y127" s="168">
        <f>+Y28+Y43+Y53+Y60+Y68+Y71+Y76+Y79+Y85+Y95+Y100+Y115</f>
        <v>0</v>
      </c>
      <c r="Z127" s="168">
        <f ca="1">+Z28+Z43+Z53+Z60+Z68+Z71+Z76+Z79+Z85+Z95+Z100+Z115+Z121+Z105+Z34</f>
        <v>289.77999999999997</v>
      </c>
      <c r="AA127" s="168"/>
      <c r="AB127" s="168">
        <f ca="1">+AB28+AB43+AB53+AB60+AB68+AB71+AB76+AB79+AB85+AB95+AB100+AB115+AB121+AB105+AB34</f>
        <v>289.77999999999997</v>
      </c>
      <c r="AC127" s="168"/>
      <c r="AD127" s="168">
        <f ca="1">+AD28+AD43+AD53+AD60+AD68+AD71+AD76+AD79+AD85+AD95+AD100+AD115+AD121+AD105+AD34</f>
        <v>289.77999999999997</v>
      </c>
      <c r="AE127" s="168"/>
      <c r="AF127" s="168">
        <f ca="1">+AF28+AF43+AF53+AF60+AF68+AF71+AF76+AF79+AF85+AF95+AF100+AF115+AF121+AF105+AF34</f>
        <v>636.86</v>
      </c>
      <c r="AG127" s="168"/>
      <c r="AH127" s="168">
        <f ca="1">+AH28+AH43+AH53+AH60+AH68+AH71+AH76+AH79+AH85+AH95+AH100+AH115+AH121+AH105+AH34</f>
        <v>289.77999999999997</v>
      </c>
      <c r="AI127" s="168">
        <f>+AI28+AI43+AI53+AI60+AI68+AI71+AI76+AI79+AI85+AI95+AI100+AI115</f>
        <v>0</v>
      </c>
      <c r="AJ127" s="168">
        <f ca="1">+AJ28+AJ43+AJ53+AJ60+AJ68+AJ71+AJ76+AJ79+AJ85+AJ95+AJ100+AJ115+AJ121+AJ105+AJ34</f>
        <v>289.77999999999997</v>
      </c>
      <c r="AK127" s="168"/>
      <c r="AL127" s="168">
        <f ca="1">+AL28+AL43+AL53+AL60+AL68+AL71+AL76+AL79+AL85+AL95+AL100+AL115+AL121+AL105+AL34</f>
        <v>2036.03</v>
      </c>
      <c r="AN127" s="168">
        <f>SUM(AN3:AN126)-SUM(AN88:AN94)</f>
        <v>0</v>
      </c>
      <c r="AP127" s="168">
        <f>SUM(AP3:AP126)-SUM(AP88:AP94)</f>
        <v>0</v>
      </c>
      <c r="AR127" s="168">
        <f>SUM(AR4:AR126)-SUM(AR88:AR94)</f>
        <v>0</v>
      </c>
      <c r="AT127" s="168">
        <f>SUM(AT4:AT126)-SUM(AT88:AT94)</f>
        <v>0</v>
      </c>
      <c r="AV127" s="168">
        <f>SUM(AV4:AV126)-SUM(AV88:AV94)</f>
        <v>0</v>
      </c>
      <c r="AX127" s="168">
        <f>SUM(AX4:AX126)-SUM(AX88:AX94)</f>
        <v>0</v>
      </c>
      <c r="AZ127" s="168">
        <f>SUM(AZ4:AZ126)-SUM(AZ88:AZ94)</f>
        <v>0</v>
      </c>
      <c r="BB127" s="168">
        <f>SUM(BB4:BB126)-SUM(BB88:BB94)</f>
        <v>0</v>
      </c>
      <c r="BD127" s="168">
        <f ca="1">+SUM(P127:BB127)</f>
        <v>7712.88</v>
      </c>
      <c r="BE127" s="493" t="s">
        <v>339</v>
      </c>
    </row>
    <row r="128" spans="3:57">
      <c r="C128" s="1" t="s">
        <v>340</v>
      </c>
      <c r="D128" s="493"/>
      <c r="E128" s="136">
        <v>0.1</v>
      </c>
      <c r="F128" s="136"/>
      <c r="P128" s="168">
        <f ca="1">+P127*$E$128</f>
        <v>208.49</v>
      </c>
      <c r="Q128" s="168"/>
      <c r="R128" s="168">
        <f t="shared" ref="R128:AL128" ca="1" si="3">+R127*$E$128</f>
        <v>28.98</v>
      </c>
      <c r="S128" s="168"/>
      <c r="T128" s="168">
        <f t="shared" ca="1" si="3"/>
        <v>28.98</v>
      </c>
      <c r="U128" s="168"/>
      <c r="V128" s="168">
        <f t="shared" ca="1" si="3"/>
        <v>28.98</v>
      </c>
      <c r="W128" s="168"/>
      <c r="X128" s="168">
        <f t="shared" ca="1" si="3"/>
        <v>63.69</v>
      </c>
      <c r="Y128" s="168">
        <f t="shared" si="3"/>
        <v>0</v>
      </c>
      <c r="Z128" s="168">
        <f t="shared" ca="1" si="3"/>
        <v>28.98</v>
      </c>
      <c r="AA128" s="168"/>
      <c r="AB128" s="168">
        <f t="shared" ca="1" si="3"/>
        <v>28.98</v>
      </c>
      <c r="AC128" s="168"/>
      <c r="AD128" s="168">
        <f t="shared" ca="1" si="3"/>
        <v>28.98</v>
      </c>
      <c r="AE128" s="168"/>
      <c r="AF128" s="168">
        <f t="shared" ca="1" si="3"/>
        <v>63.69</v>
      </c>
      <c r="AG128" s="168"/>
      <c r="AH128" s="168">
        <f t="shared" ca="1" si="3"/>
        <v>28.98</v>
      </c>
      <c r="AI128" s="168">
        <f t="shared" si="3"/>
        <v>0</v>
      </c>
      <c r="AJ128" s="168">
        <f ca="1">+AJ127*$E$128</f>
        <v>28.98</v>
      </c>
      <c r="AK128" s="168"/>
      <c r="AL128" s="168">
        <f t="shared" ca="1" si="3"/>
        <v>203.6</v>
      </c>
      <c r="AN128" s="168">
        <f>+AN127*$E$128</f>
        <v>0</v>
      </c>
      <c r="AP128" s="168">
        <f>+AP127*$E$128</f>
        <v>0</v>
      </c>
      <c r="AR128" s="168">
        <f>+AR127*$E$128</f>
        <v>0</v>
      </c>
      <c r="AT128" s="168">
        <f>+AT127*$E$128</f>
        <v>0</v>
      </c>
      <c r="AV128" s="168">
        <f>+AV127*$E$128</f>
        <v>0</v>
      </c>
      <c r="AX128" s="168">
        <f>+AX127*$E$128</f>
        <v>0</v>
      </c>
      <c r="AZ128" s="168">
        <f>+AZ127*$E$128</f>
        <v>0</v>
      </c>
      <c r="BB128" s="168">
        <f>+BB127*$E$128</f>
        <v>0</v>
      </c>
      <c r="BD128" s="168">
        <f ca="1">+SUM(P128:BB128)</f>
        <v>771.31</v>
      </c>
    </row>
    <row r="129" spans="3:58">
      <c r="P129" s="168">
        <f ca="1">SUM(P127:P128)</f>
        <v>2293.38</v>
      </c>
      <c r="Q129" s="168"/>
      <c r="R129" s="168">
        <f ca="1">SUM(R127:R128)</f>
        <v>318.76</v>
      </c>
      <c r="S129" s="168"/>
      <c r="T129" s="168">
        <f ca="1">SUM(T127:T128)</f>
        <v>318.76</v>
      </c>
      <c r="U129" s="168"/>
      <c r="V129" s="168">
        <f ca="1">SUM(V127:V128)</f>
        <v>318.76</v>
      </c>
      <c r="W129" s="168"/>
      <c r="X129" s="168">
        <f ca="1">SUM(X127:X128)</f>
        <v>700.55</v>
      </c>
      <c r="Y129" s="168">
        <f>SUM(Y127:Y128)</f>
        <v>0</v>
      </c>
      <c r="Z129" s="168">
        <f ca="1">SUM(Z127:Z128)</f>
        <v>318.76</v>
      </c>
      <c r="AA129" s="168"/>
      <c r="AB129" s="168">
        <f ca="1">SUM(AB127:AB128)</f>
        <v>318.76</v>
      </c>
      <c r="AC129" s="168"/>
      <c r="AD129" s="168">
        <f ca="1">SUM(AD127:AD128)</f>
        <v>318.76</v>
      </c>
      <c r="AE129" s="168"/>
      <c r="AF129" s="168">
        <f ca="1">SUM(AF127:AF128)</f>
        <v>700.55</v>
      </c>
      <c r="AG129" s="168"/>
      <c r="AH129" s="168">
        <f ca="1">SUM(AH127:AH128)</f>
        <v>318.76</v>
      </c>
      <c r="AI129" s="168">
        <f>SUM(AI127:AI128)</f>
        <v>0</v>
      </c>
      <c r="AJ129" s="168">
        <f ca="1">SUM(AJ127:AJ128)</f>
        <v>318.76</v>
      </c>
      <c r="AK129" s="168"/>
      <c r="AL129" s="168">
        <f ca="1">SUM(AL127:AL128)</f>
        <v>2239.63</v>
      </c>
      <c r="AM129" s="168"/>
      <c r="AN129" s="168">
        <f>SUM(AN127:AN128)</f>
        <v>0</v>
      </c>
      <c r="AO129" s="168"/>
      <c r="AP129" s="168">
        <f>SUM(AP127:AP128)</f>
        <v>0</v>
      </c>
      <c r="AQ129" s="168"/>
      <c r="AR129" s="168">
        <f>SUM(AR127:AR128)</f>
        <v>0</v>
      </c>
      <c r="AS129" s="168"/>
      <c r="AT129" s="168">
        <f>SUM(AT127:AT128)</f>
        <v>0</v>
      </c>
      <c r="AU129" s="168"/>
      <c r="AV129" s="168">
        <f>SUM(AV127:AV128)</f>
        <v>0</v>
      </c>
      <c r="AW129" s="168"/>
      <c r="AX129" s="168">
        <f>SUM(AX127:AX128)</f>
        <v>0</v>
      </c>
      <c r="AY129" s="168"/>
      <c r="AZ129" s="168">
        <f>SUM(AZ127:AZ128)</f>
        <v>0</v>
      </c>
      <c r="BA129" s="168"/>
      <c r="BB129" s="168">
        <f>SUM(BB127:BB128)</f>
        <v>0</v>
      </c>
      <c r="BD129" s="168">
        <f ca="1">SUM(BD127:BD128)</f>
        <v>8484.19</v>
      </c>
    </row>
    <row r="130" spans="3:58">
      <c r="C130" s="1" t="s">
        <v>341</v>
      </c>
      <c r="E130" s="722">
        <v>0.35</v>
      </c>
      <c r="P130" s="136"/>
      <c r="R130" s="136"/>
      <c r="T130" s="136"/>
      <c r="V130" s="136"/>
    </row>
    <row r="132" spans="3:58">
      <c r="C132" s="493"/>
      <c r="E132" s="493"/>
    </row>
    <row r="133" spans="3:58">
      <c r="BF133" s="168"/>
    </row>
    <row r="134" spans="3:58">
      <c r="C134" s="493"/>
    </row>
    <row r="136" spans="3:58">
      <c r="C136" s="493"/>
    </row>
    <row r="143" spans="3:58">
      <c r="L143" s="493"/>
      <c r="M143" s="493"/>
      <c r="N143" s="493"/>
      <c r="P143" s="149"/>
      <c r="R143" s="149"/>
      <c r="T143" s="149"/>
      <c r="V143" s="149"/>
      <c r="X143" s="149"/>
      <c r="AB143" s="149"/>
      <c r="AD143" s="149"/>
      <c r="AF143" s="149"/>
      <c r="AH143" s="149"/>
      <c r="AJ143" s="149"/>
      <c r="AL143" s="149"/>
      <c r="AN143" s="149"/>
      <c r="AP143" s="149"/>
      <c r="AR143" s="149"/>
      <c r="AT143" s="149"/>
      <c r="AV143" s="149"/>
      <c r="AX143" s="149"/>
      <c r="AZ143" s="149"/>
      <c r="BB143" s="149"/>
    </row>
    <row r="144" spans="3:58">
      <c r="L144" s="493"/>
      <c r="M144" s="493"/>
      <c r="N144" s="493"/>
    </row>
    <row r="145" spans="12:54">
      <c r="L145" s="493"/>
      <c r="M145" s="493"/>
      <c r="N145" s="493"/>
      <c r="X145" s="168"/>
      <c r="Z145" s="168"/>
      <c r="AB145" s="168"/>
      <c r="AD145" s="168"/>
      <c r="AF145" s="168"/>
      <c r="AH145" s="168"/>
      <c r="AJ145" s="168"/>
      <c r="AL145" s="168"/>
      <c r="AN145" s="168"/>
      <c r="AP145" s="168"/>
      <c r="AR145" s="168"/>
      <c r="AT145" s="168"/>
      <c r="AV145" s="168"/>
      <c r="AX145" s="168"/>
      <c r="AZ145" s="168"/>
      <c r="BB145" s="168"/>
    </row>
    <row r="146" spans="12:54">
      <c r="L146" s="493"/>
      <c r="M146" s="493"/>
      <c r="N146" s="493"/>
    </row>
  </sheetData>
  <phoneticPr fontId="29" type="noConversion"/>
  <pageMargins left="0.7" right="0.7" top="0.75" bottom="0.75" header="0.3" footer="0.3"/>
  <pageSetup paperSize="9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76C2F-519F-4ADF-90E1-4E6200CF2583}">
  <dimension ref="B1:I137"/>
  <sheetViews>
    <sheetView topLeftCell="B13" zoomScale="85" zoomScaleNormal="85" workbookViewId="0">
      <selection activeCell="C12" sqref="C12"/>
    </sheetView>
  </sheetViews>
  <sheetFormatPr baseColWidth="10" defaultColWidth="10.85546875" defaultRowHeight="12.75"/>
  <cols>
    <col min="1" max="1" width="3.5703125" style="854" customWidth="1"/>
    <col min="2" max="2" width="4.85546875" style="853" customWidth="1"/>
    <col min="3" max="3" width="38.140625" style="854" customWidth="1"/>
    <col min="4" max="4" width="25.5703125" style="855" customWidth="1"/>
    <col min="5" max="256" width="10.85546875" style="854"/>
    <col min="257" max="257" width="3.5703125" style="854" customWidth="1"/>
    <col min="258" max="258" width="4.85546875" style="854" customWidth="1"/>
    <col min="259" max="259" width="38.140625" style="854" customWidth="1"/>
    <col min="260" max="260" width="25.5703125" style="854" customWidth="1"/>
    <col min="261" max="512" width="10.85546875" style="854"/>
    <col min="513" max="513" width="3.5703125" style="854" customWidth="1"/>
    <col min="514" max="514" width="4.85546875" style="854" customWidth="1"/>
    <col min="515" max="515" width="38.140625" style="854" customWidth="1"/>
    <col min="516" max="516" width="25.5703125" style="854" customWidth="1"/>
    <col min="517" max="768" width="10.85546875" style="854"/>
    <col min="769" max="769" width="3.5703125" style="854" customWidth="1"/>
    <col min="770" max="770" width="4.85546875" style="854" customWidth="1"/>
    <col min="771" max="771" width="38.140625" style="854" customWidth="1"/>
    <col min="772" max="772" width="25.5703125" style="854" customWidth="1"/>
    <col min="773" max="1024" width="10.85546875" style="854"/>
    <col min="1025" max="1025" width="3.5703125" style="854" customWidth="1"/>
    <col min="1026" max="1026" width="4.85546875" style="854" customWidth="1"/>
    <col min="1027" max="1027" width="38.140625" style="854" customWidth="1"/>
    <col min="1028" max="1028" width="25.5703125" style="854" customWidth="1"/>
    <col min="1029" max="1280" width="10.85546875" style="854"/>
    <col min="1281" max="1281" width="3.5703125" style="854" customWidth="1"/>
    <col min="1282" max="1282" width="4.85546875" style="854" customWidth="1"/>
    <col min="1283" max="1283" width="38.140625" style="854" customWidth="1"/>
    <col min="1284" max="1284" width="25.5703125" style="854" customWidth="1"/>
    <col min="1285" max="1536" width="10.85546875" style="854"/>
    <col min="1537" max="1537" width="3.5703125" style="854" customWidth="1"/>
    <col min="1538" max="1538" width="4.85546875" style="854" customWidth="1"/>
    <col min="1539" max="1539" width="38.140625" style="854" customWidth="1"/>
    <col min="1540" max="1540" width="25.5703125" style="854" customWidth="1"/>
    <col min="1541" max="1792" width="10.85546875" style="854"/>
    <col min="1793" max="1793" width="3.5703125" style="854" customWidth="1"/>
    <col min="1794" max="1794" width="4.85546875" style="854" customWidth="1"/>
    <col min="1795" max="1795" width="38.140625" style="854" customWidth="1"/>
    <col min="1796" max="1796" width="25.5703125" style="854" customWidth="1"/>
    <col min="1797" max="2048" width="10.85546875" style="854"/>
    <col min="2049" max="2049" width="3.5703125" style="854" customWidth="1"/>
    <col min="2050" max="2050" width="4.85546875" style="854" customWidth="1"/>
    <col min="2051" max="2051" width="38.140625" style="854" customWidth="1"/>
    <col min="2052" max="2052" width="25.5703125" style="854" customWidth="1"/>
    <col min="2053" max="2304" width="10.85546875" style="854"/>
    <col min="2305" max="2305" width="3.5703125" style="854" customWidth="1"/>
    <col min="2306" max="2306" width="4.85546875" style="854" customWidth="1"/>
    <col min="2307" max="2307" width="38.140625" style="854" customWidth="1"/>
    <col min="2308" max="2308" width="25.5703125" style="854" customWidth="1"/>
    <col min="2309" max="2560" width="10.85546875" style="854"/>
    <col min="2561" max="2561" width="3.5703125" style="854" customWidth="1"/>
    <col min="2562" max="2562" width="4.85546875" style="854" customWidth="1"/>
    <col min="2563" max="2563" width="38.140625" style="854" customWidth="1"/>
    <col min="2564" max="2564" width="25.5703125" style="854" customWidth="1"/>
    <col min="2565" max="2816" width="10.85546875" style="854"/>
    <col min="2817" max="2817" width="3.5703125" style="854" customWidth="1"/>
    <col min="2818" max="2818" width="4.85546875" style="854" customWidth="1"/>
    <col min="2819" max="2819" width="38.140625" style="854" customWidth="1"/>
    <col min="2820" max="2820" width="25.5703125" style="854" customWidth="1"/>
    <col min="2821" max="3072" width="10.85546875" style="854"/>
    <col min="3073" max="3073" width="3.5703125" style="854" customWidth="1"/>
    <col min="3074" max="3074" width="4.85546875" style="854" customWidth="1"/>
    <col min="3075" max="3075" width="38.140625" style="854" customWidth="1"/>
    <col min="3076" max="3076" width="25.5703125" style="854" customWidth="1"/>
    <col min="3077" max="3328" width="10.85546875" style="854"/>
    <col min="3329" max="3329" width="3.5703125" style="854" customWidth="1"/>
    <col min="3330" max="3330" width="4.85546875" style="854" customWidth="1"/>
    <col min="3331" max="3331" width="38.140625" style="854" customWidth="1"/>
    <col min="3332" max="3332" width="25.5703125" style="854" customWidth="1"/>
    <col min="3333" max="3584" width="10.85546875" style="854"/>
    <col min="3585" max="3585" width="3.5703125" style="854" customWidth="1"/>
    <col min="3586" max="3586" width="4.85546875" style="854" customWidth="1"/>
    <col min="3587" max="3587" width="38.140625" style="854" customWidth="1"/>
    <col min="3588" max="3588" width="25.5703125" style="854" customWidth="1"/>
    <col min="3589" max="3840" width="10.85546875" style="854"/>
    <col min="3841" max="3841" width="3.5703125" style="854" customWidth="1"/>
    <col min="3842" max="3842" width="4.85546875" style="854" customWidth="1"/>
    <col min="3843" max="3843" width="38.140625" style="854" customWidth="1"/>
    <col min="3844" max="3844" width="25.5703125" style="854" customWidth="1"/>
    <col min="3845" max="4096" width="10.85546875" style="854"/>
    <col min="4097" max="4097" width="3.5703125" style="854" customWidth="1"/>
    <col min="4098" max="4098" width="4.85546875" style="854" customWidth="1"/>
    <col min="4099" max="4099" width="38.140625" style="854" customWidth="1"/>
    <col min="4100" max="4100" width="25.5703125" style="854" customWidth="1"/>
    <col min="4101" max="4352" width="10.85546875" style="854"/>
    <col min="4353" max="4353" width="3.5703125" style="854" customWidth="1"/>
    <col min="4354" max="4354" width="4.85546875" style="854" customWidth="1"/>
    <col min="4355" max="4355" width="38.140625" style="854" customWidth="1"/>
    <col min="4356" max="4356" width="25.5703125" style="854" customWidth="1"/>
    <col min="4357" max="4608" width="10.85546875" style="854"/>
    <col min="4609" max="4609" width="3.5703125" style="854" customWidth="1"/>
    <col min="4610" max="4610" width="4.85546875" style="854" customWidth="1"/>
    <col min="4611" max="4611" width="38.140625" style="854" customWidth="1"/>
    <col min="4612" max="4612" width="25.5703125" style="854" customWidth="1"/>
    <col min="4613" max="4864" width="10.85546875" style="854"/>
    <col min="4865" max="4865" width="3.5703125" style="854" customWidth="1"/>
    <col min="4866" max="4866" width="4.85546875" style="854" customWidth="1"/>
    <col min="4867" max="4867" width="38.140625" style="854" customWidth="1"/>
    <col min="4868" max="4868" width="25.5703125" style="854" customWidth="1"/>
    <col min="4869" max="5120" width="10.85546875" style="854"/>
    <col min="5121" max="5121" width="3.5703125" style="854" customWidth="1"/>
    <col min="5122" max="5122" width="4.85546875" style="854" customWidth="1"/>
    <col min="5123" max="5123" width="38.140625" style="854" customWidth="1"/>
    <col min="5124" max="5124" width="25.5703125" style="854" customWidth="1"/>
    <col min="5125" max="5376" width="10.85546875" style="854"/>
    <col min="5377" max="5377" width="3.5703125" style="854" customWidth="1"/>
    <col min="5378" max="5378" width="4.85546875" style="854" customWidth="1"/>
    <col min="5379" max="5379" width="38.140625" style="854" customWidth="1"/>
    <col min="5380" max="5380" width="25.5703125" style="854" customWidth="1"/>
    <col min="5381" max="5632" width="10.85546875" style="854"/>
    <col min="5633" max="5633" width="3.5703125" style="854" customWidth="1"/>
    <col min="5634" max="5634" width="4.85546875" style="854" customWidth="1"/>
    <col min="5635" max="5635" width="38.140625" style="854" customWidth="1"/>
    <col min="5636" max="5636" width="25.5703125" style="854" customWidth="1"/>
    <col min="5637" max="5888" width="10.85546875" style="854"/>
    <col min="5889" max="5889" width="3.5703125" style="854" customWidth="1"/>
    <col min="5890" max="5890" width="4.85546875" style="854" customWidth="1"/>
    <col min="5891" max="5891" width="38.140625" style="854" customWidth="1"/>
    <col min="5892" max="5892" width="25.5703125" style="854" customWidth="1"/>
    <col min="5893" max="6144" width="10.85546875" style="854"/>
    <col min="6145" max="6145" width="3.5703125" style="854" customWidth="1"/>
    <col min="6146" max="6146" width="4.85546875" style="854" customWidth="1"/>
    <col min="6147" max="6147" width="38.140625" style="854" customWidth="1"/>
    <col min="6148" max="6148" width="25.5703125" style="854" customWidth="1"/>
    <col min="6149" max="6400" width="10.85546875" style="854"/>
    <col min="6401" max="6401" width="3.5703125" style="854" customWidth="1"/>
    <col min="6402" max="6402" width="4.85546875" style="854" customWidth="1"/>
    <col min="6403" max="6403" width="38.140625" style="854" customWidth="1"/>
    <col min="6404" max="6404" width="25.5703125" style="854" customWidth="1"/>
    <col min="6405" max="6656" width="10.85546875" style="854"/>
    <col min="6657" max="6657" width="3.5703125" style="854" customWidth="1"/>
    <col min="6658" max="6658" width="4.85546875" style="854" customWidth="1"/>
    <col min="6659" max="6659" width="38.140625" style="854" customWidth="1"/>
    <col min="6660" max="6660" width="25.5703125" style="854" customWidth="1"/>
    <col min="6661" max="6912" width="10.85546875" style="854"/>
    <col min="6913" max="6913" width="3.5703125" style="854" customWidth="1"/>
    <col min="6914" max="6914" width="4.85546875" style="854" customWidth="1"/>
    <col min="6915" max="6915" width="38.140625" style="854" customWidth="1"/>
    <col min="6916" max="6916" width="25.5703125" style="854" customWidth="1"/>
    <col min="6917" max="7168" width="10.85546875" style="854"/>
    <col min="7169" max="7169" width="3.5703125" style="854" customWidth="1"/>
    <col min="7170" max="7170" width="4.85546875" style="854" customWidth="1"/>
    <col min="7171" max="7171" width="38.140625" style="854" customWidth="1"/>
    <col min="7172" max="7172" width="25.5703125" style="854" customWidth="1"/>
    <col min="7173" max="7424" width="10.85546875" style="854"/>
    <col min="7425" max="7425" width="3.5703125" style="854" customWidth="1"/>
    <col min="7426" max="7426" width="4.85546875" style="854" customWidth="1"/>
    <col min="7427" max="7427" width="38.140625" style="854" customWidth="1"/>
    <col min="7428" max="7428" width="25.5703125" style="854" customWidth="1"/>
    <col min="7429" max="7680" width="10.85546875" style="854"/>
    <col min="7681" max="7681" width="3.5703125" style="854" customWidth="1"/>
    <col min="7682" max="7682" width="4.85546875" style="854" customWidth="1"/>
    <col min="7683" max="7683" width="38.140625" style="854" customWidth="1"/>
    <col min="7684" max="7684" width="25.5703125" style="854" customWidth="1"/>
    <col min="7685" max="7936" width="10.85546875" style="854"/>
    <col min="7937" max="7937" width="3.5703125" style="854" customWidth="1"/>
    <col min="7938" max="7938" width="4.85546875" style="854" customWidth="1"/>
    <col min="7939" max="7939" width="38.140625" style="854" customWidth="1"/>
    <col min="7940" max="7940" width="25.5703125" style="854" customWidth="1"/>
    <col min="7941" max="8192" width="10.85546875" style="854"/>
    <col min="8193" max="8193" width="3.5703125" style="854" customWidth="1"/>
    <col min="8194" max="8194" width="4.85546875" style="854" customWidth="1"/>
    <col min="8195" max="8195" width="38.140625" style="854" customWidth="1"/>
    <col min="8196" max="8196" width="25.5703125" style="854" customWidth="1"/>
    <col min="8197" max="8448" width="10.85546875" style="854"/>
    <col min="8449" max="8449" width="3.5703125" style="854" customWidth="1"/>
    <col min="8450" max="8450" width="4.85546875" style="854" customWidth="1"/>
    <col min="8451" max="8451" width="38.140625" style="854" customWidth="1"/>
    <col min="8452" max="8452" width="25.5703125" style="854" customWidth="1"/>
    <col min="8453" max="8704" width="10.85546875" style="854"/>
    <col min="8705" max="8705" width="3.5703125" style="854" customWidth="1"/>
    <col min="8706" max="8706" width="4.85546875" style="854" customWidth="1"/>
    <col min="8707" max="8707" width="38.140625" style="854" customWidth="1"/>
    <col min="8708" max="8708" width="25.5703125" style="854" customWidth="1"/>
    <col min="8709" max="8960" width="10.85546875" style="854"/>
    <col min="8961" max="8961" width="3.5703125" style="854" customWidth="1"/>
    <col min="8962" max="8962" width="4.85546875" style="854" customWidth="1"/>
    <col min="8963" max="8963" width="38.140625" style="854" customWidth="1"/>
    <col min="8964" max="8964" width="25.5703125" style="854" customWidth="1"/>
    <col min="8965" max="9216" width="10.85546875" style="854"/>
    <col min="9217" max="9217" width="3.5703125" style="854" customWidth="1"/>
    <col min="9218" max="9218" width="4.85546875" style="854" customWidth="1"/>
    <col min="9219" max="9219" width="38.140625" style="854" customWidth="1"/>
    <col min="9220" max="9220" width="25.5703125" style="854" customWidth="1"/>
    <col min="9221" max="9472" width="10.85546875" style="854"/>
    <col min="9473" max="9473" width="3.5703125" style="854" customWidth="1"/>
    <col min="9474" max="9474" width="4.85546875" style="854" customWidth="1"/>
    <col min="9475" max="9475" width="38.140625" style="854" customWidth="1"/>
    <col min="9476" max="9476" width="25.5703125" style="854" customWidth="1"/>
    <col min="9477" max="9728" width="10.85546875" style="854"/>
    <col min="9729" max="9729" width="3.5703125" style="854" customWidth="1"/>
    <col min="9730" max="9730" width="4.85546875" style="854" customWidth="1"/>
    <col min="9731" max="9731" width="38.140625" style="854" customWidth="1"/>
    <col min="9732" max="9732" width="25.5703125" style="854" customWidth="1"/>
    <col min="9733" max="9984" width="10.85546875" style="854"/>
    <col min="9985" max="9985" width="3.5703125" style="854" customWidth="1"/>
    <col min="9986" max="9986" width="4.85546875" style="854" customWidth="1"/>
    <col min="9987" max="9987" width="38.140625" style="854" customWidth="1"/>
    <col min="9988" max="9988" width="25.5703125" style="854" customWidth="1"/>
    <col min="9989" max="10240" width="10.85546875" style="854"/>
    <col min="10241" max="10241" width="3.5703125" style="854" customWidth="1"/>
    <col min="10242" max="10242" width="4.85546875" style="854" customWidth="1"/>
    <col min="10243" max="10243" width="38.140625" style="854" customWidth="1"/>
    <col min="10244" max="10244" width="25.5703125" style="854" customWidth="1"/>
    <col min="10245" max="10496" width="10.85546875" style="854"/>
    <col min="10497" max="10497" width="3.5703125" style="854" customWidth="1"/>
    <col min="10498" max="10498" width="4.85546875" style="854" customWidth="1"/>
    <col min="10499" max="10499" width="38.140625" style="854" customWidth="1"/>
    <col min="10500" max="10500" width="25.5703125" style="854" customWidth="1"/>
    <col min="10501" max="10752" width="10.85546875" style="854"/>
    <col min="10753" max="10753" width="3.5703125" style="854" customWidth="1"/>
    <col min="10754" max="10754" width="4.85546875" style="854" customWidth="1"/>
    <col min="10755" max="10755" width="38.140625" style="854" customWidth="1"/>
    <col min="10756" max="10756" width="25.5703125" style="854" customWidth="1"/>
    <col min="10757" max="11008" width="10.85546875" style="854"/>
    <col min="11009" max="11009" width="3.5703125" style="854" customWidth="1"/>
    <col min="11010" max="11010" width="4.85546875" style="854" customWidth="1"/>
    <col min="11011" max="11011" width="38.140625" style="854" customWidth="1"/>
    <col min="11012" max="11012" width="25.5703125" style="854" customWidth="1"/>
    <col min="11013" max="11264" width="10.85546875" style="854"/>
    <col min="11265" max="11265" width="3.5703125" style="854" customWidth="1"/>
    <col min="11266" max="11266" width="4.85546875" style="854" customWidth="1"/>
    <col min="11267" max="11267" width="38.140625" style="854" customWidth="1"/>
    <col min="11268" max="11268" width="25.5703125" style="854" customWidth="1"/>
    <col min="11269" max="11520" width="10.85546875" style="854"/>
    <col min="11521" max="11521" width="3.5703125" style="854" customWidth="1"/>
    <col min="11522" max="11522" width="4.85546875" style="854" customWidth="1"/>
    <col min="11523" max="11523" width="38.140625" style="854" customWidth="1"/>
    <col min="11524" max="11524" width="25.5703125" style="854" customWidth="1"/>
    <col min="11525" max="11776" width="10.85546875" style="854"/>
    <col min="11777" max="11777" width="3.5703125" style="854" customWidth="1"/>
    <col min="11778" max="11778" width="4.85546875" style="854" customWidth="1"/>
    <col min="11779" max="11779" width="38.140625" style="854" customWidth="1"/>
    <col min="11780" max="11780" width="25.5703125" style="854" customWidth="1"/>
    <col min="11781" max="12032" width="10.85546875" style="854"/>
    <col min="12033" max="12033" width="3.5703125" style="854" customWidth="1"/>
    <col min="12034" max="12034" width="4.85546875" style="854" customWidth="1"/>
    <col min="12035" max="12035" width="38.140625" style="854" customWidth="1"/>
    <col min="12036" max="12036" width="25.5703125" style="854" customWidth="1"/>
    <col min="12037" max="12288" width="10.85546875" style="854"/>
    <col min="12289" max="12289" width="3.5703125" style="854" customWidth="1"/>
    <col min="12290" max="12290" width="4.85546875" style="854" customWidth="1"/>
    <col min="12291" max="12291" width="38.140625" style="854" customWidth="1"/>
    <col min="12292" max="12292" width="25.5703125" style="854" customWidth="1"/>
    <col min="12293" max="12544" width="10.85546875" style="854"/>
    <col min="12545" max="12545" width="3.5703125" style="854" customWidth="1"/>
    <col min="12546" max="12546" width="4.85546875" style="854" customWidth="1"/>
    <col min="12547" max="12547" width="38.140625" style="854" customWidth="1"/>
    <col min="12548" max="12548" width="25.5703125" style="854" customWidth="1"/>
    <col min="12549" max="12800" width="10.85546875" style="854"/>
    <col min="12801" max="12801" width="3.5703125" style="854" customWidth="1"/>
    <col min="12802" max="12802" width="4.85546875" style="854" customWidth="1"/>
    <col min="12803" max="12803" width="38.140625" style="854" customWidth="1"/>
    <col min="12804" max="12804" width="25.5703125" style="854" customWidth="1"/>
    <col min="12805" max="13056" width="10.85546875" style="854"/>
    <col min="13057" max="13057" width="3.5703125" style="854" customWidth="1"/>
    <col min="13058" max="13058" width="4.85546875" style="854" customWidth="1"/>
    <col min="13059" max="13059" width="38.140625" style="854" customWidth="1"/>
    <col min="13060" max="13060" width="25.5703125" style="854" customWidth="1"/>
    <col min="13061" max="13312" width="10.85546875" style="854"/>
    <col min="13313" max="13313" width="3.5703125" style="854" customWidth="1"/>
    <col min="13314" max="13314" width="4.85546875" style="854" customWidth="1"/>
    <col min="13315" max="13315" width="38.140625" style="854" customWidth="1"/>
    <col min="13316" max="13316" width="25.5703125" style="854" customWidth="1"/>
    <col min="13317" max="13568" width="10.85546875" style="854"/>
    <col min="13569" max="13569" width="3.5703125" style="854" customWidth="1"/>
    <col min="13570" max="13570" width="4.85546875" style="854" customWidth="1"/>
    <col min="13571" max="13571" width="38.140625" style="854" customWidth="1"/>
    <col min="13572" max="13572" width="25.5703125" style="854" customWidth="1"/>
    <col min="13573" max="13824" width="10.85546875" style="854"/>
    <col min="13825" max="13825" width="3.5703125" style="854" customWidth="1"/>
    <col min="13826" max="13826" width="4.85546875" style="854" customWidth="1"/>
    <col min="13827" max="13827" width="38.140625" style="854" customWidth="1"/>
    <col min="13828" max="13828" width="25.5703125" style="854" customWidth="1"/>
    <col min="13829" max="14080" width="10.85546875" style="854"/>
    <col min="14081" max="14081" width="3.5703125" style="854" customWidth="1"/>
    <col min="14082" max="14082" width="4.85546875" style="854" customWidth="1"/>
    <col min="14083" max="14083" width="38.140625" style="854" customWidth="1"/>
    <col min="14084" max="14084" width="25.5703125" style="854" customWidth="1"/>
    <col min="14085" max="14336" width="10.85546875" style="854"/>
    <col min="14337" max="14337" width="3.5703125" style="854" customWidth="1"/>
    <col min="14338" max="14338" width="4.85546875" style="854" customWidth="1"/>
    <col min="14339" max="14339" width="38.140625" style="854" customWidth="1"/>
    <col min="14340" max="14340" width="25.5703125" style="854" customWidth="1"/>
    <col min="14341" max="14592" width="10.85546875" style="854"/>
    <col min="14593" max="14593" width="3.5703125" style="854" customWidth="1"/>
    <col min="14594" max="14594" width="4.85546875" style="854" customWidth="1"/>
    <col min="14595" max="14595" width="38.140625" style="854" customWidth="1"/>
    <col min="14596" max="14596" width="25.5703125" style="854" customWidth="1"/>
    <col min="14597" max="14848" width="10.85546875" style="854"/>
    <col min="14849" max="14849" width="3.5703125" style="854" customWidth="1"/>
    <col min="14850" max="14850" width="4.85546875" style="854" customWidth="1"/>
    <col min="14851" max="14851" width="38.140625" style="854" customWidth="1"/>
    <col min="14852" max="14852" width="25.5703125" style="854" customWidth="1"/>
    <col min="14853" max="15104" width="10.85546875" style="854"/>
    <col min="15105" max="15105" width="3.5703125" style="854" customWidth="1"/>
    <col min="15106" max="15106" width="4.85546875" style="854" customWidth="1"/>
    <col min="15107" max="15107" width="38.140625" style="854" customWidth="1"/>
    <col min="15108" max="15108" width="25.5703125" style="854" customWidth="1"/>
    <col min="15109" max="15360" width="10.85546875" style="854"/>
    <col min="15361" max="15361" width="3.5703125" style="854" customWidth="1"/>
    <col min="15362" max="15362" width="4.85546875" style="854" customWidth="1"/>
    <col min="15363" max="15363" width="38.140625" style="854" customWidth="1"/>
    <col min="15364" max="15364" width="25.5703125" style="854" customWidth="1"/>
    <col min="15365" max="15616" width="10.85546875" style="854"/>
    <col min="15617" max="15617" width="3.5703125" style="854" customWidth="1"/>
    <col min="15618" max="15618" width="4.85546875" style="854" customWidth="1"/>
    <col min="15619" max="15619" width="38.140625" style="854" customWidth="1"/>
    <col min="15620" max="15620" width="25.5703125" style="854" customWidth="1"/>
    <col min="15621" max="15872" width="10.85546875" style="854"/>
    <col min="15873" max="15873" width="3.5703125" style="854" customWidth="1"/>
    <col min="15874" max="15874" width="4.85546875" style="854" customWidth="1"/>
    <col min="15875" max="15875" width="38.140625" style="854" customWidth="1"/>
    <col min="15876" max="15876" width="25.5703125" style="854" customWidth="1"/>
    <col min="15877" max="16128" width="10.85546875" style="854"/>
    <col min="16129" max="16129" width="3.5703125" style="854" customWidth="1"/>
    <col min="16130" max="16130" width="4.85546875" style="854" customWidth="1"/>
    <col min="16131" max="16131" width="38.140625" style="854" customWidth="1"/>
    <col min="16132" max="16132" width="25.5703125" style="854" customWidth="1"/>
    <col min="16133" max="16384" width="10.85546875" style="854"/>
  </cols>
  <sheetData>
    <row r="1" spans="2:9" ht="13.5" thickBot="1"/>
    <row r="2" spans="2:9" ht="16.5" thickBot="1">
      <c r="C2" s="856" t="s">
        <v>342</v>
      </c>
    </row>
    <row r="3" spans="2:9" s="857" customFormat="1" ht="20.25" customHeight="1" thickBot="1">
      <c r="C3" s="858" t="s">
        <v>343</v>
      </c>
      <c r="D3" s="859" t="s">
        <v>344</v>
      </c>
    </row>
    <row r="4" spans="2:9" s="857" customFormat="1" ht="18.75" customHeight="1" thickBot="1">
      <c r="B4" s="857" t="s">
        <v>345</v>
      </c>
      <c r="C4" s="858" t="s">
        <v>346</v>
      </c>
      <c r="D4" s="859" t="s">
        <v>347</v>
      </c>
    </row>
    <row r="5" spans="2:9" s="857" customFormat="1" ht="18" customHeight="1" thickBot="1">
      <c r="C5" s="858" t="s">
        <v>348</v>
      </c>
      <c r="D5" s="859" t="s">
        <v>349</v>
      </c>
    </row>
    <row r="6" spans="2:9" ht="28.5" customHeight="1" thickBot="1"/>
    <row r="7" spans="2:9" ht="16.5" customHeight="1" thickBot="1">
      <c r="C7" s="860" t="s">
        <v>350</v>
      </c>
      <c r="D7" s="861"/>
    </row>
    <row r="8" spans="2:9" ht="16.5" customHeight="1">
      <c r="C8" s="862"/>
      <c r="D8" s="863"/>
    </row>
    <row r="9" spans="2:9" ht="16.5" customHeight="1">
      <c r="C9" s="864" t="s">
        <v>351</v>
      </c>
      <c r="D9" s="865">
        <f>+FCL_Anual!C34</f>
        <v>0</v>
      </c>
    </row>
    <row r="10" spans="2:9" ht="16.5" customHeight="1">
      <c r="C10" s="864" t="s">
        <v>352</v>
      </c>
      <c r="D10" s="865">
        <f>100%-D9</f>
        <v>1</v>
      </c>
    </row>
    <row r="11" spans="2:9" ht="16.5" customHeight="1">
      <c r="C11" s="864" t="s">
        <v>353</v>
      </c>
      <c r="D11" s="865">
        <f>Cost!E130</f>
        <v>0.35</v>
      </c>
    </row>
    <row r="12" spans="2:9" ht="16.5" customHeight="1" thickBot="1">
      <c r="C12" s="864" t="s">
        <v>354</v>
      </c>
      <c r="D12" s="866">
        <v>1</v>
      </c>
      <c r="E12" s="893" t="s">
        <v>355</v>
      </c>
      <c r="H12" s="867"/>
    </row>
    <row r="13" spans="2:9" s="868" customFormat="1" ht="22.5" customHeight="1" thickBot="1">
      <c r="C13" s="869" t="s">
        <v>356</v>
      </c>
      <c r="D13" s="870">
        <f>+D12*(1+(D9/D10))*(1-D11)</f>
        <v>0.65</v>
      </c>
      <c r="E13" s="893" t="s">
        <v>357</v>
      </c>
    </row>
    <row r="14" spans="2:9" ht="16.5" customHeight="1">
      <c r="C14" s="864" t="s">
        <v>358</v>
      </c>
      <c r="D14" s="871">
        <v>4.5499999999999999E-2</v>
      </c>
      <c r="E14" s="893" t="s">
        <v>359</v>
      </c>
      <c r="I14" s="867"/>
    </row>
    <row r="15" spans="2:9" ht="16.5" customHeight="1">
      <c r="C15" s="864" t="s">
        <v>360</v>
      </c>
      <c r="D15" s="872">
        <v>4.7899999999999998E-2</v>
      </c>
      <c r="E15" s="893" t="s">
        <v>361</v>
      </c>
      <c r="I15" s="867"/>
    </row>
    <row r="16" spans="2:9" ht="16.5" customHeight="1">
      <c r="C16" s="864" t="s">
        <v>362</v>
      </c>
      <c r="D16" s="872">
        <v>3.2099999999999997E-2</v>
      </c>
      <c r="E16" s="893" t="s">
        <v>363</v>
      </c>
    </row>
    <row r="17" spans="3:6" ht="16.5" customHeight="1" thickBot="1">
      <c r="C17" s="864" t="s">
        <v>364</v>
      </c>
      <c r="D17" s="873">
        <v>0.05</v>
      </c>
      <c r="E17" s="893" t="s">
        <v>365</v>
      </c>
    </row>
    <row r="18" spans="3:6" s="868" customFormat="1" ht="25.5" customHeight="1" thickBot="1">
      <c r="C18" s="869" t="s">
        <v>366</v>
      </c>
      <c r="D18" s="874">
        <f>+D14+(D13*(D15-D14)+D16)+D17</f>
        <v>0.12920000000000001</v>
      </c>
      <c r="E18" s="893" t="s">
        <v>367</v>
      </c>
    </row>
    <row r="19" spans="3:6" ht="15.75" thickBot="1">
      <c r="C19" s="864" t="s">
        <v>368</v>
      </c>
      <c r="D19" s="875">
        <v>0.04</v>
      </c>
      <c r="E19" s="893" t="s">
        <v>369</v>
      </c>
    </row>
    <row r="20" spans="3:6" ht="16.5" thickBot="1">
      <c r="C20" s="869" t="s">
        <v>366</v>
      </c>
      <c r="D20" s="874">
        <f>+(1+D18)*(1+D19)-1</f>
        <v>0.1744</v>
      </c>
      <c r="E20" s="893" t="s">
        <v>370</v>
      </c>
      <c r="F20" s="868"/>
    </row>
    <row r="21" spans="3:6" s="857" customFormat="1" ht="15.75" thickBot="1">
      <c r="C21" s="876"/>
      <c r="D21" s="853"/>
    </row>
    <row r="22" spans="3:6" s="857" customFormat="1" ht="16.5" thickBot="1">
      <c r="C22" s="860" t="s">
        <v>371</v>
      </c>
      <c r="D22" s="861"/>
    </row>
    <row r="23" spans="3:6" s="857" customFormat="1" ht="15">
      <c r="C23" s="862"/>
      <c r="D23" s="863"/>
    </row>
    <row r="24" spans="3:6" s="857" customFormat="1" ht="15.75">
      <c r="C24" s="864" t="s">
        <v>351</v>
      </c>
      <c r="D24" s="865">
        <v>0</v>
      </c>
    </row>
    <row r="25" spans="3:6" s="857" customFormat="1" ht="15.75">
      <c r="C25" s="864" t="s">
        <v>352</v>
      </c>
      <c r="D25" s="865">
        <f>100%-D24</f>
        <v>1</v>
      </c>
    </row>
    <row r="26" spans="3:6" s="857" customFormat="1" ht="15.75">
      <c r="C26" s="864" t="s">
        <v>353</v>
      </c>
      <c r="D26" s="865">
        <f>Cost!E130</f>
        <v>0.35</v>
      </c>
    </row>
    <row r="27" spans="3:6" ht="15.75" thickBot="1">
      <c r="C27" s="864" t="s">
        <v>354</v>
      </c>
      <c r="D27" s="866">
        <v>1</v>
      </c>
    </row>
    <row r="28" spans="3:6" ht="16.5" thickBot="1">
      <c r="C28" s="869" t="s">
        <v>356</v>
      </c>
      <c r="D28" s="870">
        <f>+D27*(1+(D24/D25))*(1-D26)</f>
        <v>0.65</v>
      </c>
    </row>
    <row r="29" spans="3:6" ht="15">
      <c r="C29" s="864" t="s">
        <v>358</v>
      </c>
      <c r="D29" s="871">
        <v>4.5499999999999999E-2</v>
      </c>
    </row>
    <row r="30" spans="3:6" ht="15">
      <c r="C30" s="864" t="s">
        <v>360</v>
      </c>
      <c r="D30" s="872">
        <v>4.7899999999999998E-2</v>
      </c>
    </row>
    <row r="31" spans="3:6" ht="15">
      <c r="C31" s="864" t="s">
        <v>362</v>
      </c>
      <c r="D31" s="872">
        <v>3.2099999999999997E-2</v>
      </c>
    </row>
    <row r="32" spans="3:6" ht="15.75" thickBot="1">
      <c r="C32" s="864" t="s">
        <v>364</v>
      </c>
      <c r="D32" s="873">
        <v>0.05</v>
      </c>
    </row>
    <row r="33" spans="3:4" ht="16.5" thickBot="1">
      <c r="C33" s="869" t="s">
        <v>366</v>
      </c>
      <c r="D33" s="874">
        <f>+D29+(D28*(D30-D29)+D31)+D32</f>
        <v>0.12920000000000001</v>
      </c>
    </row>
    <row r="34" spans="3:4" ht="15.75" thickBot="1">
      <c r="C34" s="864" t="s">
        <v>368</v>
      </c>
      <c r="D34" s="875">
        <v>0.04</v>
      </c>
    </row>
    <row r="35" spans="3:4" ht="16.5" thickBot="1">
      <c r="C35" s="869" t="s">
        <v>366</v>
      </c>
      <c r="D35" s="874">
        <f>+(1+D33)*(1+D34)-1</f>
        <v>0.1744</v>
      </c>
    </row>
    <row r="58" spans="2:4" s="878" customFormat="1">
      <c r="B58" s="877"/>
      <c r="D58" s="855"/>
    </row>
    <row r="93" spans="2:4" s="878" customFormat="1">
      <c r="B93" s="877"/>
      <c r="D93" s="855"/>
    </row>
    <row r="137" spans="2:4" s="878" customFormat="1">
      <c r="B137" s="877"/>
      <c r="D137" s="855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6E3D8-865D-4FDF-A4FF-8D7E5592BFE6}">
  <sheetPr codeName="Hoja8">
    <tabColor rgb="FFFFFF66"/>
    <pageSetUpPr fitToPage="1"/>
  </sheetPr>
  <dimension ref="A1:AV121"/>
  <sheetViews>
    <sheetView topLeftCell="A29" zoomScale="85" zoomScaleNormal="85" workbookViewId="0">
      <selection activeCell="D61" sqref="D61"/>
    </sheetView>
  </sheetViews>
  <sheetFormatPr baseColWidth="10" defaultColWidth="9.140625" defaultRowHeight="12.75"/>
  <cols>
    <col min="1" max="1" width="39.140625" bestFit="1" customWidth="1"/>
    <col min="2" max="2" width="14.42578125" style="149" customWidth="1"/>
    <col min="3" max="3" width="9" bestFit="1" customWidth="1"/>
    <col min="4" max="4" width="14.42578125" customWidth="1"/>
    <col min="5" max="5" width="8.140625" customWidth="1"/>
    <col min="6" max="6" width="15.42578125" customWidth="1"/>
    <col min="7" max="7" width="8.42578125" customWidth="1"/>
    <col min="8" max="8" width="14.42578125" customWidth="1"/>
    <col min="9" max="9" width="6.85546875" customWidth="1"/>
    <col min="10" max="10" width="15.140625" customWidth="1"/>
    <col min="11" max="11" width="7" customWidth="1"/>
    <col min="12" max="12" width="14.140625" customWidth="1"/>
    <col min="13" max="13" width="7.140625" customWidth="1"/>
    <col min="14" max="14" width="15.42578125" customWidth="1"/>
    <col min="15" max="15" width="7.85546875" bestFit="1" customWidth="1"/>
    <col min="16" max="16" width="16.140625" customWidth="1"/>
    <col min="17" max="17" width="7.85546875" bestFit="1" customWidth="1"/>
    <col min="18" max="18" width="16" customWidth="1"/>
    <col min="19" max="19" width="6.85546875" customWidth="1"/>
    <col min="20" max="20" width="15" customWidth="1"/>
    <col min="21" max="21" width="7.140625" customWidth="1"/>
    <col min="22" max="22" width="16.42578125" customWidth="1"/>
    <col min="23" max="23" width="7.85546875" bestFit="1" customWidth="1"/>
    <col min="24" max="24" width="14.85546875" customWidth="1"/>
    <col min="25" max="25" width="7.85546875" bestFit="1" customWidth="1"/>
    <col min="26" max="26" width="17.42578125" style="8" customWidth="1"/>
    <col min="27" max="27" width="9.42578125" style="167" customWidth="1"/>
    <col min="28" max="28" width="19.140625" customWidth="1"/>
    <col min="29" max="29" width="16.42578125" bestFit="1" customWidth="1"/>
    <col min="30" max="30" width="15.42578125" customWidth="1"/>
    <col min="33" max="33" width="12.42578125" customWidth="1"/>
    <col min="34" max="34" width="12.5703125" customWidth="1"/>
    <col min="35" max="35" width="15" customWidth="1"/>
    <col min="36" max="36" width="18.42578125" customWidth="1"/>
    <col min="37" max="37" width="12.42578125" bestFit="1" customWidth="1"/>
    <col min="38" max="38" width="11.42578125" bestFit="1" customWidth="1"/>
    <col min="40" max="40" width="14.42578125" bestFit="1" customWidth="1"/>
    <col min="41" max="41" width="11.42578125" customWidth="1"/>
  </cols>
  <sheetData>
    <row r="1" spans="1:48" ht="15.75">
      <c r="A1" s="11"/>
      <c r="B1" s="154">
        <f>+'FX Rates'!B2</f>
        <v>1</v>
      </c>
      <c r="C1" s="195"/>
      <c r="D1" s="195">
        <f>+'FX Rates'!C2</f>
        <v>1</v>
      </c>
      <c r="E1" s="195"/>
      <c r="F1" s="195">
        <f>+'FX Rates'!D2</f>
        <v>1</v>
      </c>
      <c r="G1" s="195"/>
      <c r="H1" s="195">
        <f>+'FX Rates'!E2</f>
        <v>1</v>
      </c>
      <c r="I1" s="195"/>
      <c r="J1" s="195">
        <f>+'FX Rates'!F2</f>
        <v>1</v>
      </c>
      <c r="K1" s="195"/>
      <c r="L1" s="195">
        <f>+'FX Rates'!G2</f>
        <v>1</v>
      </c>
      <c r="M1" s="195"/>
      <c r="N1" s="195">
        <f>+'FX Rates'!H2</f>
        <v>1</v>
      </c>
      <c r="O1" s="195"/>
      <c r="P1" s="195">
        <f>+'FX Rates'!I2</f>
        <v>1</v>
      </c>
      <c r="Q1" s="195"/>
      <c r="R1" s="195">
        <f>+'FX Rates'!J2</f>
        <v>1</v>
      </c>
      <c r="S1" s="195"/>
      <c r="T1" s="195">
        <f>+'FX Rates'!K2</f>
        <v>1</v>
      </c>
      <c r="U1" s="195"/>
      <c r="V1" s="195">
        <f>+'FX Rates'!L2</f>
        <v>1</v>
      </c>
      <c r="W1" s="195"/>
      <c r="X1" s="195">
        <f>+'FX Rates'!M2</f>
        <v>1</v>
      </c>
      <c r="Y1" s="195"/>
      <c r="Z1" s="20"/>
    </row>
    <row r="2" spans="1:48" s="4" customFormat="1" ht="15.75">
      <c r="A2" s="11" t="s">
        <v>372</v>
      </c>
      <c r="B2" s="154"/>
      <c r="C2" s="195"/>
      <c r="D2" s="168"/>
      <c r="E2" s="168"/>
      <c r="F2"/>
      <c r="G2"/>
      <c r="H2"/>
      <c r="I2"/>
      <c r="J2" s="20"/>
      <c r="K2" s="20"/>
      <c r="L2" s="20"/>
      <c r="M2" s="20"/>
      <c r="N2" s="20"/>
      <c r="O2" s="20"/>
      <c r="P2" s="20"/>
      <c r="Q2" s="20"/>
      <c r="R2" s="20"/>
      <c r="S2" s="20"/>
      <c r="T2"/>
      <c r="U2"/>
      <c r="V2"/>
      <c r="W2"/>
      <c r="X2"/>
      <c r="Y2"/>
      <c r="Z2" s="8"/>
      <c r="AA2" s="239"/>
      <c r="AB2" s="453"/>
    </row>
    <row r="3" spans="1:48" ht="15.75">
      <c r="A3" s="18" t="s">
        <v>373</v>
      </c>
      <c r="B3" s="154"/>
      <c r="C3" s="195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B3" s="149"/>
    </row>
    <row r="4" spans="1:48">
      <c r="B4" s="175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>
        <f>V4</f>
        <v>0</v>
      </c>
      <c r="Y4" s="21"/>
      <c r="Z4" s="21">
        <f>X4</f>
        <v>0</v>
      </c>
    </row>
    <row r="5" spans="1:48" ht="15.75">
      <c r="A5" s="18"/>
      <c r="B5" s="1002" t="s">
        <v>211</v>
      </c>
      <c r="C5" s="21"/>
      <c r="D5" s="1003" t="s">
        <v>374</v>
      </c>
      <c r="E5" s="21"/>
      <c r="F5" s="1003" t="s">
        <v>213</v>
      </c>
      <c r="G5" s="21"/>
      <c r="H5" s="1003" t="s">
        <v>214</v>
      </c>
      <c r="I5" s="21"/>
      <c r="J5" s="1003" t="s">
        <v>215</v>
      </c>
      <c r="K5" s="21"/>
      <c r="L5" s="1003" t="s">
        <v>216</v>
      </c>
      <c r="M5" s="21"/>
      <c r="N5" s="1003" t="s">
        <v>217</v>
      </c>
      <c r="O5" s="21"/>
      <c r="P5" s="1003" t="s">
        <v>218</v>
      </c>
      <c r="Q5" s="21"/>
      <c r="R5" s="1003" t="s">
        <v>375</v>
      </c>
      <c r="S5" s="21"/>
      <c r="T5" s="1003" t="s">
        <v>220</v>
      </c>
      <c r="U5" s="21"/>
      <c r="V5" s="1003" t="s">
        <v>221</v>
      </c>
      <c r="W5" s="21"/>
      <c r="X5" s="1003" t="s">
        <v>222</v>
      </c>
      <c r="Y5" s="21"/>
      <c r="Z5" s="1003" t="s">
        <v>51</v>
      </c>
    </row>
    <row r="6" spans="1:48">
      <c r="A6" s="6" t="s">
        <v>376</v>
      </c>
    </row>
    <row r="7" spans="1:48">
      <c r="A7" s="6" t="str">
        <f>Sales!B4</f>
        <v>OPD Unidad GreenER</v>
      </c>
      <c r="B7" s="846">
        <f ca="1">Sales!F13</f>
        <v>1144</v>
      </c>
      <c r="C7" s="907">
        <f ca="1">IFERROR(B7/$B$13,0)</f>
        <v>1</v>
      </c>
      <c r="D7" s="14">
        <f ca="1">Sales!H13</f>
        <v>2728</v>
      </c>
      <c r="E7" s="907">
        <f ca="1">IFERROR(D7/$D$13,0)</f>
        <v>1</v>
      </c>
      <c r="F7" s="14">
        <f ca="1">Sales!J13</f>
        <v>2728</v>
      </c>
      <c r="G7" s="907">
        <f ca="1">IFERROR(F7/F13,0)</f>
        <v>1</v>
      </c>
      <c r="H7" s="14">
        <f ca="1">Sales!L13</f>
        <v>2728</v>
      </c>
      <c r="I7" s="907">
        <f ca="1">IFERROR(H7/H13,0)</f>
        <v>1</v>
      </c>
      <c r="J7" s="14">
        <f ca="1">Sales!N13</f>
        <v>2728</v>
      </c>
      <c r="K7" s="907">
        <f ca="1">IFERROR(J7/J13,0)</f>
        <v>1</v>
      </c>
      <c r="L7" s="14">
        <f ca="1">Sales!P13</f>
        <v>2728</v>
      </c>
      <c r="M7" s="907">
        <f ca="1">IFERROR(L7/L13,0)</f>
        <v>1</v>
      </c>
      <c r="N7" s="14">
        <f ca="1">Sales!R13</f>
        <v>2728</v>
      </c>
      <c r="O7" s="907">
        <f ca="1">IFERROR(N7/N13,0)</f>
        <v>1</v>
      </c>
      <c r="P7" s="14">
        <f ca="1">Sales!T13</f>
        <v>2728</v>
      </c>
      <c r="Q7" s="907">
        <f ca="1">IFERROR(P7/P13,0)</f>
        <v>1</v>
      </c>
      <c r="R7" s="14">
        <f ca="1">Sales!V13</f>
        <v>2728</v>
      </c>
      <c r="S7" s="907">
        <f ca="1">IFERROR(R7/R13,0)</f>
        <v>1</v>
      </c>
      <c r="T7" s="14">
        <f ca="1">Sales!X13</f>
        <v>2728</v>
      </c>
      <c r="U7" s="907">
        <f ca="1">IFERROR(T7/T13,0)</f>
        <v>1</v>
      </c>
      <c r="V7" s="14">
        <f ca="1">Sales!Z13</f>
        <v>2728</v>
      </c>
      <c r="W7" s="907">
        <f ca="1">IFERROR(V7/V13,0)</f>
        <v>1</v>
      </c>
      <c r="X7" s="14">
        <f ca="1">Sales!AB13</f>
        <v>440</v>
      </c>
      <c r="Y7" s="907">
        <f ca="1">IFERROR(X7/X13,0)</f>
        <v>1</v>
      </c>
      <c r="Z7" s="15">
        <f ca="1">+B7+D7+F7+H7+J7+L7+N7+P7+R7+T7+V7+X7</f>
        <v>28864</v>
      </c>
      <c r="AA7" s="908">
        <f ca="1">+Z7/$Z$13</f>
        <v>1</v>
      </c>
      <c r="AB7" s="14"/>
      <c r="AC7" s="149"/>
    </row>
    <row r="8" spans="1:48">
      <c r="A8" s="757" t="s">
        <v>377</v>
      </c>
      <c r="B8" s="846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5">
        <f t="shared" ref="Z8:Z12" si="0">+B8+D8+F8+H8+J8+L8+N8+P8+R8+T8+V8+X8</f>
        <v>0</v>
      </c>
      <c r="AB8" s="20"/>
    </row>
    <row r="9" spans="1:48">
      <c r="A9" s="757" t="s">
        <v>378</v>
      </c>
      <c r="B9" s="846"/>
      <c r="C9" s="907">
        <f ca="1">+B9/$B$13</f>
        <v>0</v>
      </c>
      <c r="D9" s="14"/>
      <c r="E9" s="907">
        <f ca="1">+D9/$B$13</f>
        <v>0</v>
      </c>
      <c r="F9" s="14"/>
      <c r="G9" s="907">
        <f ca="1">+F9/$B$13</f>
        <v>0</v>
      </c>
      <c r="H9" s="14"/>
      <c r="I9" s="907">
        <f ca="1">+H9/$B$13</f>
        <v>0</v>
      </c>
      <c r="J9" s="14"/>
      <c r="K9" s="907">
        <f ca="1">+J9/$B$13</f>
        <v>0</v>
      </c>
      <c r="L9" s="14"/>
      <c r="M9" s="907">
        <f ca="1">+L9/$B$13</f>
        <v>0</v>
      </c>
      <c r="N9" s="14"/>
      <c r="O9" s="907">
        <f ca="1">+N9/$B$13</f>
        <v>0</v>
      </c>
      <c r="P9" s="14"/>
      <c r="Q9" s="907">
        <f ca="1">+P9/$B$13</f>
        <v>0</v>
      </c>
      <c r="R9" s="14"/>
      <c r="S9" s="907">
        <f ca="1">+R9/$B$13</f>
        <v>0</v>
      </c>
      <c r="T9" s="14"/>
      <c r="U9" s="907">
        <f ca="1">+T9/$B$13</f>
        <v>0</v>
      </c>
      <c r="V9" s="14"/>
      <c r="W9" s="907">
        <f ca="1">+V9/$B$13</f>
        <v>0</v>
      </c>
      <c r="X9" s="14"/>
      <c r="Y9" s="907">
        <f ca="1">+X9/$B$13</f>
        <v>0</v>
      </c>
      <c r="Z9" s="15">
        <f t="shared" si="0"/>
        <v>0</v>
      </c>
      <c r="AA9" s="908">
        <f ca="1">+Z9/$Z$13</f>
        <v>0</v>
      </c>
      <c r="AB9" s="14"/>
      <c r="AC9" s="14"/>
    </row>
    <row r="10" spans="1:48">
      <c r="A10" s="757" t="s">
        <v>379</v>
      </c>
      <c r="B10" s="846"/>
      <c r="C10" s="907"/>
      <c r="D10" s="14"/>
      <c r="E10" s="907"/>
      <c r="F10" s="14"/>
      <c r="G10" s="907"/>
      <c r="H10" s="14"/>
      <c r="I10" s="907"/>
      <c r="J10" s="14"/>
      <c r="K10" s="907"/>
      <c r="L10" s="14"/>
      <c r="M10" s="907"/>
      <c r="N10" s="14"/>
      <c r="O10" s="907"/>
      <c r="P10" s="14"/>
      <c r="Q10" s="907"/>
      <c r="R10" s="14"/>
      <c r="S10" s="907"/>
      <c r="T10" s="14"/>
      <c r="U10" s="907"/>
      <c r="V10" s="14"/>
      <c r="W10" s="907"/>
      <c r="X10" s="14"/>
      <c r="Y10" s="907"/>
      <c r="Z10" s="15">
        <f t="shared" si="0"/>
        <v>0</v>
      </c>
      <c r="AB10" s="14"/>
      <c r="AC10" s="20"/>
    </row>
    <row r="11" spans="1:48" s="35" customFormat="1">
      <c r="A11" s="32" t="s">
        <v>380</v>
      </c>
      <c r="B11" s="846"/>
      <c r="C11" s="907"/>
      <c r="D11" s="14"/>
      <c r="E11" s="907"/>
      <c r="F11" s="14"/>
      <c r="G11" s="907"/>
      <c r="H11" s="14"/>
      <c r="I11" s="907"/>
      <c r="J11" s="14"/>
      <c r="K11" s="907"/>
      <c r="L11" s="14"/>
      <c r="M11" s="907"/>
      <c r="N11" s="14"/>
      <c r="O11" s="907"/>
      <c r="P11" s="14"/>
      <c r="Q11" s="907"/>
      <c r="R11" s="14">
        <f>18946447-18946447</f>
        <v>0</v>
      </c>
      <c r="S11" s="907"/>
      <c r="T11" s="14"/>
      <c r="U11" s="907"/>
      <c r="V11" s="33"/>
      <c r="W11" s="907"/>
      <c r="X11" s="33"/>
      <c r="Y11" s="907"/>
      <c r="Z11" s="15">
        <f t="shared" si="0"/>
        <v>0</v>
      </c>
      <c r="AA11" s="243"/>
      <c r="AB11" s="14"/>
    </row>
    <row r="12" spans="1:48">
      <c r="A12" s="757" t="s">
        <v>59</v>
      </c>
      <c r="C12" s="907"/>
      <c r="D12" s="14"/>
      <c r="E12" s="907"/>
      <c r="F12" s="14"/>
      <c r="G12" s="907"/>
      <c r="H12" s="14"/>
      <c r="I12" s="907"/>
      <c r="J12" s="14"/>
      <c r="K12" s="907"/>
      <c r="L12" s="14"/>
      <c r="M12" s="907"/>
      <c r="N12" s="14"/>
      <c r="O12" s="907"/>
      <c r="P12" s="14"/>
      <c r="Q12" s="907"/>
      <c r="R12" s="14"/>
      <c r="S12" s="907"/>
      <c r="T12" s="20"/>
      <c r="U12" s="907"/>
      <c r="V12" s="20"/>
      <c r="W12" s="907"/>
      <c r="X12" s="20"/>
      <c r="Y12" s="907"/>
      <c r="Z12" s="15">
        <f t="shared" si="0"/>
        <v>0</v>
      </c>
      <c r="AB12" s="14"/>
    </row>
    <row r="13" spans="1:48" s="1" customFormat="1" ht="13.5" thickBot="1">
      <c r="A13" s="6" t="s">
        <v>381</v>
      </c>
      <c r="B13" s="847">
        <f ca="1">SUM(B7:B12)</f>
        <v>1144</v>
      </c>
      <c r="C13" s="907">
        <f ca="1">IFERROR(B13/$B$13,0)</f>
        <v>1</v>
      </c>
      <c r="D13" s="40">
        <f ca="1">SUM(D7:D12)</f>
        <v>2728</v>
      </c>
      <c r="E13" s="907">
        <f ca="1">IFERROR(D13/D13,0)</f>
        <v>1</v>
      </c>
      <c r="F13" s="40">
        <f t="shared" ref="F13:T13" ca="1" si="1">SUM(F7:F12)</f>
        <v>2728</v>
      </c>
      <c r="G13" s="907">
        <f ca="1">IFERROR(F13/F13,0)</f>
        <v>1</v>
      </c>
      <c r="H13" s="40">
        <f t="shared" ca="1" si="1"/>
        <v>2728</v>
      </c>
      <c r="I13" s="907">
        <f ca="1">IFERROR(H13/H13,0)</f>
        <v>1</v>
      </c>
      <c r="J13" s="40">
        <f t="shared" ca="1" si="1"/>
        <v>2728</v>
      </c>
      <c r="K13" s="907">
        <f ca="1">IFERROR(J13/J13,0)</f>
        <v>1</v>
      </c>
      <c r="L13" s="40">
        <f t="shared" ca="1" si="1"/>
        <v>2728</v>
      </c>
      <c r="M13" s="907">
        <f ca="1">IFERROR(L13/L13,0)</f>
        <v>1</v>
      </c>
      <c r="N13" s="40">
        <f t="shared" ca="1" si="1"/>
        <v>2728</v>
      </c>
      <c r="O13" s="907">
        <f ca="1">IFERROR(N13/N13,0)</f>
        <v>1</v>
      </c>
      <c r="P13" s="40">
        <f t="shared" ca="1" si="1"/>
        <v>2728</v>
      </c>
      <c r="Q13" s="907">
        <f ca="1">IFERROR(P13/P13,0)</f>
        <v>1</v>
      </c>
      <c r="R13" s="40">
        <f t="shared" ca="1" si="1"/>
        <v>2728</v>
      </c>
      <c r="S13" s="907">
        <f ca="1">IFERROR(R13/R13,0)</f>
        <v>1</v>
      </c>
      <c r="T13" s="40">
        <f t="shared" ca="1" si="1"/>
        <v>2728</v>
      </c>
      <c r="U13" s="907">
        <f ca="1">IFERROR(T13/T13,0)</f>
        <v>1</v>
      </c>
      <c r="V13" s="40">
        <f ca="1">SUM(V7:V12)</f>
        <v>2728</v>
      </c>
      <c r="W13" s="907">
        <f ca="1">IFERROR(V13/V13,0)</f>
        <v>1</v>
      </c>
      <c r="X13" s="40">
        <f ca="1">SUM(X7:X12)</f>
        <v>440</v>
      </c>
      <c r="Y13" s="907">
        <f ca="1">IFERROR(X13/X13,0)</f>
        <v>1</v>
      </c>
      <c r="Z13" s="40">
        <f ca="1">SUM(Z7:Z12)</f>
        <v>28864</v>
      </c>
      <c r="AA13" s="21"/>
      <c r="AB13" s="14"/>
      <c r="AD13" s="603"/>
    </row>
    <row r="14" spans="1:48" ht="13.5" thickTop="1">
      <c r="A14" s="757"/>
      <c r="C14" s="907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15"/>
      <c r="AB14" s="14"/>
      <c r="AC14" s="168"/>
      <c r="AD14" s="20"/>
      <c r="AI14" s="149"/>
    </row>
    <row r="15" spans="1:48" ht="13.5" thickBot="1">
      <c r="A15" s="6" t="s">
        <v>382</v>
      </c>
      <c r="C15" s="907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15"/>
      <c r="AB15" s="14"/>
      <c r="AI15" s="149"/>
      <c r="AL15" s="187"/>
      <c r="AM15" s="187"/>
      <c r="AN15" s="204"/>
    </row>
    <row r="16" spans="1:48">
      <c r="A16" s="757" t="s">
        <v>266</v>
      </c>
      <c r="B16" s="846">
        <f>(Cost!P28/(1+Cost!$N$8))*$B1</f>
        <v>12</v>
      </c>
      <c r="C16" s="907">
        <f t="shared" ref="C16:C51" ca="1" si="2">+B16/$B$13</f>
        <v>0.01</v>
      </c>
      <c r="D16" s="14">
        <f>(Cost!R28/(1+Cost!$N$8))*$B1</f>
        <v>21</v>
      </c>
      <c r="E16" s="909">
        <f ca="1">IFERROR(D16/$D$13,0)</f>
        <v>7.7000000000000002E-3</v>
      </c>
      <c r="F16" s="14">
        <f>(Cost!T28/(1+Cost!$N$8))*$B1</f>
        <v>21</v>
      </c>
      <c r="G16" s="909">
        <f ca="1">IFERROR(F16/$F$13,0)</f>
        <v>7.7000000000000002E-3</v>
      </c>
      <c r="H16" s="14">
        <f>(Cost!V28/(1+Cost!$N$8))*$B1</f>
        <v>21</v>
      </c>
      <c r="I16" s="910">
        <f ca="1">IFERROR(H16/$H$13,0)</f>
        <v>8.0000000000000002E-3</v>
      </c>
      <c r="J16" s="14">
        <f>(Cost!X28/(1+Cost!$N$8))*$B1</f>
        <v>21</v>
      </c>
      <c r="K16" s="911">
        <f ca="1">IFERROR(J16/$J$13,0)</f>
        <v>8.0000000000000002E-3</v>
      </c>
      <c r="L16" s="14">
        <f>(Cost!Z28/(1+Cost!$N$8))*$B1</f>
        <v>21</v>
      </c>
      <c r="M16" s="912">
        <f ca="1">IFERROR(L16/$L$13,0)</f>
        <v>0.01</v>
      </c>
      <c r="N16" s="14">
        <f>(Cost!AB28/(1+Cost!$N$8))*$B1</f>
        <v>21</v>
      </c>
      <c r="O16" s="912">
        <f ca="1">IFERROR(N16/$N$13,0)</f>
        <v>0.01</v>
      </c>
      <c r="P16" s="14">
        <f>(Cost!AD28/(1+Cost!$N$8))*$B1</f>
        <v>21</v>
      </c>
      <c r="Q16" s="911">
        <f ca="1">IFERROR(P16/$P$13,0)</f>
        <v>8.0000000000000002E-3</v>
      </c>
      <c r="R16" s="14">
        <f>(Cost!AF28/(1+Cost!$N$8))*$B1</f>
        <v>21</v>
      </c>
      <c r="S16" s="911">
        <f t="shared" ref="S16:S51" ca="1" si="3">IFERROR(R16/$R$13,0)</f>
        <v>8.0000000000000002E-3</v>
      </c>
      <c r="T16" s="14">
        <f>(Cost!AH28/(1+Cost!$N$8))*$B1</f>
        <v>21</v>
      </c>
      <c r="U16" s="911">
        <f t="shared" ref="U16:U25" ca="1" si="4">IFERROR(T16/$T$13,0)</f>
        <v>8.0000000000000002E-3</v>
      </c>
      <c r="V16" s="14">
        <f>(Cost!AJ28/(1+Cost!$N$8))*$B1</f>
        <v>21</v>
      </c>
      <c r="W16" s="911">
        <f t="shared" ref="W16:W25" ca="1" si="5">IFERROR(V16/$V$13,0)</f>
        <v>8.0000000000000002E-3</v>
      </c>
      <c r="X16" s="14">
        <f>(Cost!AL28/(1+Cost!$N$8))*$B1</f>
        <v>8</v>
      </c>
      <c r="Y16" s="911">
        <f ca="1">IFERROR(X16/$X$13,0)</f>
        <v>1.7999999999999999E-2</v>
      </c>
      <c r="Z16" s="15">
        <f>+B16+D16+F16+H16+J16+L16+N16+P16+R16+T16+V16+X16</f>
        <v>230</v>
      </c>
      <c r="AA16" s="913">
        <f ca="1">+Z16/$Z$13</f>
        <v>0.01</v>
      </c>
      <c r="AB16" s="14"/>
      <c r="AC16" s="308"/>
      <c r="AD16" s="407"/>
      <c r="AE16" s="407"/>
      <c r="AF16" s="407"/>
      <c r="AG16" s="408"/>
      <c r="AI16" s="149"/>
      <c r="AL16" s="555"/>
      <c r="AM16" s="187"/>
      <c r="AN16" s="223"/>
      <c r="AO16" s="149"/>
      <c r="AP16" s="149"/>
      <c r="AQ16" s="149"/>
      <c r="AR16" s="149"/>
      <c r="AS16" s="149"/>
      <c r="AT16" s="149"/>
      <c r="AU16" s="149"/>
      <c r="AV16" s="149"/>
    </row>
    <row r="17" spans="1:48">
      <c r="A17" s="757" t="s">
        <v>268</v>
      </c>
      <c r="B17" s="846">
        <f>+B16*Profile!$M$2</f>
        <v>6</v>
      </c>
      <c r="C17" s="907">
        <f ca="1">+B17/$B$13</f>
        <v>0.01</v>
      </c>
      <c r="D17" s="14">
        <f>+D16*Profile!$M$2</f>
        <v>10</v>
      </c>
      <c r="E17" s="909">
        <f ca="1">IFERROR(D17/$D$13,0)</f>
        <v>3.7000000000000002E-3</v>
      </c>
      <c r="F17" s="14">
        <f>+F16*Profile!$M$2</f>
        <v>10</v>
      </c>
      <c r="G17" s="909">
        <f ca="1">IFERROR(F17/$F$13,0)</f>
        <v>3.7000000000000002E-3</v>
      </c>
      <c r="H17" s="14">
        <f>+H16*Profile!$M$2</f>
        <v>10</v>
      </c>
      <c r="I17" s="910">
        <f t="shared" ref="I17:I51" ca="1" si="6">IFERROR(H17/$H$13,0)</f>
        <v>4.0000000000000001E-3</v>
      </c>
      <c r="J17" s="14">
        <f>+J16*Profile!$M$2</f>
        <v>10</v>
      </c>
      <c r="K17" s="911">
        <f t="shared" ref="K17:K51" ca="1" si="7">IFERROR(J17/$J$13,0)</f>
        <v>4.0000000000000001E-3</v>
      </c>
      <c r="L17" s="14">
        <f>+L16*Profile!$M$2</f>
        <v>10</v>
      </c>
      <c r="M17" s="912">
        <f t="shared" ref="M17:M51" ca="1" si="8">IFERROR(L17/$L$13,0)</f>
        <v>0</v>
      </c>
      <c r="N17" s="14">
        <f>+N16*Profile!$M$2</f>
        <v>10</v>
      </c>
      <c r="O17" s="912">
        <f t="shared" ref="O17:O51" ca="1" si="9">IFERROR(N17/$N$13,0)</f>
        <v>0</v>
      </c>
      <c r="P17" s="14">
        <f>+P16*Profile!$M$2</f>
        <v>10</v>
      </c>
      <c r="Q17" s="911">
        <f t="shared" ref="Q17:Q51" ca="1" si="10">IFERROR(P17/$P$13,0)</f>
        <v>4.0000000000000001E-3</v>
      </c>
      <c r="R17" s="14">
        <f>+R16*Profile!$M$2</f>
        <v>10</v>
      </c>
      <c r="S17" s="911">
        <f t="shared" ca="1" si="3"/>
        <v>4.0000000000000001E-3</v>
      </c>
      <c r="T17" s="14">
        <f>+T16*Profile!$M$2</f>
        <v>10</v>
      </c>
      <c r="U17" s="911">
        <f t="shared" ca="1" si="4"/>
        <v>4.0000000000000001E-3</v>
      </c>
      <c r="V17" s="14">
        <f>+V16*Profile!$M$2</f>
        <v>10</v>
      </c>
      <c r="W17" s="911">
        <f t="shared" ca="1" si="5"/>
        <v>4.0000000000000001E-3</v>
      </c>
      <c r="X17" s="14">
        <f>+X16*Profile!$M$2</f>
        <v>4</v>
      </c>
      <c r="Y17" s="911">
        <f t="shared" ref="Y17:Y51" ca="1" si="11">IFERROR(X17/$X$13,0)</f>
        <v>8.9999999999999993E-3</v>
      </c>
      <c r="Z17" s="15">
        <f t="shared" ref="Z17:Z48" si="12">+B17+D17+F17+H17+J17+L17+N17+P17+R17+T17+V17+X17</f>
        <v>110</v>
      </c>
      <c r="AA17" s="913">
        <f t="shared" ref="AA17:AA53" ca="1" si="13">+Z17/$Z$13</f>
        <v>0</v>
      </c>
      <c r="AB17" s="159"/>
      <c r="AC17" s="478"/>
      <c r="AD17" s="168"/>
      <c r="AG17" s="224"/>
      <c r="AI17" s="149"/>
      <c r="AL17" s="555"/>
      <c r="AM17" s="187"/>
      <c r="AN17" s="223"/>
      <c r="AO17" s="149"/>
      <c r="AP17" s="149"/>
      <c r="AQ17" s="149"/>
      <c r="AR17" s="149"/>
      <c r="AS17" s="149"/>
      <c r="AT17" s="149"/>
      <c r="AU17" s="149"/>
      <c r="AV17" s="149"/>
    </row>
    <row r="18" spans="1:48">
      <c r="A18" s="757" t="s">
        <v>383</v>
      </c>
      <c r="B18" s="846"/>
      <c r="C18" s="907">
        <f t="shared" ca="1" si="2"/>
        <v>0</v>
      </c>
      <c r="D18" s="14"/>
      <c r="E18" s="909">
        <f t="shared" ref="E18:E50" ca="1" si="14">IFERROR(D18/$D$13,0)</f>
        <v>0</v>
      </c>
      <c r="F18" s="14"/>
      <c r="G18" s="909">
        <f t="shared" ref="G18:G51" ca="1" si="15">IFERROR(F18/$F$13,0)</f>
        <v>0</v>
      </c>
      <c r="H18" s="14"/>
      <c r="I18" s="910">
        <f t="shared" ca="1" si="6"/>
        <v>0</v>
      </c>
      <c r="J18" s="14"/>
      <c r="K18" s="911">
        <f t="shared" ca="1" si="7"/>
        <v>0</v>
      </c>
      <c r="L18" s="14"/>
      <c r="M18" s="912">
        <f t="shared" ca="1" si="8"/>
        <v>0</v>
      </c>
      <c r="N18" s="14"/>
      <c r="O18" s="912">
        <f t="shared" ca="1" si="9"/>
        <v>0</v>
      </c>
      <c r="P18" s="14"/>
      <c r="Q18" s="911">
        <f t="shared" ca="1" si="10"/>
        <v>0</v>
      </c>
      <c r="R18" s="14"/>
      <c r="S18" s="911">
        <f t="shared" ca="1" si="3"/>
        <v>0</v>
      </c>
      <c r="T18" s="14"/>
      <c r="U18" s="911">
        <f t="shared" ca="1" si="4"/>
        <v>0</v>
      </c>
      <c r="V18" s="14"/>
      <c r="W18" s="911">
        <f t="shared" ca="1" si="5"/>
        <v>0</v>
      </c>
      <c r="X18" s="14"/>
      <c r="Y18" s="911">
        <f t="shared" ca="1" si="11"/>
        <v>0</v>
      </c>
      <c r="Z18" s="15">
        <f t="shared" si="12"/>
        <v>0</v>
      </c>
      <c r="AA18" s="913">
        <f t="shared" ca="1" si="13"/>
        <v>0</v>
      </c>
      <c r="AB18" s="159"/>
      <c r="AC18" s="478"/>
      <c r="AD18" s="168"/>
      <c r="AG18" s="224"/>
      <c r="AI18" s="149"/>
      <c r="AL18" s="555"/>
      <c r="AM18" s="187"/>
      <c r="AN18" s="223"/>
      <c r="AO18" s="149"/>
      <c r="AP18" s="149"/>
      <c r="AQ18" s="149"/>
      <c r="AR18" s="149"/>
      <c r="AS18" s="149"/>
      <c r="AT18" s="149"/>
      <c r="AU18" s="149"/>
      <c r="AV18" s="149"/>
    </row>
    <row r="19" spans="1:48" ht="13.5" thickBot="1">
      <c r="A19" s="757" t="s">
        <v>269</v>
      </c>
      <c r="B19" s="846">
        <f>(Cost!P34/(1+Cost!$N$8))*$B1</f>
        <v>23</v>
      </c>
      <c r="C19" s="907">
        <f t="shared" ca="1" si="2"/>
        <v>0.02</v>
      </c>
      <c r="D19" s="14">
        <f>(Cost!R34/(1+Cost!$N$8))*$B1</f>
        <v>0</v>
      </c>
      <c r="E19" s="909">
        <f t="shared" ca="1" si="14"/>
        <v>0</v>
      </c>
      <c r="F19" s="14">
        <f>(Cost!T34/(1+Cost!$N$8))*$B1</f>
        <v>0</v>
      </c>
      <c r="G19" s="909">
        <f t="shared" ca="1" si="15"/>
        <v>0</v>
      </c>
      <c r="H19" s="14">
        <f>(Cost!V34/(1+Cost!$N$8))*$B1</f>
        <v>0</v>
      </c>
      <c r="I19" s="910">
        <f t="shared" ca="1" si="6"/>
        <v>0</v>
      </c>
      <c r="J19" s="14">
        <f>(Cost!X34/(1+Cost!$N$8))*$B1</f>
        <v>23</v>
      </c>
      <c r="K19" s="911">
        <f t="shared" ca="1" si="7"/>
        <v>8.0000000000000002E-3</v>
      </c>
      <c r="L19" s="14">
        <f>(Cost!Z34/(1+Cost!$N$8))*$B1</f>
        <v>0</v>
      </c>
      <c r="M19" s="912">
        <f t="shared" ca="1" si="8"/>
        <v>0</v>
      </c>
      <c r="N19" s="14">
        <f>(Cost!AB34/(1+Cost!$N$8))*$B1</f>
        <v>0</v>
      </c>
      <c r="O19" s="912">
        <f t="shared" ca="1" si="9"/>
        <v>0</v>
      </c>
      <c r="P19" s="14">
        <f>(Cost!AD34/(1+Cost!$N$8))*$B1</f>
        <v>0</v>
      </c>
      <c r="Q19" s="911">
        <f t="shared" ca="1" si="10"/>
        <v>0</v>
      </c>
      <c r="R19" s="14">
        <f>(Cost!AF34/(1+Cost!$N$8))*$B1</f>
        <v>23</v>
      </c>
      <c r="S19" s="911">
        <f t="shared" ca="1" si="3"/>
        <v>8.0000000000000002E-3</v>
      </c>
      <c r="T19" s="14">
        <f>(Cost!AH34/(1+Cost!$N$8))*$B1</f>
        <v>0</v>
      </c>
      <c r="U19" s="911">
        <f t="shared" ca="1" si="4"/>
        <v>0</v>
      </c>
      <c r="V19" s="14">
        <f>(Cost!AJ34/(1+Cost!$N$8))*$B1</f>
        <v>0</v>
      </c>
      <c r="W19" s="911">
        <f t="shared" ca="1" si="5"/>
        <v>0</v>
      </c>
      <c r="X19" s="14">
        <f>(Cost!AL34/(1+Cost!$N$8))*$B1</f>
        <v>23</v>
      </c>
      <c r="Y19" s="911">
        <f t="shared" ca="1" si="11"/>
        <v>5.1999999999999998E-2</v>
      </c>
      <c r="Z19" s="15">
        <f t="shared" si="12"/>
        <v>92</v>
      </c>
      <c r="AA19" s="913">
        <f t="shared" ca="1" si="13"/>
        <v>0</v>
      </c>
      <c r="AB19" s="159"/>
      <c r="AC19" s="479"/>
      <c r="AD19" s="480"/>
      <c r="AE19" s="481"/>
      <c r="AF19" s="481"/>
      <c r="AG19" s="482"/>
      <c r="AI19" s="149"/>
      <c r="AL19" s="555"/>
      <c r="AM19" s="187"/>
      <c r="AN19" s="223"/>
      <c r="AO19" s="149"/>
      <c r="AP19" s="149"/>
      <c r="AQ19" s="149"/>
      <c r="AR19" s="149"/>
      <c r="AS19" s="149"/>
      <c r="AT19" s="149"/>
      <c r="AU19" s="149"/>
      <c r="AV19" s="149"/>
    </row>
    <row r="20" spans="1:48">
      <c r="A20" s="757" t="s">
        <v>384</v>
      </c>
      <c r="B20" s="846">
        <f>+B19*Profile!$M$2</f>
        <v>11</v>
      </c>
      <c r="C20" s="907">
        <f t="shared" ca="1" si="2"/>
        <v>0.01</v>
      </c>
      <c r="D20" s="14">
        <f>+D19*Profile!$M$2</f>
        <v>0</v>
      </c>
      <c r="E20" s="909">
        <f t="shared" ca="1" si="14"/>
        <v>0</v>
      </c>
      <c r="F20" s="14">
        <f>+F19*Profile!$M$2</f>
        <v>0</v>
      </c>
      <c r="G20" s="909">
        <f t="shared" ca="1" si="15"/>
        <v>0</v>
      </c>
      <c r="H20" s="14">
        <f>+H19*Profile!$M$2</f>
        <v>0</v>
      </c>
      <c r="I20" s="910">
        <f t="shared" ca="1" si="6"/>
        <v>0</v>
      </c>
      <c r="J20" s="14">
        <f>+J19*Profile!$M$2</f>
        <v>11</v>
      </c>
      <c r="K20" s="911">
        <f t="shared" ca="1" si="7"/>
        <v>4.0000000000000001E-3</v>
      </c>
      <c r="L20" s="14">
        <f>+L19*Profile!$M$2</f>
        <v>0</v>
      </c>
      <c r="M20" s="912">
        <f t="shared" ca="1" si="8"/>
        <v>0</v>
      </c>
      <c r="N20" s="14">
        <f>+N19*Profile!$M$2</f>
        <v>0</v>
      </c>
      <c r="O20" s="912">
        <f t="shared" ca="1" si="9"/>
        <v>0</v>
      </c>
      <c r="P20" s="14">
        <f>+P19*Profile!$M$2</f>
        <v>0</v>
      </c>
      <c r="Q20" s="911">
        <f t="shared" ca="1" si="10"/>
        <v>0</v>
      </c>
      <c r="R20" s="14">
        <f>+R19*Profile!$M$2</f>
        <v>11</v>
      </c>
      <c r="S20" s="911">
        <f t="shared" ca="1" si="3"/>
        <v>4.0000000000000001E-3</v>
      </c>
      <c r="T20" s="14">
        <f>+T19*Profile!$M$2</f>
        <v>0</v>
      </c>
      <c r="U20" s="911">
        <f t="shared" ca="1" si="4"/>
        <v>0</v>
      </c>
      <c r="V20" s="14">
        <f>+V19*Profile!$M$2</f>
        <v>0</v>
      </c>
      <c r="W20" s="911">
        <f t="shared" ca="1" si="5"/>
        <v>0</v>
      </c>
      <c r="X20" s="14">
        <f>+X19*Profile!$M$2</f>
        <v>11</v>
      </c>
      <c r="Y20" s="911">
        <f t="shared" ca="1" si="11"/>
        <v>2.5000000000000001E-2</v>
      </c>
      <c r="Z20" s="15">
        <f t="shared" si="12"/>
        <v>44</v>
      </c>
      <c r="AA20" s="913">
        <f t="shared" ca="1" si="13"/>
        <v>0</v>
      </c>
      <c r="AB20" s="159"/>
      <c r="AI20" s="149"/>
      <c r="AN20" s="149"/>
      <c r="AO20" s="149"/>
      <c r="AP20" s="149"/>
      <c r="AQ20" s="149"/>
      <c r="AR20" s="149"/>
      <c r="AS20" s="149"/>
      <c r="AT20" s="149"/>
      <c r="AU20" s="149"/>
      <c r="AV20" s="149"/>
    </row>
    <row r="21" spans="1:48">
      <c r="A21" s="757" t="s">
        <v>385</v>
      </c>
      <c r="B21" s="846"/>
      <c r="C21" s="907">
        <f t="shared" ca="1" si="2"/>
        <v>0</v>
      </c>
      <c r="D21" s="14"/>
      <c r="E21" s="909">
        <f t="shared" ca="1" si="14"/>
        <v>0</v>
      </c>
      <c r="F21" s="14"/>
      <c r="G21" s="909">
        <f t="shared" ca="1" si="15"/>
        <v>0</v>
      </c>
      <c r="H21" s="14"/>
      <c r="I21" s="910">
        <f t="shared" ca="1" si="6"/>
        <v>0</v>
      </c>
      <c r="J21" s="14"/>
      <c r="K21" s="911">
        <f t="shared" ca="1" si="7"/>
        <v>0</v>
      </c>
      <c r="L21" s="14"/>
      <c r="M21" s="912">
        <f t="shared" ca="1" si="8"/>
        <v>0</v>
      </c>
      <c r="N21" s="14"/>
      <c r="O21" s="912">
        <f t="shared" ca="1" si="9"/>
        <v>0</v>
      </c>
      <c r="P21" s="14"/>
      <c r="Q21" s="911">
        <f t="shared" ca="1" si="10"/>
        <v>0</v>
      </c>
      <c r="R21" s="14"/>
      <c r="S21" s="911">
        <f t="shared" ca="1" si="3"/>
        <v>0</v>
      </c>
      <c r="T21" s="14"/>
      <c r="U21" s="911">
        <f t="shared" ca="1" si="4"/>
        <v>0</v>
      </c>
      <c r="V21" s="14"/>
      <c r="W21" s="911">
        <f t="shared" ca="1" si="5"/>
        <v>0</v>
      </c>
      <c r="X21" s="14"/>
      <c r="Y21" s="911">
        <f t="shared" ca="1" si="11"/>
        <v>0</v>
      </c>
      <c r="Z21" s="15">
        <f t="shared" si="12"/>
        <v>0</v>
      </c>
      <c r="AA21" s="913">
        <f t="shared" ca="1" si="13"/>
        <v>0</v>
      </c>
      <c r="AI21" s="149"/>
      <c r="AN21" s="149"/>
      <c r="AO21" s="149"/>
      <c r="AP21" s="149"/>
      <c r="AQ21" s="149"/>
      <c r="AR21" s="149"/>
      <c r="AS21" s="149"/>
      <c r="AT21" s="149"/>
      <c r="AU21" s="149"/>
      <c r="AV21" s="149"/>
    </row>
    <row r="22" spans="1:48">
      <c r="A22" s="757" t="s">
        <v>386</v>
      </c>
      <c r="B22" s="848"/>
      <c r="C22" s="910">
        <f t="shared" ca="1" si="2"/>
        <v>0</v>
      </c>
      <c r="D22" s="202"/>
      <c r="E22" s="909">
        <f t="shared" ca="1" si="14"/>
        <v>0</v>
      </c>
      <c r="F22" s="1004"/>
      <c r="G22" s="909">
        <f t="shared" ca="1" si="15"/>
        <v>0</v>
      </c>
      <c r="H22" s="202"/>
      <c r="I22" s="910">
        <f t="shared" ca="1" si="6"/>
        <v>0</v>
      </c>
      <c r="J22" s="202"/>
      <c r="K22" s="911">
        <f t="shared" ca="1" si="7"/>
        <v>0</v>
      </c>
      <c r="L22" s="202"/>
      <c r="M22" s="911">
        <f t="shared" ca="1" si="8"/>
        <v>0</v>
      </c>
      <c r="N22" s="202"/>
      <c r="O22" s="911">
        <f t="shared" ca="1" si="9"/>
        <v>0</v>
      </c>
      <c r="P22" s="202"/>
      <c r="Q22" s="911">
        <f t="shared" ca="1" si="10"/>
        <v>0</v>
      </c>
      <c r="R22" s="202"/>
      <c r="S22" s="911">
        <f t="shared" ca="1" si="3"/>
        <v>0</v>
      </c>
      <c r="T22" s="200"/>
      <c r="U22" s="911">
        <f t="shared" ca="1" si="4"/>
        <v>0</v>
      </c>
      <c r="V22" s="200"/>
      <c r="W22" s="911">
        <f t="shared" ca="1" si="5"/>
        <v>0</v>
      </c>
      <c r="X22" s="200"/>
      <c r="Y22" s="911">
        <f t="shared" ca="1" si="11"/>
        <v>0</v>
      </c>
      <c r="Z22" s="15">
        <f t="shared" si="12"/>
        <v>0</v>
      </c>
      <c r="AA22" s="913">
        <f t="shared" ca="1" si="13"/>
        <v>0</v>
      </c>
      <c r="AB22" s="149"/>
      <c r="AI22" s="149"/>
      <c r="AL22" s="149"/>
      <c r="AN22" s="149"/>
      <c r="AO22" s="149"/>
      <c r="AP22" s="149"/>
      <c r="AQ22" s="149"/>
      <c r="AR22" s="149"/>
      <c r="AS22" s="149"/>
      <c r="AT22" s="149"/>
      <c r="AU22" s="149"/>
      <c r="AV22" s="149"/>
    </row>
    <row r="23" spans="1:48">
      <c r="A23" s="757" t="s">
        <v>387</v>
      </c>
      <c r="B23" s="587"/>
      <c r="C23" s="910">
        <f t="shared" ca="1" si="2"/>
        <v>0</v>
      </c>
      <c r="D23" s="200"/>
      <c r="E23" s="909">
        <f t="shared" ca="1" si="14"/>
        <v>0</v>
      </c>
      <c r="F23" s="200"/>
      <c r="G23" s="909">
        <f t="shared" ca="1" si="15"/>
        <v>0</v>
      </c>
      <c r="H23" s="200"/>
      <c r="I23" s="910">
        <f t="shared" ca="1" si="6"/>
        <v>0</v>
      </c>
      <c r="J23" s="200"/>
      <c r="K23" s="911">
        <f t="shared" ca="1" si="7"/>
        <v>0</v>
      </c>
      <c r="L23" s="200"/>
      <c r="M23" s="911">
        <f t="shared" ca="1" si="8"/>
        <v>0</v>
      </c>
      <c r="N23" s="200"/>
      <c r="O23" s="911">
        <f t="shared" ca="1" si="9"/>
        <v>0</v>
      </c>
      <c r="P23" s="200"/>
      <c r="Q23" s="911">
        <f t="shared" ca="1" si="10"/>
        <v>0</v>
      </c>
      <c r="R23" s="200"/>
      <c r="S23" s="911">
        <f t="shared" ca="1" si="3"/>
        <v>0</v>
      </c>
      <c r="T23" s="200"/>
      <c r="U23" s="911">
        <f t="shared" ca="1" si="4"/>
        <v>0</v>
      </c>
      <c r="V23" s="200"/>
      <c r="W23" s="911">
        <f t="shared" ca="1" si="5"/>
        <v>0</v>
      </c>
      <c r="X23" s="200"/>
      <c r="Y23" s="911">
        <f t="shared" ca="1" si="11"/>
        <v>0</v>
      </c>
      <c r="Z23" s="15">
        <f t="shared" si="12"/>
        <v>0</v>
      </c>
      <c r="AA23" s="913">
        <f t="shared" ca="1" si="13"/>
        <v>0</v>
      </c>
      <c r="AB23" s="149"/>
      <c r="AI23" s="149"/>
      <c r="AL23" s="149"/>
      <c r="AN23" s="149"/>
      <c r="AO23" s="149"/>
      <c r="AP23" s="149"/>
      <c r="AQ23" s="149"/>
      <c r="AR23" s="149"/>
      <c r="AS23" s="149"/>
      <c r="AT23" s="149"/>
      <c r="AU23" s="149"/>
      <c r="AV23" s="149"/>
    </row>
    <row r="24" spans="1:48">
      <c r="A24" s="757" t="s">
        <v>388</v>
      </c>
      <c r="B24" s="587"/>
      <c r="C24" s="910">
        <f t="shared" ca="1" si="2"/>
        <v>0</v>
      </c>
      <c r="D24" s="200"/>
      <c r="E24" s="909">
        <f t="shared" ca="1" si="14"/>
        <v>0</v>
      </c>
      <c r="F24" s="200"/>
      <c r="G24" s="909">
        <f t="shared" ca="1" si="15"/>
        <v>0</v>
      </c>
      <c r="H24" s="200"/>
      <c r="I24" s="910">
        <f t="shared" ca="1" si="6"/>
        <v>0</v>
      </c>
      <c r="J24" s="200"/>
      <c r="K24" s="911">
        <f t="shared" ca="1" si="7"/>
        <v>0</v>
      </c>
      <c r="L24" s="200"/>
      <c r="M24" s="911">
        <f t="shared" ca="1" si="8"/>
        <v>0</v>
      </c>
      <c r="N24" s="200"/>
      <c r="O24" s="911">
        <f t="shared" ca="1" si="9"/>
        <v>0</v>
      </c>
      <c r="P24" s="200"/>
      <c r="Q24" s="911">
        <f t="shared" ca="1" si="10"/>
        <v>0</v>
      </c>
      <c r="R24" s="200"/>
      <c r="S24" s="911">
        <f t="shared" ca="1" si="3"/>
        <v>0</v>
      </c>
      <c r="T24" s="200"/>
      <c r="U24" s="911">
        <f t="shared" ca="1" si="4"/>
        <v>0</v>
      </c>
      <c r="V24" s="200"/>
      <c r="W24" s="911">
        <f t="shared" ca="1" si="5"/>
        <v>0</v>
      </c>
      <c r="X24" s="200"/>
      <c r="Y24" s="911">
        <f t="shared" ca="1" si="11"/>
        <v>0</v>
      </c>
      <c r="Z24" s="15">
        <f t="shared" si="12"/>
        <v>0</v>
      </c>
      <c r="AA24" s="253">
        <f t="shared" ca="1" si="13"/>
        <v>0</v>
      </c>
      <c r="AB24" s="149"/>
      <c r="AH24" s="150"/>
      <c r="AI24" s="150"/>
      <c r="AJ24" s="150"/>
      <c r="AK24" s="150"/>
      <c r="AL24" s="4"/>
      <c r="AM24" s="4"/>
      <c r="AN24" s="149"/>
      <c r="AO24" s="149"/>
      <c r="AP24" s="149"/>
      <c r="AQ24" s="149"/>
      <c r="AR24" s="149"/>
      <c r="AS24" s="149"/>
      <c r="AT24" s="149"/>
      <c r="AU24" s="149"/>
      <c r="AV24" s="149"/>
    </row>
    <row r="25" spans="1:48">
      <c r="A25" s="757" t="s">
        <v>389</v>
      </c>
      <c r="B25" s="587"/>
      <c r="C25" s="910">
        <f t="shared" ca="1" si="2"/>
        <v>0</v>
      </c>
      <c r="D25" s="200"/>
      <c r="E25" s="909">
        <f t="shared" ca="1" si="14"/>
        <v>0</v>
      </c>
      <c r="F25" s="200"/>
      <c r="G25" s="909">
        <f t="shared" ca="1" si="15"/>
        <v>0</v>
      </c>
      <c r="H25" s="200"/>
      <c r="I25" s="910">
        <f t="shared" ca="1" si="6"/>
        <v>0</v>
      </c>
      <c r="J25" s="200"/>
      <c r="K25" s="911">
        <f t="shared" ca="1" si="7"/>
        <v>0</v>
      </c>
      <c r="L25" s="200"/>
      <c r="M25" s="911">
        <f t="shared" ca="1" si="8"/>
        <v>0</v>
      </c>
      <c r="N25" s="200"/>
      <c r="O25" s="911">
        <f t="shared" ca="1" si="9"/>
        <v>0</v>
      </c>
      <c r="P25" s="200"/>
      <c r="Q25" s="911">
        <f t="shared" ca="1" si="10"/>
        <v>0</v>
      </c>
      <c r="R25" s="200"/>
      <c r="S25" s="911">
        <f t="shared" ca="1" si="3"/>
        <v>0</v>
      </c>
      <c r="T25" s="200"/>
      <c r="U25" s="911">
        <f t="shared" ca="1" si="4"/>
        <v>0</v>
      </c>
      <c r="V25" s="200"/>
      <c r="W25" s="911">
        <f t="shared" ca="1" si="5"/>
        <v>0</v>
      </c>
      <c r="X25" s="200"/>
      <c r="Y25" s="911">
        <f t="shared" ca="1" si="11"/>
        <v>0</v>
      </c>
      <c r="Z25" s="15">
        <f t="shared" si="12"/>
        <v>0</v>
      </c>
      <c r="AA25" s="908">
        <f t="shared" ca="1" si="13"/>
        <v>0</v>
      </c>
      <c r="AB25" s="149"/>
      <c r="AH25" s="150"/>
      <c r="AI25" s="150"/>
      <c r="AJ25" s="150"/>
      <c r="AK25" s="150"/>
      <c r="AL25" s="4"/>
      <c r="AM25" s="4"/>
      <c r="AN25" s="149"/>
      <c r="AO25" s="149"/>
      <c r="AP25" s="149"/>
      <c r="AQ25" s="149"/>
      <c r="AR25" s="149"/>
      <c r="AS25" s="149"/>
      <c r="AT25" s="149"/>
      <c r="AU25" s="149"/>
      <c r="AV25" s="149"/>
    </row>
    <row r="26" spans="1:48" s="4" customFormat="1">
      <c r="A26" s="757" t="s">
        <v>390</v>
      </c>
      <c r="B26" s="846">
        <f>+Cost!P95</f>
        <v>0</v>
      </c>
      <c r="C26" s="907">
        <f t="shared" ca="1" si="2"/>
        <v>0</v>
      </c>
      <c r="D26" s="14">
        <f>+Cost!R95</f>
        <v>0</v>
      </c>
      <c r="E26" s="909">
        <f t="shared" ca="1" si="14"/>
        <v>0</v>
      </c>
      <c r="F26" s="14">
        <f>+Cost!T95</f>
        <v>0</v>
      </c>
      <c r="G26" s="909">
        <f t="shared" ca="1" si="15"/>
        <v>0</v>
      </c>
      <c r="H26" s="14">
        <f>+Cost!V95</f>
        <v>0</v>
      </c>
      <c r="I26" s="910">
        <f t="shared" ca="1" si="6"/>
        <v>0</v>
      </c>
      <c r="J26" s="14">
        <f>+Cost!X95</f>
        <v>0</v>
      </c>
      <c r="K26" s="911">
        <f t="shared" ca="1" si="7"/>
        <v>0</v>
      </c>
      <c r="L26" s="14">
        <f>+Cost!Z95</f>
        <v>0</v>
      </c>
      <c r="M26" s="912">
        <f t="shared" ca="1" si="8"/>
        <v>0</v>
      </c>
      <c r="N26" s="14">
        <f>+Cost!AB95</f>
        <v>0</v>
      </c>
      <c r="O26" s="912">
        <f t="shared" ca="1" si="9"/>
        <v>0</v>
      </c>
      <c r="P26" s="14">
        <f>+Cost!AD95</f>
        <v>0</v>
      </c>
      <c r="Q26" s="911">
        <f t="shared" ca="1" si="10"/>
        <v>0</v>
      </c>
      <c r="R26" s="14">
        <f>+Cost!AF95</f>
        <v>0</v>
      </c>
      <c r="S26" s="911">
        <f t="shared" ca="1" si="3"/>
        <v>0</v>
      </c>
      <c r="T26" s="14">
        <f>+Cost!AH95</f>
        <v>0</v>
      </c>
      <c r="U26" s="911">
        <f t="shared" ref="U26:U48" ca="1" si="16">IFERROR(T26/$R$13,0)</f>
        <v>0</v>
      </c>
      <c r="V26" s="14">
        <f>+Cost!AJ95</f>
        <v>0</v>
      </c>
      <c r="W26" s="911">
        <f t="shared" ref="W26:W48" ca="1" si="17">IFERROR(V26/$R$13,0)</f>
        <v>0</v>
      </c>
      <c r="X26" s="14">
        <f>+Cost!AL95</f>
        <v>0</v>
      </c>
      <c r="Y26" s="911">
        <f t="shared" ca="1" si="11"/>
        <v>0</v>
      </c>
      <c r="Z26" s="15">
        <f t="shared" si="12"/>
        <v>0</v>
      </c>
      <c r="AA26" s="252">
        <f t="shared" ca="1" si="13"/>
        <v>0</v>
      </c>
      <c r="AB26" s="20"/>
      <c r="AI26" s="150"/>
      <c r="AJ26" s="150"/>
      <c r="AN26" s="150"/>
      <c r="AO26" s="150"/>
      <c r="AP26" s="150"/>
      <c r="AQ26" s="150"/>
      <c r="AR26" s="150"/>
      <c r="AS26" s="150"/>
      <c r="AT26" s="150"/>
      <c r="AU26" s="150"/>
      <c r="AV26" s="150"/>
    </row>
    <row r="27" spans="1:48" s="4" customFormat="1">
      <c r="A27" s="757" t="s">
        <v>391</v>
      </c>
      <c r="B27" s="846"/>
      <c r="C27" s="907">
        <f t="shared" ca="1" si="2"/>
        <v>0</v>
      </c>
      <c r="D27" s="14"/>
      <c r="E27" s="909">
        <f t="shared" ca="1" si="14"/>
        <v>0</v>
      </c>
      <c r="F27" s="14"/>
      <c r="G27" s="909">
        <f t="shared" ca="1" si="15"/>
        <v>0</v>
      </c>
      <c r="H27" s="14"/>
      <c r="I27" s="910">
        <f t="shared" ca="1" si="6"/>
        <v>0</v>
      </c>
      <c r="J27" s="14"/>
      <c r="K27" s="911">
        <f t="shared" ca="1" si="7"/>
        <v>0</v>
      </c>
      <c r="L27" s="14"/>
      <c r="M27" s="912">
        <f t="shared" ca="1" si="8"/>
        <v>0</v>
      </c>
      <c r="N27" s="14"/>
      <c r="O27" s="912">
        <f t="shared" ca="1" si="9"/>
        <v>0</v>
      </c>
      <c r="P27" s="14"/>
      <c r="Q27" s="911">
        <f t="shared" ca="1" si="10"/>
        <v>0</v>
      </c>
      <c r="R27" s="14"/>
      <c r="S27" s="911">
        <f t="shared" ca="1" si="3"/>
        <v>0</v>
      </c>
      <c r="T27" s="14"/>
      <c r="U27" s="911">
        <f t="shared" ca="1" si="16"/>
        <v>0</v>
      </c>
      <c r="V27" s="14"/>
      <c r="W27" s="911">
        <f t="shared" ca="1" si="17"/>
        <v>0</v>
      </c>
      <c r="X27" s="14"/>
      <c r="Y27" s="911">
        <f t="shared" ca="1" si="11"/>
        <v>0</v>
      </c>
      <c r="Z27" s="15">
        <f t="shared" si="12"/>
        <v>0</v>
      </c>
      <c r="AA27" s="252">
        <f t="shared" ca="1" si="13"/>
        <v>0</v>
      </c>
      <c r="AB27" s="20"/>
      <c r="AH27" s="458"/>
      <c r="AI27" s="150"/>
      <c r="AJ27" s="150"/>
      <c r="AK27" s="914"/>
      <c r="AN27" s="150"/>
      <c r="AO27" s="150"/>
      <c r="AP27" s="150"/>
      <c r="AQ27" s="150"/>
      <c r="AR27" s="150"/>
      <c r="AS27" s="150"/>
      <c r="AT27" s="150"/>
      <c r="AU27" s="150"/>
      <c r="AV27" s="150"/>
    </row>
    <row r="28" spans="1:48" s="4" customFormat="1">
      <c r="A28" s="757" t="s">
        <v>392</v>
      </c>
      <c r="B28" s="846"/>
      <c r="C28" s="910">
        <f t="shared" ca="1" si="2"/>
        <v>0</v>
      </c>
      <c r="D28" s="14"/>
      <c r="E28" s="909">
        <f t="shared" ca="1" si="14"/>
        <v>0</v>
      </c>
      <c r="F28" s="14"/>
      <c r="G28" s="909">
        <f t="shared" ca="1" si="15"/>
        <v>0</v>
      </c>
      <c r="H28" s="14"/>
      <c r="I28" s="910">
        <f t="shared" ca="1" si="6"/>
        <v>0</v>
      </c>
      <c r="J28" s="14"/>
      <c r="K28" s="911">
        <f t="shared" ca="1" si="7"/>
        <v>0</v>
      </c>
      <c r="L28" s="14"/>
      <c r="M28" s="912">
        <f t="shared" ca="1" si="8"/>
        <v>0</v>
      </c>
      <c r="N28" s="14"/>
      <c r="O28" s="912">
        <f t="shared" ca="1" si="9"/>
        <v>0</v>
      </c>
      <c r="P28" s="14"/>
      <c r="Q28" s="911">
        <f t="shared" ca="1" si="10"/>
        <v>0</v>
      </c>
      <c r="R28" s="14"/>
      <c r="S28" s="911">
        <f t="shared" ca="1" si="3"/>
        <v>0</v>
      </c>
      <c r="T28" s="14"/>
      <c r="U28" s="911">
        <f t="shared" ca="1" si="16"/>
        <v>0</v>
      </c>
      <c r="V28" s="14"/>
      <c r="W28" s="911">
        <f t="shared" ca="1" si="17"/>
        <v>0</v>
      </c>
      <c r="X28" s="14"/>
      <c r="Y28" s="911">
        <f t="shared" ca="1" si="11"/>
        <v>0</v>
      </c>
      <c r="Z28" s="15">
        <f t="shared" si="12"/>
        <v>0</v>
      </c>
      <c r="AA28" s="252">
        <f t="shared" ca="1" si="13"/>
        <v>0</v>
      </c>
      <c r="AB28" s="20"/>
      <c r="AI28" s="150"/>
      <c r="AJ28" s="150"/>
      <c r="AN28" s="453"/>
      <c r="AO28" s="453"/>
      <c r="AP28" s="453"/>
      <c r="AQ28" s="453"/>
      <c r="AR28" s="453"/>
    </row>
    <row r="29" spans="1:48" s="4" customFormat="1">
      <c r="A29" s="757" t="s">
        <v>272</v>
      </c>
      <c r="B29" s="846">
        <f>+Cost!P43</f>
        <v>192</v>
      </c>
      <c r="C29" s="907">
        <f t="shared" ca="1" si="2"/>
        <v>0.17</v>
      </c>
      <c r="D29" s="14">
        <f>+Cost!R43</f>
        <v>0</v>
      </c>
      <c r="E29" s="909">
        <f t="shared" ca="1" si="14"/>
        <v>0</v>
      </c>
      <c r="F29" s="14">
        <f>+Cost!T43</f>
        <v>0</v>
      </c>
      <c r="G29" s="909">
        <f t="shared" ca="1" si="15"/>
        <v>0</v>
      </c>
      <c r="H29" s="14">
        <f>+Cost!V43</f>
        <v>0</v>
      </c>
      <c r="I29" s="910">
        <f t="shared" ca="1" si="6"/>
        <v>0</v>
      </c>
      <c r="J29" s="14">
        <f>+Cost!X43</f>
        <v>192</v>
      </c>
      <c r="K29" s="911">
        <f t="shared" ca="1" si="7"/>
        <v>7.0000000000000007E-2</v>
      </c>
      <c r="L29" s="14">
        <f>+Cost!Z43</f>
        <v>0</v>
      </c>
      <c r="M29" s="912">
        <f t="shared" ca="1" si="8"/>
        <v>0</v>
      </c>
      <c r="N29" s="14">
        <f>+Cost!AB43</f>
        <v>0</v>
      </c>
      <c r="O29" s="912">
        <f t="shared" ca="1" si="9"/>
        <v>0</v>
      </c>
      <c r="P29" s="14">
        <f>+Cost!AD43</f>
        <v>0</v>
      </c>
      <c r="Q29" s="911">
        <f t="shared" ca="1" si="10"/>
        <v>0</v>
      </c>
      <c r="R29" s="14">
        <f>+Cost!AF43</f>
        <v>192</v>
      </c>
      <c r="S29" s="911">
        <f t="shared" ca="1" si="3"/>
        <v>7.0000000000000007E-2</v>
      </c>
      <c r="T29" s="14">
        <f>+Cost!AH43</f>
        <v>0</v>
      </c>
      <c r="U29" s="911">
        <f t="shared" ca="1" si="16"/>
        <v>0</v>
      </c>
      <c r="V29" s="14">
        <f>+Cost!AJ43</f>
        <v>0</v>
      </c>
      <c r="W29" s="911">
        <f t="shared" ca="1" si="17"/>
        <v>0</v>
      </c>
      <c r="X29" s="14">
        <f>+Cost!AL43</f>
        <v>192</v>
      </c>
      <c r="Y29" s="911">
        <f t="shared" ca="1" si="11"/>
        <v>0.436</v>
      </c>
      <c r="Z29" s="15">
        <f t="shared" si="12"/>
        <v>768</v>
      </c>
      <c r="AA29" s="253">
        <f t="shared" ca="1" si="13"/>
        <v>2.6599999999999999E-2</v>
      </c>
      <c r="AB29" s="20"/>
      <c r="AI29" s="150"/>
      <c r="AJ29" s="150"/>
      <c r="AK29" s="915"/>
    </row>
    <row r="30" spans="1:48" s="4" customFormat="1">
      <c r="A30" s="757" t="s">
        <v>393</v>
      </c>
      <c r="B30" s="846"/>
      <c r="C30" s="910">
        <f t="shared" ca="1" si="2"/>
        <v>0</v>
      </c>
      <c r="D30" s="14"/>
      <c r="E30" s="909">
        <f t="shared" ca="1" si="14"/>
        <v>0</v>
      </c>
      <c r="F30" s="14"/>
      <c r="G30" s="909">
        <f t="shared" ca="1" si="15"/>
        <v>0</v>
      </c>
      <c r="H30" s="14"/>
      <c r="I30" s="910">
        <f t="shared" ca="1" si="6"/>
        <v>0</v>
      </c>
      <c r="J30" s="14"/>
      <c r="K30" s="911">
        <f t="shared" ca="1" si="7"/>
        <v>0</v>
      </c>
      <c r="L30" s="14"/>
      <c r="M30" s="912">
        <f t="shared" ca="1" si="8"/>
        <v>0</v>
      </c>
      <c r="N30" s="14"/>
      <c r="O30" s="912">
        <f t="shared" ca="1" si="9"/>
        <v>0</v>
      </c>
      <c r="P30" s="14"/>
      <c r="Q30" s="911">
        <f t="shared" ca="1" si="10"/>
        <v>0</v>
      </c>
      <c r="R30" s="14"/>
      <c r="S30" s="911">
        <f t="shared" ca="1" si="3"/>
        <v>0</v>
      </c>
      <c r="T30" s="14"/>
      <c r="U30" s="911">
        <f t="shared" ca="1" si="16"/>
        <v>0</v>
      </c>
      <c r="V30" s="14"/>
      <c r="W30" s="911">
        <f t="shared" ca="1" si="17"/>
        <v>0</v>
      </c>
      <c r="X30" s="14"/>
      <c r="Y30" s="911">
        <f t="shared" ca="1" si="11"/>
        <v>0</v>
      </c>
      <c r="Z30" s="15">
        <f t="shared" si="12"/>
        <v>0</v>
      </c>
      <c r="AA30" s="253">
        <f t="shared" ca="1" si="13"/>
        <v>0</v>
      </c>
      <c r="AB30" s="20"/>
      <c r="AI30" s="150"/>
      <c r="AJ30" s="459"/>
      <c r="AK30" s="150"/>
    </row>
    <row r="31" spans="1:48" s="4" customFormat="1">
      <c r="A31" s="757" t="s">
        <v>394</v>
      </c>
      <c r="B31" s="846">
        <f>+Cost!P53</f>
        <v>67</v>
      </c>
      <c r="C31" s="907">
        <f t="shared" ca="1" si="2"/>
        <v>0.06</v>
      </c>
      <c r="D31" s="14">
        <f>+Cost!R53</f>
        <v>67</v>
      </c>
      <c r="E31" s="909">
        <f t="shared" ca="1" si="14"/>
        <v>2.46E-2</v>
      </c>
      <c r="F31" s="14">
        <f>+Cost!T53</f>
        <v>67</v>
      </c>
      <c r="G31" s="909">
        <f t="shared" ca="1" si="15"/>
        <v>2.46E-2</v>
      </c>
      <c r="H31" s="14">
        <f>+Cost!V53</f>
        <v>67</v>
      </c>
      <c r="I31" s="910">
        <f t="shared" ca="1" si="6"/>
        <v>2.5000000000000001E-2</v>
      </c>
      <c r="J31" s="14">
        <f>+Cost!X53</f>
        <v>67</v>
      </c>
      <c r="K31" s="911">
        <f t="shared" ca="1" si="7"/>
        <v>2.5000000000000001E-2</v>
      </c>
      <c r="L31" s="14">
        <f>+Cost!Z53</f>
        <v>67</v>
      </c>
      <c r="M31" s="912">
        <f t="shared" ca="1" si="8"/>
        <v>0.02</v>
      </c>
      <c r="N31" s="14">
        <f>+Cost!AB53</f>
        <v>67</v>
      </c>
      <c r="O31" s="912">
        <f t="shared" ca="1" si="9"/>
        <v>0.02</v>
      </c>
      <c r="P31" s="14">
        <f>+Cost!AD53</f>
        <v>67</v>
      </c>
      <c r="Q31" s="911">
        <f t="shared" ca="1" si="10"/>
        <v>2.5000000000000001E-2</v>
      </c>
      <c r="R31" s="14">
        <f>+Cost!AF53</f>
        <v>67</v>
      </c>
      <c r="S31" s="911">
        <f t="shared" ca="1" si="3"/>
        <v>2.5000000000000001E-2</v>
      </c>
      <c r="T31" s="14">
        <f>+Cost!AH53</f>
        <v>67</v>
      </c>
      <c r="U31" s="911">
        <f t="shared" ca="1" si="16"/>
        <v>2.5000000000000001E-2</v>
      </c>
      <c r="V31" s="14">
        <f>+Cost!AJ53</f>
        <v>67</v>
      </c>
      <c r="W31" s="911">
        <f t="shared" ca="1" si="17"/>
        <v>2.5000000000000001E-2</v>
      </c>
      <c r="X31" s="14">
        <f>+Cost!AL53</f>
        <v>67</v>
      </c>
      <c r="Y31" s="911">
        <f t="shared" ca="1" si="11"/>
        <v>0.152</v>
      </c>
      <c r="Z31" s="15">
        <f t="shared" si="12"/>
        <v>804</v>
      </c>
      <c r="AA31" s="252">
        <f t="shared" ca="1" si="13"/>
        <v>0.03</v>
      </c>
      <c r="AB31" s="20"/>
      <c r="AI31" s="150"/>
      <c r="AJ31" s="149"/>
      <c r="AK31" s="915"/>
    </row>
    <row r="32" spans="1:48" s="4" customFormat="1">
      <c r="A32" s="757" t="s">
        <v>307</v>
      </c>
      <c r="B32" s="846">
        <f ca="1">+Cost!P85</f>
        <v>122</v>
      </c>
      <c r="C32" s="907">
        <f t="shared" ca="1" si="2"/>
        <v>0.11</v>
      </c>
      <c r="D32" s="14">
        <f ca="1">+Cost!R85</f>
        <v>0</v>
      </c>
      <c r="E32" s="909">
        <f t="shared" ca="1" si="14"/>
        <v>0</v>
      </c>
      <c r="F32" s="14">
        <f ca="1">+Cost!T85</f>
        <v>0</v>
      </c>
      <c r="G32" s="909">
        <f t="shared" ca="1" si="15"/>
        <v>0</v>
      </c>
      <c r="H32" s="14">
        <f ca="1">+Cost!V85</f>
        <v>0</v>
      </c>
      <c r="I32" s="910">
        <f t="shared" ca="1" si="6"/>
        <v>0</v>
      </c>
      <c r="J32" s="14">
        <f ca="1">+Cost!X85</f>
        <v>122</v>
      </c>
      <c r="K32" s="911">
        <f t="shared" ca="1" si="7"/>
        <v>4.4999999999999998E-2</v>
      </c>
      <c r="L32" s="14">
        <f ca="1">+Cost!Z85</f>
        <v>0</v>
      </c>
      <c r="M32" s="912">
        <f t="shared" ca="1" si="8"/>
        <v>0</v>
      </c>
      <c r="N32" s="14">
        <f ca="1">+Cost!AB85</f>
        <v>0</v>
      </c>
      <c r="O32" s="912">
        <f t="shared" ca="1" si="9"/>
        <v>0</v>
      </c>
      <c r="P32" s="14">
        <f ca="1">+Cost!AD85</f>
        <v>0</v>
      </c>
      <c r="Q32" s="911">
        <f t="shared" ca="1" si="10"/>
        <v>0</v>
      </c>
      <c r="R32" s="14">
        <f ca="1">+Cost!AF85</f>
        <v>122</v>
      </c>
      <c r="S32" s="911">
        <f t="shared" ca="1" si="3"/>
        <v>4.4999999999999998E-2</v>
      </c>
      <c r="T32" s="14">
        <f ca="1">+Cost!AH85</f>
        <v>0</v>
      </c>
      <c r="U32" s="911">
        <f t="shared" ca="1" si="16"/>
        <v>0</v>
      </c>
      <c r="V32" s="14">
        <f ca="1">+Cost!AJ85</f>
        <v>0</v>
      </c>
      <c r="W32" s="911">
        <f t="shared" ca="1" si="17"/>
        <v>0</v>
      </c>
      <c r="X32" s="14">
        <f ca="1">+Cost!AL85</f>
        <v>122</v>
      </c>
      <c r="Y32" s="911">
        <f t="shared" ca="1" si="11"/>
        <v>0.27700000000000002</v>
      </c>
      <c r="Z32" s="15">
        <f t="shared" ca="1" si="12"/>
        <v>488</v>
      </c>
      <c r="AA32" s="253">
        <f t="shared" ca="1" si="13"/>
        <v>1.6899999999999998E-2</v>
      </c>
      <c r="AB32" s="20"/>
      <c r="AI32" s="150"/>
      <c r="AJ32" s="149"/>
      <c r="AK32" s="915"/>
    </row>
    <row r="33" spans="1:38" s="4" customFormat="1">
      <c r="A33" s="757" t="s">
        <v>395</v>
      </c>
      <c r="B33" s="846">
        <f>+Cost!P60</f>
        <v>0</v>
      </c>
      <c r="C33" s="907">
        <f t="shared" ca="1" si="2"/>
        <v>0</v>
      </c>
      <c r="D33" s="14">
        <f>+Cost!R60</f>
        <v>0</v>
      </c>
      <c r="E33" s="909">
        <f t="shared" ca="1" si="14"/>
        <v>0</v>
      </c>
      <c r="F33" s="14">
        <f>+Cost!T60</f>
        <v>0</v>
      </c>
      <c r="G33" s="909">
        <f t="shared" ca="1" si="15"/>
        <v>0</v>
      </c>
      <c r="H33" s="14">
        <f>+Cost!V60</f>
        <v>0</v>
      </c>
      <c r="I33" s="910">
        <f t="shared" ca="1" si="6"/>
        <v>0</v>
      </c>
      <c r="J33" s="14">
        <f>+Cost!X60</f>
        <v>0</v>
      </c>
      <c r="K33" s="911">
        <f t="shared" ca="1" si="7"/>
        <v>0</v>
      </c>
      <c r="L33" s="14">
        <f>+Cost!Z60</f>
        <v>0</v>
      </c>
      <c r="M33" s="912">
        <f t="shared" ca="1" si="8"/>
        <v>0</v>
      </c>
      <c r="N33" s="14">
        <f>+Cost!AB60</f>
        <v>0</v>
      </c>
      <c r="O33" s="912">
        <f t="shared" ca="1" si="9"/>
        <v>0</v>
      </c>
      <c r="P33" s="14">
        <f>+Cost!AD60</f>
        <v>0</v>
      </c>
      <c r="Q33" s="911">
        <f t="shared" ca="1" si="10"/>
        <v>0</v>
      </c>
      <c r="R33" s="14">
        <f>+Cost!AF60</f>
        <v>0</v>
      </c>
      <c r="S33" s="911">
        <f t="shared" ca="1" si="3"/>
        <v>0</v>
      </c>
      <c r="T33" s="14">
        <f>+Cost!AH60</f>
        <v>0</v>
      </c>
      <c r="U33" s="911">
        <f t="shared" ca="1" si="16"/>
        <v>0</v>
      </c>
      <c r="V33" s="14">
        <f>+Cost!AJ60</f>
        <v>0</v>
      </c>
      <c r="W33" s="911">
        <f t="shared" ca="1" si="17"/>
        <v>0</v>
      </c>
      <c r="X33" s="14">
        <f>+Cost!AL60</f>
        <v>0</v>
      </c>
      <c r="Y33" s="911">
        <f t="shared" ca="1" si="11"/>
        <v>0</v>
      </c>
      <c r="Z33" s="15">
        <f t="shared" si="12"/>
        <v>0</v>
      </c>
      <c r="AA33" s="253">
        <f t="shared" ca="1" si="13"/>
        <v>0</v>
      </c>
      <c r="AB33" s="20"/>
      <c r="AI33" s="150"/>
      <c r="AJ33" s="459"/>
    </row>
    <row r="34" spans="1:38" s="4" customFormat="1">
      <c r="A34" s="757" t="s">
        <v>396</v>
      </c>
      <c r="B34" s="177"/>
      <c r="C34" s="909">
        <f t="shared" ca="1" si="2"/>
        <v>0</v>
      </c>
      <c r="D34" s="15"/>
      <c r="E34" s="909">
        <f t="shared" ca="1" si="14"/>
        <v>0</v>
      </c>
      <c r="F34" s="15"/>
      <c r="G34" s="909">
        <f t="shared" ca="1" si="15"/>
        <v>0</v>
      </c>
      <c r="H34" s="15"/>
      <c r="I34" s="910">
        <f t="shared" ca="1" si="6"/>
        <v>0</v>
      </c>
      <c r="J34" s="15"/>
      <c r="K34" s="911">
        <f t="shared" ca="1" si="7"/>
        <v>0</v>
      </c>
      <c r="L34" s="15"/>
      <c r="M34" s="911">
        <f t="shared" ca="1" si="8"/>
        <v>0</v>
      </c>
      <c r="N34" s="15"/>
      <c r="O34" s="912">
        <f t="shared" ca="1" si="9"/>
        <v>0</v>
      </c>
      <c r="P34" s="15"/>
      <c r="Q34" s="911">
        <f t="shared" ca="1" si="10"/>
        <v>0</v>
      </c>
      <c r="R34" s="15"/>
      <c r="S34" s="911">
        <f t="shared" ca="1" si="3"/>
        <v>0</v>
      </c>
      <c r="T34" s="15"/>
      <c r="U34" s="911">
        <f t="shared" ca="1" si="16"/>
        <v>0</v>
      </c>
      <c r="V34" s="15"/>
      <c r="W34" s="911">
        <f t="shared" ca="1" si="17"/>
        <v>0</v>
      </c>
      <c r="X34" s="15"/>
      <c r="Y34" s="911">
        <f t="shared" ca="1" si="11"/>
        <v>0</v>
      </c>
      <c r="Z34" s="15">
        <f t="shared" si="12"/>
        <v>0</v>
      </c>
      <c r="AA34" s="319">
        <f t="shared" ca="1" si="13"/>
        <v>0</v>
      </c>
      <c r="AB34" s="20"/>
      <c r="AH34" s="458"/>
      <c r="AI34" s="150"/>
      <c r="AJ34" s="150"/>
      <c r="AK34" s="915"/>
    </row>
    <row r="35" spans="1:38" s="4" customFormat="1">
      <c r="A35" s="757" t="s">
        <v>290</v>
      </c>
      <c r="B35" s="846">
        <f>+Cost!P68</f>
        <v>1463</v>
      </c>
      <c r="C35" s="907">
        <f t="shared" ca="1" si="2"/>
        <v>1.28</v>
      </c>
      <c r="D35" s="14">
        <f>+Cost!R68</f>
        <v>0</v>
      </c>
      <c r="E35" s="909">
        <f t="shared" ca="1" si="14"/>
        <v>0</v>
      </c>
      <c r="F35" s="14">
        <f>+Cost!T68</f>
        <v>0</v>
      </c>
      <c r="G35" s="909">
        <f t="shared" ca="1" si="15"/>
        <v>0</v>
      </c>
      <c r="H35" s="14">
        <f>+Cost!V68</f>
        <v>0</v>
      </c>
      <c r="I35" s="910">
        <f t="shared" ca="1" si="6"/>
        <v>0</v>
      </c>
      <c r="J35" s="14">
        <f>+Cost!X68</f>
        <v>0</v>
      </c>
      <c r="K35" s="911">
        <f t="shared" ca="1" si="7"/>
        <v>0</v>
      </c>
      <c r="L35" s="14">
        <f>+Cost!Z68</f>
        <v>0</v>
      </c>
      <c r="M35" s="912">
        <f t="shared" ca="1" si="8"/>
        <v>0</v>
      </c>
      <c r="N35" s="14">
        <f>+Cost!AB68</f>
        <v>0</v>
      </c>
      <c r="O35" s="912">
        <f t="shared" ca="1" si="9"/>
        <v>0</v>
      </c>
      <c r="P35" s="14">
        <f>+Cost!AD68</f>
        <v>0</v>
      </c>
      <c r="Q35" s="911">
        <f t="shared" ca="1" si="10"/>
        <v>0</v>
      </c>
      <c r="R35" s="14">
        <f>+Cost!AF68</f>
        <v>0</v>
      </c>
      <c r="S35" s="911">
        <f t="shared" ca="1" si="3"/>
        <v>0</v>
      </c>
      <c r="T35" s="14">
        <f>+Cost!AH68</f>
        <v>0</v>
      </c>
      <c r="U35" s="911">
        <f t="shared" ca="1" si="16"/>
        <v>0</v>
      </c>
      <c r="V35" s="14">
        <f>+Cost!AJ68</f>
        <v>0</v>
      </c>
      <c r="W35" s="911">
        <f t="shared" ca="1" si="17"/>
        <v>0</v>
      </c>
      <c r="X35" s="14">
        <f>+Cost!AL68+Cost!AN4</f>
        <v>1463</v>
      </c>
      <c r="Y35" s="911">
        <f t="shared" ca="1" si="11"/>
        <v>3.3250000000000002</v>
      </c>
      <c r="Z35" s="15">
        <f t="shared" si="12"/>
        <v>2926</v>
      </c>
      <c r="AA35" s="253">
        <f t="shared" ca="1" si="13"/>
        <v>0.1014</v>
      </c>
      <c r="AB35" s="20"/>
      <c r="AI35" s="150"/>
      <c r="AJ35" s="150"/>
      <c r="AK35" s="915"/>
      <c r="AL35" s="914"/>
    </row>
    <row r="36" spans="1:38" s="4" customFormat="1" ht="12" customHeight="1">
      <c r="A36" s="757" t="s">
        <v>297</v>
      </c>
      <c r="B36" s="846">
        <f>+Cost!P71</f>
        <v>0</v>
      </c>
      <c r="C36" s="907">
        <f t="shared" ca="1" si="2"/>
        <v>0</v>
      </c>
      <c r="D36" s="14">
        <f>+Cost!R71</f>
        <v>0</v>
      </c>
      <c r="E36" s="909">
        <f t="shared" ca="1" si="14"/>
        <v>0</v>
      </c>
      <c r="F36" s="14">
        <f>+Cost!T71</f>
        <v>0</v>
      </c>
      <c r="G36" s="909">
        <f t="shared" ca="1" si="15"/>
        <v>0</v>
      </c>
      <c r="H36" s="14">
        <f>+Cost!V71</f>
        <v>0</v>
      </c>
      <c r="I36" s="910">
        <f t="shared" ca="1" si="6"/>
        <v>0</v>
      </c>
      <c r="J36" s="14">
        <f>+Cost!X71</f>
        <v>0</v>
      </c>
      <c r="K36" s="911">
        <f t="shared" ca="1" si="7"/>
        <v>0</v>
      </c>
      <c r="L36" s="14">
        <f>+Cost!Z71</f>
        <v>0</v>
      </c>
      <c r="M36" s="912">
        <f t="shared" ca="1" si="8"/>
        <v>0</v>
      </c>
      <c r="N36" s="14">
        <f>+Cost!AB71</f>
        <v>0</v>
      </c>
      <c r="O36" s="912">
        <f t="shared" ca="1" si="9"/>
        <v>0</v>
      </c>
      <c r="P36" s="14">
        <f>+Cost!AD71</f>
        <v>0</v>
      </c>
      <c r="Q36" s="911">
        <f t="shared" ca="1" si="10"/>
        <v>0</v>
      </c>
      <c r="R36" s="14">
        <f>+Cost!AF71</f>
        <v>0</v>
      </c>
      <c r="S36" s="911">
        <f t="shared" ca="1" si="3"/>
        <v>0</v>
      </c>
      <c r="T36" s="14">
        <f>+Cost!AH71</f>
        <v>0</v>
      </c>
      <c r="U36" s="911">
        <f t="shared" ca="1" si="16"/>
        <v>0</v>
      </c>
      <c r="V36" s="14">
        <f>+Cost!AJ71</f>
        <v>0</v>
      </c>
      <c r="W36" s="911">
        <f t="shared" ca="1" si="17"/>
        <v>0</v>
      </c>
      <c r="X36" s="14">
        <f>+Cost!AL71</f>
        <v>0</v>
      </c>
      <c r="Y36" s="911">
        <f t="shared" ca="1" si="11"/>
        <v>0</v>
      </c>
      <c r="Z36" s="15">
        <f t="shared" si="12"/>
        <v>0</v>
      </c>
      <c r="AA36" s="253">
        <f t="shared" ca="1" si="13"/>
        <v>0</v>
      </c>
      <c r="AB36" s="20"/>
      <c r="AI36" s="460"/>
      <c r="AJ36" s="461"/>
      <c r="AK36" s="462"/>
      <c r="AL36" s="452"/>
    </row>
    <row r="37" spans="1:38" s="4" customFormat="1">
      <c r="A37" s="757" t="s">
        <v>299</v>
      </c>
      <c r="B37" s="846">
        <f>+Cost!P76</f>
        <v>29</v>
      </c>
      <c r="C37" s="910">
        <f t="shared" ca="1" si="2"/>
        <v>2.5000000000000001E-2</v>
      </c>
      <c r="D37" s="14">
        <f>+Cost!R76</f>
        <v>0</v>
      </c>
      <c r="E37" s="909">
        <f t="shared" ca="1" si="14"/>
        <v>0</v>
      </c>
      <c r="F37" s="14">
        <f>+Cost!T76</f>
        <v>0</v>
      </c>
      <c r="G37" s="909">
        <f t="shared" ca="1" si="15"/>
        <v>0</v>
      </c>
      <c r="H37" s="14">
        <f>+Cost!V76</f>
        <v>0</v>
      </c>
      <c r="I37" s="910">
        <f t="shared" ca="1" si="6"/>
        <v>0</v>
      </c>
      <c r="J37" s="14">
        <f>+Cost!X76</f>
        <v>0</v>
      </c>
      <c r="K37" s="911">
        <f t="shared" ca="1" si="7"/>
        <v>0</v>
      </c>
      <c r="L37" s="14">
        <f>+Cost!Z76</f>
        <v>0</v>
      </c>
      <c r="M37" s="912">
        <f t="shared" ca="1" si="8"/>
        <v>0</v>
      </c>
      <c r="N37" s="14">
        <f>+Cost!AB76</f>
        <v>0</v>
      </c>
      <c r="O37" s="912">
        <f t="shared" ca="1" si="9"/>
        <v>0</v>
      </c>
      <c r="P37" s="14">
        <f>+Cost!AD76</f>
        <v>0</v>
      </c>
      <c r="Q37" s="911">
        <f t="shared" ca="1" si="10"/>
        <v>0</v>
      </c>
      <c r="R37" s="14">
        <f>+Cost!AF76</f>
        <v>0</v>
      </c>
      <c r="S37" s="911">
        <f t="shared" ca="1" si="3"/>
        <v>0</v>
      </c>
      <c r="T37" s="14">
        <f>+Cost!AH76</f>
        <v>0</v>
      </c>
      <c r="U37" s="911">
        <f t="shared" ca="1" si="16"/>
        <v>0</v>
      </c>
      <c r="V37" s="14">
        <f>+Cost!AJ76</f>
        <v>0</v>
      </c>
      <c r="W37" s="911">
        <f t="shared" ca="1" si="17"/>
        <v>0</v>
      </c>
      <c r="X37" s="14">
        <f>+Cost!AL76</f>
        <v>0</v>
      </c>
      <c r="Y37" s="911">
        <f t="shared" ca="1" si="11"/>
        <v>0</v>
      </c>
      <c r="Z37" s="15">
        <f>+B37+D37+F37+H37+J37+L37+N37+P37+R37+T37+V37+X37</f>
        <v>29</v>
      </c>
      <c r="AA37" s="253">
        <f t="shared" ca="1" si="13"/>
        <v>1E-3</v>
      </c>
      <c r="AB37" s="20"/>
      <c r="AI37" s="150"/>
      <c r="AJ37" s="150"/>
      <c r="AK37" s="150"/>
    </row>
    <row r="38" spans="1:38" s="4" customFormat="1">
      <c r="A38" s="757" t="s">
        <v>397</v>
      </c>
      <c r="B38" s="846"/>
      <c r="C38" s="907">
        <f t="shared" ca="1" si="2"/>
        <v>0</v>
      </c>
      <c r="D38" s="14"/>
      <c r="E38" s="909">
        <f t="shared" ca="1" si="14"/>
        <v>0</v>
      </c>
      <c r="F38" s="14"/>
      <c r="G38" s="909">
        <f t="shared" ca="1" si="15"/>
        <v>0</v>
      </c>
      <c r="H38" s="14"/>
      <c r="I38" s="910">
        <f t="shared" ca="1" si="6"/>
        <v>0</v>
      </c>
      <c r="J38" s="14"/>
      <c r="K38" s="911">
        <f t="shared" ca="1" si="7"/>
        <v>0</v>
      </c>
      <c r="L38" s="14"/>
      <c r="M38" s="912">
        <f t="shared" ca="1" si="8"/>
        <v>0</v>
      </c>
      <c r="N38" s="14"/>
      <c r="O38" s="912">
        <f t="shared" ca="1" si="9"/>
        <v>0</v>
      </c>
      <c r="P38" s="14"/>
      <c r="Q38" s="911">
        <f t="shared" ca="1" si="10"/>
        <v>0</v>
      </c>
      <c r="R38" s="14"/>
      <c r="S38" s="911">
        <f t="shared" ca="1" si="3"/>
        <v>0</v>
      </c>
      <c r="T38" s="14"/>
      <c r="U38" s="911">
        <f t="shared" ca="1" si="16"/>
        <v>0</v>
      </c>
      <c r="V38" s="14"/>
      <c r="W38" s="911">
        <f t="shared" ca="1" si="17"/>
        <v>0</v>
      </c>
      <c r="X38" s="14"/>
      <c r="Y38" s="911">
        <f t="shared" ca="1" si="11"/>
        <v>0</v>
      </c>
      <c r="Z38" s="15">
        <f t="shared" si="12"/>
        <v>0</v>
      </c>
      <c r="AA38" s="253">
        <f t="shared" ca="1" si="13"/>
        <v>0</v>
      </c>
      <c r="AB38" s="14"/>
      <c r="AI38" s="150"/>
      <c r="AK38" s="150"/>
    </row>
    <row r="39" spans="1:38" s="4" customFormat="1">
      <c r="A39" s="757" t="s">
        <v>398</v>
      </c>
      <c r="B39" s="846">
        <f>+Cost!P3+Cost!P4</f>
        <v>0</v>
      </c>
      <c r="C39" s="907">
        <f t="shared" ca="1" si="2"/>
        <v>0</v>
      </c>
      <c r="D39" s="14">
        <f>+Cost!R3+Cost!R4</f>
        <v>0</v>
      </c>
      <c r="E39" s="909">
        <f t="shared" ca="1" si="14"/>
        <v>0</v>
      </c>
      <c r="F39" s="14">
        <f>+Cost!T3+Cost!T4</f>
        <v>0</v>
      </c>
      <c r="G39" s="909">
        <f t="shared" ca="1" si="15"/>
        <v>0</v>
      </c>
      <c r="H39" s="14">
        <f>+Cost!V3+Cost!V4</f>
        <v>0</v>
      </c>
      <c r="I39" s="910">
        <f t="shared" ca="1" si="6"/>
        <v>0</v>
      </c>
      <c r="J39" s="14">
        <f>+Cost!X3+Cost!X4</f>
        <v>0</v>
      </c>
      <c r="K39" s="911">
        <f t="shared" ca="1" si="7"/>
        <v>0</v>
      </c>
      <c r="L39" s="14">
        <f>+Cost!Z3+Cost!Z4</f>
        <v>0</v>
      </c>
      <c r="M39" s="912">
        <f t="shared" ca="1" si="8"/>
        <v>0</v>
      </c>
      <c r="N39" s="14">
        <f>+Cost!AB3+Cost!AB4</f>
        <v>0</v>
      </c>
      <c r="O39" s="912">
        <f t="shared" ca="1" si="9"/>
        <v>0</v>
      </c>
      <c r="P39" s="14">
        <f>+Cost!AD3+Cost!AD4</f>
        <v>0</v>
      </c>
      <c r="Q39" s="911">
        <f t="shared" ca="1" si="10"/>
        <v>0</v>
      </c>
      <c r="R39" s="14">
        <f>+Cost!AF3+Cost!AF4</f>
        <v>0</v>
      </c>
      <c r="S39" s="911">
        <f t="shared" ca="1" si="3"/>
        <v>0</v>
      </c>
      <c r="T39" s="14">
        <f>+Cost!AH3+Cost!AH4</f>
        <v>0</v>
      </c>
      <c r="U39" s="911">
        <f t="shared" ca="1" si="16"/>
        <v>0</v>
      </c>
      <c r="V39" s="14">
        <f>+Cost!AJ3+Cost!AJ4</f>
        <v>0</v>
      </c>
      <c r="W39" s="911">
        <f t="shared" ca="1" si="17"/>
        <v>0</v>
      </c>
      <c r="X39" s="14"/>
      <c r="Y39" s="911">
        <f t="shared" ca="1" si="11"/>
        <v>0</v>
      </c>
      <c r="Z39" s="15">
        <f t="shared" si="12"/>
        <v>0</v>
      </c>
      <c r="AA39" s="252">
        <f t="shared" ca="1" si="13"/>
        <v>0</v>
      </c>
      <c r="AB39" s="20"/>
      <c r="AI39" s="150"/>
      <c r="AK39" s="150"/>
    </row>
    <row r="40" spans="1:38" s="4" customFormat="1">
      <c r="A40" s="757" t="s">
        <v>399</v>
      </c>
      <c r="B40" s="846">
        <f>+Cost!P79</f>
        <v>0</v>
      </c>
      <c r="C40" s="907">
        <f t="shared" ca="1" si="2"/>
        <v>0</v>
      </c>
      <c r="D40" s="14">
        <f>+Cost!R79</f>
        <v>0</v>
      </c>
      <c r="E40" s="909">
        <f t="shared" ca="1" si="14"/>
        <v>0</v>
      </c>
      <c r="F40" s="14">
        <f>+Cost!T79</f>
        <v>0</v>
      </c>
      <c r="G40" s="909">
        <f t="shared" ca="1" si="15"/>
        <v>0</v>
      </c>
      <c r="H40" s="14">
        <f>+Cost!V79</f>
        <v>0</v>
      </c>
      <c r="I40" s="910">
        <f t="shared" ca="1" si="6"/>
        <v>0</v>
      </c>
      <c r="J40" s="14">
        <f>+Cost!X79</f>
        <v>0</v>
      </c>
      <c r="K40" s="911">
        <f t="shared" ca="1" si="7"/>
        <v>0</v>
      </c>
      <c r="L40" s="14">
        <f>+Cost!Z79</f>
        <v>0</v>
      </c>
      <c r="M40" s="912">
        <f t="shared" ca="1" si="8"/>
        <v>0</v>
      </c>
      <c r="N40" s="14">
        <f>+Cost!AB79</f>
        <v>0</v>
      </c>
      <c r="O40" s="912">
        <f t="shared" ca="1" si="9"/>
        <v>0</v>
      </c>
      <c r="P40" s="14">
        <f>+Cost!AD79</f>
        <v>0</v>
      </c>
      <c r="Q40" s="911">
        <f t="shared" ca="1" si="10"/>
        <v>0</v>
      </c>
      <c r="R40" s="14">
        <f>+Cost!AF79</f>
        <v>0</v>
      </c>
      <c r="S40" s="911">
        <f t="shared" ca="1" si="3"/>
        <v>0</v>
      </c>
      <c r="T40" s="14">
        <f>+Cost!AH79</f>
        <v>0</v>
      </c>
      <c r="U40" s="911">
        <f t="shared" ca="1" si="16"/>
        <v>0</v>
      </c>
      <c r="V40" s="14">
        <f>+Cost!AJ79</f>
        <v>0</v>
      </c>
      <c r="W40" s="911">
        <f t="shared" ca="1" si="17"/>
        <v>0</v>
      </c>
      <c r="X40" s="14">
        <f>+Cost!AL79</f>
        <v>0</v>
      </c>
      <c r="Y40" s="911">
        <f t="shared" ca="1" si="11"/>
        <v>0</v>
      </c>
      <c r="Z40" s="15">
        <f t="shared" si="12"/>
        <v>0</v>
      </c>
      <c r="AA40" s="252">
        <f t="shared" ca="1" si="13"/>
        <v>0</v>
      </c>
      <c r="AB40" s="20"/>
      <c r="AI40" s="150"/>
      <c r="AK40" s="150"/>
    </row>
    <row r="41" spans="1:38" s="4" customFormat="1">
      <c r="A41" s="757" t="s">
        <v>400</v>
      </c>
      <c r="B41" s="846"/>
      <c r="C41" s="907">
        <f t="shared" ca="1" si="2"/>
        <v>0</v>
      </c>
      <c r="D41" s="14"/>
      <c r="E41" s="909">
        <f t="shared" ca="1" si="14"/>
        <v>0</v>
      </c>
      <c r="F41" s="14"/>
      <c r="G41" s="909">
        <f t="shared" ca="1" si="15"/>
        <v>0</v>
      </c>
      <c r="H41" s="14"/>
      <c r="I41" s="910">
        <f t="shared" ca="1" si="6"/>
        <v>0</v>
      </c>
      <c r="J41" s="14"/>
      <c r="K41" s="911">
        <f t="shared" ca="1" si="7"/>
        <v>0</v>
      </c>
      <c r="L41" s="14"/>
      <c r="M41" s="912">
        <f t="shared" ca="1" si="8"/>
        <v>0</v>
      </c>
      <c r="N41" s="14"/>
      <c r="O41" s="912">
        <f t="shared" ca="1" si="9"/>
        <v>0</v>
      </c>
      <c r="P41" s="14"/>
      <c r="Q41" s="911">
        <f t="shared" ca="1" si="10"/>
        <v>0</v>
      </c>
      <c r="R41" s="14"/>
      <c r="S41" s="911">
        <f t="shared" ca="1" si="3"/>
        <v>0</v>
      </c>
      <c r="T41" s="14"/>
      <c r="U41" s="911">
        <f t="shared" ca="1" si="16"/>
        <v>0</v>
      </c>
      <c r="V41" s="14"/>
      <c r="W41" s="911">
        <f t="shared" ca="1" si="17"/>
        <v>0</v>
      </c>
      <c r="X41" s="14"/>
      <c r="Y41" s="911">
        <f t="shared" ca="1" si="11"/>
        <v>0</v>
      </c>
      <c r="Z41" s="15">
        <f t="shared" si="12"/>
        <v>0</v>
      </c>
      <c r="AA41" s="252">
        <f t="shared" ca="1" si="13"/>
        <v>0</v>
      </c>
      <c r="AB41" s="20"/>
      <c r="AI41" s="150"/>
      <c r="AK41" s="150"/>
    </row>
    <row r="42" spans="1:38" s="4" customFormat="1">
      <c r="A42" s="757" t="s">
        <v>66</v>
      </c>
      <c r="B42" s="846">
        <f>+Cost!P100</f>
        <v>0</v>
      </c>
      <c r="C42" s="907">
        <f t="shared" ca="1" si="2"/>
        <v>0</v>
      </c>
      <c r="D42" s="14">
        <f>+Cost!R100</f>
        <v>0</v>
      </c>
      <c r="E42" s="909">
        <f t="shared" ca="1" si="14"/>
        <v>0</v>
      </c>
      <c r="F42" s="14">
        <f>+Cost!T100</f>
        <v>0</v>
      </c>
      <c r="G42" s="909">
        <f t="shared" ca="1" si="15"/>
        <v>0</v>
      </c>
      <c r="H42" s="14">
        <f>+Cost!V100</f>
        <v>0</v>
      </c>
      <c r="I42" s="910">
        <f t="shared" ca="1" si="6"/>
        <v>0</v>
      </c>
      <c r="J42" s="14">
        <f>+Cost!X100</f>
        <v>0</v>
      </c>
      <c r="K42" s="911">
        <f t="shared" ca="1" si="7"/>
        <v>0</v>
      </c>
      <c r="L42" s="14">
        <f>+Cost!Z100</f>
        <v>0</v>
      </c>
      <c r="M42" s="912">
        <f t="shared" ca="1" si="8"/>
        <v>0</v>
      </c>
      <c r="N42" s="14">
        <f>+Cost!AB100</f>
        <v>0</v>
      </c>
      <c r="O42" s="911">
        <f t="shared" ca="1" si="9"/>
        <v>0</v>
      </c>
      <c r="P42" s="14">
        <f>+Cost!AD100</f>
        <v>0</v>
      </c>
      <c r="Q42" s="911">
        <f t="shared" ca="1" si="10"/>
        <v>0</v>
      </c>
      <c r="R42" s="14">
        <f>+Cost!AF100</f>
        <v>0</v>
      </c>
      <c r="S42" s="911">
        <f t="shared" ca="1" si="3"/>
        <v>0</v>
      </c>
      <c r="T42" s="14">
        <f>+Cost!AH100</f>
        <v>0</v>
      </c>
      <c r="U42" s="911">
        <f t="shared" ca="1" si="16"/>
        <v>0</v>
      </c>
      <c r="V42" s="14">
        <f>+Cost!AJ100</f>
        <v>0</v>
      </c>
      <c r="W42" s="911">
        <f t="shared" ca="1" si="17"/>
        <v>0</v>
      </c>
      <c r="X42" s="14">
        <f>+Cost!AL100</f>
        <v>0</v>
      </c>
      <c r="Y42" s="911">
        <f t="shared" ca="1" si="11"/>
        <v>0</v>
      </c>
      <c r="Z42" s="15">
        <f t="shared" si="12"/>
        <v>0</v>
      </c>
      <c r="AA42" s="253">
        <f t="shared" ca="1" si="13"/>
        <v>0</v>
      </c>
      <c r="AB42" s="20"/>
      <c r="AD42" s="150"/>
      <c r="AI42" s="150"/>
      <c r="AK42" s="150"/>
    </row>
    <row r="43" spans="1:38" s="4" customFormat="1">
      <c r="A43" s="219" t="s">
        <v>401</v>
      </c>
      <c r="B43" s="846"/>
      <c r="C43" s="907">
        <f t="shared" ca="1" si="2"/>
        <v>0</v>
      </c>
      <c r="D43" s="14"/>
      <c r="E43" s="909">
        <f t="shared" ca="1" si="14"/>
        <v>0</v>
      </c>
      <c r="F43" s="14"/>
      <c r="G43" s="909">
        <f t="shared" ca="1" si="15"/>
        <v>0</v>
      </c>
      <c r="H43" s="14"/>
      <c r="I43" s="910">
        <f t="shared" ca="1" si="6"/>
        <v>0</v>
      </c>
      <c r="J43" s="14"/>
      <c r="K43" s="911">
        <f t="shared" ca="1" si="7"/>
        <v>0</v>
      </c>
      <c r="L43" s="14"/>
      <c r="M43" s="912">
        <f t="shared" ca="1" si="8"/>
        <v>0</v>
      </c>
      <c r="N43" s="14"/>
      <c r="O43" s="912">
        <f t="shared" ca="1" si="9"/>
        <v>0</v>
      </c>
      <c r="P43" s="14"/>
      <c r="Q43" s="911">
        <f t="shared" ca="1" si="10"/>
        <v>0</v>
      </c>
      <c r="R43" s="14"/>
      <c r="S43" s="911">
        <f t="shared" ca="1" si="3"/>
        <v>0</v>
      </c>
      <c r="T43" s="14"/>
      <c r="U43" s="911">
        <f t="shared" ca="1" si="16"/>
        <v>0</v>
      </c>
      <c r="V43" s="14"/>
      <c r="W43" s="911">
        <f t="shared" ca="1" si="17"/>
        <v>0</v>
      </c>
      <c r="X43" s="14"/>
      <c r="Y43" s="911">
        <f t="shared" ca="1" si="11"/>
        <v>0</v>
      </c>
      <c r="Z43" s="15">
        <f t="shared" si="12"/>
        <v>0</v>
      </c>
      <c r="AA43" s="253">
        <f t="shared" ca="1" si="13"/>
        <v>0</v>
      </c>
      <c r="AB43" s="20"/>
      <c r="AD43" s="150"/>
      <c r="AI43" s="150"/>
      <c r="AK43" s="150"/>
    </row>
    <row r="44" spans="1:38" s="4" customFormat="1">
      <c r="A44" s="757" t="s">
        <v>402</v>
      </c>
      <c r="B44" s="846"/>
      <c r="C44" s="909">
        <f t="shared" ca="1" si="2"/>
        <v>0</v>
      </c>
      <c r="D44" s="14"/>
      <c r="E44" s="909">
        <f t="shared" ca="1" si="14"/>
        <v>0</v>
      </c>
      <c r="F44" s="14"/>
      <c r="G44" s="909">
        <f t="shared" ca="1" si="15"/>
        <v>0</v>
      </c>
      <c r="H44" s="14"/>
      <c r="I44" s="910">
        <f t="shared" ca="1" si="6"/>
        <v>0</v>
      </c>
      <c r="J44" s="14"/>
      <c r="K44" s="911">
        <f t="shared" ca="1" si="7"/>
        <v>0</v>
      </c>
      <c r="L44" s="14"/>
      <c r="M44" s="912">
        <f t="shared" ca="1" si="8"/>
        <v>0</v>
      </c>
      <c r="N44" s="14"/>
      <c r="O44" s="912">
        <f t="shared" ca="1" si="9"/>
        <v>0</v>
      </c>
      <c r="P44" s="14"/>
      <c r="Q44" s="911">
        <f t="shared" ca="1" si="10"/>
        <v>0</v>
      </c>
      <c r="R44" s="14"/>
      <c r="S44" s="911">
        <f t="shared" ca="1" si="3"/>
        <v>0</v>
      </c>
      <c r="T44" s="14"/>
      <c r="U44" s="911">
        <f t="shared" ca="1" si="16"/>
        <v>0</v>
      </c>
      <c r="V44" s="14"/>
      <c r="W44" s="911">
        <f t="shared" ca="1" si="17"/>
        <v>0</v>
      </c>
      <c r="X44" s="14"/>
      <c r="Y44" s="911">
        <f t="shared" ca="1" si="11"/>
        <v>0</v>
      </c>
      <c r="Z44" s="15">
        <f t="shared" si="12"/>
        <v>0</v>
      </c>
      <c r="AA44" s="320">
        <f t="shared" ca="1" si="13"/>
        <v>0</v>
      </c>
      <c r="AB44" s="20"/>
      <c r="AD44" s="150"/>
      <c r="AI44" s="150"/>
    </row>
    <row r="45" spans="1:38" s="4" customFormat="1">
      <c r="A45" s="757" t="s">
        <v>329</v>
      </c>
      <c r="B45" s="846">
        <f ca="1">B13*0.02</f>
        <v>23</v>
      </c>
      <c r="C45" s="909">
        <f t="shared" ref="C45" ca="1" si="18">+B45/$B$13</f>
        <v>2.01E-2</v>
      </c>
      <c r="D45" s="14">
        <f ca="1">D13*0.02</f>
        <v>55</v>
      </c>
      <c r="E45" s="909">
        <f t="shared" ref="E45" ca="1" si="19">IFERROR(D45/$D$13,0)</f>
        <v>2.0199999999999999E-2</v>
      </c>
      <c r="F45" s="14">
        <f ca="1">F13*0.02</f>
        <v>55</v>
      </c>
      <c r="G45" s="909">
        <f t="shared" ref="G45" ca="1" si="20">IFERROR(F45/$F$13,0)</f>
        <v>2.0199999999999999E-2</v>
      </c>
      <c r="H45" s="14">
        <f ca="1">H13*0.02</f>
        <v>55</v>
      </c>
      <c r="I45" s="910">
        <f t="shared" ref="I45" ca="1" si="21">IFERROR(H45/$H$13,0)</f>
        <v>0.02</v>
      </c>
      <c r="J45" s="14">
        <f ca="1">J13*0.02</f>
        <v>55</v>
      </c>
      <c r="K45" s="911">
        <f t="shared" ref="K45" ca="1" si="22">IFERROR(J45/$J$13,0)</f>
        <v>0.02</v>
      </c>
      <c r="L45" s="14">
        <f ca="1">L13*0.02</f>
        <v>55</v>
      </c>
      <c r="M45" s="912">
        <f t="shared" ref="M45" ca="1" si="23">IFERROR(L45/$L$13,0)</f>
        <v>0.02</v>
      </c>
      <c r="N45" s="14">
        <f ca="1">N13*0.02</f>
        <v>55</v>
      </c>
      <c r="O45" s="912">
        <f t="shared" ref="O45" ca="1" si="24">IFERROR(N45/$N$13,0)</f>
        <v>0.02</v>
      </c>
      <c r="P45" s="14">
        <f ca="1">P13*0.02</f>
        <v>55</v>
      </c>
      <c r="Q45" s="911">
        <f t="shared" ref="Q45" ca="1" si="25">IFERROR(P45/$P$13,0)</f>
        <v>0.02</v>
      </c>
      <c r="R45" s="14">
        <f ca="1">R13*0.02</f>
        <v>55</v>
      </c>
      <c r="S45" s="911">
        <f t="shared" ref="S45" ca="1" si="26">IFERROR(R45/$R$13,0)</f>
        <v>0.02</v>
      </c>
      <c r="T45" s="14">
        <f ca="1">T13*0.02</f>
        <v>55</v>
      </c>
      <c r="U45" s="911">
        <f t="shared" ref="U45" ca="1" si="27">IFERROR(T45/$R$13,0)</f>
        <v>0.02</v>
      </c>
      <c r="V45" s="14">
        <f ca="1">V13*0.02</f>
        <v>55</v>
      </c>
      <c r="W45" s="911">
        <f t="shared" ref="W45" ca="1" si="28">IFERROR(V45/$R$13,0)</f>
        <v>0.02</v>
      </c>
      <c r="X45" s="14">
        <f ca="1">X13*0.02</f>
        <v>9</v>
      </c>
      <c r="Y45" s="911">
        <f t="shared" ref="Y45" ca="1" si="29">IFERROR(X45/$X$13,0)</f>
        <v>0.02</v>
      </c>
      <c r="Z45" s="15">
        <f t="shared" ref="Z45" ca="1" si="30">+B45+D45+F45+H45+J45+L45+N45+P45+R45+T45+V45+X45</f>
        <v>582</v>
      </c>
      <c r="AA45" s="320">
        <f t="shared" ref="AA45" ca="1" si="31">+Z45/$Z$13</f>
        <v>2.0160000000000001E-2</v>
      </c>
      <c r="AB45" s="20"/>
      <c r="AD45" s="150"/>
      <c r="AI45" s="150"/>
    </row>
    <row r="46" spans="1:38" s="4" customFormat="1">
      <c r="A46" s="757" t="s">
        <v>403</v>
      </c>
      <c r="B46" s="849"/>
      <c r="C46" s="907">
        <f t="shared" ca="1" si="2"/>
        <v>0</v>
      </c>
      <c r="D46" s="17"/>
      <c r="E46" s="909">
        <f t="shared" ca="1" si="14"/>
        <v>0</v>
      </c>
      <c r="F46" s="17"/>
      <c r="G46" s="909">
        <f t="shared" ca="1" si="15"/>
        <v>0</v>
      </c>
      <c r="H46" s="17"/>
      <c r="I46" s="910">
        <f t="shared" ca="1" si="6"/>
        <v>0</v>
      </c>
      <c r="J46" s="17"/>
      <c r="K46" s="911">
        <f t="shared" ca="1" si="7"/>
        <v>0</v>
      </c>
      <c r="L46" s="17"/>
      <c r="M46" s="912">
        <f t="shared" ca="1" si="8"/>
        <v>0</v>
      </c>
      <c r="N46" s="17"/>
      <c r="O46" s="912">
        <f t="shared" ca="1" si="9"/>
        <v>0</v>
      </c>
      <c r="P46" s="17"/>
      <c r="Q46" s="911">
        <f t="shared" ca="1" si="10"/>
        <v>0</v>
      </c>
      <c r="R46" s="17"/>
      <c r="S46" s="911">
        <f t="shared" ca="1" si="3"/>
        <v>0</v>
      </c>
      <c r="T46" s="17"/>
      <c r="U46" s="911">
        <f t="shared" ca="1" si="16"/>
        <v>0</v>
      </c>
      <c r="V46" s="17"/>
      <c r="W46" s="911">
        <f t="shared" ca="1" si="17"/>
        <v>0</v>
      </c>
      <c r="X46" s="17"/>
      <c r="Y46" s="911">
        <f t="shared" ca="1" si="11"/>
        <v>0</v>
      </c>
      <c r="Z46" s="15">
        <f t="shared" si="12"/>
        <v>0</v>
      </c>
      <c r="AA46" s="252">
        <f t="shared" ca="1" si="13"/>
        <v>0</v>
      </c>
      <c r="AI46" s="150"/>
    </row>
    <row r="47" spans="1:38" s="4" customFormat="1">
      <c r="A47" s="757" t="s">
        <v>404</v>
      </c>
      <c r="B47" s="849">
        <f>+Cost!P115</f>
        <v>72</v>
      </c>
      <c r="C47" s="907">
        <f t="shared" ca="1" si="2"/>
        <v>0.06</v>
      </c>
      <c r="D47" s="17">
        <f>+Cost!R115</f>
        <v>72</v>
      </c>
      <c r="E47" s="909">
        <f t="shared" ca="1" si="14"/>
        <v>2.64E-2</v>
      </c>
      <c r="F47" s="17">
        <f>+Cost!T115</f>
        <v>72</v>
      </c>
      <c r="G47" s="909">
        <f t="shared" ca="1" si="15"/>
        <v>2.64E-2</v>
      </c>
      <c r="H47" s="17">
        <f>+Cost!V115</f>
        <v>72</v>
      </c>
      <c r="I47" s="910">
        <f t="shared" ca="1" si="6"/>
        <v>2.5999999999999999E-2</v>
      </c>
      <c r="J47" s="17">
        <f>+Cost!X115</f>
        <v>72</v>
      </c>
      <c r="K47" s="911">
        <f t="shared" ca="1" si="7"/>
        <v>2.5999999999999999E-2</v>
      </c>
      <c r="L47" s="17">
        <f>+Cost!Z115</f>
        <v>72</v>
      </c>
      <c r="M47" s="912">
        <f t="shared" ca="1" si="8"/>
        <v>0.03</v>
      </c>
      <c r="N47" s="17">
        <f>+Cost!AB115</f>
        <v>72</v>
      </c>
      <c r="O47" s="912">
        <f t="shared" ca="1" si="9"/>
        <v>0.03</v>
      </c>
      <c r="P47" s="17">
        <f>+Cost!AD115</f>
        <v>72</v>
      </c>
      <c r="Q47" s="911">
        <f t="shared" ca="1" si="10"/>
        <v>2.5999999999999999E-2</v>
      </c>
      <c r="R47" s="17">
        <f>+Cost!AF115</f>
        <v>72</v>
      </c>
      <c r="S47" s="911">
        <f t="shared" ca="1" si="3"/>
        <v>2.5999999999999999E-2</v>
      </c>
      <c r="T47" s="17">
        <f>+Cost!AH115</f>
        <v>72</v>
      </c>
      <c r="U47" s="911">
        <f t="shared" ca="1" si="16"/>
        <v>2.5999999999999999E-2</v>
      </c>
      <c r="V47" s="17">
        <f>+Cost!AJ115</f>
        <v>72</v>
      </c>
      <c r="W47" s="911">
        <f t="shared" ca="1" si="17"/>
        <v>2.5999999999999999E-2</v>
      </c>
      <c r="X47" s="17">
        <f>+Cost!AL115</f>
        <v>72</v>
      </c>
      <c r="Y47" s="911">
        <f t="shared" ca="1" si="11"/>
        <v>0.16400000000000001</v>
      </c>
      <c r="Z47" s="15">
        <f t="shared" si="12"/>
        <v>864</v>
      </c>
      <c r="AA47" s="252">
        <f t="shared" ca="1" si="13"/>
        <v>0.03</v>
      </c>
      <c r="AI47" s="150"/>
    </row>
    <row r="48" spans="1:38" s="4" customFormat="1">
      <c r="A48" s="757" t="s">
        <v>405</v>
      </c>
      <c r="B48" s="849">
        <f>Cost!P121</f>
        <v>65</v>
      </c>
      <c r="C48" s="907">
        <f t="shared" ca="1" si="2"/>
        <v>0.06</v>
      </c>
      <c r="D48" s="17">
        <f>Cost!R121</f>
        <v>65</v>
      </c>
      <c r="E48" s="909">
        <f t="shared" ca="1" si="14"/>
        <v>2.3800000000000002E-2</v>
      </c>
      <c r="F48" s="17">
        <f>Cost!T121</f>
        <v>65</v>
      </c>
      <c r="G48" s="909">
        <f t="shared" ca="1" si="15"/>
        <v>2.3800000000000002E-2</v>
      </c>
      <c r="H48" s="17">
        <f>Cost!V121</f>
        <v>65</v>
      </c>
      <c r="I48" s="910">
        <f t="shared" ca="1" si="6"/>
        <v>2.4E-2</v>
      </c>
      <c r="J48" s="17">
        <f>Cost!X121</f>
        <v>65</v>
      </c>
      <c r="K48" s="911">
        <f t="shared" ca="1" si="7"/>
        <v>2.4E-2</v>
      </c>
      <c r="L48" s="17">
        <f>Cost!Z121</f>
        <v>65</v>
      </c>
      <c r="M48" s="912">
        <f t="shared" ca="1" si="8"/>
        <v>0.02</v>
      </c>
      <c r="N48" s="17">
        <f>Cost!AB121</f>
        <v>65</v>
      </c>
      <c r="O48" s="912">
        <f t="shared" ca="1" si="9"/>
        <v>0.02</v>
      </c>
      <c r="P48" s="17">
        <f>Cost!AD121</f>
        <v>65</v>
      </c>
      <c r="Q48" s="911">
        <f t="shared" ca="1" si="10"/>
        <v>2.4E-2</v>
      </c>
      <c r="R48" s="17">
        <f>Cost!AF121</f>
        <v>65</v>
      </c>
      <c r="S48" s="911">
        <f t="shared" ca="1" si="3"/>
        <v>2.4E-2</v>
      </c>
      <c r="T48" s="17">
        <f>Cost!AH121</f>
        <v>65</v>
      </c>
      <c r="U48" s="911">
        <f t="shared" ca="1" si="16"/>
        <v>2.4E-2</v>
      </c>
      <c r="V48" s="17">
        <f>Cost!AJ121</f>
        <v>65</v>
      </c>
      <c r="W48" s="911">
        <f t="shared" ca="1" si="17"/>
        <v>2.4E-2</v>
      </c>
      <c r="X48" s="17">
        <f>Cost!AL121</f>
        <v>65</v>
      </c>
      <c r="Y48" s="911">
        <f t="shared" ca="1" si="11"/>
        <v>0.14799999999999999</v>
      </c>
      <c r="Z48" s="15">
        <f t="shared" si="12"/>
        <v>780</v>
      </c>
      <c r="AA48" s="252">
        <f t="shared" ca="1" si="13"/>
        <v>0.03</v>
      </c>
      <c r="AI48" s="150"/>
    </row>
    <row r="49" spans="1:35" s="37" customFormat="1">
      <c r="A49" s="32" t="s">
        <v>406</v>
      </c>
      <c r="B49" s="849">
        <f ca="1">+Cost!P128</f>
        <v>208</v>
      </c>
      <c r="C49" s="907">
        <f t="shared" ca="1" si="2"/>
        <v>0.18</v>
      </c>
      <c r="D49" s="17">
        <f ca="1">+Cost!R128</f>
        <v>29</v>
      </c>
      <c r="E49" s="909">
        <f ca="1">IFERROR(D49/$D$13,0)</f>
        <v>1.06E-2</v>
      </c>
      <c r="F49" s="17">
        <f ca="1">+Cost!T128</f>
        <v>29</v>
      </c>
      <c r="G49" s="909">
        <f t="shared" ca="1" si="15"/>
        <v>1.06E-2</v>
      </c>
      <c r="H49" s="17">
        <f ca="1">+Cost!V128</f>
        <v>29</v>
      </c>
      <c r="I49" s="910">
        <f t="shared" ca="1" si="6"/>
        <v>1.0999999999999999E-2</v>
      </c>
      <c r="J49" s="17">
        <f ca="1">+Cost!X128</f>
        <v>64</v>
      </c>
      <c r="K49" s="911">
        <f t="shared" ca="1" si="7"/>
        <v>2.3E-2</v>
      </c>
      <c r="L49" s="17">
        <f ca="1">+Cost!Z128</f>
        <v>29</v>
      </c>
      <c r="M49" s="912">
        <f t="shared" ca="1" si="8"/>
        <v>0.01</v>
      </c>
      <c r="N49" s="17">
        <f ca="1">+Cost!AB128</f>
        <v>29</v>
      </c>
      <c r="O49" s="912">
        <f t="shared" ca="1" si="9"/>
        <v>0.01</v>
      </c>
      <c r="P49" s="17">
        <f ca="1">+Cost!AD128</f>
        <v>29</v>
      </c>
      <c r="Q49" s="911">
        <f t="shared" ca="1" si="10"/>
        <v>1.0999999999999999E-2</v>
      </c>
      <c r="R49" s="17">
        <f ca="1">+Cost!AF128</f>
        <v>64</v>
      </c>
      <c r="S49" s="911">
        <f t="shared" ca="1" si="3"/>
        <v>2.3E-2</v>
      </c>
      <c r="T49" s="17">
        <f ca="1">+Cost!AH128</f>
        <v>29</v>
      </c>
      <c r="U49" s="911">
        <f t="shared" ref="U49:U61" ca="1" si="32">IFERROR(T49/$T$13,0)</f>
        <v>1.0999999999999999E-2</v>
      </c>
      <c r="V49" s="17">
        <f ca="1">+Cost!AJ128</f>
        <v>29</v>
      </c>
      <c r="W49" s="911">
        <f ca="1">IFERROR(V49/$V$13,0)</f>
        <v>1.0999999999999999E-2</v>
      </c>
      <c r="X49" s="17">
        <f ca="1">+Cost!AL128</f>
        <v>204</v>
      </c>
      <c r="Y49" s="911">
        <f t="shared" ca="1" si="11"/>
        <v>0.46400000000000002</v>
      </c>
      <c r="Z49" s="15">
        <f ca="1">+B49+D49+F49+H49+J49+L49+N49+P49+R49+T49+V49+X49</f>
        <v>772</v>
      </c>
      <c r="AA49" s="252">
        <f t="shared" ca="1" si="13"/>
        <v>0.03</v>
      </c>
      <c r="AI49" s="151"/>
    </row>
    <row r="50" spans="1:35" s="4" customFormat="1">
      <c r="A50" s="757"/>
      <c r="B50" s="849"/>
      <c r="C50" s="907">
        <f t="shared" ca="1" si="2"/>
        <v>0</v>
      </c>
      <c r="D50" s="14"/>
      <c r="E50" s="909">
        <f t="shared" ca="1" si="14"/>
        <v>0</v>
      </c>
      <c r="F50" s="14"/>
      <c r="G50" s="909">
        <f t="shared" ca="1" si="15"/>
        <v>0</v>
      </c>
      <c r="H50" s="14"/>
      <c r="I50" s="910">
        <f t="shared" ca="1" si="6"/>
        <v>0</v>
      </c>
      <c r="J50" s="14"/>
      <c r="K50" s="911">
        <f t="shared" ca="1" si="7"/>
        <v>0</v>
      </c>
      <c r="L50" s="14"/>
      <c r="M50" s="912">
        <f t="shared" ca="1" si="8"/>
        <v>0</v>
      </c>
      <c r="N50" s="14"/>
      <c r="O50" s="912">
        <f t="shared" ca="1" si="9"/>
        <v>0</v>
      </c>
      <c r="P50" s="14"/>
      <c r="Q50" s="911">
        <f t="shared" ca="1" si="10"/>
        <v>0</v>
      </c>
      <c r="R50" s="14"/>
      <c r="S50" s="911">
        <f t="shared" ca="1" si="3"/>
        <v>0</v>
      </c>
      <c r="T50" s="14"/>
      <c r="U50" s="911">
        <f t="shared" ca="1" si="32"/>
        <v>0</v>
      </c>
      <c r="V50" s="14"/>
      <c r="W50" s="911">
        <f ca="1">IFERROR(V50/$V$13,0)</f>
        <v>0</v>
      </c>
      <c r="X50" s="14"/>
      <c r="Y50" s="911">
        <f t="shared" ca="1" si="11"/>
        <v>0</v>
      </c>
      <c r="Z50" s="15"/>
      <c r="AA50" s="252">
        <f t="shared" ca="1" si="13"/>
        <v>0</v>
      </c>
      <c r="AI50" s="150"/>
    </row>
    <row r="51" spans="1:35" s="1" customFormat="1" ht="13.5" thickBot="1">
      <c r="A51" s="6" t="s">
        <v>407</v>
      </c>
      <c r="B51" s="850">
        <f ca="1">SUM(B16:B50)</f>
        <v>2293</v>
      </c>
      <c r="C51" s="907">
        <f t="shared" ca="1" si="2"/>
        <v>2</v>
      </c>
      <c r="D51" s="16">
        <f ca="1">SUM(D16:D50)</f>
        <v>319</v>
      </c>
      <c r="E51" s="909">
        <f ca="1">IFERROR(D51/$D$13,0)</f>
        <v>0.1169</v>
      </c>
      <c r="F51" s="16">
        <f ca="1">SUM(F16:F50)</f>
        <v>319</v>
      </c>
      <c r="G51" s="909">
        <f t="shared" ca="1" si="15"/>
        <v>0.1169</v>
      </c>
      <c r="H51" s="16">
        <f ca="1">SUM(H16:H50)</f>
        <v>319</v>
      </c>
      <c r="I51" s="910">
        <f t="shared" ca="1" si="6"/>
        <v>0.11700000000000001</v>
      </c>
      <c r="J51" s="16">
        <f ca="1">SUM(J16:J50)</f>
        <v>702</v>
      </c>
      <c r="K51" s="911">
        <f t="shared" ca="1" si="7"/>
        <v>0.25700000000000001</v>
      </c>
      <c r="L51" s="16">
        <f ca="1">SUM(L16:L50)</f>
        <v>319</v>
      </c>
      <c r="M51" s="912">
        <f t="shared" ca="1" si="8"/>
        <v>0.12</v>
      </c>
      <c r="N51" s="16">
        <f ca="1">SUM(N16:N50)</f>
        <v>319</v>
      </c>
      <c r="O51" s="912">
        <f t="shared" ca="1" si="9"/>
        <v>0.12</v>
      </c>
      <c r="P51" s="16">
        <f ca="1">SUM(P16:P50)</f>
        <v>319</v>
      </c>
      <c r="Q51" s="911">
        <f t="shared" ca="1" si="10"/>
        <v>0.11700000000000001</v>
      </c>
      <c r="R51" s="16">
        <f ca="1">SUM(R16:R50)</f>
        <v>702</v>
      </c>
      <c r="S51" s="911">
        <f t="shared" ca="1" si="3"/>
        <v>0.25700000000000001</v>
      </c>
      <c r="T51" s="16">
        <f ca="1">SUM(T16:T50)</f>
        <v>319</v>
      </c>
      <c r="U51" s="911">
        <f t="shared" ca="1" si="32"/>
        <v>0.11700000000000001</v>
      </c>
      <c r="V51" s="16">
        <f ca="1">SUM(V16:V50)</f>
        <v>319</v>
      </c>
      <c r="W51" s="911">
        <f ca="1">IFERROR(V51/$V$13,0)</f>
        <v>0.11700000000000001</v>
      </c>
      <c r="X51" s="16">
        <f ca="1">SUM(X16:X50)</f>
        <v>2240</v>
      </c>
      <c r="Y51" s="911">
        <f t="shared" ca="1" si="11"/>
        <v>5.0910000000000002</v>
      </c>
      <c r="Z51" s="16">
        <f ca="1">SUM(Z16:Z50)</f>
        <v>8489</v>
      </c>
      <c r="AA51" s="252">
        <f t="shared" ca="1" si="13"/>
        <v>0.28999999999999998</v>
      </c>
      <c r="AI51" s="154"/>
    </row>
    <row r="52" spans="1:35" ht="13.5" thickTop="1">
      <c r="A52" s="118" t="s">
        <v>408</v>
      </c>
      <c r="B52" s="283">
        <f ca="1">+B13-B51</f>
        <v>-1149</v>
      </c>
      <c r="C52" s="880"/>
      <c r="D52" s="880">
        <f t="shared" ref="D52:Z52" ca="1" si="33">+D13-D51</f>
        <v>2409</v>
      </c>
      <c r="E52" s="880"/>
      <c r="F52" s="880">
        <f t="shared" ca="1" si="33"/>
        <v>2409</v>
      </c>
      <c r="G52" s="880"/>
      <c r="H52" s="880">
        <f t="shared" ca="1" si="33"/>
        <v>2409</v>
      </c>
      <c r="I52" s="880"/>
      <c r="J52" s="880">
        <f t="shared" ca="1" si="33"/>
        <v>2026</v>
      </c>
      <c r="K52" s="880"/>
      <c r="L52" s="880">
        <f t="shared" ca="1" si="33"/>
        <v>2409</v>
      </c>
      <c r="M52" s="880"/>
      <c r="N52" s="880">
        <f t="shared" ca="1" si="33"/>
        <v>2409</v>
      </c>
      <c r="O52" s="880"/>
      <c r="P52" s="880">
        <f t="shared" ca="1" si="33"/>
        <v>2409</v>
      </c>
      <c r="Q52" s="880"/>
      <c r="R52" s="880">
        <f t="shared" ca="1" si="33"/>
        <v>2026</v>
      </c>
      <c r="S52" s="880"/>
      <c r="T52" s="880">
        <f t="shared" ca="1" si="33"/>
        <v>2409</v>
      </c>
      <c r="U52" s="880"/>
      <c r="V52" s="880">
        <f t="shared" ca="1" si="33"/>
        <v>2409</v>
      </c>
      <c r="W52" s="880"/>
      <c r="X52" s="880">
        <f ca="1">+X13-X51</f>
        <v>-1800</v>
      </c>
      <c r="Y52" s="156"/>
      <c r="Z52" s="156">
        <f t="shared" ca="1" si="33"/>
        <v>20375</v>
      </c>
      <c r="AA52" s="12">
        <f t="shared" ca="1" si="13"/>
        <v>0.70589999999999997</v>
      </c>
    </row>
    <row r="53" spans="1:35">
      <c r="A53" s="6" t="s">
        <v>409</v>
      </c>
      <c r="B53" s="882">
        <f ca="1">+B52/B13</f>
        <v>-1</v>
      </c>
      <c r="C53" s="892"/>
      <c r="D53" s="882">
        <f t="shared" ref="D53:V53" ca="1" si="34">+D52/D13</f>
        <v>0.88</v>
      </c>
      <c r="E53" s="892"/>
      <c r="F53" s="882">
        <f t="shared" ca="1" si="34"/>
        <v>0.88</v>
      </c>
      <c r="G53" s="892"/>
      <c r="H53" s="882">
        <f t="shared" ca="1" si="34"/>
        <v>0.88</v>
      </c>
      <c r="I53" s="892"/>
      <c r="J53" s="882">
        <f t="shared" ca="1" si="34"/>
        <v>0.74</v>
      </c>
      <c r="K53" s="892"/>
      <c r="L53" s="882">
        <f t="shared" ca="1" si="34"/>
        <v>0.88</v>
      </c>
      <c r="M53" s="892"/>
      <c r="N53" s="882">
        <f t="shared" ca="1" si="34"/>
        <v>0.88</v>
      </c>
      <c r="O53" s="882"/>
      <c r="P53" s="882">
        <f t="shared" ca="1" si="34"/>
        <v>0.88</v>
      </c>
      <c r="Q53" s="882"/>
      <c r="R53" s="882">
        <f t="shared" ca="1" si="34"/>
        <v>0.74</v>
      </c>
      <c r="S53" s="892"/>
      <c r="T53" s="882">
        <f t="shared" ca="1" si="34"/>
        <v>0.88</v>
      </c>
      <c r="U53" s="882"/>
      <c r="V53" s="882">
        <f t="shared" ca="1" si="34"/>
        <v>0.88</v>
      </c>
      <c r="W53" s="892"/>
      <c r="X53" s="882">
        <f ca="1">+X52/X13</f>
        <v>-4.09</v>
      </c>
      <c r="Y53" s="882"/>
      <c r="Z53" s="882">
        <f ca="1">+Z52/Z13</f>
        <v>0.71</v>
      </c>
      <c r="AA53" s="12">
        <f t="shared" ca="1" si="13"/>
        <v>0</v>
      </c>
    </row>
    <row r="54" spans="1:35" s="1" customFormat="1">
      <c r="A54" s="6"/>
      <c r="B54" s="177"/>
      <c r="C54" s="907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911"/>
      <c r="V54" s="15"/>
      <c r="W54" s="911"/>
      <c r="X54" s="15"/>
      <c r="Y54" s="15"/>
      <c r="Z54" s="15"/>
      <c r="AA54" s="21"/>
      <c r="AI54" s="154"/>
    </row>
    <row r="55" spans="1:35" ht="13.5" thickBot="1">
      <c r="A55" s="6" t="s">
        <v>410</v>
      </c>
      <c r="B55" s="851">
        <f ca="1">B13*0.12</f>
        <v>137</v>
      </c>
      <c r="C55" s="907">
        <f ca="1">+B55/$B$13</f>
        <v>0.12</v>
      </c>
      <c r="D55" s="46">
        <f ca="1">D13*0.12</f>
        <v>327</v>
      </c>
      <c r="E55" s="909">
        <f ca="1">IFERROR(D55/$D$13,0)</f>
        <v>0.11990000000000001</v>
      </c>
      <c r="F55" s="46">
        <f ca="1">F13*0.12</f>
        <v>327</v>
      </c>
      <c r="G55" s="909">
        <f ca="1">IFERROR(F55/$F$13,0)</f>
        <v>0.11990000000000001</v>
      </c>
      <c r="H55" s="46">
        <f ca="1">H13*0.12</f>
        <v>327</v>
      </c>
      <c r="I55" s="910">
        <f ca="1">IFERROR(H55/$H$13,0)</f>
        <v>0.12</v>
      </c>
      <c r="J55" s="46">
        <f ca="1">J13*0.12</f>
        <v>327</v>
      </c>
      <c r="K55" s="911">
        <f ca="1">IFERROR(J55/$J$13,0)</f>
        <v>0.12</v>
      </c>
      <c r="L55" s="46">
        <f ca="1">L13*0.12</f>
        <v>327</v>
      </c>
      <c r="M55" s="912">
        <f ca="1">IFERROR(L55/$L$13,0)</f>
        <v>0.12</v>
      </c>
      <c r="N55" s="46">
        <f ca="1">N13*0.12</f>
        <v>327</v>
      </c>
      <c r="O55" s="912">
        <f ca="1">IFERROR(N55/$N$13,0)</f>
        <v>0.12</v>
      </c>
      <c r="P55" s="46">
        <f ca="1">P13*0.12</f>
        <v>327</v>
      </c>
      <c r="Q55" s="911">
        <f ca="1">IFERROR(P55/$P$13,0)</f>
        <v>0.12</v>
      </c>
      <c r="R55" s="46">
        <f ca="1">R13*0.12</f>
        <v>327</v>
      </c>
      <c r="S55" s="911">
        <f ca="1">IFERROR(R55/$R$13,0)</f>
        <v>0.12</v>
      </c>
      <c r="T55" s="46">
        <f ca="1">T13*0.12</f>
        <v>327</v>
      </c>
      <c r="U55" s="911">
        <f t="shared" ca="1" si="32"/>
        <v>0.12</v>
      </c>
      <c r="V55" s="46">
        <f ca="1">V13*0.12</f>
        <v>327</v>
      </c>
      <c r="W55" s="911">
        <f ca="1">IFERROR(V55/$V$13,0)</f>
        <v>0.12</v>
      </c>
      <c r="X55" s="46">
        <f ca="1">X13*0.12</f>
        <v>53</v>
      </c>
      <c r="Y55" s="911">
        <f ca="1">IFERROR(X55/$X$13,0)</f>
        <v>0.12</v>
      </c>
      <c r="Z55" s="46">
        <f ca="1">Z13*0.12</f>
        <v>3464</v>
      </c>
      <c r="AA55" s="252">
        <f ca="1">+Z55/$Z$13</f>
        <v>0.12</v>
      </c>
    </row>
    <row r="56" spans="1:35" s="1" customFormat="1">
      <c r="A56" s="6"/>
      <c r="B56" s="177"/>
      <c r="C56" s="907"/>
      <c r="D56" s="15"/>
      <c r="E56" s="15"/>
      <c r="F56" s="15"/>
      <c r="G56" s="15"/>
      <c r="H56" s="15"/>
      <c r="I56" s="15"/>
      <c r="J56" s="15"/>
      <c r="K56" s="15"/>
      <c r="L56" s="15"/>
      <c r="M56" s="912">
        <f ca="1">IFERROR(L56/$L$13,0)</f>
        <v>0</v>
      </c>
      <c r="N56" s="15"/>
      <c r="O56" s="912">
        <f ca="1">IFERROR(N56/$N$13,0)</f>
        <v>0</v>
      </c>
      <c r="P56" s="15"/>
      <c r="Q56" s="911">
        <f ca="1">IFERROR(P56/$P$13,0)</f>
        <v>0</v>
      </c>
      <c r="R56" s="15"/>
      <c r="S56" s="911">
        <f ca="1">IFERROR(R56/$R$13,0)</f>
        <v>0</v>
      </c>
      <c r="T56" s="15"/>
      <c r="U56" s="911">
        <f t="shared" ca="1" si="32"/>
        <v>0</v>
      </c>
      <c r="V56" s="15"/>
      <c r="W56" s="911">
        <f ca="1">IFERROR(V56/$V$13,0)</f>
        <v>0</v>
      </c>
      <c r="X56" s="15"/>
      <c r="Y56" s="911">
        <f ca="1">IFERROR(X56/$X$13,0)</f>
        <v>0</v>
      </c>
      <c r="Z56" s="15"/>
      <c r="AA56" s="21"/>
    </row>
    <row r="57" spans="1:35" s="1" customFormat="1">
      <c r="A57" s="6" t="s">
        <v>411</v>
      </c>
      <c r="B57" s="177"/>
      <c r="C57" s="907"/>
      <c r="D57" s="15"/>
      <c r="E57" s="15"/>
      <c r="F57" s="15"/>
      <c r="G57" s="15"/>
      <c r="H57" s="15"/>
      <c r="I57" s="15"/>
      <c r="J57" s="15"/>
      <c r="K57" s="15"/>
      <c r="L57" s="15"/>
      <c r="M57" s="912"/>
      <c r="N57" s="15"/>
      <c r="O57" s="912"/>
      <c r="P57" s="15"/>
      <c r="Q57" s="911"/>
      <c r="R57" s="15"/>
      <c r="S57" s="911"/>
      <c r="T57" s="15"/>
      <c r="U57" s="911"/>
      <c r="V57" s="15"/>
      <c r="W57" s="911"/>
      <c r="X57" s="15"/>
      <c r="Y57" s="911"/>
      <c r="Z57" s="15"/>
      <c r="AA57" s="21"/>
    </row>
    <row r="58" spans="1:35" s="1" customFormat="1">
      <c r="A58" s="757" t="s">
        <v>72</v>
      </c>
      <c r="B58" s="849">
        <f>Amortización!D8/Cost!$D$7</f>
        <v>0</v>
      </c>
      <c r="C58" s="907">
        <f ca="1">+B58/$B$13</f>
        <v>0</v>
      </c>
      <c r="D58" s="17">
        <f>Amortización!D9/Cost!$D$7</f>
        <v>0</v>
      </c>
      <c r="E58" s="907">
        <f t="shared" ref="E58" ca="1" si="35">+D58/$B$13</f>
        <v>0</v>
      </c>
      <c r="F58" s="17">
        <f>Amortización!D10/Cost!$D$7</f>
        <v>0</v>
      </c>
      <c r="G58" s="907"/>
      <c r="H58" s="17">
        <f>Amortización!D11/Cost!$D$7</f>
        <v>0</v>
      </c>
      <c r="I58" s="907"/>
      <c r="J58" s="17">
        <f>Amortización!D12/Cost!$D$7</f>
        <v>0</v>
      </c>
      <c r="K58" s="907"/>
      <c r="L58" s="17">
        <f>Amortización!D13/Cost!$D$7</f>
        <v>0</v>
      </c>
      <c r="M58" s="907"/>
      <c r="N58" s="17">
        <f>Amortización!D14/Cost!$D$7</f>
        <v>0</v>
      </c>
      <c r="O58" s="907"/>
      <c r="P58" s="17">
        <f>Amortización!D15/Cost!$D$7</f>
        <v>0</v>
      </c>
      <c r="Q58" s="907"/>
      <c r="R58" s="17">
        <f>Amortización!D16/Cost!$D$7</f>
        <v>0</v>
      </c>
      <c r="S58" s="907"/>
      <c r="T58" s="17">
        <f>Amortización!D17/Cost!$D$7</f>
        <v>0</v>
      </c>
      <c r="U58" s="911"/>
      <c r="V58" s="17">
        <f>Amortización!D18/Cost!$D$7</f>
        <v>0</v>
      </c>
      <c r="W58" s="911"/>
      <c r="X58" s="17">
        <f>Amortización!D19/Cost!$D$7</f>
        <v>0</v>
      </c>
      <c r="Y58" s="911"/>
      <c r="Z58" s="15">
        <f>+B58+D58+F58+H58+J58+L58+N58+P58+R58+T58+V58+X58</f>
        <v>0</v>
      </c>
      <c r="AA58" s="21"/>
    </row>
    <row r="59" spans="1:35" s="1" customFormat="1" ht="13.5" thickBot="1">
      <c r="A59" s="6" t="s">
        <v>412</v>
      </c>
      <c r="B59" s="852">
        <f>B58</f>
        <v>0</v>
      </c>
      <c r="C59" s="249"/>
      <c r="D59" s="852">
        <f>D58</f>
        <v>0</v>
      </c>
      <c r="E59" s="842"/>
      <c r="F59" s="852">
        <f>F58</f>
        <v>0</v>
      </c>
      <c r="G59" s="842"/>
      <c r="H59" s="852">
        <f>H58</f>
        <v>0</v>
      </c>
      <c r="I59" s="355"/>
      <c r="J59" s="852">
        <f>J58</f>
        <v>0</v>
      </c>
      <c r="K59" s="843"/>
      <c r="L59" s="852">
        <f>L58</f>
        <v>0</v>
      </c>
      <c r="M59" s="844"/>
      <c r="N59" s="852">
        <f>N58</f>
        <v>0</v>
      </c>
      <c r="O59" s="844"/>
      <c r="P59" s="852">
        <f>P58</f>
        <v>0</v>
      </c>
      <c r="Q59" s="843"/>
      <c r="R59" s="852">
        <f>R58</f>
        <v>0</v>
      </c>
      <c r="S59" s="843"/>
      <c r="T59" s="852">
        <f>T58</f>
        <v>0</v>
      </c>
      <c r="U59" s="843"/>
      <c r="V59" s="852">
        <f>V58</f>
        <v>0</v>
      </c>
      <c r="W59" s="843"/>
      <c r="X59" s="852">
        <f>X58</f>
        <v>0</v>
      </c>
      <c r="Y59" s="843"/>
      <c r="Z59" s="841">
        <f>Z58</f>
        <v>0</v>
      </c>
      <c r="AA59" s="845"/>
    </row>
    <row r="60" spans="1:35" s="1" customFormat="1">
      <c r="A60" s="6"/>
      <c r="B60" s="177"/>
      <c r="C60" s="907"/>
      <c r="D60" s="15"/>
      <c r="E60" s="15"/>
      <c r="F60" s="15"/>
      <c r="G60" s="15"/>
      <c r="H60" s="15"/>
      <c r="I60" s="15"/>
      <c r="J60" s="15"/>
      <c r="K60" s="15"/>
      <c r="L60" s="15"/>
      <c r="M60" s="912"/>
      <c r="N60" s="15"/>
      <c r="O60" s="912"/>
      <c r="P60" s="15"/>
      <c r="Q60" s="911"/>
      <c r="R60" s="15"/>
      <c r="S60" s="911"/>
      <c r="T60" s="15"/>
      <c r="U60" s="911"/>
      <c r="V60" s="15"/>
      <c r="W60" s="911"/>
      <c r="X60" s="15"/>
      <c r="Y60" s="911"/>
      <c r="Z60" s="15"/>
      <c r="AA60" s="21"/>
    </row>
    <row r="61" spans="1:35" s="1" customFormat="1" ht="13.5" thickBot="1">
      <c r="A61" s="6" t="s">
        <v>413</v>
      </c>
      <c r="B61" s="26">
        <f ca="1">B13-B51-B55-B59</f>
        <v>-1286</v>
      </c>
      <c r="C61" s="907">
        <f ca="1">+B61/$B$13</f>
        <v>-1.1200000000000001</v>
      </c>
      <c r="D61" s="26">
        <f ca="1">D13-D51-D55-D59</f>
        <v>2082</v>
      </c>
      <c r="E61" s="909">
        <f ca="1">IFERROR(D61/$D$13,0)</f>
        <v>0.76319999999999999</v>
      </c>
      <c r="F61" s="26">
        <f ca="1">F13-F51-F55-F59</f>
        <v>2082</v>
      </c>
      <c r="G61" s="909">
        <f ca="1">IFERROR(F61/$F$13,0)</f>
        <v>0.76319999999999999</v>
      </c>
      <c r="H61" s="26">
        <f ca="1">H13-H51-H55-H59</f>
        <v>2082</v>
      </c>
      <c r="I61" s="910">
        <f ca="1">IFERROR(H61/$H$13,0)</f>
        <v>0.76300000000000001</v>
      </c>
      <c r="J61" s="26">
        <f ca="1">J13-J51-J55-J59</f>
        <v>1699</v>
      </c>
      <c r="K61" s="911">
        <f ca="1">IFERROR(J61/$J$13,0)</f>
        <v>0.623</v>
      </c>
      <c r="L61" s="26">
        <f ca="1">L13-L51-L55-L59</f>
        <v>2082</v>
      </c>
      <c r="M61" s="912">
        <f ca="1">IFERROR(L61/$L$13,0)</f>
        <v>0.76</v>
      </c>
      <c r="N61" s="26">
        <f ca="1">N13-N51-N55-N59</f>
        <v>2082</v>
      </c>
      <c r="O61" s="912">
        <f ca="1">IFERROR(N61/$N$13,0)</f>
        <v>0.76</v>
      </c>
      <c r="P61" s="26">
        <f ca="1">P13-P51-P55-P59</f>
        <v>2082</v>
      </c>
      <c r="Q61" s="911">
        <f ca="1">IFERROR(P61/$P$13,0)</f>
        <v>0.76300000000000001</v>
      </c>
      <c r="R61" s="26">
        <f ca="1">R13-R51-R55-R59</f>
        <v>1699</v>
      </c>
      <c r="S61" s="911">
        <f ca="1">IFERROR(R61/$R$13,0)</f>
        <v>0.623</v>
      </c>
      <c r="T61" s="26">
        <f ca="1">T13-T51-T55-T59</f>
        <v>2082</v>
      </c>
      <c r="U61" s="911">
        <f t="shared" ca="1" si="32"/>
        <v>0.76300000000000001</v>
      </c>
      <c r="V61" s="26">
        <f ca="1">V13-V51-V55-V59</f>
        <v>2082</v>
      </c>
      <c r="W61" s="911">
        <f ca="1">IFERROR(V61/$V$13,0)</f>
        <v>0.76300000000000001</v>
      </c>
      <c r="X61" s="26">
        <f ca="1">X13-X51-X55-X59</f>
        <v>-1853</v>
      </c>
      <c r="Y61" s="911">
        <f ca="1">IFERROR(X61/$X$13,0)</f>
        <v>-4.2110000000000003</v>
      </c>
      <c r="Z61" s="26">
        <f ca="1">Z13-Z51-Z55-Z59</f>
        <v>16911</v>
      </c>
      <c r="AA61" s="252">
        <f ca="1">+Z61/$Z$13</f>
        <v>0.59</v>
      </c>
    </row>
    <row r="62" spans="1:35">
      <c r="A62" s="6" t="s">
        <v>414</v>
      </c>
      <c r="B62" s="889">
        <f ca="1">+IF(B61=0,0,B61/B13)</f>
        <v>-1.1200000000000001</v>
      </c>
      <c r="C62" s="916"/>
      <c r="D62" s="889">
        <f ca="1">+IF(D61=0,0,D61/D13)</f>
        <v>0.76</v>
      </c>
      <c r="E62" s="889"/>
      <c r="F62" s="889">
        <f ca="1">+IF(F61=0,0,F61/F13)</f>
        <v>0.76</v>
      </c>
      <c r="G62" s="889"/>
      <c r="H62" s="889">
        <f ca="1">+IF(H61=0,0,H61/H13)</f>
        <v>0.76</v>
      </c>
      <c r="I62" s="889"/>
      <c r="J62" s="889">
        <f ca="1">+IF(J61=0,0,J61/J13)</f>
        <v>0.62</v>
      </c>
      <c r="K62" s="889"/>
      <c r="L62" s="889">
        <f ca="1">+IF(L61=0,0,L61/L13)</f>
        <v>0.76</v>
      </c>
      <c r="M62" s="889"/>
      <c r="N62" s="889">
        <f ca="1">+IF(N61=0,0,N61/N13)</f>
        <v>0.76</v>
      </c>
      <c r="O62" s="889"/>
      <c r="P62" s="889">
        <f ca="1">+IF(P61=0,0,P61/P13)</f>
        <v>0.76</v>
      </c>
      <c r="Q62" s="889"/>
      <c r="R62" s="889">
        <f ca="1">+IF(R61=0,0,R61/R13)</f>
        <v>0.62</v>
      </c>
      <c r="S62" s="889"/>
      <c r="T62" s="889">
        <f ca="1">+IF(T61=0,0,T61/T13)</f>
        <v>0.76</v>
      </c>
      <c r="U62" s="889"/>
      <c r="V62" s="889">
        <f ca="1">+IF(V61=0,0,V61/V13)</f>
        <v>0.76</v>
      </c>
      <c r="W62" s="889"/>
      <c r="X62" s="889">
        <f ca="1">+IF(X61=0,0,X61/X13)</f>
        <v>-4.21</v>
      </c>
      <c r="Y62" s="889"/>
      <c r="Z62" s="889">
        <f ca="1">+IF(Z61=0,0,Z61/Z13)</f>
        <v>0.59</v>
      </c>
    </row>
    <row r="63" spans="1:35" s="1" customFormat="1">
      <c r="A63" s="6"/>
      <c r="B63" s="177"/>
      <c r="C63" s="907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21"/>
    </row>
    <row r="64" spans="1:35" s="4" customFormat="1">
      <c r="A64" s="6" t="s">
        <v>415</v>
      </c>
      <c r="B64" s="150">
        <f ca="1">+B61*Cost!$E$130</f>
        <v>-450</v>
      </c>
      <c r="C64" s="909">
        <f ca="1">+B64/$B$13</f>
        <v>-0.39340000000000003</v>
      </c>
      <c r="D64" s="144">
        <f ca="1">+D61*Cost!$E$130</f>
        <v>729</v>
      </c>
      <c r="E64" s="909">
        <f ca="1">IFERROR(D64/$D$13,0)</f>
        <v>0.26719999999999999</v>
      </c>
      <c r="F64" s="144">
        <f ca="1">+F61*Cost!$E$130</f>
        <v>729</v>
      </c>
      <c r="G64" s="909">
        <f ca="1">IFERROR(F64/$F$13,0)</f>
        <v>0.26719999999999999</v>
      </c>
      <c r="H64" s="144">
        <f ca="1">+H61*Cost!$E$130</f>
        <v>729</v>
      </c>
      <c r="I64" s="910">
        <f ca="1">IFERROR(H64/$H$13,0)</f>
        <v>0.26700000000000002</v>
      </c>
      <c r="J64" s="144">
        <f ca="1">+J61*Cost!$E$130</f>
        <v>595</v>
      </c>
      <c r="K64" s="301">
        <f ca="1">IFERROR(J64/$J$13,0)</f>
        <v>0.218</v>
      </c>
      <c r="L64" s="144">
        <f ca="1">+L61*Cost!$E$130</f>
        <v>729</v>
      </c>
      <c r="M64" s="302">
        <f ca="1">IFERROR(L64/$L$13,0)</f>
        <v>0.27</v>
      </c>
      <c r="N64" s="144">
        <f ca="1">+N61*Cost!$E$130</f>
        <v>729</v>
      </c>
      <c r="O64" s="302">
        <f ca="1">IFERROR(N64/$N$13,0)</f>
        <v>0.27</v>
      </c>
      <c r="P64" s="144">
        <f ca="1">+P61*Cost!$E$130</f>
        <v>729</v>
      </c>
      <c r="Q64" s="301">
        <f ca="1">IFERROR(P64/$P$13,0)</f>
        <v>0.26700000000000002</v>
      </c>
      <c r="R64" s="144">
        <f ca="1">+R61*Cost!$E$130</f>
        <v>595</v>
      </c>
      <c r="S64" s="301">
        <f ca="1">IFERROR(R64/$R$13,0)</f>
        <v>0.218</v>
      </c>
      <c r="T64" s="144">
        <f ca="1">+T61*Cost!$E$130</f>
        <v>729</v>
      </c>
      <c r="U64" s="301">
        <f ca="1">IFERROR(T64/$T$13,0)</f>
        <v>0.26700000000000002</v>
      </c>
      <c r="V64" s="144">
        <f ca="1">+V61*Cost!$E$130</f>
        <v>729</v>
      </c>
      <c r="W64" s="301">
        <f t="shared" ref="W64" ca="1" si="36">IFERROR(V64/$V$13,0)</f>
        <v>0.26700000000000002</v>
      </c>
      <c r="X64" s="144">
        <f ca="1">+X61*Cost!$E$130</f>
        <v>-649</v>
      </c>
      <c r="Y64" s="301">
        <f ca="1">IFERROR(X64/$X$13,0)</f>
        <v>-1.4750000000000001</v>
      </c>
      <c r="Z64" s="15">
        <f ca="1">+B64+D64+F64+H64+J64+L64+N64+P64+R64+T64+V64+X64</f>
        <v>5923</v>
      </c>
      <c r="AA64" s="12">
        <f t="shared" ref="AA64" ca="1" si="37">+Z64/$Z$13</f>
        <v>0.20519999999999999</v>
      </c>
      <c r="AB64" s="914"/>
      <c r="AC64" s="914"/>
      <c r="AD64" s="914"/>
      <c r="AE64" s="914"/>
      <c r="AF64" s="914"/>
      <c r="AG64" s="914"/>
      <c r="AH64" s="914"/>
    </row>
    <row r="65" spans="1:35" s="1" customFormat="1">
      <c r="A65" s="6"/>
      <c r="B65" s="177"/>
      <c r="C65" s="907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21"/>
    </row>
    <row r="66" spans="1:35" s="1" customFormat="1" ht="13.5" thickBot="1">
      <c r="A66" s="6" t="s">
        <v>416</v>
      </c>
      <c r="B66" s="26">
        <f ca="1">B13-B51-B55-B59-B64</f>
        <v>-836</v>
      </c>
      <c r="C66" s="909">
        <f ca="1">+B66/$B$13</f>
        <v>-0.73080000000000001</v>
      </c>
      <c r="D66" s="26">
        <f ca="1">D13-D51-D55-D59-D64</f>
        <v>1353</v>
      </c>
      <c r="E66" s="909">
        <f ca="1">IFERROR(D66/$D$13,0)</f>
        <v>0.496</v>
      </c>
      <c r="F66" s="26">
        <f ca="1">F13-F51-F55-F59-F64</f>
        <v>1353</v>
      </c>
      <c r="G66" s="909">
        <f ca="1">IFERROR(F66/$F$13,0)</f>
        <v>0.496</v>
      </c>
      <c r="H66" s="26">
        <f ca="1">H13-H51-H55-H59-H64</f>
        <v>1353</v>
      </c>
      <c r="I66" s="910">
        <f ca="1">IFERROR(H66/$H$13,0)</f>
        <v>0.496</v>
      </c>
      <c r="J66" s="26">
        <f ca="1">J13-J51-J55-J59-J64</f>
        <v>1104</v>
      </c>
      <c r="K66" s="301">
        <f ca="1">IFERROR(J66/$J$13,0)</f>
        <v>0.40500000000000003</v>
      </c>
      <c r="L66" s="26">
        <f ca="1">L13-L51-L55-L59-L64</f>
        <v>1353</v>
      </c>
      <c r="M66" s="302">
        <f ca="1">IFERROR(L66/$L$13,0)</f>
        <v>0.5</v>
      </c>
      <c r="N66" s="26">
        <f ca="1">N13-N51-N55-N59-N64</f>
        <v>1353</v>
      </c>
      <c r="O66" s="302">
        <f ca="1">IFERROR(N66/$N$13,0)</f>
        <v>0.5</v>
      </c>
      <c r="P66" s="26">
        <f ca="1">P13-P51-P55-P59-P64</f>
        <v>1353</v>
      </c>
      <c r="Q66" s="301">
        <f ca="1">IFERROR(P66/$P$13,0)</f>
        <v>0.496</v>
      </c>
      <c r="R66" s="26">
        <f ca="1">R13-R51-R55-R59-R64</f>
        <v>1104</v>
      </c>
      <c r="S66" s="301">
        <f ca="1">IFERROR(R66/$R$13,0)</f>
        <v>0.40500000000000003</v>
      </c>
      <c r="T66" s="26">
        <f ca="1">T13-T51-T55-T59-T64</f>
        <v>1353</v>
      </c>
      <c r="U66" s="301">
        <f ca="1">IFERROR(T66/$T$13,0)</f>
        <v>0.496</v>
      </c>
      <c r="V66" s="26">
        <f ca="1">V13-V51-V55-V59-V64</f>
        <v>1353</v>
      </c>
      <c r="W66" s="301">
        <f t="shared" ref="W66" ca="1" si="38">IFERROR(V66/$V$13,0)</f>
        <v>0.496</v>
      </c>
      <c r="X66" s="26">
        <f ca="1">X13-X51-X55-X59-X64</f>
        <v>-1204</v>
      </c>
      <c r="Y66" s="301">
        <f ca="1">IFERROR(X66/$X$13,0)</f>
        <v>-2.7360000000000002</v>
      </c>
      <c r="Z66" s="26">
        <f ca="1">Z13-Z51-Z55-Z59-Z64</f>
        <v>10988</v>
      </c>
      <c r="AA66" s="12">
        <f t="shared" ref="AA66" ca="1" si="39">+Z66/$Z$13</f>
        <v>0.38069999999999998</v>
      </c>
      <c r="AB66" s="150"/>
      <c r="AC66" s="150"/>
      <c r="AD66" s="150"/>
      <c r="AE66" s="150"/>
      <c r="AF66" s="150"/>
      <c r="AG66" s="150"/>
      <c r="AH66" s="150"/>
      <c r="AI66" s="4"/>
    </row>
    <row r="67" spans="1:35">
      <c r="A67" s="6" t="s">
        <v>417</v>
      </c>
      <c r="B67" s="882">
        <f ca="1">+B66/B13</f>
        <v>-0.73</v>
      </c>
      <c r="C67" s="892"/>
      <c r="D67" s="882">
        <f ca="1">+D66/D13</f>
        <v>0.5</v>
      </c>
      <c r="E67" s="892"/>
      <c r="F67" s="882">
        <f ca="1">+F66/F13</f>
        <v>0.5</v>
      </c>
      <c r="G67" s="892"/>
      <c r="H67" s="882">
        <f ca="1">+H66/H13</f>
        <v>0.5</v>
      </c>
      <c r="I67" s="892"/>
      <c r="J67" s="882">
        <f ca="1">+J66/J13</f>
        <v>0.4</v>
      </c>
      <c r="K67" s="892"/>
      <c r="L67" s="882">
        <f ca="1">+L66/L13</f>
        <v>0.5</v>
      </c>
      <c r="M67" s="892"/>
      <c r="N67" s="882">
        <f ca="1">+N66/N13</f>
        <v>0.5</v>
      </c>
      <c r="O67" s="882"/>
      <c r="P67" s="882">
        <f ca="1">+P66/P13</f>
        <v>0.5</v>
      </c>
      <c r="Q67" s="882"/>
      <c r="R67" s="882">
        <f ca="1">+R66/R13</f>
        <v>0.4</v>
      </c>
      <c r="S67" s="892"/>
      <c r="T67" s="882">
        <f ca="1">+T66/T13</f>
        <v>0.5</v>
      </c>
      <c r="U67" s="882"/>
      <c r="V67" s="882">
        <f ca="1">+V66/V13</f>
        <v>0.5</v>
      </c>
      <c r="W67" s="892"/>
      <c r="X67" s="882">
        <f ca="1">+X66/X13</f>
        <v>-2.74</v>
      </c>
      <c r="Y67" s="12"/>
      <c r="Z67" s="882">
        <f ca="1">+Z66/Z13</f>
        <v>0.38</v>
      </c>
      <c r="AA67" s="2"/>
      <c r="AB67" s="4"/>
      <c r="AC67" s="4"/>
      <c r="AD67" s="4"/>
      <c r="AE67" s="4"/>
      <c r="AF67" s="4"/>
      <c r="AG67" s="4"/>
      <c r="AH67" s="4"/>
      <c r="AI67" s="4"/>
    </row>
    <row r="68" spans="1:35">
      <c r="A68" s="1"/>
      <c r="B68" s="175"/>
      <c r="C68" s="907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1"/>
      <c r="W68" s="1"/>
      <c r="X68" s="21"/>
      <c r="Y68" s="21"/>
    </row>
    <row r="69" spans="1:35">
      <c r="A69" s="1"/>
      <c r="B69" s="175"/>
      <c r="C69" s="907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1"/>
      <c r="W69" s="1"/>
      <c r="X69" s="21"/>
      <c r="Y69" s="21"/>
    </row>
    <row r="70" spans="1:35">
      <c r="A70" s="1"/>
      <c r="D70" s="917"/>
      <c r="V70" s="1"/>
      <c r="W70" s="1"/>
      <c r="AB70" s="12"/>
    </row>
    <row r="71" spans="1:35">
      <c r="A71" s="1"/>
      <c r="C71" s="907"/>
      <c r="V71" s="1"/>
      <c r="W71" s="1"/>
      <c r="AB71" s="12"/>
    </row>
    <row r="72" spans="1:35">
      <c r="A72" s="1"/>
      <c r="C72" s="907"/>
      <c r="V72" s="1"/>
      <c r="W72" s="1"/>
      <c r="AB72" s="12"/>
    </row>
    <row r="73" spans="1:35">
      <c r="A73" s="1"/>
      <c r="C73" s="907"/>
      <c r="V73" s="1"/>
      <c r="W73" s="1"/>
      <c r="AB73" s="12"/>
    </row>
    <row r="74" spans="1:35">
      <c r="A74" s="1"/>
      <c r="B74" s="175"/>
      <c r="C74" s="907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167"/>
      <c r="Q74" s="167"/>
      <c r="R74" s="167"/>
      <c r="S74" s="167"/>
      <c r="T74" s="167"/>
      <c r="U74" s="167"/>
      <c r="V74" s="1"/>
      <c r="W74" s="1"/>
      <c r="X74" s="167"/>
      <c r="Y74" s="167"/>
      <c r="AB74" s="12"/>
    </row>
    <row r="75" spans="1:35">
      <c r="A75" s="1"/>
      <c r="B75" s="175"/>
      <c r="C75" s="907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1"/>
      <c r="W75" s="1"/>
      <c r="X75" s="21"/>
      <c r="Y75" s="21"/>
      <c r="AB75" s="12"/>
    </row>
    <row r="76" spans="1:35">
      <c r="A76" s="1"/>
      <c r="B76" s="175"/>
      <c r="C76" s="907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1"/>
      <c r="W76" s="1"/>
      <c r="X76" s="21"/>
      <c r="Y76" s="21"/>
      <c r="AB76" s="12"/>
    </row>
    <row r="77" spans="1:35">
      <c r="A77" s="1"/>
      <c r="B77" s="175"/>
      <c r="C77" s="907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1"/>
      <c r="W77" s="1"/>
      <c r="X77" s="21"/>
      <c r="Y77" s="21"/>
      <c r="AB77" s="12"/>
    </row>
    <row r="78" spans="1:35">
      <c r="A78" s="1"/>
      <c r="B78" s="175"/>
      <c r="C78" s="907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1"/>
      <c r="W78" s="1"/>
      <c r="X78" s="21"/>
      <c r="Y78" s="21"/>
      <c r="AB78" s="12"/>
    </row>
    <row r="79" spans="1:35">
      <c r="A79" s="1"/>
      <c r="B79" s="175"/>
      <c r="C79" s="907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1"/>
      <c r="W79" s="1"/>
      <c r="X79" s="21"/>
      <c r="Y79" s="21"/>
      <c r="AB79" s="12"/>
    </row>
    <row r="80" spans="1:35">
      <c r="C80" s="907"/>
      <c r="V80" s="1"/>
      <c r="W80" s="1"/>
      <c r="AB80" s="12"/>
    </row>
    <row r="81" spans="1:28">
      <c r="A81" s="1"/>
      <c r="C81" s="907"/>
      <c r="V81" s="1"/>
      <c r="W81" s="1"/>
      <c r="AB81" s="12"/>
    </row>
    <row r="82" spans="1:28">
      <c r="A82" s="1"/>
      <c r="B82" s="175"/>
      <c r="C82" s="907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1"/>
      <c r="W82" s="1"/>
      <c r="X82" s="21"/>
      <c r="Y82" s="21"/>
      <c r="AB82" s="12"/>
    </row>
    <row r="83" spans="1:28">
      <c r="A83" s="1"/>
      <c r="B83" s="175"/>
      <c r="C83" s="907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1"/>
      <c r="W83" s="1"/>
      <c r="X83" s="21"/>
      <c r="Y83" s="21"/>
      <c r="AB83" s="12"/>
    </row>
    <row r="84" spans="1:28">
      <c r="A84" s="1"/>
      <c r="B84" s="175"/>
      <c r="C84" s="907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1"/>
      <c r="W84" s="1"/>
      <c r="X84" s="21"/>
      <c r="Y84" s="21"/>
      <c r="AB84" s="12"/>
    </row>
    <row r="85" spans="1:28">
      <c r="A85" s="1"/>
      <c r="B85" s="175"/>
      <c r="C85" s="907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1"/>
      <c r="W85" s="1"/>
      <c r="X85" s="21"/>
      <c r="Y85" s="21"/>
      <c r="AB85" s="12"/>
    </row>
    <row r="86" spans="1:28">
      <c r="A86" s="1"/>
      <c r="B86" s="175"/>
      <c r="C86" s="907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1"/>
      <c r="W86" s="1"/>
      <c r="X86" s="21"/>
      <c r="Y86" s="21"/>
      <c r="AB86" s="12"/>
    </row>
    <row r="87" spans="1:28">
      <c r="A87" s="1"/>
      <c r="B87" s="175"/>
      <c r="C87" s="907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1"/>
      <c r="W87" s="1"/>
      <c r="X87" s="21"/>
      <c r="Y87" s="21"/>
      <c r="AB87" s="12"/>
    </row>
    <row r="88" spans="1:28">
      <c r="A88" s="1"/>
      <c r="B88" s="175"/>
      <c r="C88" s="907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1"/>
      <c r="W88" s="1"/>
      <c r="X88" s="21"/>
      <c r="Y88" s="21"/>
      <c r="AB88" s="12"/>
    </row>
    <row r="89" spans="1:28">
      <c r="C89" s="907"/>
      <c r="V89" s="1"/>
      <c r="W89" s="1"/>
      <c r="X89" s="8"/>
      <c r="Y89" s="8"/>
      <c r="AB89" s="12"/>
    </row>
    <row r="90" spans="1:28">
      <c r="A90" s="1"/>
      <c r="B90" s="175">
        <f ca="1">SUM(B66:B88)</f>
        <v>-837</v>
      </c>
      <c r="C90" s="907"/>
      <c r="D90" s="21">
        <f ca="1">SUM(D66:D88)</f>
        <v>1353.5</v>
      </c>
      <c r="E90" s="21"/>
      <c r="F90" s="21">
        <f ca="1">SUM(F66:F88)</f>
        <v>1353.5</v>
      </c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1"/>
      <c r="W90" s="1"/>
      <c r="X90" s="21"/>
      <c r="Y90" s="21"/>
      <c r="AB90" s="12"/>
    </row>
    <row r="91" spans="1:28">
      <c r="C91" s="907"/>
      <c r="AB91" s="12"/>
    </row>
    <row r="92" spans="1:28">
      <c r="C92" s="907"/>
      <c r="AB92" s="12"/>
    </row>
    <row r="93" spans="1:28">
      <c r="C93" s="907"/>
      <c r="AB93" s="12"/>
    </row>
    <row r="94" spans="1:28">
      <c r="C94" s="907"/>
      <c r="AB94" s="12"/>
    </row>
    <row r="95" spans="1:28">
      <c r="C95" s="907"/>
      <c r="AB95" s="12"/>
    </row>
    <row r="96" spans="1:28">
      <c r="B96"/>
      <c r="C96" s="907"/>
      <c r="AB96" s="12"/>
    </row>
    <row r="97" spans="2:28">
      <c r="B97"/>
      <c r="C97" s="907"/>
      <c r="AB97" s="12"/>
    </row>
    <row r="98" spans="2:28">
      <c r="B98"/>
      <c r="C98" s="907"/>
      <c r="AB98" s="12"/>
    </row>
    <row r="99" spans="2:28">
      <c r="B99"/>
      <c r="C99" s="907"/>
      <c r="AB99" s="12"/>
    </row>
    <row r="100" spans="2:28">
      <c r="B100"/>
      <c r="C100" s="907"/>
      <c r="AB100" s="12"/>
    </row>
    <row r="101" spans="2:28">
      <c r="B101"/>
      <c r="C101" s="907"/>
      <c r="AB101" s="12"/>
    </row>
    <row r="102" spans="2:28">
      <c r="B102"/>
      <c r="C102" s="907"/>
      <c r="AB102" s="12"/>
    </row>
    <row r="103" spans="2:28">
      <c r="B103"/>
      <c r="C103" s="907"/>
      <c r="AB103" s="12"/>
    </row>
    <row r="104" spans="2:28">
      <c r="B104"/>
      <c r="C104" s="907"/>
      <c r="AB104" s="12"/>
    </row>
    <row r="105" spans="2:28">
      <c r="B105"/>
      <c r="C105" s="907"/>
      <c r="AB105" s="12"/>
    </row>
    <row r="106" spans="2:28">
      <c r="B106"/>
      <c r="C106" s="907"/>
      <c r="AB106" s="12"/>
    </row>
    <row r="107" spans="2:28">
      <c r="B107"/>
      <c r="C107" s="907"/>
      <c r="AB107" s="12"/>
    </row>
    <row r="108" spans="2:28">
      <c r="B108"/>
      <c r="C108" s="907"/>
      <c r="AB108" s="12"/>
    </row>
    <row r="109" spans="2:28">
      <c r="B109"/>
      <c r="C109" s="907"/>
      <c r="AB109" s="12"/>
    </row>
    <row r="110" spans="2:28">
      <c r="B110"/>
      <c r="C110" s="907"/>
      <c r="AB110" s="12"/>
    </row>
    <row r="111" spans="2:28">
      <c r="B111"/>
      <c r="C111" s="907"/>
      <c r="AB111" s="12"/>
    </row>
    <row r="112" spans="2:28">
      <c r="B112"/>
      <c r="C112" s="907"/>
      <c r="AB112" s="12"/>
    </row>
    <row r="113" spans="2:28">
      <c r="B113"/>
      <c r="C113" s="907"/>
      <c r="AB113" s="12"/>
    </row>
    <row r="114" spans="2:28">
      <c r="B114"/>
      <c r="C114" s="907"/>
      <c r="AB114" s="12"/>
    </row>
    <row r="115" spans="2:28">
      <c r="B115"/>
      <c r="C115" s="907"/>
      <c r="AB115" s="12"/>
    </row>
    <row r="116" spans="2:28">
      <c r="B116"/>
      <c r="C116" s="907"/>
      <c r="AB116" s="12"/>
    </row>
    <row r="117" spans="2:28">
      <c r="B117"/>
      <c r="C117" s="907"/>
      <c r="AB117" s="12"/>
    </row>
    <row r="118" spans="2:28">
      <c r="B118"/>
      <c r="AB118" s="12"/>
    </row>
    <row r="119" spans="2:28">
      <c r="B119"/>
      <c r="AB119" s="12"/>
    </row>
    <row r="120" spans="2:28">
      <c r="B120"/>
      <c r="AB120" s="12"/>
    </row>
    <row r="121" spans="2:28">
      <c r="B121"/>
      <c r="AB121" s="12"/>
    </row>
  </sheetData>
  <phoneticPr fontId="29" type="noConversion"/>
  <pageMargins left="0.75" right="0.75" top="0.54" bottom="0.55000000000000004" header="0.5" footer="0.5"/>
  <pageSetup scale="53" orientation="landscape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9">
    <tabColor rgb="FF92D050"/>
  </sheetPr>
  <dimension ref="B1:HP894"/>
  <sheetViews>
    <sheetView workbookViewId="0"/>
  </sheetViews>
  <sheetFormatPr baseColWidth="10" defaultColWidth="11.42578125" defaultRowHeight="12.75"/>
  <cols>
    <col min="1" max="1" width="3.140625" customWidth="1"/>
    <col min="2" max="2" width="55.140625" customWidth="1"/>
    <col min="3" max="3" width="10.85546875" customWidth="1"/>
    <col min="4" max="4" width="7.42578125" customWidth="1"/>
    <col min="5" max="5" width="10.85546875" customWidth="1"/>
    <col min="6" max="6" width="8.42578125" customWidth="1"/>
    <col min="7" max="7" width="10.85546875" customWidth="1"/>
    <col min="8" max="8" width="8.42578125" customWidth="1"/>
    <col min="9" max="9" width="12" customWidth="1"/>
    <col min="10" max="10" width="6.85546875" customWidth="1"/>
    <col min="11" max="11" width="13.42578125" customWidth="1"/>
    <col min="12" max="12" width="7" customWidth="1"/>
    <col min="13" max="13" width="16.140625" customWidth="1"/>
    <col min="14" max="14" width="8.42578125" customWidth="1"/>
    <col min="15" max="15" width="10.42578125" customWidth="1"/>
    <col min="16" max="16" width="5.85546875" customWidth="1"/>
    <col min="17" max="17" width="9.85546875" style="187" customWidth="1"/>
    <col min="18" max="18" width="5.42578125" customWidth="1"/>
    <col min="19" max="19" width="10.85546875" customWidth="1"/>
    <col min="20" max="20" width="6.5703125" customWidth="1"/>
    <col min="21" max="21" width="10.85546875" customWidth="1"/>
    <col min="22" max="22" width="6.42578125" customWidth="1"/>
    <col min="23" max="23" width="10.85546875" customWidth="1"/>
    <col min="24" max="24" width="6.85546875" customWidth="1"/>
    <col min="25" max="25" width="10.85546875" customWidth="1"/>
    <col min="26" max="26" width="6.85546875" customWidth="1"/>
    <col min="27" max="27" width="10.85546875" customWidth="1"/>
    <col min="28" max="28" width="6.140625" customWidth="1"/>
    <col min="29" max="29" width="12.5703125" customWidth="1"/>
    <col min="30" max="30" width="5.42578125" customWidth="1"/>
    <col min="31" max="31" width="10.85546875" customWidth="1"/>
    <col min="32" max="32" width="7.5703125" bestFit="1" customWidth="1"/>
    <col min="33" max="33" width="13.42578125" style="187" customWidth="1"/>
    <col min="34" max="34" width="7.85546875" customWidth="1"/>
    <col min="35" max="35" width="12.42578125" style="187" customWidth="1"/>
    <col min="36" max="36" width="8.85546875" customWidth="1"/>
    <col min="37" max="37" width="10.85546875" customWidth="1"/>
  </cols>
  <sheetData>
    <row r="1" spans="2:37">
      <c r="Q1"/>
      <c r="AG1"/>
      <c r="AI1"/>
    </row>
    <row r="2" spans="2:37">
      <c r="Q2"/>
      <c r="AG2"/>
      <c r="AI2"/>
    </row>
    <row r="3" spans="2:37">
      <c r="B3" s="21" t="s">
        <v>265</v>
      </c>
      <c r="C3" s="1041">
        <v>2025</v>
      </c>
      <c r="D3" s="1041"/>
      <c r="E3" s="1041"/>
      <c r="F3" s="1041"/>
      <c r="G3" s="1041"/>
      <c r="H3" s="1041"/>
      <c r="I3" s="1041"/>
      <c r="J3" s="1041"/>
      <c r="K3" s="1041"/>
      <c r="L3" s="1041"/>
      <c r="M3" s="1041"/>
      <c r="N3" s="1041"/>
      <c r="O3" s="1041"/>
      <c r="P3" s="1041"/>
      <c r="Q3" s="1041"/>
      <c r="R3" s="1041"/>
      <c r="S3" s="1041"/>
      <c r="T3" s="1041"/>
      <c r="U3" s="1041"/>
      <c r="V3" s="1041"/>
      <c r="W3" s="1041"/>
      <c r="X3" s="1041"/>
      <c r="Y3" s="1041"/>
      <c r="Z3" s="1041"/>
      <c r="AA3" s="1041"/>
      <c r="AB3" s="1041"/>
      <c r="AC3" s="1041"/>
      <c r="AD3" s="1041"/>
      <c r="AE3" s="1041"/>
      <c r="AF3" s="1041"/>
      <c r="AG3" s="1041"/>
      <c r="AH3" s="1041"/>
      <c r="AI3" s="1041"/>
    </row>
    <row r="4" spans="2:37">
      <c r="B4" s="1" t="e">
        <f>+#REF!</f>
        <v>#REF!</v>
      </c>
      <c r="Q4"/>
      <c r="AG4"/>
      <c r="AI4"/>
    </row>
    <row r="5" spans="2:37">
      <c r="B5" s="1" t="s">
        <v>49</v>
      </c>
      <c r="Q5"/>
      <c r="AG5"/>
      <c r="AI5"/>
    </row>
    <row r="6" spans="2:37">
      <c r="Q6"/>
      <c r="AG6"/>
      <c r="AI6"/>
    </row>
    <row r="7" spans="2:37">
      <c r="Q7"/>
      <c r="AG7"/>
      <c r="AI7"/>
    </row>
    <row r="8" spans="2:37">
      <c r="Q8"/>
      <c r="AG8"/>
      <c r="AI8"/>
    </row>
    <row r="9" spans="2:37">
      <c r="Q9"/>
      <c r="AG9"/>
      <c r="AI9"/>
    </row>
    <row r="10" spans="2:37" ht="13.5" thickBot="1">
      <c r="B10" s="6" t="s">
        <v>381</v>
      </c>
      <c r="C10" s="38" t="e">
        <f>+'DPL24 Summary USD'!B13</f>
        <v>#REF!</v>
      </c>
      <c r="D10" s="258" t="e">
        <f>+C10/$C$10</f>
        <v>#REF!</v>
      </c>
      <c r="E10" s="38" t="e">
        <f>+'DPL24 Summary USD'!D13</f>
        <v>#REF!</v>
      </c>
      <c r="F10" s="258" t="e">
        <f>+E10/$E$10</f>
        <v>#REF!</v>
      </c>
      <c r="G10" s="38" t="e">
        <f>+'DPL24 Summary USD'!F13</f>
        <v>#REF!</v>
      </c>
      <c r="H10" s="258" t="e">
        <f>+G10/$G$10</f>
        <v>#REF!</v>
      </c>
      <c r="I10" s="203" t="e">
        <f>+C10+E10+G10</f>
        <v>#REF!</v>
      </c>
      <c r="J10" s="397" t="e">
        <f>+I10/$I$10</f>
        <v>#REF!</v>
      </c>
      <c r="K10" s="38" t="e">
        <f>+'DPL24 Summary USD'!H13</f>
        <v>#REF!</v>
      </c>
      <c r="L10" s="258" t="e">
        <f>+K10/$K$10</f>
        <v>#REF!</v>
      </c>
      <c r="M10" s="38" t="e">
        <f>+'DPL24 Summary USD'!J13</f>
        <v>#REF!</v>
      </c>
      <c r="N10" s="258" t="e">
        <f>+M10/$M$10</f>
        <v>#REF!</v>
      </c>
      <c r="O10" s="38" t="e">
        <f>+'DPL24 Summary USD'!L13</f>
        <v>#REF!</v>
      </c>
      <c r="P10" s="258" t="e">
        <f>+O10/$O$10</f>
        <v>#REF!</v>
      </c>
      <c r="Q10" s="203" t="e">
        <f>+K10+M10+O10</f>
        <v>#REF!</v>
      </c>
      <c r="R10" s="258" t="e">
        <f>+Q10/$Q$10</f>
        <v>#REF!</v>
      </c>
      <c r="S10" s="38" t="e">
        <f>+'DPL24 Summary USD'!N13</f>
        <v>#REF!</v>
      </c>
      <c r="T10" s="258" t="e">
        <f>+S10/$S$10</f>
        <v>#REF!</v>
      </c>
      <c r="U10" s="38" t="e">
        <f>+'DPL24 Summary USD'!P13</f>
        <v>#REF!</v>
      </c>
      <c r="V10" s="258" t="e">
        <f>+U10/$U$10</f>
        <v>#REF!</v>
      </c>
      <c r="W10" s="38" t="e">
        <f>+'DPL24 Summary USD'!R13</f>
        <v>#REF!</v>
      </c>
      <c r="X10" s="258" t="e">
        <f>+W10/$W$10</f>
        <v>#REF!</v>
      </c>
      <c r="Y10" s="203" t="e">
        <f>+S10+U10+W10</f>
        <v>#REF!</v>
      </c>
      <c r="Z10" s="258" t="e">
        <f>+Y10/$Y$10</f>
        <v>#REF!</v>
      </c>
      <c r="AA10" s="38" t="e">
        <f>+'DPL24 Summary USD'!T13</f>
        <v>#REF!</v>
      </c>
      <c r="AB10" s="258" t="e">
        <f>+AA10/$AA$10</f>
        <v>#REF!</v>
      </c>
      <c r="AC10" s="38" t="e">
        <f>+'DPL24 Summary USD'!V13</f>
        <v>#REF!</v>
      </c>
      <c r="AD10" s="258" t="e">
        <f>+AC10/$AC$10</f>
        <v>#REF!</v>
      </c>
      <c r="AE10" s="38" t="e">
        <f>+'DPL24 Summary USD'!X13</f>
        <v>#REF!</v>
      </c>
      <c r="AF10" s="258" t="e">
        <f>+AE10/$AE$10</f>
        <v>#REF!</v>
      </c>
      <c r="AG10" s="203" t="e">
        <f>+AA10+AC10+AE10</f>
        <v>#REF!</v>
      </c>
      <c r="AH10" s="258" t="e">
        <f>+AG10/$AG$10</f>
        <v>#REF!</v>
      </c>
      <c r="AI10" s="203" t="e">
        <f>+I10+Q10+Y10+AG10</f>
        <v>#REF!</v>
      </c>
      <c r="AJ10" s="258" t="e">
        <f>+AI10/$AI$10</f>
        <v>#REF!</v>
      </c>
    </row>
    <row r="11" spans="2:37" ht="13.5" thickTop="1">
      <c r="C11" s="21">
        <v>2024</v>
      </c>
      <c r="E11" s="21">
        <f>+C11</f>
        <v>2024</v>
      </c>
      <c r="G11" s="21">
        <f>+E11</f>
        <v>2024</v>
      </c>
      <c r="I11" s="21">
        <f>+G11</f>
        <v>2024</v>
      </c>
      <c r="K11" s="21">
        <f>+I11</f>
        <v>2024</v>
      </c>
      <c r="M11" s="21">
        <f>+K11</f>
        <v>2024</v>
      </c>
      <c r="O11" s="21">
        <f>+M11</f>
        <v>2024</v>
      </c>
      <c r="Q11" s="21">
        <f>+O11</f>
        <v>2024</v>
      </c>
      <c r="S11" s="21">
        <f>+Q11</f>
        <v>2024</v>
      </c>
      <c r="U11" s="21">
        <f>+S11</f>
        <v>2024</v>
      </c>
      <c r="W11" s="21">
        <f>+U11</f>
        <v>2024</v>
      </c>
      <c r="Y11" s="21">
        <f>+W11</f>
        <v>2024</v>
      </c>
      <c r="AA11" s="21">
        <f>+Y11</f>
        <v>2024</v>
      </c>
      <c r="AC11" s="21">
        <f>+AA11</f>
        <v>2024</v>
      </c>
      <c r="AD11" s="258" t="e">
        <f t="shared" ref="AD11:AD18" si="0">+AC11/$AC$10</f>
        <v>#REF!</v>
      </c>
      <c r="AE11" s="21">
        <f>+AC11</f>
        <v>2024</v>
      </c>
      <c r="AG11" s="21">
        <f>+AE11</f>
        <v>2024</v>
      </c>
      <c r="AI11" s="21">
        <f>+AG11</f>
        <v>2024</v>
      </c>
    </row>
    <row r="12" spans="2:37">
      <c r="B12" s="21" t="s">
        <v>418</v>
      </c>
      <c r="C12" s="21" t="s">
        <v>211</v>
      </c>
      <c r="D12" s="21"/>
      <c r="E12" s="21" t="s">
        <v>374</v>
      </c>
      <c r="F12" s="21"/>
      <c r="G12" s="21" t="s">
        <v>213</v>
      </c>
      <c r="H12" s="21"/>
      <c r="I12" s="204" t="s">
        <v>419</v>
      </c>
      <c r="J12" s="21"/>
      <c r="K12" s="21" t="s">
        <v>214</v>
      </c>
      <c r="L12" s="21"/>
      <c r="M12" s="21" t="s">
        <v>215</v>
      </c>
      <c r="N12" s="21"/>
      <c r="O12" s="21" t="s">
        <v>216</v>
      </c>
      <c r="P12" s="21"/>
      <c r="Q12" s="204" t="s">
        <v>420</v>
      </c>
      <c r="R12" s="21"/>
      <c r="S12" s="21" t="s">
        <v>217</v>
      </c>
      <c r="T12" s="21"/>
      <c r="U12" s="21" t="s">
        <v>218</v>
      </c>
      <c r="V12" s="21"/>
      <c r="W12" s="21" t="s">
        <v>375</v>
      </c>
      <c r="X12" s="21"/>
      <c r="Y12" s="204" t="s">
        <v>421</v>
      </c>
      <c r="Z12" s="21"/>
      <c r="AA12" s="21" t="s">
        <v>220</v>
      </c>
      <c r="AB12" s="21"/>
      <c r="AC12" s="21" t="s">
        <v>221</v>
      </c>
      <c r="AD12" s="258"/>
      <c r="AE12" s="21" t="s">
        <v>222</v>
      </c>
      <c r="AF12" s="21"/>
      <c r="AG12" s="204" t="s">
        <v>422</v>
      </c>
      <c r="AH12" s="21"/>
      <c r="AI12" s="204" t="s">
        <v>423</v>
      </c>
      <c r="AJ12" s="21"/>
    </row>
    <row r="13" spans="2:37">
      <c r="B13" s="172" t="s">
        <v>424</v>
      </c>
      <c r="C13" s="20" t="e">
        <f>+'DPL24 Summary USD'!B101</f>
        <v>#REF!</v>
      </c>
      <c r="D13" s="260" t="e">
        <f t="shared" ref="D13:D18" si="1">+C13/$C$10</f>
        <v>#REF!</v>
      </c>
      <c r="E13" s="20" t="e">
        <f>+'DPL24 Summary USD'!D101</f>
        <v>#REF!</v>
      </c>
      <c r="F13" s="260" t="e">
        <f t="shared" ref="F13:F18" si="2">+E13/$E$10</f>
        <v>#REF!</v>
      </c>
      <c r="G13" s="20" t="e">
        <f>+'DPL24 Summary USD'!F101</f>
        <v>#REF!</v>
      </c>
      <c r="H13" s="260" t="e">
        <f t="shared" ref="H13:H18" si="3">+G13/$G$10</f>
        <v>#REF!</v>
      </c>
      <c r="I13" s="179" t="e">
        <f>+C13+E13+G13</f>
        <v>#REF!</v>
      </c>
      <c r="J13" s="397" t="e">
        <f t="shared" ref="J13:J18" si="4">+I13/$I$10</f>
        <v>#REF!</v>
      </c>
      <c r="K13" s="20" t="e">
        <f>+'DPL24 Summary USD'!H101</f>
        <v>#REF!</v>
      </c>
      <c r="L13" s="258" t="e">
        <f t="shared" ref="L13:L18" si="5">+K13/$K$10</f>
        <v>#REF!</v>
      </c>
      <c r="M13" s="20" t="e">
        <f>+'DPL24 Summary USD'!J101</f>
        <v>#REF!</v>
      </c>
      <c r="N13" s="258" t="e">
        <f t="shared" ref="N13:N18" si="6">+M13/$M$10</f>
        <v>#REF!</v>
      </c>
      <c r="O13" s="20" t="e">
        <f>+'DPL24 Summary USD'!L101</f>
        <v>#REF!</v>
      </c>
      <c r="P13" s="258" t="e">
        <f t="shared" ref="P13:P18" si="7">+O13/$O$10</f>
        <v>#REF!</v>
      </c>
      <c r="Q13" s="179" t="e">
        <f>+K13+M13+O13</f>
        <v>#REF!</v>
      </c>
      <c r="R13" s="258" t="e">
        <f t="shared" ref="R13:R18" si="8">+Q13/$Q$10</f>
        <v>#REF!</v>
      </c>
      <c r="S13" s="20" t="e">
        <f>+'DPL24 Summary USD'!N101</f>
        <v>#REF!</v>
      </c>
      <c r="T13" s="258" t="e">
        <f t="shared" ref="T13:T18" si="9">+S13/$S$10</f>
        <v>#REF!</v>
      </c>
      <c r="U13" s="20" t="e">
        <f>+'DPL24 Summary USD'!P101</f>
        <v>#REF!</v>
      </c>
      <c r="V13" s="258" t="e">
        <f t="shared" ref="V13:V18" si="10">+U13/$U$10</f>
        <v>#REF!</v>
      </c>
      <c r="W13" s="20" t="e">
        <f>+'DPL24 Summary USD'!R101</f>
        <v>#REF!</v>
      </c>
      <c r="X13" s="258" t="e">
        <f t="shared" ref="X13:X18" si="11">+W13/$W$10</f>
        <v>#REF!</v>
      </c>
      <c r="Y13" s="179" t="e">
        <f>+S13+U13+W13</f>
        <v>#REF!</v>
      </c>
      <c r="Z13" s="258" t="e">
        <f t="shared" ref="Z13:Z18" si="12">+Y13/$Y$10</f>
        <v>#REF!</v>
      </c>
      <c r="AA13" s="20" t="e">
        <f>+'DPL24 Summary USD'!T101</f>
        <v>#REF!</v>
      </c>
      <c r="AB13" s="258" t="e">
        <f t="shared" ref="AB13:AB18" si="13">+AA13/$AA$10</f>
        <v>#REF!</v>
      </c>
      <c r="AC13" s="20" t="e">
        <f>+'DPL24 Summary USD'!V101</f>
        <v>#REF!</v>
      </c>
      <c r="AD13" s="258" t="e">
        <f t="shared" si="0"/>
        <v>#REF!</v>
      </c>
      <c r="AE13" s="20" t="e">
        <f>+'DPL24 Summary USD'!X101</f>
        <v>#REF!</v>
      </c>
      <c r="AF13" s="258" t="e">
        <f t="shared" ref="AF13:AF18" si="14">+AE13/$AE$10</f>
        <v>#REF!</v>
      </c>
      <c r="AG13" s="179" t="e">
        <f>+AA13+AC13+AE13</f>
        <v>#REF!</v>
      </c>
      <c r="AH13" s="258" t="e">
        <f t="shared" ref="AH13:AH18" si="15">+AG13/$AG$10</f>
        <v>#REF!</v>
      </c>
      <c r="AI13" s="179" t="e">
        <f>+I13+Q13+Y13+AG13</f>
        <v>#REF!</v>
      </c>
      <c r="AJ13" s="258" t="e">
        <f t="shared" ref="AJ13:AJ18" si="16">+AI13/$AI$10</f>
        <v>#REF!</v>
      </c>
      <c r="AK13" s="20"/>
    </row>
    <row r="14" spans="2:37">
      <c r="B14" s="172" t="s">
        <v>425</v>
      </c>
      <c r="C14" s="20" t="e">
        <f>+'DPL24 Summary USD'!B102</f>
        <v>#REF!</v>
      </c>
      <c r="D14" s="260" t="e">
        <f t="shared" si="1"/>
        <v>#REF!</v>
      </c>
      <c r="E14" s="20" t="e">
        <f>+'DPL24 Summary USD'!D102</f>
        <v>#REF!</v>
      </c>
      <c r="F14" s="260" t="e">
        <f t="shared" si="2"/>
        <v>#REF!</v>
      </c>
      <c r="G14" s="20" t="e">
        <f>+'DPL24 Summary USD'!F102</f>
        <v>#REF!</v>
      </c>
      <c r="H14" s="260" t="e">
        <f t="shared" si="3"/>
        <v>#REF!</v>
      </c>
      <c r="I14" s="179" t="e">
        <f>+C14+E14+G14</f>
        <v>#REF!</v>
      </c>
      <c r="J14" s="397" t="e">
        <f t="shared" si="4"/>
        <v>#REF!</v>
      </c>
      <c r="K14" s="20" t="e">
        <f>+'DPL24 Summary USD'!H102</f>
        <v>#REF!</v>
      </c>
      <c r="L14" s="258" t="e">
        <f t="shared" si="5"/>
        <v>#REF!</v>
      </c>
      <c r="M14" s="20" t="e">
        <f>+'DPL24 Summary USD'!J102</f>
        <v>#REF!</v>
      </c>
      <c r="N14" s="258" t="e">
        <f t="shared" si="6"/>
        <v>#REF!</v>
      </c>
      <c r="O14" s="20" t="e">
        <f>+'DPL24 Summary USD'!L102</f>
        <v>#REF!</v>
      </c>
      <c r="P14" s="258" t="e">
        <f t="shared" si="7"/>
        <v>#REF!</v>
      </c>
      <c r="Q14" s="179" t="e">
        <f>+K14+M14+O14</f>
        <v>#REF!</v>
      </c>
      <c r="R14" s="258" t="e">
        <f t="shared" si="8"/>
        <v>#REF!</v>
      </c>
      <c r="S14" s="20" t="e">
        <f>+'DPL24 Summary USD'!N102</f>
        <v>#REF!</v>
      </c>
      <c r="T14" s="258" t="e">
        <f t="shared" si="9"/>
        <v>#REF!</v>
      </c>
      <c r="U14" s="20" t="e">
        <f>+'DPL24 Summary USD'!P102</f>
        <v>#REF!</v>
      </c>
      <c r="V14" s="258" t="e">
        <f t="shared" si="10"/>
        <v>#REF!</v>
      </c>
      <c r="W14" s="20" t="e">
        <f>+'DPL24 Summary USD'!R102</f>
        <v>#REF!</v>
      </c>
      <c r="X14" s="258" t="e">
        <f t="shared" si="11"/>
        <v>#REF!</v>
      </c>
      <c r="Y14" s="179" t="e">
        <f>+S14+U14+W14</f>
        <v>#REF!</v>
      </c>
      <c r="Z14" s="258" t="e">
        <f t="shared" si="12"/>
        <v>#REF!</v>
      </c>
      <c r="AA14" s="20" t="e">
        <f>+'DPL24 Summary USD'!T102</f>
        <v>#REF!</v>
      </c>
      <c r="AB14" s="258" t="e">
        <f t="shared" si="13"/>
        <v>#REF!</v>
      </c>
      <c r="AC14" s="20" t="e">
        <f>+'DPL24 Summary USD'!V102</f>
        <v>#REF!</v>
      </c>
      <c r="AD14" s="258" t="e">
        <f t="shared" si="0"/>
        <v>#REF!</v>
      </c>
      <c r="AE14" s="20" t="e">
        <f>+'DPL24 Summary USD'!X102</f>
        <v>#REF!</v>
      </c>
      <c r="AF14" s="258" t="e">
        <f t="shared" si="14"/>
        <v>#REF!</v>
      </c>
      <c r="AG14" s="179" t="e">
        <f>+AA14+AC14+AE14</f>
        <v>#REF!</v>
      </c>
      <c r="AH14" s="258" t="e">
        <f t="shared" si="15"/>
        <v>#REF!</v>
      </c>
      <c r="AI14" s="179" t="e">
        <f>+I14+Q14+Y14+AG14</f>
        <v>#REF!</v>
      </c>
      <c r="AJ14" s="258" t="e">
        <f t="shared" si="16"/>
        <v>#REF!</v>
      </c>
      <c r="AK14" s="20"/>
    </row>
    <row r="15" spans="2:37">
      <c r="B15" s="172" t="s">
        <v>426</v>
      </c>
      <c r="C15" s="20" t="e">
        <f>+'DPL24 Summary USD'!B103</f>
        <v>#REF!</v>
      </c>
      <c r="D15" s="260" t="e">
        <f t="shared" si="1"/>
        <v>#REF!</v>
      </c>
      <c r="E15" s="20" t="e">
        <f>+'DPL24 Summary USD'!D103</f>
        <v>#REF!</v>
      </c>
      <c r="F15" s="260" t="e">
        <f t="shared" si="2"/>
        <v>#REF!</v>
      </c>
      <c r="G15" s="20" t="e">
        <f>+'DPL24 Summary USD'!F103</f>
        <v>#REF!</v>
      </c>
      <c r="H15" s="260" t="e">
        <f t="shared" si="3"/>
        <v>#REF!</v>
      </c>
      <c r="I15" s="179" t="e">
        <f>+C15+E15+G15</f>
        <v>#REF!</v>
      </c>
      <c r="J15" s="397" t="e">
        <f t="shared" si="4"/>
        <v>#REF!</v>
      </c>
      <c r="K15" s="20" t="e">
        <f>+'DPL24 Summary USD'!H103</f>
        <v>#REF!</v>
      </c>
      <c r="L15" s="258" t="e">
        <f t="shared" si="5"/>
        <v>#REF!</v>
      </c>
      <c r="M15" s="20" t="e">
        <f>+'DPL24 Summary USD'!J103</f>
        <v>#REF!</v>
      </c>
      <c r="N15" s="258" t="e">
        <f t="shared" si="6"/>
        <v>#REF!</v>
      </c>
      <c r="O15" s="20" t="e">
        <f>+'DPL24 Summary USD'!L103</f>
        <v>#REF!</v>
      </c>
      <c r="P15" s="258" t="e">
        <f t="shared" si="7"/>
        <v>#REF!</v>
      </c>
      <c r="Q15" s="179" t="e">
        <f>+K15+M15+O15</f>
        <v>#REF!</v>
      </c>
      <c r="R15" s="258" t="e">
        <f t="shared" si="8"/>
        <v>#REF!</v>
      </c>
      <c r="S15" s="20" t="e">
        <f>+'DPL24 Summary USD'!N103</f>
        <v>#REF!</v>
      </c>
      <c r="T15" s="258" t="e">
        <f t="shared" si="9"/>
        <v>#REF!</v>
      </c>
      <c r="U15" s="20" t="e">
        <f>+'DPL24 Summary USD'!P103</f>
        <v>#REF!</v>
      </c>
      <c r="V15" s="258" t="e">
        <f t="shared" si="10"/>
        <v>#REF!</v>
      </c>
      <c r="W15" s="20" t="e">
        <f>+'DPL24 Summary USD'!R103</f>
        <v>#REF!</v>
      </c>
      <c r="X15" s="258" t="e">
        <f t="shared" si="11"/>
        <v>#REF!</v>
      </c>
      <c r="Y15" s="179" t="e">
        <f>+S15+U15+W15</f>
        <v>#REF!</v>
      </c>
      <c r="Z15" s="258" t="e">
        <f t="shared" si="12"/>
        <v>#REF!</v>
      </c>
      <c r="AA15" s="20" t="e">
        <f>+'DPL24 Summary USD'!T103</f>
        <v>#REF!</v>
      </c>
      <c r="AB15" s="258" t="e">
        <f t="shared" si="13"/>
        <v>#REF!</v>
      </c>
      <c r="AC15" s="20" t="e">
        <f>+'DPL24 Summary USD'!V103</f>
        <v>#REF!</v>
      </c>
      <c r="AD15" s="258" t="e">
        <f t="shared" si="0"/>
        <v>#REF!</v>
      </c>
      <c r="AE15" s="20" t="e">
        <f>+'DPL24 Summary USD'!X103</f>
        <v>#REF!</v>
      </c>
      <c r="AF15" s="258" t="e">
        <f t="shared" si="14"/>
        <v>#REF!</v>
      </c>
      <c r="AG15" s="179" t="e">
        <f>+AA15+AC15+AE15</f>
        <v>#REF!</v>
      </c>
      <c r="AH15" s="258" t="e">
        <f t="shared" si="15"/>
        <v>#REF!</v>
      </c>
      <c r="AI15" s="179" t="e">
        <f>+I15+Q15+Y15+AG15</f>
        <v>#REF!</v>
      </c>
      <c r="AJ15" s="258" t="e">
        <f t="shared" si="16"/>
        <v>#REF!</v>
      </c>
    </row>
    <row r="16" spans="2:37">
      <c r="B16" s="172" t="s">
        <v>427</v>
      </c>
      <c r="C16" s="20" t="e">
        <f>+'DPL24 Summary USD'!B104</f>
        <v>#REF!</v>
      </c>
      <c r="D16" s="260" t="e">
        <f t="shared" si="1"/>
        <v>#REF!</v>
      </c>
      <c r="E16" s="20" t="e">
        <f>+'DPL24 Summary USD'!D104</f>
        <v>#REF!</v>
      </c>
      <c r="F16" s="260" t="e">
        <f t="shared" si="2"/>
        <v>#REF!</v>
      </c>
      <c r="G16" s="20" t="e">
        <f>+'DPL24 Summary USD'!F104</f>
        <v>#REF!</v>
      </c>
      <c r="H16" s="260" t="e">
        <f t="shared" si="3"/>
        <v>#REF!</v>
      </c>
      <c r="I16" s="179" t="e">
        <f>+C16+E16+G16</f>
        <v>#REF!</v>
      </c>
      <c r="J16" s="397" t="e">
        <f t="shared" si="4"/>
        <v>#REF!</v>
      </c>
      <c r="K16" s="20" t="e">
        <f>+'DPL24 Summary USD'!H104</f>
        <v>#REF!</v>
      </c>
      <c r="L16" s="258" t="e">
        <f t="shared" si="5"/>
        <v>#REF!</v>
      </c>
      <c r="M16" s="20" t="e">
        <f>+'DPL24 Summary USD'!J104</f>
        <v>#REF!</v>
      </c>
      <c r="N16" s="258" t="e">
        <f t="shared" si="6"/>
        <v>#REF!</v>
      </c>
      <c r="O16" s="20" t="e">
        <f>+'DPL24 Summary USD'!L104</f>
        <v>#REF!</v>
      </c>
      <c r="P16" s="258" t="e">
        <f t="shared" si="7"/>
        <v>#REF!</v>
      </c>
      <c r="Q16" s="179" t="e">
        <f>+K16+M16+O16</f>
        <v>#REF!</v>
      </c>
      <c r="R16" s="258" t="e">
        <f t="shared" si="8"/>
        <v>#REF!</v>
      </c>
      <c r="S16" s="20" t="e">
        <f>+'DPL24 Summary USD'!N104</f>
        <v>#REF!</v>
      </c>
      <c r="T16" s="258" t="e">
        <f t="shared" si="9"/>
        <v>#REF!</v>
      </c>
      <c r="U16" s="20" t="e">
        <f>+'DPL24 Summary USD'!P104</f>
        <v>#REF!</v>
      </c>
      <c r="V16" s="258" t="e">
        <f t="shared" si="10"/>
        <v>#REF!</v>
      </c>
      <c r="W16" s="20" t="e">
        <f>+'DPL24 Summary USD'!R104</f>
        <v>#REF!</v>
      </c>
      <c r="X16" s="258" t="e">
        <f t="shared" si="11"/>
        <v>#REF!</v>
      </c>
      <c r="Y16" s="179" t="e">
        <f>+S16+U16+W16</f>
        <v>#REF!</v>
      </c>
      <c r="Z16" s="258" t="e">
        <f t="shared" si="12"/>
        <v>#REF!</v>
      </c>
      <c r="AA16" s="20" t="e">
        <f>+'DPL24 Summary USD'!T104</f>
        <v>#REF!</v>
      </c>
      <c r="AB16" s="258" t="e">
        <f t="shared" si="13"/>
        <v>#REF!</v>
      </c>
      <c r="AC16" s="20" t="e">
        <f>+'DPL24 Summary USD'!V104</f>
        <v>#REF!</v>
      </c>
      <c r="AD16" s="258" t="e">
        <f t="shared" si="0"/>
        <v>#REF!</v>
      </c>
      <c r="AE16" s="20" t="e">
        <f>+'DPL24 Summary USD'!X104</f>
        <v>#REF!</v>
      </c>
      <c r="AF16" s="258" t="e">
        <f t="shared" si="14"/>
        <v>#REF!</v>
      </c>
      <c r="AG16" s="179" t="e">
        <f>+AA16+AC16+AE16</f>
        <v>#REF!</v>
      </c>
      <c r="AH16" s="258" t="e">
        <f t="shared" si="15"/>
        <v>#REF!</v>
      </c>
      <c r="AI16" s="179" t="e">
        <f>+I16+Q16+Y16+AG16</f>
        <v>#REF!</v>
      </c>
      <c r="AJ16" s="258" t="e">
        <f t="shared" si="16"/>
        <v>#REF!</v>
      </c>
    </row>
    <row r="17" spans="2:224">
      <c r="B17" s="1" t="s">
        <v>428</v>
      </c>
      <c r="C17" s="20" t="e">
        <f>+'DPL24 Summary USD'!B105</f>
        <v>#REF!</v>
      </c>
      <c r="D17" s="260" t="e">
        <f t="shared" si="1"/>
        <v>#REF!</v>
      </c>
      <c r="E17" s="20" t="e">
        <f>+'DPL24 Summary USD'!D105</f>
        <v>#REF!</v>
      </c>
      <c r="F17" s="260" t="e">
        <f t="shared" si="2"/>
        <v>#REF!</v>
      </c>
      <c r="G17" s="20" t="e">
        <f>+'DPL24 Summary USD'!F105</f>
        <v>#REF!</v>
      </c>
      <c r="H17" s="260" t="e">
        <f t="shared" si="3"/>
        <v>#REF!</v>
      </c>
      <c r="I17" s="179" t="e">
        <f>+C17+E17+G17</f>
        <v>#REF!</v>
      </c>
      <c r="J17" s="397" t="e">
        <f t="shared" si="4"/>
        <v>#REF!</v>
      </c>
      <c r="K17" s="20" t="e">
        <f>+'DPL24 Summary USD'!H105</f>
        <v>#REF!</v>
      </c>
      <c r="L17" s="258" t="e">
        <f t="shared" si="5"/>
        <v>#REF!</v>
      </c>
      <c r="M17" s="20" t="e">
        <f>+'DPL24 Summary USD'!J105</f>
        <v>#REF!</v>
      </c>
      <c r="N17" s="258" t="e">
        <f t="shared" si="6"/>
        <v>#REF!</v>
      </c>
      <c r="O17" s="20" t="e">
        <f>+'DPL24 Summary USD'!L105</f>
        <v>#REF!</v>
      </c>
      <c r="P17" s="258" t="e">
        <f t="shared" si="7"/>
        <v>#REF!</v>
      </c>
      <c r="Q17" s="179" t="e">
        <f>+K17+M17+O17</f>
        <v>#REF!</v>
      </c>
      <c r="R17" s="258" t="e">
        <f t="shared" si="8"/>
        <v>#REF!</v>
      </c>
      <c r="S17" s="20" t="e">
        <f>+'DPL24 Summary USD'!N105</f>
        <v>#REF!</v>
      </c>
      <c r="T17" s="258" t="e">
        <f t="shared" si="9"/>
        <v>#REF!</v>
      </c>
      <c r="U17" s="20" t="e">
        <f>+'DPL24 Summary USD'!P105</f>
        <v>#REF!</v>
      </c>
      <c r="V17" s="258" t="e">
        <f t="shared" si="10"/>
        <v>#REF!</v>
      </c>
      <c r="W17" s="20" t="e">
        <f>+'DPL24 Summary USD'!R105</f>
        <v>#REF!</v>
      </c>
      <c r="X17" s="258" t="e">
        <f t="shared" si="11"/>
        <v>#REF!</v>
      </c>
      <c r="Y17" s="179" t="e">
        <f>+S17+U17+W17</f>
        <v>#REF!</v>
      </c>
      <c r="Z17" s="258" t="e">
        <f t="shared" si="12"/>
        <v>#REF!</v>
      </c>
      <c r="AA17" s="20" t="e">
        <f>+'DPL24 Summary USD'!T105</f>
        <v>#REF!</v>
      </c>
      <c r="AB17" s="258" t="e">
        <f t="shared" si="13"/>
        <v>#REF!</v>
      </c>
      <c r="AC17" s="20" t="e">
        <f>+'DPL24 Summary USD'!V105</f>
        <v>#REF!</v>
      </c>
      <c r="AD17" s="258" t="e">
        <f t="shared" si="0"/>
        <v>#REF!</v>
      </c>
      <c r="AE17" s="20" t="e">
        <f>+'DPL24 Summary USD'!X105</f>
        <v>#REF!</v>
      </c>
      <c r="AF17" s="258" t="e">
        <f t="shared" si="14"/>
        <v>#REF!</v>
      </c>
      <c r="AG17" s="179" t="e">
        <f>+AA17+AC17+AE17</f>
        <v>#REF!</v>
      </c>
      <c r="AH17" s="258" t="e">
        <f t="shared" si="15"/>
        <v>#REF!</v>
      </c>
      <c r="AI17" s="179" t="e">
        <f>+I17+Q17+Y17+AG17</f>
        <v>#REF!</v>
      </c>
      <c r="AJ17" s="258" t="e">
        <f t="shared" si="16"/>
        <v>#REF!</v>
      </c>
    </row>
    <row r="18" spans="2:224" ht="13.5" thickBot="1">
      <c r="C18" s="173" t="e">
        <f>SUM(C13:C17)</f>
        <v>#REF!</v>
      </c>
      <c r="D18" s="258" t="e">
        <f t="shared" si="1"/>
        <v>#REF!</v>
      </c>
      <c r="E18" s="173" t="e">
        <f t="shared" ref="E18:AI18" si="17">SUM(E13:E17)</f>
        <v>#REF!</v>
      </c>
      <c r="F18" s="258" t="e">
        <f t="shared" si="2"/>
        <v>#REF!</v>
      </c>
      <c r="G18" s="173" t="e">
        <f t="shared" si="17"/>
        <v>#REF!</v>
      </c>
      <c r="H18" s="258" t="e">
        <f t="shared" si="3"/>
        <v>#REF!</v>
      </c>
      <c r="I18" s="205" t="e">
        <f t="shared" si="17"/>
        <v>#REF!</v>
      </c>
      <c r="J18" s="397" t="e">
        <f t="shared" si="4"/>
        <v>#REF!</v>
      </c>
      <c r="K18" s="173" t="e">
        <f t="shared" si="17"/>
        <v>#REF!</v>
      </c>
      <c r="L18" s="258" t="e">
        <f t="shared" si="5"/>
        <v>#REF!</v>
      </c>
      <c r="M18" s="173" t="e">
        <f t="shared" si="17"/>
        <v>#REF!</v>
      </c>
      <c r="N18" s="258" t="e">
        <f t="shared" si="6"/>
        <v>#REF!</v>
      </c>
      <c r="O18" s="173" t="e">
        <f t="shared" si="17"/>
        <v>#REF!</v>
      </c>
      <c r="P18" s="258" t="e">
        <f t="shared" si="7"/>
        <v>#REF!</v>
      </c>
      <c r="Q18" s="205" t="e">
        <f t="shared" si="17"/>
        <v>#REF!</v>
      </c>
      <c r="R18" s="258" t="e">
        <f t="shared" si="8"/>
        <v>#REF!</v>
      </c>
      <c r="S18" s="173" t="e">
        <f t="shared" si="17"/>
        <v>#REF!</v>
      </c>
      <c r="T18" s="258" t="e">
        <f t="shared" si="9"/>
        <v>#REF!</v>
      </c>
      <c r="U18" s="173" t="e">
        <f t="shared" si="17"/>
        <v>#REF!</v>
      </c>
      <c r="V18" s="258" t="e">
        <f t="shared" si="10"/>
        <v>#REF!</v>
      </c>
      <c r="W18" s="173" t="e">
        <f t="shared" si="17"/>
        <v>#REF!</v>
      </c>
      <c r="X18" s="258" t="e">
        <f t="shared" si="11"/>
        <v>#REF!</v>
      </c>
      <c r="Y18" s="205" t="e">
        <f t="shared" si="17"/>
        <v>#REF!</v>
      </c>
      <c r="Z18" s="258" t="e">
        <f t="shared" si="12"/>
        <v>#REF!</v>
      </c>
      <c r="AA18" s="173" t="e">
        <f t="shared" si="17"/>
        <v>#REF!</v>
      </c>
      <c r="AB18" s="258" t="e">
        <f t="shared" si="13"/>
        <v>#REF!</v>
      </c>
      <c r="AC18" s="173" t="e">
        <f t="shared" si="17"/>
        <v>#REF!</v>
      </c>
      <c r="AD18" s="258" t="e">
        <f t="shared" si="0"/>
        <v>#REF!</v>
      </c>
      <c r="AE18" s="173" t="e">
        <f t="shared" si="17"/>
        <v>#REF!</v>
      </c>
      <c r="AF18" s="258" t="e">
        <f t="shared" si="14"/>
        <v>#REF!</v>
      </c>
      <c r="AG18" s="205" t="e">
        <f t="shared" si="17"/>
        <v>#REF!</v>
      </c>
      <c r="AH18" s="258" t="e">
        <f t="shared" si="15"/>
        <v>#REF!</v>
      </c>
      <c r="AI18" s="205" t="e">
        <f t="shared" si="17"/>
        <v>#REF!</v>
      </c>
      <c r="AJ18" s="258" t="e">
        <f t="shared" si="16"/>
        <v>#REF!</v>
      </c>
    </row>
    <row r="19" spans="2:224" ht="20.100000000000001" customHeight="1">
      <c r="B19" s="49" t="s">
        <v>58</v>
      </c>
      <c r="C19" s="50" t="e">
        <f>IF(C$10=0,0,(C10-C18)/C$10)</f>
        <v>#REF!</v>
      </c>
      <c r="D19" s="50"/>
      <c r="E19" s="50" t="e">
        <f>IF(E$10=0,0,(E10-E18)/E$10)</f>
        <v>#REF!</v>
      </c>
      <c r="F19" s="214"/>
      <c r="G19" s="50" t="e">
        <f>IF(G$10=0,0,(G10-G18)/G$10)</f>
        <v>#REF!</v>
      </c>
      <c r="H19" s="214"/>
      <c r="I19" s="206" t="e">
        <f>IF(I$10=0,0,(I10-I18)/I$10)</f>
        <v>#REF!</v>
      </c>
      <c r="J19" s="214"/>
      <c r="K19" s="50" t="e">
        <f t="shared" ref="K19:AI19" si="18">IF(K$10=0,0,(K10-K18)/K$10)</f>
        <v>#REF!</v>
      </c>
      <c r="L19" s="50"/>
      <c r="M19" s="50" t="e">
        <f t="shared" si="18"/>
        <v>#REF!</v>
      </c>
      <c r="N19" s="50"/>
      <c r="O19" s="50" t="e">
        <f t="shared" si="18"/>
        <v>#REF!</v>
      </c>
      <c r="P19" s="50"/>
      <c r="Q19" s="206" t="e">
        <f t="shared" si="18"/>
        <v>#REF!</v>
      </c>
      <c r="R19" s="214"/>
      <c r="S19" s="50" t="e">
        <f t="shared" si="18"/>
        <v>#REF!</v>
      </c>
      <c r="T19" s="214"/>
      <c r="U19" s="50" t="e">
        <f t="shared" si="18"/>
        <v>#REF!</v>
      </c>
      <c r="V19" s="214"/>
      <c r="W19" s="50" t="e">
        <f t="shared" si="18"/>
        <v>#REF!</v>
      </c>
      <c r="X19" s="50"/>
      <c r="Y19" s="359" t="e">
        <f t="shared" si="18"/>
        <v>#REF!</v>
      </c>
      <c r="Z19" s="398"/>
      <c r="AA19" s="50" t="e">
        <f t="shared" si="18"/>
        <v>#REF!</v>
      </c>
      <c r="AB19" s="50"/>
      <c r="AC19" s="50" t="e">
        <f t="shared" si="18"/>
        <v>#REF!</v>
      </c>
      <c r="AD19" s="50"/>
      <c r="AE19" s="50" t="e">
        <f t="shared" si="18"/>
        <v>#REF!</v>
      </c>
      <c r="AF19" s="50"/>
      <c r="AG19" s="206" t="e">
        <f t="shared" si="18"/>
        <v>#REF!</v>
      </c>
      <c r="AH19" s="214"/>
      <c r="AI19" s="206" t="e">
        <f t="shared" si="18"/>
        <v>#REF!</v>
      </c>
      <c r="AJ19" s="20"/>
    </row>
    <row r="20" spans="2:224">
      <c r="B20" s="21" t="s">
        <v>429</v>
      </c>
      <c r="I20" s="187"/>
      <c r="Y20" s="187"/>
      <c r="AJ20" s="8"/>
    </row>
    <row r="21" spans="2:224">
      <c r="B21" s="172" t="s">
        <v>424</v>
      </c>
      <c r="C21" s="20" t="e">
        <f>+'DPL24 Summary USD'!B111</f>
        <v>#REF!</v>
      </c>
      <c r="D21" s="260" t="e">
        <f t="shared" ref="D21:D27" si="19">+C21/$C$10</f>
        <v>#REF!</v>
      </c>
      <c r="E21" s="20" t="e">
        <f>+'DPL24 Summary USD'!D111</f>
        <v>#REF!</v>
      </c>
      <c r="F21" s="260" t="e">
        <f t="shared" ref="F21:F27" si="20">+E21/$E$10</f>
        <v>#REF!</v>
      </c>
      <c r="G21" s="20" t="e">
        <f>+'DPL24 Summary USD'!F111</f>
        <v>#REF!</v>
      </c>
      <c r="H21" s="260" t="e">
        <f t="shared" ref="H21:H27" si="21">+G21/$G$10</f>
        <v>#REF!</v>
      </c>
      <c r="I21" s="179" t="e">
        <f t="shared" ref="I21:I26" si="22">+C21+E21+G21</f>
        <v>#REF!</v>
      </c>
      <c r="J21" s="397" t="e">
        <f t="shared" ref="J21:J27" si="23">+I21/$I$10</f>
        <v>#REF!</v>
      </c>
      <c r="K21" s="20" t="e">
        <f>+'DPL24 Summary USD'!H111</f>
        <v>#REF!</v>
      </c>
      <c r="L21" s="258" t="e">
        <f t="shared" ref="L21:L27" si="24">+K21/$K$10</f>
        <v>#REF!</v>
      </c>
      <c r="M21" s="20" t="e">
        <f>+'DPL24 Summary USD'!J111</f>
        <v>#REF!</v>
      </c>
      <c r="N21" s="258" t="e">
        <f t="shared" ref="N21:N27" si="25">+M21/$M$10</f>
        <v>#REF!</v>
      </c>
      <c r="O21" s="20" t="e">
        <f>+'DPL24 Summary USD'!L111</f>
        <v>#REF!</v>
      </c>
      <c r="P21" s="258" t="e">
        <f t="shared" ref="P21:P27" si="26">+O21/$O$10</f>
        <v>#REF!</v>
      </c>
      <c r="Q21" s="179" t="e">
        <f t="shared" ref="Q21:Q26" si="27">+K21+M21+O21</f>
        <v>#REF!</v>
      </c>
      <c r="R21" s="258" t="e">
        <f t="shared" ref="R21:R27" si="28">+Q21/$Q$10</f>
        <v>#REF!</v>
      </c>
      <c r="S21" s="20" t="e">
        <f>+'DPL24 Summary USD'!N111</f>
        <v>#REF!</v>
      </c>
      <c r="T21" s="258" t="e">
        <f t="shared" ref="T21:T27" si="29">+S21/$S$10</f>
        <v>#REF!</v>
      </c>
      <c r="U21" s="20" t="e">
        <f>+'DPL24 Summary USD'!P111</f>
        <v>#REF!</v>
      </c>
      <c r="V21" s="258" t="e">
        <f t="shared" ref="V21:V27" si="30">+U21/$U$10</f>
        <v>#REF!</v>
      </c>
      <c r="W21" s="20" t="e">
        <f>+'DPL24 Summary USD'!R111</f>
        <v>#REF!</v>
      </c>
      <c r="X21" s="258" t="e">
        <f t="shared" ref="X21:X27" si="31">+W21/$W$10</f>
        <v>#REF!</v>
      </c>
      <c r="Y21" s="179" t="e">
        <f t="shared" ref="Y21:Y26" si="32">+S21+U21+W21</f>
        <v>#REF!</v>
      </c>
      <c r="Z21" s="258" t="e">
        <f t="shared" ref="Z21:Z27" si="33">+Y21/$Y$10</f>
        <v>#REF!</v>
      </c>
      <c r="AA21" s="20" t="e">
        <f>+'DPL24 Summary USD'!T111</f>
        <v>#REF!</v>
      </c>
      <c r="AB21" s="258" t="e">
        <f t="shared" ref="AB21:AB27" si="34">+AA21/$AA$10</f>
        <v>#REF!</v>
      </c>
      <c r="AC21" s="20" t="e">
        <f>+'DPL24 Summary USD'!V111</f>
        <v>#REF!</v>
      </c>
      <c r="AD21" s="258" t="e">
        <f t="shared" ref="AD21:AD27" si="35">+AC21/$AC$10</f>
        <v>#REF!</v>
      </c>
      <c r="AE21" s="20" t="e">
        <f>+'DPL24 Summary USD'!X111</f>
        <v>#REF!</v>
      </c>
      <c r="AF21" s="258" t="e">
        <f t="shared" ref="AF21:AF27" si="36">+AE21/$AE$10</f>
        <v>#REF!</v>
      </c>
      <c r="AG21" s="179" t="e">
        <f t="shared" ref="AG21:AG26" si="37">+AA21+AC21+AE21</f>
        <v>#REF!</v>
      </c>
      <c r="AH21" s="258" t="e">
        <f t="shared" ref="AH21:AH27" si="38">+AG21/$AG$10</f>
        <v>#REF!</v>
      </c>
      <c r="AI21" s="179" t="e">
        <f t="shared" ref="AI21:AI26" si="39">+I21+Q21+Y21+AG21</f>
        <v>#REF!</v>
      </c>
      <c r="AJ21" s="258" t="e">
        <f t="shared" ref="AJ21:AJ27" si="40">+AI21/$AI$10</f>
        <v>#REF!</v>
      </c>
    </row>
    <row r="22" spans="2:224">
      <c r="B22" s="172" t="s">
        <v>64</v>
      </c>
      <c r="C22" s="20" t="e">
        <f>+'DPL24 Summary USD'!B112</f>
        <v>#REF!</v>
      </c>
      <c r="D22" s="260" t="e">
        <f t="shared" si="19"/>
        <v>#REF!</v>
      </c>
      <c r="E22" s="20" t="e">
        <f>+'DPL24 Summary USD'!D112</f>
        <v>#REF!</v>
      </c>
      <c r="F22" s="260" t="e">
        <f t="shared" si="20"/>
        <v>#REF!</v>
      </c>
      <c r="G22" s="20" t="e">
        <f>+'DPL24 Summary USD'!F112</f>
        <v>#REF!</v>
      </c>
      <c r="H22" s="260" t="e">
        <f t="shared" si="21"/>
        <v>#REF!</v>
      </c>
      <c r="I22" s="179" t="e">
        <f t="shared" si="22"/>
        <v>#REF!</v>
      </c>
      <c r="J22" s="397" t="e">
        <f t="shared" si="23"/>
        <v>#REF!</v>
      </c>
      <c r="K22" s="20" t="e">
        <f>+'DPL24 Summary USD'!H112</f>
        <v>#REF!</v>
      </c>
      <c r="L22" s="258" t="e">
        <f t="shared" si="24"/>
        <v>#REF!</v>
      </c>
      <c r="M22" s="20" t="e">
        <f>+'DPL24 Summary USD'!J112</f>
        <v>#REF!</v>
      </c>
      <c r="N22" s="258" t="e">
        <f t="shared" si="25"/>
        <v>#REF!</v>
      </c>
      <c r="O22" s="20" t="e">
        <f>+'DPL24 Summary USD'!L112</f>
        <v>#REF!</v>
      </c>
      <c r="P22" s="258" t="e">
        <f t="shared" si="26"/>
        <v>#REF!</v>
      </c>
      <c r="Q22" s="179" t="e">
        <f t="shared" si="27"/>
        <v>#REF!</v>
      </c>
      <c r="R22" s="258" t="e">
        <f t="shared" si="28"/>
        <v>#REF!</v>
      </c>
      <c r="S22" s="20" t="e">
        <f>+'DPL24 Summary USD'!N112</f>
        <v>#REF!</v>
      </c>
      <c r="T22" s="258" t="e">
        <f t="shared" si="29"/>
        <v>#REF!</v>
      </c>
      <c r="U22" s="20" t="e">
        <f>+'DPL24 Summary USD'!P112</f>
        <v>#REF!</v>
      </c>
      <c r="V22" s="258" t="e">
        <f t="shared" si="30"/>
        <v>#REF!</v>
      </c>
      <c r="W22" s="20" t="e">
        <f>+'DPL24 Summary USD'!R112</f>
        <v>#REF!</v>
      </c>
      <c r="X22" s="258" t="e">
        <f t="shared" si="31"/>
        <v>#REF!</v>
      </c>
      <c r="Y22" s="179" t="e">
        <f t="shared" si="32"/>
        <v>#REF!</v>
      </c>
      <c r="Z22" s="258" t="e">
        <f t="shared" si="33"/>
        <v>#REF!</v>
      </c>
      <c r="AA22" s="20" t="e">
        <f>+'DPL24 Summary USD'!T112</f>
        <v>#REF!</v>
      </c>
      <c r="AB22" s="258" t="e">
        <f t="shared" si="34"/>
        <v>#REF!</v>
      </c>
      <c r="AC22" s="20" t="e">
        <f>+'DPL24 Summary USD'!V112</f>
        <v>#REF!</v>
      </c>
      <c r="AD22" s="258" t="e">
        <f t="shared" si="35"/>
        <v>#REF!</v>
      </c>
      <c r="AE22" s="20" t="e">
        <f>+'DPL24 Summary USD'!X112</f>
        <v>#REF!</v>
      </c>
      <c r="AF22" s="258" t="e">
        <f t="shared" si="36"/>
        <v>#REF!</v>
      </c>
      <c r="AG22" s="179" t="e">
        <f t="shared" si="37"/>
        <v>#REF!</v>
      </c>
      <c r="AH22" s="258" t="e">
        <f t="shared" si="38"/>
        <v>#REF!</v>
      </c>
      <c r="AI22" s="179" t="e">
        <f t="shared" si="39"/>
        <v>#REF!</v>
      </c>
      <c r="AJ22" s="258" t="e">
        <f t="shared" si="40"/>
        <v>#REF!</v>
      </c>
    </row>
    <row r="23" spans="2:224">
      <c r="B23" s="172" t="s">
        <v>430</v>
      </c>
      <c r="C23" s="20" t="e">
        <f>+'DPL24 Summary USD'!B113</f>
        <v>#REF!</v>
      </c>
      <c r="D23" s="260" t="e">
        <f t="shared" si="19"/>
        <v>#REF!</v>
      </c>
      <c r="E23" s="20" t="e">
        <f>+'DPL24 Summary USD'!D113</f>
        <v>#REF!</v>
      </c>
      <c r="F23" s="260" t="e">
        <f t="shared" si="20"/>
        <v>#REF!</v>
      </c>
      <c r="G23" s="20" t="e">
        <f>+'DPL24 Summary USD'!F113</f>
        <v>#REF!</v>
      </c>
      <c r="H23" s="260" t="e">
        <f t="shared" si="21"/>
        <v>#REF!</v>
      </c>
      <c r="I23" s="179" t="e">
        <f t="shared" si="22"/>
        <v>#REF!</v>
      </c>
      <c r="J23" s="397" t="e">
        <f t="shared" si="23"/>
        <v>#REF!</v>
      </c>
      <c r="K23" s="20" t="e">
        <f>+'DPL24 Summary USD'!H113</f>
        <v>#REF!</v>
      </c>
      <c r="L23" s="258" t="e">
        <f t="shared" si="24"/>
        <v>#REF!</v>
      </c>
      <c r="M23" s="20" t="e">
        <f>+'DPL24 Summary USD'!J113</f>
        <v>#REF!</v>
      </c>
      <c r="N23" s="258" t="e">
        <f t="shared" si="25"/>
        <v>#REF!</v>
      </c>
      <c r="O23" s="20" t="e">
        <f>+'DPL24 Summary USD'!L113</f>
        <v>#REF!</v>
      </c>
      <c r="P23" s="258" t="e">
        <f t="shared" si="26"/>
        <v>#REF!</v>
      </c>
      <c r="Q23" s="179" t="e">
        <f t="shared" si="27"/>
        <v>#REF!</v>
      </c>
      <c r="R23" s="258" t="e">
        <f t="shared" si="28"/>
        <v>#REF!</v>
      </c>
      <c r="S23" s="20" t="e">
        <f>+'DPL24 Summary USD'!N113</f>
        <v>#REF!</v>
      </c>
      <c r="T23" s="258" t="e">
        <f t="shared" si="29"/>
        <v>#REF!</v>
      </c>
      <c r="U23" s="20" t="e">
        <f>+'DPL24 Summary USD'!P113</f>
        <v>#REF!</v>
      </c>
      <c r="V23" s="258" t="e">
        <f t="shared" si="30"/>
        <v>#REF!</v>
      </c>
      <c r="W23" s="20" t="e">
        <f>+'DPL24 Summary USD'!R113</f>
        <v>#REF!</v>
      </c>
      <c r="X23" s="258" t="e">
        <f t="shared" si="31"/>
        <v>#REF!</v>
      </c>
      <c r="Y23" s="179" t="e">
        <f t="shared" si="32"/>
        <v>#REF!</v>
      </c>
      <c r="Z23" s="258" t="e">
        <f t="shared" si="33"/>
        <v>#REF!</v>
      </c>
      <c r="AA23" s="20" t="e">
        <f>+'DPL24 Summary USD'!T113</f>
        <v>#REF!</v>
      </c>
      <c r="AB23" s="258" t="e">
        <f t="shared" si="34"/>
        <v>#REF!</v>
      </c>
      <c r="AC23" s="20" t="e">
        <f>+'DPL24 Summary USD'!V113</f>
        <v>#REF!</v>
      </c>
      <c r="AD23" s="258" t="e">
        <f t="shared" si="35"/>
        <v>#REF!</v>
      </c>
      <c r="AE23" s="20" t="e">
        <f>+'DPL24 Summary USD'!X113</f>
        <v>#REF!</v>
      </c>
      <c r="AF23" s="258" t="e">
        <f t="shared" si="36"/>
        <v>#REF!</v>
      </c>
      <c r="AG23" s="179" t="e">
        <f t="shared" si="37"/>
        <v>#REF!</v>
      </c>
      <c r="AH23" s="258" t="e">
        <f t="shared" si="38"/>
        <v>#REF!</v>
      </c>
      <c r="AI23" s="179" t="e">
        <f t="shared" si="39"/>
        <v>#REF!</v>
      </c>
      <c r="AJ23" s="258" t="e">
        <f t="shared" si="40"/>
        <v>#REF!</v>
      </c>
    </row>
    <row r="24" spans="2:224">
      <c r="B24" s="172" t="s">
        <v>63</v>
      </c>
      <c r="C24" s="20" t="e">
        <f>+'DPL24 Summary USD'!B114</f>
        <v>#REF!</v>
      </c>
      <c r="D24" s="260" t="e">
        <f t="shared" si="19"/>
        <v>#REF!</v>
      </c>
      <c r="E24" s="20" t="e">
        <f>+'DPL24 Summary USD'!D114</f>
        <v>#REF!</v>
      </c>
      <c r="F24" s="260" t="e">
        <f t="shared" si="20"/>
        <v>#REF!</v>
      </c>
      <c r="G24" s="20" t="e">
        <f>+'DPL24 Summary USD'!F114</f>
        <v>#REF!</v>
      </c>
      <c r="H24" s="260" t="e">
        <f t="shared" si="21"/>
        <v>#REF!</v>
      </c>
      <c r="I24" s="179" t="e">
        <f t="shared" si="22"/>
        <v>#REF!</v>
      </c>
      <c r="J24" s="397" t="e">
        <f t="shared" si="23"/>
        <v>#REF!</v>
      </c>
      <c r="K24" s="20" t="e">
        <f>+'DPL24 Summary USD'!H114</f>
        <v>#REF!</v>
      </c>
      <c r="L24" s="258" t="e">
        <f t="shared" si="24"/>
        <v>#REF!</v>
      </c>
      <c r="M24" s="20" t="e">
        <f>+'DPL24 Summary USD'!J114</f>
        <v>#REF!</v>
      </c>
      <c r="N24" s="258" t="e">
        <f t="shared" si="25"/>
        <v>#REF!</v>
      </c>
      <c r="O24" s="20" t="e">
        <f>+'DPL24 Summary USD'!L114</f>
        <v>#REF!</v>
      </c>
      <c r="P24" s="258" t="e">
        <f t="shared" si="26"/>
        <v>#REF!</v>
      </c>
      <c r="Q24" s="179" t="e">
        <f t="shared" si="27"/>
        <v>#REF!</v>
      </c>
      <c r="R24" s="258" t="e">
        <f t="shared" si="28"/>
        <v>#REF!</v>
      </c>
      <c r="S24" s="20" t="e">
        <f>+'DPL24 Summary USD'!N114</f>
        <v>#REF!</v>
      </c>
      <c r="T24" s="258" t="e">
        <f t="shared" si="29"/>
        <v>#REF!</v>
      </c>
      <c r="U24" s="20" t="e">
        <f>+'DPL24 Summary USD'!P114</f>
        <v>#REF!</v>
      </c>
      <c r="V24" s="258" t="e">
        <f t="shared" si="30"/>
        <v>#REF!</v>
      </c>
      <c r="W24" s="20" t="e">
        <f>+'DPL24 Summary USD'!R114</f>
        <v>#REF!</v>
      </c>
      <c r="X24" s="258" t="e">
        <f t="shared" si="31"/>
        <v>#REF!</v>
      </c>
      <c r="Y24" s="179" t="e">
        <f t="shared" si="32"/>
        <v>#REF!</v>
      </c>
      <c r="Z24" s="258" t="e">
        <f t="shared" si="33"/>
        <v>#REF!</v>
      </c>
      <c r="AA24" s="20" t="e">
        <f>+'DPL24 Summary USD'!T114</f>
        <v>#REF!</v>
      </c>
      <c r="AB24" s="258" t="e">
        <f t="shared" si="34"/>
        <v>#REF!</v>
      </c>
      <c r="AC24" s="20" t="e">
        <f>+'DPL24 Summary USD'!V114</f>
        <v>#REF!</v>
      </c>
      <c r="AD24" s="258" t="e">
        <f t="shared" si="35"/>
        <v>#REF!</v>
      </c>
      <c r="AE24" s="20" t="e">
        <f>+'DPL24 Summary USD'!X114</f>
        <v>#REF!</v>
      </c>
      <c r="AF24" s="258" t="e">
        <f t="shared" si="36"/>
        <v>#REF!</v>
      </c>
      <c r="AG24" s="179" t="e">
        <f t="shared" si="37"/>
        <v>#REF!</v>
      </c>
      <c r="AH24" s="258" t="e">
        <f t="shared" si="38"/>
        <v>#REF!</v>
      </c>
      <c r="AI24" s="179" t="e">
        <f t="shared" si="39"/>
        <v>#REF!</v>
      </c>
      <c r="AJ24" s="258" t="e">
        <f t="shared" si="40"/>
        <v>#REF!</v>
      </c>
    </row>
    <row r="25" spans="2:224">
      <c r="B25" s="172" t="s">
        <v>431</v>
      </c>
      <c r="C25" s="20" t="e">
        <f>+'DPL24 Summary USD'!B115</f>
        <v>#REF!</v>
      </c>
      <c r="D25" s="260" t="e">
        <f t="shared" si="19"/>
        <v>#REF!</v>
      </c>
      <c r="E25" s="20" t="e">
        <f>+'DPL24 Summary USD'!D115</f>
        <v>#REF!</v>
      </c>
      <c r="F25" s="260" t="e">
        <f t="shared" si="20"/>
        <v>#REF!</v>
      </c>
      <c r="G25" s="20" t="e">
        <f>+'DPL24 Summary USD'!F115</f>
        <v>#REF!</v>
      </c>
      <c r="H25" s="260" t="e">
        <f t="shared" si="21"/>
        <v>#REF!</v>
      </c>
      <c r="I25" s="179" t="e">
        <f t="shared" si="22"/>
        <v>#REF!</v>
      </c>
      <c r="J25" s="397" t="e">
        <f t="shared" si="23"/>
        <v>#REF!</v>
      </c>
      <c r="K25" s="20" t="e">
        <f>+'DPL24 Summary USD'!H115</f>
        <v>#REF!</v>
      </c>
      <c r="L25" s="258" t="e">
        <f t="shared" si="24"/>
        <v>#REF!</v>
      </c>
      <c r="M25" s="20" t="e">
        <f>+'DPL24 Summary USD'!J115</f>
        <v>#REF!</v>
      </c>
      <c r="N25" s="258" t="e">
        <f t="shared" si="25"/>
        <v>#REF!</v>
      </c>
      <c r="O25" s="20" t="e">
        <f>+'DPL24 Summary USD'!L115</f>
        <v>#REF!</v>
      </c>
      <c r="P25" s="258" t="e">
        <f t="shared" si="26"/>
        <v>#REF!</v>
      </c>
      <c r="Q25" s="179" t="e">
        <f t="shared" si="27"/>
        <v>#REF!</v>
      </c>
      <c r="R25" s="258" t="e">
        <f t="shared" si="28"/>
        <v>#REF!</v>
      </c>
      <c r="S25" s="20" t="e">
        <f>+'DPL24 Summary USD'!N115</f>
        <v>#REF!</v>
      </c>
      <c r="T25" s="258" t="e">
        <f t="shared" si="29"/>
        <v>#REF!</v>
      </c>
      <c r="U25" s="20" t="e">
        <f>+'DPL24 Summary USD'!P115</f>
        <v>#REF!</v>
      </c>
      <c r="V25" s="258" t="e">
        <f t="shared" si="30"/>
        <v>#REF!</v>
      </c>
      <c r="W25" s="20" t="e">
        <f>+'DPL24 Summary USD'!R115</f>
        <v>#REF!</v>
      </c>
      <c r="X25" s="258" t="e">
        <f t="shared" si="31"/>
        <v>#REF!</v>
      </c>
      <c r="Y25" s="179" t="e">
        <f t="shared" si="32"/>
        <v>#REF!</v>
      </c>
      <c r="Z25" s="258" t="e">
        <f t="shared" si="33"/>
        <v>#REF!</v>
      </c>
      <c r="AA25" s="20" t="e">
        <f>+'DPL24 Summary USD'!T115</f>
        <v>#REF!</v>
      </c>
      <c r="AB25" s="258" t="e">
        <f t="shared" si="34"/>
        <v>#REF!</v>
      </c>
      <c r="AC25" s="20" t="e">
        <f>+'DPL24 Summary USD'!V115</f>
        <v>#REF!</v>
      </c>
      <c r="AD25" s="258" t="e">
        <f t="shared" si="35"/>
        <v>#REF!</v>
      </c>
      <c r="AE25" s="20" t="e">
        <f>+'DPL24 Summary USD'!X115</f>
        <v>#REF!</v>
      </c>
      <c r="AF25" s="258" t="e">
        <f t="shared" si="36"/>
        <v>#REF!</v>
      </c>
      <c r="AG25" s="179" t="e">
        <f t="shared" si="37"/>
        <v>#REF!</v>
      </c>
      <c r="AH25" s="258" t="e">
        <f t="shared" si="38"/>
        <v>#REF!</v>
      </c>
      <c r="AI25" s="179" t="e">
        <f t="shared" si="39"/>
        <v>#REF!</v>
      </c>
      <c r="AJ25" s="258" t="e">
        <f t="shared" si="40"/>
        <v>#REF!</v>
      </c>
    </row>
    <row r="26" spans="2:224">
      <c r="B26" s="172" t="s">
        <v>427</v>
      </c>
      <c r="C26" s="20" t="e">
        <f>+'DPL24 Summary USD'!B116</f>
        <v>#REF!</v>
      </c>
      <c r="D26" s="260" t="e">
        <f t="shared" si="19"/>
        <v>#REF!</v>
      </c>
      <c r="E26" s="20" t="e">
        <f>+'DPL24 Summary USD'!D116</f>
        <v>#REF!</v>
      </c>
      <c r="F26" s="260" t="e">
        <f t="shared" si="20"/>
        <v>#REF!</v>
      </c>
      <c r="G26" s="20" t="e">
        <f>+'DPL24 Summary USD'!F116</f>
        <v>#REF!</v>
      </c>
      <c r="H26" s="260" t="e">
        <f t="shared" si="21"/>
        <v>#REF!</v>
      </c>
      <c r="I26" s="179" t="e">
        <f t="shared" si="22"/>
        <v>#REF!</v>
      </c>
      <c r="J26" s="397" t="e">
        <f t="shared" si="23"/>
        <v>#REF!</v>
      </c>
      <c r="K26" s="20" t="e">
        <f>+'DPL24 Summary USD'!H116</f>
        <v>#REF!</v>
      </c>
      <c r="L26" s="258" t="e">
        <f t="shared" si="24"/>
        <v>#REF!</v>
      </c>
      <c r="M26" s="20" t="e">
        <f>+'DPL24 Summary USD'!J116</f>
        <v>#REF!</v>
      </c>
      <c r="N26" s="258" t="e">
        <f t="shared" si="25"/>
        <v>#REF!</v>
      </c>
      <c r="O26" s="20" t="e">
        <f>+'DPL24 Summary USD'!L116</f>
        <v>#REF!</v>
      </c>
      <c r="P26" s="258" t="e">
        <f t="shared" si="26"/>
        <v>#REF!</v>
      </c>
      <c r="Q26" s="179" t="e">
        <f t="shared" si="27"/>
        <v>#REF!</v>
      </c>
      <c r="R26" s="258" t="e">
        <f t="shared" si="28"/>
        <v>#REF!</v>
      </c>
      <c r="S26" s="20" t="e">
        <f>+'DPL24 Summary USD'!N116</f>
        <v>#REF!</v>
      </c>
      <c r="T26" s="258" t="e">
        <f t="shared" si="29"/>
        <v>#REF!</v>
      </c>
      <c r="U26" s="20" t="e">
        <f>+'DPL24 Summary USD'!P116</f>
        <v>#REF!</v>
      </c>
      <c r="V26" s="258" t="e">
        <f t="shared" si="30"/>
        <v>#REF!</v>
      </c>
      <c r="W26" s="20" t="e">
        <f>+'DPL24 Summary USD'!R116</f>
        <v>#REF!</v>
      </c>
      <c r="X26" s="258" t="e">
        <f t="shared" si="31"/>
        <v>#REF!</v>
      </c>
      <c r="Y26" s="179" t="e">
        <f t="shared" si="32"/>
        <v>#REF!</v>
      </c>
      <c r="Z26" s="258" t="e">
        <f t="shared" si="33"/>
        <v>#REF!</v>
      </c>
      <c r="AA26" s="20" t="e">
        <f>+'DPL24 Summary USD'!T116</f>
        <v>#REF!</v>
      </c>
      <c r="AB26" s="258" t="e">
        <f t="shared" si="34"/>
        <v>#REF!</v>
      </c>
      <c r="AC26" s="20" t="e">
        <f>+'DPL24 Summary USD'!V116</f>
        <v>#REF!</v>
      </c>
      <c r="AD26" s="258" t="e">
        <f t="shared" si="35"/>
        <v>#REF!</v>
      </c>
      <c r="AE26" s="20" t="e">
        <f>+'DPL24 Summary USD'!X116</f>
        <v>#REF!</v>
      </c>
      <c r="AF26" s="258" t="e">
        <f t="shared" si="36"/>
        <v>#REF!</v>
      </c>
      <c r="AG26" s="179" t="e">
        <f t="shared" si="37"/>
        <v>#REF!</v>
      </c>
      <c r="AH26" s="258" t="e">
        <f t="shared" si="38"/>
        <v>#REF!</v>
      </c>
      <c r="AI26" s="179" t="e">
        <f t="shared" si="39"/>
        <v>#REF!</v>
      </c>
      <c r="AJ26" s="258" t="e">
        <f t="shared" si="40"/>
        <v>#REF!</v>
      </c>
    </row>
    <row r="27" spans="2:224" ht="13.5" thickBot="1">
      <c r="C27" s="173" t="e">
        <f>SUM(C21:C26)</f>
        <v>#REF!</v>
      </c>
      <c r="D27" s="259" t="e">
        <f t="shared" si="19"/>
        <v>#REF!</v>
      </c>
      <c r="E27" s="173" t="e">
        <f>SUM(E21:E26)</f>
        <v>#REF!</v>
      </c>
      <c r="F27" s="258" t="e">
        <f t="shared" si="20"/>
        <v>#REF!</v>
      </c>
      <c r="G27" s="173" t="e">
        <f>SUM(G21:G26)</f>
        <v>#REF!</v>
      </c>
      <c r="H27" s="258" t="e">
        <f t="shared" si="21"/>
        <v>#REF!</v>
      </c>
      <c r="I27" s="205" t="e">
        <f>SUM(I21:I26)</f>
        <v>#REF!</v>
      </c>
      <c r="J27" s="397" t="e">
        <f t="shared" si="23"/>
        <v>#REF!</v>
      </c>
      <c r="K27" s="173" t="e">
        <f>SUM(K21:K26)</f>
        <v>#REF!</v>
      </c>
      <c r="L27" s="258" t="e">
        <f t="shared" si="24"/>
        <v>#REF!</v>
      </c>
      <c r="M27" s="173" t="e">
        <f>SUM(M21:M26)</f>
        <v>#REF!</v>
      </c>
      <c r="N27" s="258" t="e">
        <f t="shared" si="25"/>
        <v>#REF!</v>
      </c>
      <c r="O27" s="173" t="e">
        <f>SUM(O21:O26)</f>
        <v>#REF!</v>
      </c>
      <c r="P27" s="258" t="e">
        <f t="shared" si="26"/>
        <v>#REF!</v>
      </c>
      <c r="Q27" s="205" t="e">
        <f>SUM(Q21:Q26)</f>
        <v>#REF!</v>
      </c>
      <c r="R27" s="258" t="e">
        <f t="shared" si="28"/>
        <v>#REF!</v>
      </c>
      <c r="S27" s="173" t="e">
        <f>SUM(S21:S26)</f>
        <v>#REF!</v>
      </c>
      <c r="T27" s="258" t="e">
        <f t="shared" si="29"/>
        <v>#REF!</v>
      </c>
      <c r="U27" s="173" t="e">
        <f>SUM(U21:U26)</f>
        <v>#REF!</v>
      </c>
      <c r="V27" s="258" t="e">
        <f t="shared" si="30"/>
        <v>#REF!</v>
      </c>
      <c r="W27" s="173" t="e">
        <f>SUM(W21:W26)</f>
        <v>#REF!</v>
      </c>
      <c r="X27" s="258" t="e">
        <f t="shared" si="31"/>
        <v>#REF!</v>
      </c>
      <c r="Y27" s="205" t="e">
        <f>SUM(Y21:Y26)</f>
        <v>#REF!</v>
      </c>
      <c r="Z27" s="258" t="e">
        <f t="shared" si="33"/>
        <v>#REF!</v>
      </c>
      <c r="AA27" s="173" t="e">
        <f>SUM(AA21:AA26)</f>
        <v>#REF!</v>
      </c>
      <c r="AB27" s="258" t="e">
        <f t="shared" si="34"/>
        <v>#REF!</v>
      </c>
      <c r="AC27" s="173" t="e">
        <f>SUM(AC21:AC26)</f>
        <v>#REF!</v>
      </c>
      <c r="AD27" s="258" t="e">
        <f t="shared" si="35"/>
        <v>#REF!</v>
      </c>
      <c r="AE27" s="173" t="e">
        <f>SUM(AE21:AE26)</f>
        <v>#REF!</v>
      </c>
      <c r="AF27" s="258" t="e">
        <f t="shared" si="36"/>
        <v>#REF!</v>
      </c>
      <c r="AG27" s="205" t="e">
        <f>SUM(AG21:AG26)</f>
        <v>#REF!</v>
      </c>
      <c r="AH27" s="258" t="e">
        <f t="shared" si="38"/>
        <v>#REF!</v>
      </c>
      <c r="AI27" s="205" t="e">
        <f>SUM(AI21:AI26)</f>
        <v>#REF!</v>
      </c>
      <c r="AJ27" s="258" t="e">
        <f t="shared" si="40"/>
        <v>#REF!</v>
      </c>
    </row>
    <row r="28" spans="2:224">
      <c r="C28" s="20"/>
      <c r="D28" s="20"/>
      <c r="I28" s="187"/>
      <c r="Y28" s="187"/>
    </row>
    <row r="29" spans="2:224">
      <c r="B29" s="6" t="s">
        <v>432</v>
      </c>
      <c r="C29" s="207" t="e">
        <f>C10-C18-C27</f>
        <v>#REF!</v>
      </c>
      <c r="D29" s="15"/>
      <c r="E29" s="207" t="e">
        <f>E10-E18-E27</f>
        <v>#REF!</v>
      </c>
      <c r="F29" s="15"/>
      <c r="G29" s="207" t="e">
        <f>G10-G18-G27</f>
        <v>#REF!</v>
      </c>
      <c r="H29" s="207"/>
      <c r="I29" s="208" t="e">
        <f>I10-I18-I27</f>
        <v>#REF!</v>
      </c>
      <c r="J29" s="207"/>
      <c r="K29" s="207" t="e">
        <f t="shared" ref="K29:AI29" si="41">K10-K18-K27</f>
        <v>#REF!</v>
      </c>
      <c r="L29" s="207"/>
      <c r="M29" s="207" t="e">
        <f t="shared" si="41"/>
        <v>#REF!</v>
      </c>
      <c r="N29" s="207"/>
      <c r="O29" s="207" t="e">
        <f t="shared" si="41"/>
        <v>#REF!</v>
      </c>
      <c r="P29" s="207"/>
      <c r="Q29" s="208" t="e">
        <f t="shared" si="41"/>
        <v>#REF!</v>
      </c>
      <c r="R29" s="207"/>
      <c r="S29" s="207" t="e">
        <f t="shared" si="41"/>
        <v>#REF!</v>
      </c>
      <c r="T29" s="15"/>
      <c r="U29" s="207" t="e">
        <f t="shared" si="41"/>
        <v>#REF!</v>
      </c>
      <c r="V29" s="15"/>
      <c r="W29" s="207" t="e">
        <f t="shared" si="41"/>
        <v>#REF!</v>
      </c>
      <c r="X29" s="207"/>
      <c r="Y29" s="208" t="e">
        <f t="shared" si="41"/>
        <v>#REF!</v>
      </c>
      <c r="Z29" s="207"/>
      <c r="AA29" s="207" t="e">
        <f t="shared" si="41"/>
        <v>#REF!</v>
      </c>
      <c r="AB29" s="207"/>
      <c r="AC29" s="207" t="e">
        <f t="shared" si="41"/>
        <v>#REF!</v>
      </c>
      <c r="AD29" s="207"/>
      <c r="AE29" s="207" t="e">
        <f t="shared" si="41"/>
        <v>#REF!</v>
      </c>
      <c r="AF29" s="207"/>
      <c r="AG29" s="208" t="e">
        <f t="shared" si="41"/>
        <v>#REF!</v>
      </c>
      <c r="AH29" s="207"/>
      <c r="AI29" s="208" t="e">
        <f t="shared" si="41"/>
        <v>#REF!</v>
      </c>
      <c r="AJ29" s="15"/>
    </row>
    <row r="30" spans="2:224">
      <c r="B30" s="6" t="s">
        <v>433</v>
      </c>
      <c r="C30" s="209" t="e">
        <f>+IF(C10=0,0,C29/C10)</f>
        <v>#REF!</v>
      </c>
      <c r="D30" s="254"/>
      <c r="E30" s="209" t="e">
        <f>+IF(E10=0,0,E29/E10)</f>
        <v>#REF!</v>
      </c>
      <c r="F30" s="256"/>
      <c r="G30" s="209" t="e">
        <f>+IF(G10=0,0,G29/G10)</f>
        <v>#REF!</v>
      </c>
      <c r="H30" s="215"/>
      <c r="I30" s="210" t="e">
        <f>+IF(I10=0,0,I29/I10)</f>
        <v>#REF!</v>
      </c>
      <c r="J30" s="215"/>
      <c r="K30" s="209" t="e">
        <f t="shared" ref="K30:AG30" si="42">+IF(K10=0,0,K29/K10)</f>
        <v>#REF!</v>
      </c>
      <c r="L30" s="209"/>
      <c r="M30" s="209" t="e">
        <f t="shared" si="42"/>
        <v>#REF!</v>
      </c>
      <c r="N30" s="209"/>
      <c r="O30" s="209" t="e">
        <f t="shared" si="42"/>
        <v>#REF!</v>
      </c>
      <c r="P30" s="209"/>
      <c r="Q30" s="210" t="e">
        <f t="shared" si="42"/>
        <v>#REF!</v>
      </c>
      <c r="R30" s="215"/>
      <c r="S30" s="209" t="e">
        <f t="shared" si="42"/>
        <v>#REF!</v>
      </c>
      <c r="T30" s="256"/>
      <c r="U30" s="209" t="e">
        <f t="shared" si="42"/>
        <v>#REF!</v>
      </c>
      <c r="V30" s="256"/>
      <c r="W30" s="209" t="e">
        <f t="shared" si="42"/>
        <v>#REF!</v>
      </c>
      <c r="X30" s="209"/>
      <c r="Y30" s="210" t="e">
        <f t="shared" si="42"/>
        <v>#REF!</v>
      </c>
      <c r="Z30" s="215"/>
      <c r="AA30" s="209" t="e">
        <f t="shared" si="42"/>
        <v>#REF!</v>
      </c>
      <c r="AB30" s="209"/>
      <c r="AC30" s="209" t="e">
        <f t="shared" si="42"/>
        <v>#REF!</v>
      </c>
      <c r="AD30" s="209"/>
      <c r="AE30" s="209" t="e">
        <f t="shared" si="42"/>
        <v>#REF!</v>
      </c>
      <c r="AF30" s="209"/>
      <c r="AG30" s="210" t="e">
        <f t="shared" si="42"/>
        <v>#REF!</v>
      </c>
      <c r="AH30" s="215"/>
      <c r="AI30" s="210" t="e">
        <f>+IF(AI10=0,0,AI29/AI10)</f>
        <v>#REF!</v>
      </c>
      <c r="AJ30" s="256"/>
    </row>
    <row r="31" spans="2:224">
      <c r="B31" s="6"/>
      <c r="C31" s="6"/>
      <c r="D31" s="6"/>
      <c r="E31" s="6"/>
      <c r="F31" s="6"/>
      <c r="G31" s="6"/>
      <c r="H31" s="6"/>
      <c r="I31" s="211"/>
      <c r="J31" s="6"/>
      <c r="K31" s="6"/>
      <c r="L31" s="6"/>
      <c r="M31" s="6"/>
      <c r="N31" s="6"/>
      <c r="O31" s="6"/>
      <c r="P31" s="6"/>
      <c r="Q31" s="211"/>
      <c r="R31" s="6"/>
      <c r="S31" s="6"/>
      <c r="T31" s="6"/>
      <c r="U31" s="6"/>
      <c r="V31" s="6"/>
      <c r="W31" s="6"/>
      <c r="X31" s="6"/>
      <c r="Y31" s="211"/>
      <c r="Z31" s="6"/>
      <c r="AA31" s="6"/>
      <c r="AB31" s="6"/>
      <c r="AC31" s="6"/>
      <c r="AD31" s="6"/>
      <c r="AE31" s="6"/>
      <c r="AF31" s="6"/>
      <c r="AG31" s="211"/>
      <c r="AH31" s="6"/>
      <c r="AI31" s="211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</row>
    <row r="32" spans="2:224">
      <c r="I32" s="187"/>
      <c r="Y32" s="187"/>
    </row>
    <row r="33" spans="2:36" ht="13.5" thickBot="1">
      <c r="B33" s="6" t="s">
        <v>412</v>
      </c>
      <c r="C33" s="173" t="e">
        <f>+'DPL24 Summary USD'!B83</f>
        <v>#REF!</v>
      </c>
      <c r="D33" s="258" t="e">
        <f>+C33/$C$10</f>
        <v>#REF!</v>
      </c>
      <c r="E33" s="173" t="e">
        <f>+'DPL24 Summary USD'!D83</f>
        <v>#REF!</v>
      </c>
      <c r="F33" s="258" t="e">
        <f>+E33/$E$10</f>
        <v>#REF!</v>
      </c>
      <c r="G33" s="173" t="e">
        <f>+'DPL24 Summary USD'!F83</f>
        <v>#REF!</v>
      </c>
      <c r="H33" s="258" t="e">
        <f>+G33/$G$10</f>
        <v>#REF!</v>
      </c>
      <c r="I33" s="205" t="e">
        <f>+C33+E33+G33</f>
        <v>#REF!</v>
      </c>
      <c r="J33" s="397" t="e">
        <f>+I33/$I$10</f>
        <v>#REF!</v>
      </c>
      <c r="K33" s="173" t="e">
        <f>+'DPL24 Summary USD'!H83</f>
        <v>#REF!</v>
      </c>
      <c r="L33" s="258" t="e">
        <f>+K33/$K$10</f>
        <v>#REF!</v>
      </c>
      <c r="M33" s="173" t="e">
        <f>+'DPL24 Summary USD'!J83</f>
        <v>#REF!</v>
      </c>
      <c r="N33" s="258" t="e">
        <f>+M33/$M$10</f>
        <v>#REF!</v>
      </c>
      <c r="O33" s="173" t="e">
        <f>+'DPL24 Summary USD'!L83</f>
        <v>#REF!</v>
      </c>
      <c r="P33" s="258" t="e">
        <f>+O33/$O$10</f>
        <v>#REF!</v>
      </c>
      <c r="Q33" s="205" t="e">
        <f>+K33+M33+O33</f>
        <v>#REF!</v>
      </c>
      <c r="R33" s="258" t="e">
        <f>+Q33/$Q$10</f>
        <v>#REF!</v>
      </c>
      <c r="S33" s="173" t="e">
        <f>+'DPL24 Summary USD'!N83</f>
        <v>#REF!</v>
      </c>
      <c r="T33" s="258" t="e">
        <f>+S33/$S$10</f>
        <v>#REF!</v>
      </c>
      <c r="U33" s="173" t="e">
        <f>+'DPL24 Summary USD'!P83</f>
        <v>#REF!</v>
      </c>
      <c r="V33" s="258" t="e">
        <f>+U33/$U$10</f>
        <v>#REF!</v>
      </c>
      <c r="W33" s="173" t="e">
        <f>+'DPL24 Summary USD'!R83</f>
        <v>#REF!</v>
      </c>
      <c r="X33" s="258" t="e">
        <f>+W33/$W$10</f>
        <v>#REF!</v>
      </c>
      <c r="Y33" s="205" t="e">
        <f>+S33+U33+W33</f>
        <v>#REF!</v>
      </c>
      <c r="Z33" s="258" t="e">
        <f>+Y33/$Y$10</f>
        <v>#REF!</v>
      </c>
      <c r="AA33" s="173" t="e">
        <f>+'DPL24 Summary USD'!T83</f>
        <v>#REF!</v>
      </c>
      <c r="AB33" s="258" t="e">
        <f>+AA33/$AA$10</f>
        <v>#REF!</v>
      </c>
      <c r="AC33" s="173" t="e">
        <f>+'DPL24 Summary USD'!V83</f>
        <v>#REF!</v>
      </c>
      <c r="AD33" s="258" t="e">
        <f>+AC33/$AC$10</f>
        <v>#REF!</v>
      </c>
      <c r="AE33" s="173" t="e">
        <f>+'DPL24 Summary USD'!X83</f>
        <v>#REF!</v>
      </c>
      <c r="AF33" s="258" t="e">
        <f>+AE33/$AE$10</f>
        <v>#REF!</v>
      </c>
      <c r="AG33" s="205" t="e">
        <f>+AA33+AC33+AE33</f>
        <v>#REF!</v>
      </c>
      <c r="AH33" s="258" t="e">
        <f>+AG33/$AG$10</f>
        <v>#REF!</v>
      </c>
      <c r="AI33" s="205" t="e">
        <f>+I33+Q33+Y33+AG33</f>
        <v>#REF!</v>
      </c>
      <c r="AJ33" s="258" t="e">
        <f>+AI33/$AI$10</f>
        <v>#REF!</v>
      </c>
    </row>
    <row r="34" spans="2:36">
      <c r="B34" s="6"/>
      <c r="C34" s="20"/>
      <c r="D34" s="20"/>
      <c r="E34" s="20"/>
      <c r="F34" s="20"/>
      <c r="G34" s="20"/>
      <c r="H34" s="20"/>
      <c r="I34" s="179"/>
      <c r="J34" s="20"/>
      <c r="K34" s="20"/>
      <c r="L34" s="20"/>
      <c r="M34" s="20"/>
      <c r="N34" s="20"/>
      <c r="O34" s="20"/>
      <c r="P34" s="20"/>
      <c r="Q34" s="179"/>
      <c r="R34" s="20"/>
      <c r="S34" s="20"/>
      <c r="T34" s="20"/>
      <c r="U34" s="20"/>
      <c r="V34" s="20"/>
      <c r="W34" s="20"/>
      <c r="X34" s="20"/>
      <c r="Y34" s="179"/>
      <c r="Z34" s="20"/>
      <c r="AA34" s="20"/>
      <c r="AB34" s="20"/>
      <c r="AC34" s="20"/>
      <c r="AD34" s="20"/>
      <c r="AE34" s="20"/>
      <c r="AF34" s="20"/>
      <c r="AG34" s="179"/>
      <c r="AH34" s="20"/>
      <c r="AI34" s="179"/>
      <c r="AJ34" s="20"/>
    </row>
    <row r="35" spans="2:36">
      <c r="B35" s="6" t="s">
        <v>434</v>
      </c>
      <c r="C35" s="179" t="e">
        <f>+C29-C33</f>
        <v>#REF!</v>
      </c>
      <c r="D35" s="258" t="e">
        <f>+C35/$C$10</f>
        <v>#REF!</v>
      </c>
      <c r="E35" s="179" t="e">
        <f>+E29-E33</f>
        <v>#REF!</v>
      </c>
      <c r="F35" s="258" t="e">
        <f>+E35/$E$10</f>
        <v>#REF!</v>
      </c>
      <c r="G35" s="179" t="e">
        <f>+G29-G33</f>
        <v>#REF!</v>
      </c>
      <c r="H35" s="258" t="e">
        <f>+G35/$G$10</f>
        <v>#REF!</v>
      </c>
      <c r="I35" s="179" t="e">
        <f>+I29-I33</f>
        <v>#REF!</v>
      </c>
      <c r="J35" s="397" t="e">
        <f>+I35/$I$10</f>
        <v>#REF!</v>
      </c>
      <c r="K35" s="20" t="e">
        <f>+K29-K33</f>
        <v>#REF!</v>
      </c>
      <c r="L35" s="258" t="e">
        <f>+K35/$K$10</f>
        <v>#REF!</v>
      </c>
      <c r="M35" s="20" t="e">
        <f>+M29-M33</f>
        <v>#REF!</v>
      </c>
      <c r="N35" s="258" t="e">
        <f>+M35/$M$10</f>
        <v>#REF!</v>
      </c>
      <c r="O35" s="20" t="e">
        <f>+O29-O33</f>
        <v>#REF!</v>
      </c>
      <c r="P35" s="258" t="e">
        <f>+O35/$O$10</f>
        <v>#REF!</v>
      </c>
      <c r="Q35" s="179" t="e">
        <f>+Q29-Q33</f>
        <v>#REF!</v>
      </c>
      <c r="R35" s="258" t="e">
        <f>+Q35/$Q$10</f>
        <v>#REF!</v>
      </c>
      <c r="S35" s="20" t="e">
        <f t="shared" ref="S35:AI35" si="43">+S29-S33</f>
        <v>#REF!</v>
      </c>
      <c r="T35" s="258" t="e">
        <f>+S35/$S$10</f>
        <v>#REF!</v>
      </c>
      <c r="U35" s="20" t="e">
        <f t="shared" si="43"/>
        <v>#REF!</v>
      </c>
      <c r="V35" s="258" t="e">
        <f>+U35/$U$10</f>
        <v>#REF!</v>
      </c>
      <c r="W35" s="20" t="e">
        <f t="shared" si="43"/>
        <v>#REF!</v>
      </c>
      <c r="X35" s="258" t="e">
        <f>+W35/$W$10</f>
        <v>#REF!</v>
      </c>
      <c r="Y35" s="20" t="e">
        <f t="shared" si="43"/>
        <v>#REF!</v>
      </c>
      <c r="Z35" s="258" t="e">
        <f>+Y35/$Y$10</f>
        <v>#REF!</v>
      </c>
      <c r="AA35" s="20" t="e">
        <f t="shared" si="43"/>
        <v>#REF!</v>
      </c>
      <c r="AB35" s="258" t="e">
        <f>+AA35/$AA$10</f>
        <v>#REF!</v>
      </c>
      <c r="AC35" s="20" t="e">
        <f t="shared" si="43"/>
        <v>#REF!</v>
      </c>
      <c r="AD35" s="258" t="e">
        <f>+AC35/$AC$10</f>
        <v>#REF!</v>
      </c>
      <c r="AE35" s="20" t="e">
        <f t="shared" si="43"/>
        <v>#REF!</v>
      </c>
      <c r="AF35" s="20"/>
      <c r="AG35" s="20" t="e">
        <f t="shared" si="43"/>
        <v>#REF!</v>
      </c>
      <c r="AH35" s="258" t="e">
        <f>+AG35/$AG$10</f>
        <v>#REF!</v>
      </c>
      <c r="AI35" s="20" t="e">
        <f t="shared" si="43"/>
        <v>#REF!</v>
      </c>
      <c r="AJ35" s="258" t="e">
        <f>+AI35/$AI$10</f>
        <v>#REF!</v>
      </c>
    </row>
    <row r="36" spans="2:36">
      <c r="B36" s="6" t="s">
        <v>435</v>
      </c>
      <c r="C36" s="210" t="e">
        <f>+IF(C10=0,0,C35/C10)</f>
        <v>#REF!</v>
      </c>
      <c r="D36" s="255"/>
      <c r="E36" s="210" t="e">
        <f>+IF(E10=0,0,E35/E10)</f>
        <v>#REF!</v>
      </c>
      <c r="F36" s="215"/>
      <c r="G36" s="210" t="e">
        <f>+IF(G10=0,0,G35/G10)</f>
        <v>#REF!</v>
      </c>
      <c r="H36" s="256"/>
      <c r="I36" s="210" t="e">
        <f>+IF(I10=0,0,I35/I10)</f>
        <v>#REF!</v>
      </c>
      <c r="J36" s="215"/>
      <c r="K36" s="209" t="e">
        <f t="shared" ref="K36:AI36" si="44">+IF(K10=0,0,K35/K10)</f>
        <v>#REF!</v>
      </c>
      <c r="L36" s="209"/>
      <c r="M36" s="209" t="e">
        <f t="shared" si="44"/>
        <v>#REF!</v>
      </c>
      <c r="N36" s="209"/>
      <c r="O36" s="209" t="e">
        <f t="shared" si="44"/>
        <v>#REF!</v>
      </c>
      <c r="P36" s="209"/>
      <c r="Q36" s="210" t="e">
        <f t="shared" si="44"/>
        <v>#REF!</v>
      </c>
      <c r="R36" s="215"/>
      <c r="S36" s="209" t="e">
        <f t="shared" si="44"/>
        <v>#REF!</v>
      </c>
      <c r="T36" s="256"/>
      <c r="U36" s="209" t="e">
        <f t="shared" si="44"/>
        <v>#REF!</v>
      </c>
      <c r="V36" s="256"/>
      <c r="W36" s="209" t="e">
        <f t="shared" si="44"/>
        <v>#REF!</v>
      </c>
      <c r="X36" s="209"/>
      <c r="Y36" s="210" t="e">
        <f t="shared" si="44"/>
        <v>#REF!</v>
      </c>
      <c r="Z36" s="215"/>
      <c r="AA36" s="209" t="e">
        <f t="shared" si="44"/>
        <v>#REF!</v>
      </c>
      <c r="AB36" s="209"/>
      <c r="AC36" s="209" t="e">
        <f t="shared" si="44"/>
        <v>#REF!</v>
      </c>
      <c r="AD36" s="209"/>
      <c r="AE36" s="209" t="e">
        <f t="shared" si="44"/>
        <v>#REF!</v>
      </c>
      <c r="AF36" s="209"/>
      <c r="AG36" s="210" t="e">
        <f t="shared" si="44"/>
        <v>#REF!</v>
      </c>
      <c r="AH36" s="215"/>
      <c r="AI36" s="210" t="e">
        <f t="shared" si="44"/>
        <v>#REF!</v>
      </c>
    </row>
    <row r="37" spans="2:36" ht="13.5" thickBot="1">
      <c r="B37" s="6" t="s">
        <v>415</v>
      </c>
      <c r="C37" s="173" t="e">
        <f>+'DPL24 Summary USD'!B87</f>
        <v>#REF!</v>
      </c>
      <c r="D37" s="258" t="e">
        <f>+C37/$C$10</f>
        <v>#REF!</v>
      </c>
      <c r="E37" s="173" t="e">
        <f>+'DPL24 Summary USD'!D87</f>
        <v>#REF!</v>
      </c>
      <c r="F37" s="258" t="e">
        <f>+E37/$E$10</f>
        <v>#REF!</v>
      </c>
      <c r="G37" s="173" t="e">
        <f>+'DPL24 Summary USD'!F87</f>
        <v>#REF!</v>
      </c>
      <c r="H37" s="258" t="e">
        <f>+G37/$G$10</f>
        <v>#REF!</v>
      </c>
      <c r="I37" s="205" t="e">
        <f>+C37+E37+G37</f>
        <v>#REF!</v>
      </c>
      <c r="J37" s="173"/>
      <c r="K37" s="173" t="e">
        <f>+'DPL24 Summary USD'!H87</f>
        <v>#REF!</v>
      </c>
      <c r="L37" s="258" t="e">
        <f>+K37/$K$10</f>
        <v>#REF!</v>
      </c>
      <c r="M37" s="173" t="e">
        <f>+'DPL24 Summary USD'!J87</f>
        <v>#REF!</v>
      </c>
      <c r="N37" s="258" t="e">
        <f>+M37/$M$10</f>
        <v>#REF!</v>
      </c>
      <c r="O37" s="173" t="e">
        <f>+'DPL24 Summary USD'!L87</f>
        <v>#REF!</v>
      </c>
      <c r="P37" s="258" t="e">
        <f>+O37/$O$10</f>
        <v>#REF!</v>
      </c>
      <c r="Q37" s="205" t="e">
        <f>+K37+M37+O37</f>
        <v>#REF!</v>
      </c>
      <c r="R37" s="258" t="e">
        <f>+Q37/$Q$10</f>
        <v>#REF!</v>
      </c>
      <c r="S37" s="173" t="e">
        <f>+'DPL24 Summary USD'!N87</f>
        <v>#REF!</v>
      </c>
      <c r="T37" s="258" t="e">
        <f>+S37/$S$10</f>
        <v>#REF!</v>
      </c>
      <c r="U37" s="173" t="e">
        <f>+'DPL24 Summary USD'!P87</f>
        <v>#REF!</v>
      </c>
      <c r="V37" s="258" t="e">
        <f>+U37/$U$10</f>
        <v>#REF!</v>
      </c>
      <c r="W37" s="173" t="e">
        <f>+'DPL24 Summary USD'!R87</f>
        <v>#REF!</v>
      </c>
      <c r="X37" s="258" t="e">
        <f>+W37/$W$10</f>
        <v>#REF!</v>
      </c>
      <c r="Y37" s="205" t="e">
        <f>+S37+U37+W37</f>
        <v>#REF!</v>
      </c>
      <c r="Z37" s="258" t="e">
        <f>+Y37/$Y$10</f>
        <v>#REF!</v>
      </c>
      <c r="AA37" s="173" t="e">
        <f>+'DPL24 Summary USD'!T87</f>
        <v>#REF!</v>
      </c>
      <c r="AB37" s="258" t="e">
        <f>+AA37/$AA$10</f>
        <v>#REF!</v>
      </c>
      <c r="AC37" s="173" t="e">
        <f>+'DPL24 Summary USD'!V87</f>
        <v>#REF!</v>
      </c>
      <c r="AD37" s="258" t="e">
        <f>+AC37/$AC$10</f>
        <v>#REF!</v>
      </c>
      <c r="AE37" s="173" t="e">
        <f>+'DPL24 Summary USD'!X87</f>
        <v>#REF!</v>
      </c>
      <c r="AF37" s="258" t="e">
        <f>+AE37/$AE$10</f>
        <v>#REF!</v>
      </c>
      <c r="AG37" s="205" t="e">
        <f>+AA37+AC37+AE37</f>
        <v>#REF!</v>
      </c>
      <c r="AH37" s="258" t="e">
        <f>+AG37/$AG$10</f>
        <v>#REF!</v>
      </c>
      <c r="AI37" s="205" t="e">
        <f>+I37+Q37+Y37+AG37</f>
        <v>#REF!</v>
      </c>
      <c r="AJ37" s="258" t="e">
        <f>+AI37/$AI$10</f>
        <v>#REF!</v>
      </c>
    </row>
    <row r="38" spans="2:36">
      <c r="B38" s="6" t="s">
        <v>436</v>
      </c>
      <c r="I38" s="210" t="e">
        <f>+IF(I10=0,0,I37/I10)</f>
        <v>#REF!</v>
      </c>
      <c r="J38" s="215"/>
      <c r="K38" s="209" t="e">
        <f t="shared" ref="K38:AI38" si="45">+IF(K10=0,0,K37/K10)</f>
        <v>#REF!</v>
      </c>
      <c r="L38" s="209"/>
      <c r="M38" s="209" t="e">
        <f t="shared" si="45"/>
        <v>#REF!</v>
      </c>
      <c r="N38" s="209"/>
      <c r="O38" s="209" t="e">
        <f t="shared" si="45"/>
        <v>#REF!</v>
      </c>
      <c r="P38" s="209"/>
      <c r="Q38" s="210" t="e">
        <f t="shared" si="45"/>
        <v>#REF!</v>
      </c>
      <c r="R38" s="215"/>
      <c r="S38" s="209" t="e">
        <f t="shared" si="45"/>
        <v>#REF!</v>
      </c>
      <c r="T38" s="256"/>
      <c r="U38" s="209" t="e">
        <f t="shared" si="45"/>
        <v>#REF!</v>
      </c>
      <c r="V38" s="256"/>
      <c r="W38" s="209" t="e">
        <f t="shared" si="45"/>
        <v>#REF!</v>
      </c>
      <c r="X38" s="209"/>
      <c r="Y38" s="210" t="e">
        <f t="shared" si="45"/>
        <v>#REF!</v>
      </c>
      <c r="Z38" s="215"/>
      <c r="AA38" s="209" t="e">
        <f t="shared" si="45"/>
        <v>#REF!</v>
      </c>
      <c r="AB38" s="209"/>
      <c r="AC38" s="209" t="e">
        <f t="shared" si="45"/>
        <v>#REF!</v>
      </c>
      <c r="AD38" s="209"/>
      <c r="AE38" s="209" t="e">
        <f t="shared" si="45"/>
        <v>#REF!</v>
      </c>
      <c r="AF38" s="209"/>
      <c r="AG38" s="210" t="e">
        <f t="shared" si="45"/>
        <v>#REF!</v>
      </c>
      <c r="AH38" s="258"/>
      <c r="AI38" s="210" t="e">
        <f t="shared" si="45"/>
        <v>#REF!</v>
      </c>
    </row>
    <row r="39" spans="2:36" ht="13.5" thickBot="1">
      <c r="B39" s="6" t="s">
        <v>416</v>
      </c>
      <c r="C39" s="212" t="e">
        <f t="shared" ref="C39:AI39" si="46">+C10-C18-C27-C33-C37</f>
        <v>#REF!</v>
      </c>
      <c r="D39" s="258" t="e">
        <f>+C39/$C$10</f>
        <v>#REF!</v>
      </c>
      <c r="E39" s="212" t="e">
        <f t="shared" si="46"/>
        <v>#REF!</v>
      </c>
      <c r="F39" s="258" t="e">
        <f>+E39/$E$10</f>
        <v>#REF!</v>
      </c>
      <c r="G39" s="212" t="e">
        <f t="shared" si="46"/>
        <v>#REF!</v>
      </c>
      <c r="H39" s="258" t="e">
        <f>+G39/$G$10</f>
        <v>#REF!</v>
      </c>
      <c r="I39" s="213" t="e">
        <f t="shared" si="46"/>
        <v>#REF!</v>
      </c>
      <c r="J39" s="397" t="e">
        <f>+I39/$I$10</f>
        <v>#REF!</v>
      </c>
      <c r="K39" s="212" t="e">
        <f t="shared" si="46"/>
        <v>#REF!</v>
      </c>
      <c r="L39" s="258" t="e">
        <f>+K39/$K$10</f>
        <v>#REF!</v>
      </c>
      <c r="M39" s="212" t="e">
        <f t="shared" si="46"/>
        <v>#REF!</v>
      </c>
      <c r="N39" s="258" t="e">
        <f>+M39/$M$10</f>
        <v>#REF!</v>
      </c>
      <c r="O39" s="212" t="e">
        <f t="shared" si="46"/>
        <v>#REF!</v>
      </c>
      <c r="P39" s="258" t="e">
        <f>+O39/$O$10</f>
        <v>#REF!</v>
      </c>
      <c r="Q39" s="213" t="e">
        <f t="shared" si="46"/>
        <v>#REF!</v>
      </c>
      <c r="R39" s="258" t="e">
        <f>+Q39/$Q$10</f>
        <v>#REF!</v>
      </c>
      <c r="S39" s="212" t="e">
        <f t="shared" si="46"/>
        <v>#REF!</v>
      </c>
      <c r="T39" s="258" t="e">
        <f>+S39/$S$10</f>
        <v>#REF!</v>
      </c>
      <c r="U39" s="212" t="e">
        <f t="shared" si="46"/>
        <v>#REF!</v>
      </c>
      <c r="V39" s="258" t="e">
        <f>+U39/$U$10</f>
        <v>#REF!</v>
      </c>
      <c r="W39" s="212" t="e">
        <f t="shared" si="46"/>
        <v>#REF!</v>
      </c>
      <c r="X39" s="258" t="e">
        <f>+W39/$W$10</f>
        <v>#REF!</v>
      </c>
      <c r="Y39" s="213" t="e">
        <f t="shared" si="46"/>
        <v>#REF!</v>
      </c>
      <c r="Z39" s="258" t="e">
        <f>+Y39/$Y$10</f>
        <v>#REF!</v>
      </c>
      <c r="AA39" s="212" t="e">
        <f t="shared" si="46"/>
        <v>#REF!</v>
      </c>
      <c r="AB39" s="258" t="e">
        <f>+AA39/$AA$10</f>
        <v>#REF!</v>
      </c>
      <c r="AC39" s="212" t="e">
        <f t="shared" si="46"/>
        <v>#REF!</v>
      </c>
      <c r="AD39" s="258" t="e">
        <f>+AC39/$AC$10</f>
        <v>#REF!</v>
      </c>
      <c r="AE39" s="212" t="e">
        <f t="shared" si="46"/>
        <v>#REF!</v>
      </c>
      <c r="AF39" s="258" t="e">
        <f>+AE39/$AE$10</f>
        <v>#REF!</v>
      </c>
      <c r="AG39" s="213" t="e">
        <f t="shared" si="46"/>
        <v>#REF!</v>
      </c>
      <c r="AH39" s="258" t="e">
        <f>+AG39/$AG$10</f>
        <v>#REF!</v>
      </c>
      <c r="AI39" s="213" t="e">
        <f t="shared" si="46"/>
        <v>#REF!</v>
      </c>
      <c r="AJ39" s="258" t="e">
        <f>+AI39/$AI$10</f>
        <v>#REF!</v>
      </c>
    </row>
    <row r="40" spans="2:36" ht="13.5" thickTop="1">
      <c r="C40" s="210" t="e">
        <f>+IF(C10=0,0,C39/C10)</f>
        <v>#REF!</v>
      </c>
      <c r="D40" s="255"/>
      <c r="E40" s="210" t="e">
        <f>+IF(E10=0,0,E39/E10)</f>
        <v>#REF!</v>
      </c>
      <c r="F40" s="256"/>
      <c r="G40" s="210" t="e">
        <f>+IF(G10=0,0,G39/G10)</f>
        <v>#REF!</v>
      </c>
      <c r="H40" s="215"/>
      <c r="I40" s="210" t="e">
        <f>+IF(I10=0,0,I39/I10)</f>
        <v>#REF!</v>
      </c>
      <c r="J40" s="215"/>
      <c r="K40" s="209" t="e">
        <f t="shared" ref="K40:AI40" si="47">+IF(K10=0,0,K39/K10)</f>
        <v>#REF!</v>
      </c>
      <c r="L40" s="209"/>
      <c r="M40" s="209" t="e">
        <f t="shared" si="47"/>
        <v>#REF!</v>
      </c>
      <c r="N40" s="209"/>
      <c r="O40" s="209" t="e">
        <f t="shared" si="47"/>
        <v>#REF!</v>
      </c>
      <c r="P40" s="209"/>
      <c r="Q40" s="210" t="e">
        <f t="shared" si="47"/>
        <v>#REF!</v>
      </c>
      <c r="R40" s="215"/>
      <c r="S40" s="209" t="e">
        <f t="shared" si="47"/>
        <v>#REF!</v>
      </c>
      <c r="T40" s="256"/>
      <c r="U40" s="209" t="e">
        <f t="shared" si="47"/>
        <v>#REF!</v>
      </c>
      <c r="V40" s="256"/>
      <c r="W40" s="209" t="e">
        <f t="shared" si="47"/>
        <v>#REF!</v>
      </c>
      <c r="X40" s="209"/>
      <c r="Y40" s="210" t="e">
        <f t="shared" si="47"/>
        <v>#REF!</v>
      </c>
      <c r="Z40" s="215"/>
      <c r="AA40" s="209" t="e">
        <f t="shared" si="47"/>
        <v>#REF!</v>
      </c>
      <c r="AB40" s="209"/>
      <c r="AC40" s="209" t="e">
        <f t="shared" si="47"/>
        <v>#REF!</v>
      </c>
      <c r="AD40" s="209"/>
      <c r="AE40" s="209" t="e">
        <f t="shared" si="47"/>
        <v>#REF!</v>
      </c>
      <c r="AF40" s="209"/>
      <c r="AG40" s="210" t="e">
        <f t="shared" si="47"/>
        <v>#REF!</v>
      </c>
      <c r="AH40" s="215"/>
      <c r="AI40" s="210" t="e">
        <f t="shared" si="47"/>
        <v>#REF!</v>
      </c>
    </row>
    <row r="41" spans="2:36"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6"/>
      <c r="AC41" s="256"/>
      <c r="AD41" s="256"/>
      <c r="AE41" s="256"/>
      <c r="AF41" s="256"/>
      <c r="AG41" s="256"/>
      <c r="AH41" s="256"/>
      <c r="AI41" s="256"/>
    </row>
    <row r="42" spans="2:36">
      <c r="Q42"/>
      <c r="AG42"/>
      <c r="AI42"/>
    </row>
    <row r="43" spans="2:36">
      <c r="Q43"/>
      <c r="AG43"/>
      <c r="AI43"/>
    </row>
    <row r="44" spans="2:36">
      <c r="Q44"/>
      <c r="AG44"/>
      <c r="AI44"/>
    </row>
    <row r="45" spans="2:36">
      <c r="C45" s="21">
        <f>+C11</f>
        <v>2024</v>
      </c>
      <c r="E45" s="21">
        <f>+E11</f>
        <v>2024</v>
      </c>
      <c r="G45" s="21">
        <f>+G11</f>
        <v>2024</v>
      </c>
      <c r="K45" s="21">
        <f>+K11</f>
        <v>2024</v>
      </c>
      <c r="M45" s="21">
        <f>+M11</f>
        <v>2024</v>
      </c>
      <c r="O45" s="21">
        <f>+O11</f>
        <v>2024</v>
      </c>
      <c r="Q45"/>
      <c r="S45" s="21">
        <f>+S11</f>
        <v>2024</v>
      </c>
      <c r="U45" s="21">
        <f>+U11</f>
        <v>2024</v>
      </c>
      <c r="W45" s="21">
        <f>+W11</f>
        <v>2024</v>
      </c>
      <c r="AA45" s="21">
        <f>+AA11</f>
        <v>2024</v>
      </c>
      <c r="AC45" s="21">
        <f>+AC11</f>
        <v>2024</v>
      </c>
      <c r="AE45" s="21">
        <f>+AE11</f>
        <v>2024</v>
      </c>
      <c r="AG45" s="21">
        <f>+AG11</f>
        <v>2024</v>
      </c>
      <c r="AI45" s="21">
        <f>+AI11</f>
        <v>2024</v>
      </c>
    </row>
    <row r="46" spans="2:36">
      <c r="C46" s="21" t="str">
        <f>+C12</f>
        <v>MES 1</v>
      </c>
      <c r="E46" s="21" t="str">
        <f>+E12</f>
        <v>MES 2</v>
      </c>
      <c r="G46" s="21" t="str">
        <f>+G12</f>
        <v>MES 3</v>
      </c>
      <c r="K46" s="21" t="str">
        <f>+K12</f>
        <v>MES 4</v>
      </c>
      <c r="M46" s="21" t="str">
        <f>+M12</f>
        <v>MES 5</v>
      </c>
      <c r="O46" s="21" t="str">
        <f>+O12</f>
        <v>MES 6</v>
      </c>
      <c r="Q46"/>
      <c r="S46" s="21" t="str">
        <f>+S12</f>
        <v>MES 7</v>
      </c>
      <c r="U46" s="21" t="str">
        <f>+U12</f>
        <v>MES 8</v>
      </c>
      <c r="W46" s="21" t="str">
        <f>+W12</f>
        <v>MES 9</v>
      </c>
      <c r="AA46" s="21" t="str">
        <f>+AA12</f>
        <v>MES 10</v>
      </c>
      <c r="AC46" s="21" t="str">
        <f>+AC12</f>
        <v>MES 11</v>
      </c>
      <c r="AE46" s="21" t="str">
        <f>+AE12</f>
        <v>MES 12</v>
      </c>
      <c r="AG46" s="21" t="str">
        <f>+AG12</f>
        <v>Q4</v>
      </c>
      <c r="AI46" s="21" t="str">
        <f>+AI12</f>
        <v>Total YTD</v>
      </c>
    </row>
    <row r="47" spans="2:36">
      <c r="B47" s="1" t="s">
        <v>437</v>
      </c>
      <c r="C47" s="477" t="e">
        <f>+C10</f>
        <v>#REF!</v>
      </c>
      <c r="D47" s="21"/>
      <c r="E47" s="477" t="e">
        <f>+E10</f>
        <v>#REF!</v>
      </c>
      <c r="F47" s="21"/>
      <c r="G47" s="477" t="e">
        <f>+G10</f>
        <v>#REF!</v>
      </c>
      <c r="H47" s="21"/>
      <c r="I47" s="477" t="e">
        <f>+I10</f>
        <v>#REF!</v>
      </c>
      <c r="J47" s="21"/>
      <c r="K47" s="477" t="e">
        <f>+K10</f>
        <v>#REF!</v>
      </c>
      <c r="L47" s="21"/>
      <c r="M47" s="477" t="e">
        <f>+M10</f>
        <v>#REF!</v>
      </c>
      <c r="N47" s="21"/>
      <c r="O47" s="477" t="e">
        <f>+O10</f>
        <v>#REF!</v>
      </c>
      <c r="P47" s="21"/>
      <c r="Q47" s="477" t="e">
        <f>+Q10</f>
        <v>#REF!</v>
      </c>
      <c r="R47" s="21"/>
      <c r="S47" s="477" t="e">
        <f>+S10</f>
        <v>#REF!</v>
      </c>
      <c r="T47" s="21"/>
      <c r="U47" s="477" t="e">
        <f>+U10</f>
        <v>#REF!</v>
      </c>
      <c r="V47" s="21"/>
      <c r="W47" s="477" t="e">
        <f>+W10</f>
        <v>#REF!</v>
      </c>
      <c r="X47" s="21"/>
      <c r="Y47" s="477" t="e">
        <f>+Y10</f>
        <v>#REF!</v>
      </c>
      <c r="Z47" s="21"/>
      <c r="AA47" s="477" t="e">
        <f>+AA10</f>
        <v>#REF!</v>
      </c>
      <c r="AB47" s="21"/>
      <c r="AC47" s="477" t="e">
        <f>+AC10</f>
        <v>#REF!</v>
      </c>
      <c r="AD47" s="21"/>
      <c r="AE47" s="477" t="e">
        <f>+AE10</f>
        <v>#REF!</v>
      </c>
      <c r="AF47" s="21"/>
      <c r="AG47" s="477" t="e">
        <f>+AG10</f>
        <v>#REF!</v>
      </c>
      <c r="AH47" s="21"/>
      <c r="AI47" s="477" t="e">
        <f>+AI10</f>
        <v>#REF!</v>
      </c>
    </row>
    <row r="48" spans="2:36">
      <c r="Q48"/>
      <c r="AG48"/>
      <c r="AI48"/>
    </row>
    <row r="49" spans="2:37" hidden="1">
      <c r="C49" s="21" t="s">
        <v>3</v>
      </c>
      <c r="E49" s="21" t="s">
        <v>4</v>
      </c>
      <c r="G49" s="21" t="s">
        <v>438</v>
      </c>
      <c r="I49" s="21" t="s">
        <v>419</v>
      </c>
      <c r="J49" s="21"/>
      <c r="K49" s="21" t="s">
        <v>6</v>
      </c>
      <c r="L49" s="21"/>
      <c r="M49" s="21" t="s">
        <v>7</v>
      </c>
      <c r="N49" s="21"/>
      <c r="O49" s="21" t="s">
        <v>439</v>
      </c>
      <c r="P49" s="21"/>
      <c r="Q49" s="21" t="s">
        <v>420</v>
      </c>
      <c r="S49" s="21" t="s">
        <v>440</v>
      </c>
      <c r="T49" s="21"/>
      <c r="U49" s="21" t="s">
        <v>441</v>
      </c>
      <c r="V49" s="21"/>
      <c r="W49" s="21" t="s">
        <v>442</v>
      </c>
      <c r="X49" s="21"/>
      <c r="Y49" s="21" t="s">
        <v>421</v>
      </c>
      <c r="Z49" s="21"/>
      <c r="AA49" s="21" t="s">
        <v>12</v>
      </c>
      <c r="AB49" s="21"/>
      <c r="AC49" s="21" t="s">
        <v>13</v>
      </c>
      <c r="AE49" s="21" t="s">
        <v>443</v>
      </c>
      <c r="AG49" s="21" t="s">
        <v>422</v>
      </c>
      <c r="AI49" s="21" t="s">
        <v>444</v>
      </c>
    </row>
    <row r="50" spans="2:37" ht="15" hidden="1">
      <c r="B50" s="269" t="s">
        <v>445</v>
      </c>
      <c r="C50" s="273" t="e">
        <f>+#REF!</f>
        <v>#REF!</v>
      </c>
      <c r="D50" s="272"/>
      <c r="E50" s="273" t="e">
        <f>+#REF!</f>
        <v>#REF!</v>
      </c>
      <c r="F50" s="272"/>
      <c r="G50" s="273" t="e">
        <f>+#REF!</f>
        <v>#REF!</v>
      </c>
      <c r="H50" s="272"/>
      <c r="I50" s="274" t="e">
        <f>SUM(C50,E50,G50)</f>
        <v>#REF!</v>
      </c>
      <c r="J50" s="272"/>
      <c r="K50" s="273" t="e">
        <f>+#REF!</f>
        <v>#REF!</v>
      </c>
      <c r="L50" s="273"/>
      <c r="M50" s="273" t="e">
        <f>+#REF!</f>
        <v>#REF!</v>
      </c>
      <c r="N50" s="273"/>
      <c r="O50" s="273" t="e">
        <f>+#REF!</f>
        <v>#REF!</v>
      </c>
      <c r="P50" s="273"/>
      <c r="Q50" s="276" t="e">
        <f>SUM(K50:O50)</f>
        <v>#REF!</v>
      </c>
      <c r="S50" s="273" t="e">
        <f>+#REF!</f>
        <v>#REF!</v>
      </c>
      <c r="T50" s="273"/>
      <c r="U50" s="273" t="e">
        <f>+#REF!</f>
        <v>#REF!</v>
      </c>
      <c r="V50" s="273"/>
      <c r="W50" s="273" t="e">
        <f>+#REF!</f>
        <v>#REF!</v>
      </c>
      <c r="X50" s="273"/>
      <c r="Y50" s="276" t="e">
        <f>SUM(S50:W50)</f>
        <v>#REF!</v>
      </c>
      <c r="Z50" s="273"/>
      <c r="AA50" s="273" t="e">
        <f>+#REF!</f>
        <v>#REF!</v>
      </c>
      <c r="AB50" s="393"/>
      <c r="AC50" s="273" t="e">
        <f>+#REF!</f>
        <v>#REF!</v>
      </c>
      <c r="AE50" s="273" t="e">
        <f>+#REF!</f>
        <v>#REF!</v>
      </c>
      <c r="AG50" s="276" t="e">
        <f>SUM(AA50:AE50)</f>
        <v>#REF!</v>
      </c>
      <c r="AI50" s="276" t="e">
        <f>+I50+Q50+Y50+AG50</f>
        <v>#REF!</v>
      </c>
    </row>
    <row r="51" spans="2:37" ht="15" hidden="1">
      <c r="B51" s="269" t="s">
        <v>446</v>
      </c>
      <c r="C51" s="275" t="e">
        <f>+C18</f>
        <v>#REF!</v>
      </c>
      <c r="D51" s="272"/>
      <c r="E51" s="275" t="e">
        <f>+E18</f>
        <v>#REF!</v>
      </c>
      <c r="F51" s="272"/>
      <c r="G51" s="275" t="e">
        <f>+G18</f>
        <v>#REF!</v>
      </c>
      <c r="H51" s="272"/>
      <c r="I51" s="309" t="e">
        <f>+I18</f>
        <v>#REF!</v>
      </c>
      <c r="J51" s="275"/>
      <c r="K51" s="275" t="e">
        <f>+K18</f>
        <v>#REF!</v>
      </c>
      <c r="L51" s="275"/>
      <c r="M51" s="275" t="e">
        <f>+M18</f>
        <v>#REF!</v>
      </c>
      <c r="N51" s="275"/>
      <c r="O51" s="275" t="e">
        <f>+O18</f>
        <v>#REF!</v>
      </c>
      <c r="P51" s="275"/>
      <c r="Q51" s="309" t="e">
        <f>SUM(K51:O51)</f>
        <v>#REF!</v>
      </c>
      <c r="S51" s="275" t="e">
        <f>+S18</f>
        <v>#REF!</v>
      </c>
      <c r="T51" s="275"/>
      <c r="U51" s="275" t="e">
        <f>+U18</f>
        <v>#REF!</v>
      </c>
      <c r="V51" s="275"/>
      <c r="W51" s="275" t="e">
        <f>+W18</f>
        <v>#REF!</v>
      </c>
      <c r="X51" s="275"/>
      <c r="Y51" s="276" t="e">
        <f>SUM(S51:W51)</f>
        <v>#REF!</v>
      </c>
      <c r="Z51" s="273"/>
      <c r="AA51" s="275" t="e">
        <f>+AA18</f>
        <v>#REF!</v>
      </c>
      <c r="AB51" s="394"/>
      <c r="AC51" s="275" t="e">
        <f>+AC18</f>
        <v>#REF!</v>
      </c>
      <c r="AE51" s="275" t="e">
        <f>+AE18</f>
        <v>#REF!</v>
      </c>
      <c r="AG51" s="276" t="e">
        <f>SUM(AA51:AE51)</f>
        <v>#REF!</v>
      </c>
      <c r="AI51" s="309" t="e">
        <f>+AI18</f>
        <v>#REF!</v>
      </c>
    </row>
    <row r="52" spans="2:37" ht="15" hidden="1">
      <c r="B52" s="269" t="s">
        <v>447</v>
      </c>
      <c r="C52" s="271" t="e">
        <f>+C51/C10</f>
        <v>#REF!</v>
      </c>
      <c r="D52" s="272"/>
      <c r="E52" s="271">
        <f>IFERROR(E51/E10,0)</f>
        <v>0</v>
      </c>
      <c r="F52" s="272"/>
      <c r="G52" s="271">
        <f>IFERROR(G51/G10,0)</f>
        <v>0</v>
      </c>
      <c r="H52" s="272"/>
      <c r="I52" s="918" t="e">
        <f>+I51/I10</f>
        <v>#REF!</v>
      </c>
      <c r="J52" s="919"/>
      <c r="K52" s="271">
        <f>IFERROR(K51/K10,0)</f>
        <v>0</v>
      </c>
      <c r="L52" s="271"/>
      <c r="M52" s="271">
        <f>IFERROR(M51/M10,0)</f>
        <v>0</v>
      </c>
      <c r="N52" s="271"/>
      <c r="O52" s="271">
        <f>IFERROR(O51/O10,0)</f>
        <v>0</v>
      </c>
      <c r="P52" s="271"/>
      <c r="Q52" s="918">
        <f>IFERROR(Q51/Q10,0)</f>
        <v>0</v>
      </c>
      <c r="S52" s="271">
        <f>IFERROR(S51/S10,0)</f>
        <v>0</v>
      </c>
      <c r="T52" s="321"/>
      <c r="U52" s="271">
        <f>IFERROR(U51/U10,0)</f>
        <v>0</v>
      </c>
      <c r="V52" s="321"/>
      <c r="W52" s="271">
        <f>IFERROR(W51/W10,0)</f>
        <v>0</v>
      </c>
      <c r="X52" s="271"/>
      <c r="Y52" s="918">
        <f>IFERROR(Y51/Y10,0)</f>
        <v>0</v>
      </c>
      <c r="Z52" s="919"/>
      <c r="AA52" s="271">
        <f>IFERROR(AA51/AA10,0)</f>
        <v>0</v>
      </c>
      <c r="AB52" s="403"/>
      <c r="AC52" s="271">
        <f>IFERROR(AC51/AC10,0)</f>
        <v>0</v>
      </c>
      <c r="AE52" s="271">
        <f>IFERROR(AE51/AE10,0)</f>
        <v>0</v>
      </c>
      <c r="AG52" s="918">
        <f>IFERROR(AG51/AG10,0)</f>
        <v>0</v>
      </c>
      <c r="AI52" s="918" t="e">
        <f>+AI51/AI10</f>
        <v>#REF!</v>
      </c>
    </row>
    <row r="53" spans="2:37" ht="15" hidden="1">
      <c r="B53" s="269" t="s">
        <v>448</v>
      </c>
      <c r="C53" s="275" t="e">
        <f>+C13</f>
        <v>#REF!</v>
      </c>
      <c r="D53" s="272"/>
      <c r="E53" s="275" t="e">
        <f>+E13</f>
        <v>#REF!</v>
      </c>
      <c r="F53" s="272"/>
      <c r="G53" s="275" t="e">
        <f>+G13</f>
        <v>#REF!</v>
      </c>
      <c r="H53" s="272"/>
      <c r="I53" s="309" t="e">
        <f>+I13</f>
        <v>#REF!</v>
      </c>
      <c r="J53" s="275"/>
      <c r="K53" s="275" t="e">
        <f>+K13</f>
        <v>#REF!</v>
      </c>
      <c r="L53" s="275"/>
      <c r="M53" s="275" t="e">
        <f>+M13</f>
        <v>#REF!</v>
      </c>
      <c r="N53" s="275"/>
      <c r="O53" s="275" t="e">
        <f>+O13</f>
        <v>#REF!</v>
      </c>
      <c r="P53" s="275"/>
      <c r="Q53" s="309" t="e">
        <f>SUM(K53:O53)</f>
        <v>#REF!</v>
      </c>
      <c r="S53" s="275" t="e">
        <f>+S13</f>
        <v>#REF!</v>
      </c>
      <c r="T53" s="275"/>
      <c r="U53" s="275" t="e">
        <f>+U13</f>
        <v>#REF!</v>
      </c>
      <c r="V53" s="275"/>
      <c r="W53" s="275" t="e">
        <f>+W13</f>
        <v>#REF!</v>
      </c>
      <c r="X53" s="275"/>
      <c r="Y53" s="309" t="e">
        <f>SUM(S53:W53)</f>
        <v>#REF!</v>
      </c>
      <c r="Z53" s="273"/>
      <c r="AA53" s="275" t="e">
        <f>+AA13</f>
        <v>#REF!</v>
      </c>
      <c r="AB53" s="394"/>
      <c r="AC53" s="275" t="e">
        <f>+AC13</f>
        <v>#REF!</v>
      </c>
      <c r="AE53" s="275" t="e">
        <f>+AE13</f>
        <v>#REF!</v>
      </c>
      <c r="AG53" s="309" t="e">
        <f>SUM(AA53:AE53)</f>
        <v>#REF!</v>
      </c>
      <c r="AI53" s="309" t="e">
        <f>+AI13</f>
        <v>#REF!</v>
      </c>
    </row>
    <row r="54" spans="2:37" ht="15" hidden="1">
      <c r="B54" s="269" t="s">
        <v>449</v>
      </c>
      <c r="C54" s="271" t="e">
        <f>+C53/C10</f>
        <v>#REF!</v>
      </c>
      <c r="D54" s="272"/>
      <c r="E54" s="271">
        <f>IFERROR(E53/E10,0)</f>
        <v>0</v>
      </c>
      <c r="F54" s="272"/>
      <c r="G54" s="271">
        <f>IFERROR(G53/G10,0)</f>
        <v>0</v>
      </c>
      <c r="H54" s="272"/>
      <c r="I54" s="918" t="e">
        <f>+I53/I10</f>
        <v>#REF!</v>
      </c>
      <c r="J54" s="919"/>
      <c r="K54" s="271">
        <f>IFERROR(K53/K10,0)</f>
        <v>0</v>
      </c>
      <c r="L54" s="271"/>
      <c r="M54" s="271">
        <f>IFERROR(M53/M10,0)</f>
        <v>0</v>
      </c>
      <c r="N54" s="271"/>
      <c r="O54" s="271">
        <f>IFERROR(O53/O10,0)</f>
        <v>0</v>
      </c>
      <c r="P54" s="271"/>
      <c r="Q54" s="918">
        <f>IFERROR(Q53/Q10,0)</f>
        <v>0</v>
      </c>
      <c r="S54" s="271">
        <f>IFERROR(S53/S10,0)</f>
        <v>0</v>
      </c>
      <c r="T54" s="321"/>
      <c r="U54" s="271">
        <f>IFERROR(U53/U10,0)</f>
        <v>0</v>
      </c>
      <c r="V54" s="321"/>
      <c r="W54" s="271">
        <f>IFERROR(W53/W10,0)</f>
        <v>0</v>
      </c>
      <c r="X54" s="271"/>
      <c r="Y54" s="918">
        <f>IFERROR(Y53/Y10,0)</f>
        <v>0</v>
      </c>
      <c r="Z54" s="919"/>
      <c r="AA54" s="271">
        <f>IFERROR(AA53/AA10,0)</f>
        <v>0</v>
      </c>
      <c r="AB54" s="403"/>
      <c r="AC54" s="271">
        <f>IFERROR(AC53/AC10,0)</f>
        <v>0</v>
      </c>
      <c r="AE54" s="271">
        <f>IFERROR(AE53/AE10,0)</f>
        <v>0</v>
      </c>
      <c r="AG54" s="918">
        <f>IFERROR(AG53/AG10,0)</f>
        <v>0</v>
      </c>
      <c r="AI54" s="918" t="e">
        <f>+AI53/AI10</f>
        <v>#REF!</v>
      </c>
    </row>
    <row r="55" spans="2:37" s="187" customFormat="1" ht="15" hidden="1">
      <c r="B55" s="269" t="s">
        <v>450</v>
      </c>
      <c r="C55" s="275" t="e">
        <f>+C18+C27</f>
        <v>#REF!</v>
      </c>
      <c r="D55" s="272"/>
      <c r="E55" s="275" t="e">
        <f>+E18+E27</f>
        <v>#REF!</v>
      </c>
      <c r="F55" s="272"/>
      <c r="G55" s="275" t="e">
        <f>+G18+G27</f>
        <v>#REF!</v>
      </c>
      <c r="H55" s="272"/>
      <c r="I55" s="309" t="e">
        <f>+I18+I27</f>
        <v>#REF!</v>
      </c>
      <c r="J55" s="275"/>
      <c r="K55" s="275" t="e">
        <f>+K18+K27</f>
        <v>#REF!</v>
      </c>
      <c r="L55" s="275"/>
      <c r="M55" s="275" t="e">
        <f>+M18+M27</f>
        <v>#REF!</v>
      </c>
      <c r="N55" s="275"/>
      <c r="O55" s="275" t="e">
        <f>+O18+O27</f>
        <v>#REF!</v>
      </c>
      <c r="P55" s="275"/>
      <c r="Q55" s="309" t="e">
        <f>SUM(K55:O55)</f>
        <v>#REF!</v>
      </c>
      <c r="R55"/>
      <c r="S55" s="275" t="e">
        <f>+S18+S27</f>
        <v>#REF!</v>
      </c>
      <c r="T55" s="275"/>
      <c r="U55" s="275" t="e">
        <f>+U18+U27</f>
        <v>#REF!</v>
      </c>
      <c r="V55" s="275"/>
      <c r="W55" s="275" t="e">
        <f>+W18+W27</f>
        <v>#REF!</v>
      </c>
      <c r="X55" s="275"/>
      <c r="Y55" s="309" t="e">
        <f>SUM(S55:W55)</f>
        <v>#REF!</v>
      </c>
      <c r="Z55" s="273"/>
      <c r="AA55" s="275" t="e">
        <f>+AA18+AA27</f>
        <v>#REF!</v>
      </c>
      <c r="AB55" s="394"/>
      <c r="AC55" s="275" t="e">
        <f>+AC18+AC27</f>
        <v>#REF!</v>
      </c>
      <c r="AD55"/>
      <c r="AE55" s="275" t="e">
        <f>+AE18+AE27</f>
        <v>#REF!</v>
      </c>
      <c r="AF55"/>
      <c r="AG55" s="309" t="e">
        <f>SUM(AA55:AE55)</f>
        <v>#REF!</v>
      </c>
      <c r="AH55"/>
      <c r="AI55" s="309" t="e">
        <f>+AI18+AI27</f>
        <v>#REF!</v>
      </c>
      <c r="AJ55"/>
      <c r="AK55"/>
    </row>
    <row r="56" spans="2:37" ht="15" hidden="1">
      <c r="B56" s="269" t="s">
        <v>451</v>
      </c>
      <c r="C56" s="271" t="e">
        <f>+C55/C10</f>
        <v>#REF!</v>
      </c>
      <c r="D56" s="272"/>
      <c r="E56" s="271">
        <f>IFERROR(E55/E10,0)</f>
        <v>0</v>
      </c>
      <c r="F56" s="272"/>
      <c r="G56" s="271">
        <f>IFERROR(G55/G10,0)</f>
        <v>0</v>
      </c>
      <c r="H56" s="272"/>
      <c r="I56" s="918" t="e">
        <f>+I55/I10</f>
        <v>#REF!</v>
      </c>
      <c r="J56" s="919"/>
      <c r="K56" s="271">
        <f>IFERROR(K55/K10,0)</f>
        <v>0</v>
      </c>
      <c r="L56" s="271"/>
      <c r="M56" s="271">
        <f>IFERROR(M55/M10,0)</f>
        <v>0</v>
      </c>
      <c r="N56" s="271"/>
      <c r="O56" s="271">
        <f>IFERROR(O55/O10,0)</f>
        <v>0</v>
      </c>
      <c r="P56" s="271"/>
      <c r="Q56" s="918">
        <f>IFERROR(Q55/Q10,0)</f>
        <v>0</v>
      </c>
      <c r="S56" s="271">
        <f>IFERROR(S55/S10,0)</f>
        <v>0</v>
      </c>
      <c r="T56" s="321"/>
      <c r="U56" s="271">
        <f>IFERROR(U55/U10,0)</f>
        <v>0</v>
      </c>
      <c r="V56" s="321"/>
      <c r="W56" s="271">
        <f>IFERROR(W55/W10,0)</f>
        <v>0</v>
      </c>
      <c r="X56" s="271"/>
      <c r="Y56" s="918">
        <f>IFERROR(Y55/Y10,0)</f>
        <v>0</v>
      </c>
      <c r="Z56" s="919"/>
      <c r="AA56" s="271">
        <f>IFERROR(AA55/AA10,0)</f>
        <v>0</v>
      </c>
      <c r="AB56" s="403"/>
      <c r="AC56" s="271">
        <f>IFERROR(AC55/AC10,0)</f>
        <v>0</v>
      </c>
      <c r="AE56" s="271">
        <f>IFERROR(AE55/AE10,0)</f>
        <v>0</v>
      </c>
      <c r="AG56" s="918">
        <f>IFERROR(AG55/AG10,0)</f>
        <v>0</v>
      </c>
      <c r="AI56" s="918" t="e">
        <f>+AI55/AI10</f>
        <v>#REF!</v>
      </c>
    </row>
    <row r="57" spans="2:37" ht="15" hidden="1">
      <c r="B57" s="269" t="s">
        <v>452</v>
      </c>
      <c r="C57" s="272">
        <f>+Personnel!B35</f>
        <v>0</v>
      </c>
      <c r="D57" s="272"/>
      <c r="E57" s="272">
        <f>+Personnel!D35</f>
        <v>0</v>
      </c>
      <c r="F57" s="272"/>
      <c r="G57" s="272">
        <f>+Personnel!F35</f>
        <v>0</v>
      </c>
      <c r="H57" s="272"/>
      <c r="I57" s="274">
        <f>SUM(C57,E57,G57)</f>
        <v>0</v>
      </c>
      <c r="J57" s="272"/>
      <c r="K57" s="272">
        <f>+Personnel!H35</f>
        <v>0</v>
      </c>
      <c r="L57" s="272"/>
      <c r="M57" s="272">
        <f>+Personnel!I35</f>
        <v>0</v>
      </c>
      <c r="N57" s="272"/>
      <c r="O57" s="272">
        <f>+Personnel!J35</f>
        <v>0</v>
      </c>
      <c r="P57" s="272"/>
      <c r="Q57" s="274">
        <f>SUM(K57:O57)</f>
        <v>0</v>
      </c>
      <c r="S57" s="272">
        <f>+Personnel!L35</f>
        <v>0</v>
      </c>
      <c r="T57" s="272"/>
      <c r="U57" s="272">
        <f>+Personnel!M35</f>
        <v>0</v>
      </c>
      <c r="V57" s="272"/>
      <c r="W57" s="272">
        <f>+Personnel!N35</f>
        <v>0</v>
      </c>
      <c r="X57" s="272"/>
      <c r="Y57" s="276">
        <f>SUM(S57:W57)</f>
        <v>0</v>
      </c>
      <c r="Z57" s="273"/>
      <c r="AA57" s="272">
        <f>+Personnel!P35</f>
        <v>0</v>
      </c>
      <c r="AB57" s="167"/>
      <c r="AC57" s="272">
        <f>+Personnel!Q35</f>
        <v>0</v>
      </c>
      <c r="AE57" s="272">
        <f>+Personnel!R35</f>
        <v>0</v>
      </c>
      <c r="AG57" s="276">
        <f>SUM(AA57:AE57)</f>
        <v>0</v>
      </c>
      <c r="AI57" s="309">
        <f>+I57+Q57+Y57+AG57</f>
        <v>0</v>
      </c>
    </row>
    <row r="58" spans="2:37" ht="15" hidden="1">
      <c r="B58" s="269" t="s">
        <v>453</v>
      </c>
      <c r="C58" s="272">
        <f>+Personnel!B36</f>
        <v>0</v>
      </c>
      <c r="D58" s="272"/>
      <c r="E58" s="272">
        <f>+Personnel!D36</f>
        <v>0</v>
      </c>
      <c r="F58" s="272"/>
      <c r="G58" s="272">
        <f>+Personnel!F36</f>
        <v>0</v>
      </c>
      <c r="H58" s="272"/>
      <c r="I58" s="274">
        <f>SUM(C58,E58,G58)</f>
        <v>0</v>
      </c>
      <c r="J58" s="272"/>
      <c r="K58" s="272">
        <f>+Personnel!H36</f>
        <v>0</v>
      </c>
      <c r="L58" s="272"/>
      <c r="M58" s="272">
        <f>+Personnel!I36</f>
        <v>0</v>
      </c>
      <c r="N58" s="272"/>
      <c r="O58" s="272">
        <f>+Personnel!J36</f>
        <v>0</v>
      </c>
      <c r="P58" s="272"/>
      <c r="Q58" s="274">
        <f>SUM(K58:O58)</f>
        <v>0</v>
      </c>
      <c r="S58" s="272">
        <f>+Personnel!L36</f>
        <v>0</v>
      </c>
      <c r="T58" s="272"/>
      <c r="U58" s="272">
        <f>+Personnel!M36</f>
        <v>0</v>
      </c>
      <c r="V58" s="272"/>
      <c r="W58" s="272">
        <f>+Personnel!N36</f>
        <v>0</v>
      </c>
      <c r="X58" s="272"/>
      <c r="Y58" s="276">
        <f>SUM(S58:W58)</f>
        <v>0</v>
      </c>
      <c r="Z58" s="273"/>
      <c r="AA58" s="272">
        <f>+Personnel!P36</f>
        <v>0</v>
      </c>
      <c r="AB58" s="167"/>
      <c r="AC58" s="272">
        <f>+Personnel!Q36</f>
        <v>0</v>
      </c>
      <c r="AE58" s="272">
        <f>+Personnel!R36</f>
        <v>0</v>
      </c>
      <c r="AG58" s="276">
        <f>SUM(AA58:AE58)</f>
        <v>0</v>
      </c>
      <c r="AI58" s="309">
        <f>+I58+Q58+Y58+AG58</f>
        <v>0</v>
      </c>
    </row>
    <row r="59" spans="2:37" ht="15" hidden="1">
      <c r="B59" s="269" t="s">
        <v>454</v>
      </c>
      <c r="C59" s="273">
        <f>+Personnel!B42-C60</f>
        <v>-484</v>
      </c>
      <c r="D59" s="272"/>
      <c r="E59" s="273">
        <f>+Personnel!D42-E60</f>
        <v>-270</v>
      </c>
      <c r="F59" s="272"/>
      <c r="G59" s="273">
        <f>+Personnel!F42-G60</f>
        <v>-270</v>
      </c>
      <c r="H59" s="272"/>
      <c r="I59" s="276">
        <f>SUM(C59,E59,G59)</f>
        <v>-1024</v>
      </c>
      <c r="J59" s="273"/>
      <c r="K59" s="273">
        <f>+Personnel!H42-K60</f>
        <v>-267</v>
      </c>
      <c r="L59" s="273"/>
      <c r="M59" s="273">
        <f>+Personnel!I42-M60</f>
        <v>-237</v>
      </c>
      <c r="N59" s="273"/>
      <c r="O59" s="273">
        <f>+Personnel!J42-O60</f>
        <v>-276</v>
      </c>
      <c r="P59" s="273"/>
      <c r="Q59" s="276">
        <f>SUM(K59:O59)</f>
        <v>-780</v>
      </c>
      <c r="S59" s="273">
        <f>+Personnel!L42-S60</f>
        <v>-299</v>
      </c>
      <c r="T59" s="273"/>
      <c r="U59" s="277">
        <f>+Personnel!M42-U60</f>
        <v>-415</v>
      </c>
      <c r="V59" s="277"/>
      <c r="W59" s="277">
        <f>+Personnel!N42-W60</f>
        <v>-432</v>
      </c>
      <c r="X59" s="277"/>
      <c r="Y59" s="276">
        <f>SUM(S59:W59)</f>
        <v>-1146</v>
      </c>
      <c r="Z59" s="273"/>
      <c r="AA59" s="277">
        <f>+Personnel!P42-AA60</f>
        <v>-325</v>
      </c>
      <c r="AB59" s="395"/>
      <c r="AC59" s="277">
        <f>+Personnel!Q42-AC60</f>
        <v>-220</v>
      </c>
      <c r="AE59" s="277">
        <f>+Personnel!R42-AE60</f>
        <v>-199</v>
      </c>
      <c r="AG59" s="276">
        <f>SUM(AA59:AE59)</f>
        <v>-744</v>
      </c>
      <c r="AI59" s="309">
        <f>+I59+Q59+Y59+AG59</f>
        <v>-3694</v>
      </c>
    </row>
    <row r="60" spans="2:37" ht="15" hidden="1">
      <c r="B60" s="269" t="s">
        <v>455</v>
      </c>
      <c r="C60" s="273">
        <f>+C77</f>
        <v>484</v>
      </c>
      <c r="D60" s="272"/>
      <c r="E60" s="273">
        <v>270</v>
      </c>
      <c r="F60" s="272"/>
      <c r="G60" s="273">
        <f>+G77</f>
        <v>270</v>
      </c>
      <c r="H60" s="272"/>
      <c r="I60" s="276">
        <f>SUM(C60,E60,G60)</f>
        <v>1024</v>
      </c>
      <c r="J60" s="273"/>
      <c r="K60" s="273">
        <f>+K77</f>
        <v>267</v>
      </c>
      <c r="L60" s="273"/>
      <c r="M60" s="273">
        <f>+M77</f>
        <v>237</v>
      </c>
      <c r="N60" s="273"/>
      <c r="O60" s="273">
        <f>+O77</f>
        <v>276</v>
      </c>
      <c r="P60" s="273"/>
      <c r="Q60" s="276">
        <f>SUM(K60:O60)</f>
        <v>780</v>
      </c>
      <c r="S60" s="273">
        <f>+S77</f>
        <v>299</v>
      </c>
      <c r="T60" s="273"/>
      <c r="U60" s="273">
        <f>+U77</f>
        <v>415</v>
      </c>
      <c r="V60" s="277"/>
      <c r="W60" s="273">
        <f>+W77</f>
        <v>432</v>
      </c>
      <c r="X60" s="277"/>
      <c r="Y60" s="276">
        <f>SUM(S60:W60)</f>
        <v>1146</v>
      </c>
      <c r="Z60" s="273"/>
      <c r="AA60" s="273">
        <f>+AA77</f>
        <v>325</v>
      </c>
      <c r="AB60" s="395"/>
      <c r="AC60" s="273">
        <f>+AC77</f>
        <v>220</v>
      </c>
      <c r="AE60" s="273">
        <f>+AE77</f>
        <v>199</v>
      </c>
      <c r="AG60" s="276">
        <f>SUM(AA60:AE60)</f>
        <v>744</v>
      </c>
      <c r="AI60" s="309">
        <f>+I60+Q60+Y60+AG60</f>
        <v>3694</v>
      </c>
    </row>
    <row r="61" spans="2:37" ht="15" hidden="1">
      <c r="B61" s="269" t="s">
        <v>456</v>
      </c>
      <c r="C61" s="277" t="e">
        <f>+C59/C57</f>
        <v>#DIV/0!</v>
      </c>
      <c r="D61" s="272"/>
      <c r="E61" s="277">
        <f>IFERROR(E59/E57,0)</f>
        <v>0</v>
      </c>
      <c r="F61" s="272"/>
      <c r="G61" s="277">
        <f>IFERROR(G59/G57,0)</f>
        <v>0</v>
      </c>
      <c r="H61" s="272"/>
      <c r="I61" s="276">
        <f>IFERROR(I59/I57,0)</f>
        <v>0</v>
      </c>
      <c r="J61" s="277"/>
      <c r="K61" s="277">
        <f>IFERROR(K59/K57,0)</f>
        <v>0</v>
      </c>
      <c r="L61" s="277"/>
      <c r="M61" s="277">
        <f>IFERROR(M59/M57,0)</f>
        <v>0</v>
      </c>
      <c r="N61" s="277"/>
      <c r="O61" s="277">
        <f>IFERROR(O59/O57,0)</f>
        <v>0</v>
      </c>
      <c r="P61" s="277"/>
      <c r="Q61" s="276">
        <f>IFERROR(Q59/Q57,0)</f>
        <v>0</v>
      </c>
      <c r="S61" s="277">
        <f>IFERROR(S59/S57,0)</f>
        <v>0</v>
      </c>
      <c r="T61" s="277"/>
      <c r="U61" s="277">
        <f>IFERROR(U59/U57,0)</f>
        <v>0</v>
      </c>
      <c r="V61" s="277"/>
      <c r="W61" s="277">
        <f>IFERROR(W59/W57,0)</f>
        <v>0</v>
      </c>
      <c r="X61" s="277"/>
      <c r="Y61" s="276">
        <f>IFERROR(Y59/Y57,0)</f>
        <v>0</v>
      </c>
      <c r="Z61" s="277"/>
      <c r="AA61" s="277">
        <f>IFERROR(AA59/AA57,0)</f>
        <v>0</v>
      </c>
      <c r="AB61" s="395"/>
      <c r="AC61" s="277">
        <f>IFERROR(AC59/AC57,0)</f>
        <v>0</v>
      </c>
      <c r="AE61" s="277">
        <f>IFERROR(AE59/AE57,0)</f>
        <v>0</v>
      </c>
      <c r="AG61" s="276">
        <f>IFERROR(AG59/AG57,0)</f>
        <v>0</v>
      </c>
      <c r="AI61" s="276">
        <f>IFERROR(AI59/AI57,0)</f>
        <v>0</v>
      </c>
    </row>
    <row r="62" spans="2:37" ht="15" hidden="1">
      <c r="B62" s="290" t="s">
        <v>457</v>
      </c>
      <c r="C62" s="291" t="e">
        <f>+C57/C50</f>
        <v>#REF!</v>
      </c>
      <c r="D62" s="292"/>
      <c r="E62" s="291">
        <f>IFERROR(E57/E50,0)</f>
        <v>0</v>
      </c>
      <c r="F62" s="292"/>
      <c r="G62" s="291">
        <f>IFERROR(G57/G50,0)</f>
        <v>0</v>
      </c>
      <c r="H62" s="292"/>
      <c r="I62" s="310">
        <f>IFERROR(I57/I50,0)</f>
        <v>0</v>
      </c>
      <c r="J62" s="278"/>
      <c r="K62" s="291">
        <f>IFERROR(K57/K50,0)</f>
        <v>0</v>
      </c>
      <c r="L62" s="291"/>
      <c r="M62" s="291">
        <f>IFERROR(M57/M50,0)</f>
        <v>0</v>
      </c>
      <c r="N62" s="291"/>
      <c r="O62" s="291">
        <f>IFERROR(O57/O50,0)</f>
        <v>0</v>
      </c>
      <c r="P62" s="291"/>
      <c r="Q62" s="310">
        <f>IFERROR(Q57/Q50,0)</f>
        <v>0</v>
      </c>
      <c r="R62" s="168"/>
      <c r="S62" s="291">
        <f>IFERROR(S57/S50,0)</f>
        <v>0</v>
      </c>
      <c r="T62" s="278"/>
      <c r="U62" s="291">
        <f>IFERROR(U57/U50,0)</f>
        <v>0</v>
      </c>
      <c r="V62" s="278"/>
      <c r="W62" s="291">
        <f>IFERROR(W57/W50,0)</f>
        <v>0</v>
      </c>
      <c r="X62" s="291"/>
      <c r="Y62" s="310">
        <f>IFERROR(Y57/Y50,0)</f>
        <v>0</v>
      </c>
      <c r="Z62" s="278"/>
      <c r="AA62" s="291">
        <f>IFERROR(AA57/AA50,0)</f>
        <v>0</v>
      </c>
      <c r="AB62" s="404"/>
      <c r="AC62" s="291">
        <f>IFERROR(AC57/AC50,0)</f>
        <v>0</v>
      </c>
      <c r="AD62" s="463"/>
      <c r="AE62" s="291">
        <f>IFERROR(AE57/AE50,0)</f>
        <v>0</v>
      </c>
      <c r="AF62" s="463"/>
      <c r="AG62" s="310">
        <f>IFERROR(AG57/AG50,0)</f>
        <v>0</v>
      </c>
      <c r="AH62" s="168"/>
      <c r="AI62" s="310">
        <f>IFERROR(AI57/AI50,0)</f>
        <v>0</v>
      </c>
    </row>
    <row r="63" spans="2:37" ht="15" hidden="1">
      <c r="B63" s="269" t="s">
        <v>458</v>
      </c>
      <c r="C63" s="278" t="e">
        <f>C53/(C57+C58)</f>
        <v>#REF!</v>
      </c>
      <c r="D63" s="278"/>
      <c r="E63" s="278">
        <f>IFERROR(E53/(E57+E58),0)</f>
        <v>0</v>
      </c>
      <c r="F63" s="278"/>
      <c r="G63" s="278">
        <f>IFERROR(G53/(G57+G58),0)</f>
        <v>0</v>
      </c>
      <c r="H63" s="278"/>
      <c r="I63" s="276">
        <f>IFERROR(I53/(I57+I58),0)</f>
        <v>0</v>
      </c>
      <c r="J63" s="278"/>
      <c r="K63" s="278">
        <f>IFERROR(K53/(K57+K58),0)</f>
        <v>0</v>
      </c>
      <c r="L63" s="278"/>
      <c r="M63" s="278">
        <f>IFERROR(M53/(M57+M58),0)</f>
        <v>0</v>
      </c>
      <c r="N63" s="278"/>
      <c r="O63" s="278">
        <f>IFERROR(O53/(O57+O58),0)</f>
        <v>0</v>
      </c>
      <c r="P63" s="278"/>
      <c r="Q63" s="276">
        <f>IFERROR(Q53/(Q57+Q58),0)</f>
        <v>0</v>
      </c>
      <c r="S63" s="278">
        <f>IFERROR(S53/(S57+S58),0)</f>
        <v>0</v>
      </c>
      <c r="T63" s="278"/>
      <c r="U63" s="278">
        <f>IFERROR(U53/(U57+U58),0)</f>
        <v>0</v>
      </c>
      <c r="V63" s="278"/>
      <c r="W63" s="278">
        <f>IFERROR(W53/(W57+W58),0)</f>
        <v>0</v>
      </c>
      <c r="X63" s="278"/>
      <c r="Y63" s="276">
        <f>IFERROR(Y53/(Y57+Y58),0)</f>
        <v>0</v>
      </c>
      <c r="Z63" s="278"/>
      <c r="AA63" s="278">
        <f>IFERROR(AA53/(AA57+AA58),0)</f>
        <v>0</v>
      </c>
      <c r="AB63" s="396"/>
      <c r="AC63" s="278">
        <f>IFERROR(AC53/(AC57+AC58),0)</f>
        <v>0</v>
      </c>
      <c r="AE63" s="278">
        <f>IFERROR(AE53/(AE57+AE58),0)</f>
        <v>0</v>
      </c>
      <c r="AG63" s="276">
        <f>IFERROR(AG53/(AG57+AG58),0)</f>
        <v>0</v>
      </c>
      <c r="AI63" s="276">
        <f>IFERROR(AI53/(AI57+AI58),0)</f>
        <v>0</v>
      </c>
    </row>
    <row r="64" spans="2:37" ht="15" hidden="1">
      <c r="B64" s="269" t="s">
        <v>459</v>
      </c>
      <c r="C64" s="278" t="e">
        <f>C51/C50</f>
        <v>#REF!</v>
      </c>
      <c r="D64" s="272"/>
      <c r="E64" s="278">
        <f>IFERROR(E51/E50,0)</f>
        <v>0</v>
      </c>
      <c r="F64" s="272"/>
      <c r="G64" s="278">
        <f>IFERROR(G51/G50,0)</f>
        <v>0</v>
      </c>
      <c r="H64" s="272"/>
      <c r="I64" s="276">
        <f>IFERROR(I51/I50,0)</f>
        <v>0</v>
      </c>
      <c r="J64" s="278"/>
      <c r="K64" s="278">
        <f>IFERROR(K51/K50,0)</f>
        <v>0</v>
      </c>
      <c r="L64" s="278"/>
      <c r="M64" s="278">
        <f>IFERROR(M51/M50,0)</f>
        <v>0</v>
      </c>
      <c r="N64" s="278"/>
      <c r="O64" s="278">
        <f>IFERROR(O51/O50,0)</f>
        <v>0</v>
      </c>
      <c r="P64" s="278"/>
      <c r="Q64" s="276">
        <f>IFERROR(Q51/Q50,0)</f>
        <v>0</v>
      </c>
      <c r="S64" s="278">
        <f>IFERROR(S51/S50,0)</f>
        <v>0</v>
      </c>
      <c r="T64" s="278"/>
      <c r="U64" s="278">
        <f>IFERROR(U51/U50,0)</f>
        <v>0</v>
      </c>
      <c r="V64" s="278"/>
      <c r="W64" s="278">
        <f>IFERROR(W51/W50,0)</f>
        <v>0</v>
      </c>
      <c r="X64" s="278"/>
      <c r="Y64" s="276">
        <f>IFERROR(Y51/Y50,0)</f>
        <v>0</v>
      </c>
      <c r="Z64" s="278"/>
      <c r="AA64" s="278">
        <f>IFERROR(AA51/AA50,0)</f>
        <v>0</v>
      </c>
      <c r="AB64" s="396"/>
      <c r="AC64" s="278">
        <f>IFERROR(AC51/AC50,0)</f>
        <v>0</v>
      </c>
      <c r="AE64" s="278">
        <f>IFERROR(AE51/AE50,0)</f>
        <v>0</v>
      </c>
      <c r="AG64" s="276">
        <f>IFERROR(AG51/AG50,0)</f>
        <v>0</v>
      </c>
      <c r="AI64" s="276">
        <f>IFERROR(AI51/AI50,0)</f>
        <v>0</v>
      </c>
    </row>
    <row r="65" spans="2:35" ht="15.75" hidden="1" thickBot="1">
      <c r="B65" s="270" t="s">
        <v>460</v>
      </c>
      <c r="C65" s="278" t="e">
        <f>C55/C50</f>
        <v>#REF!</v>
      </c>
      <c r="D65" s="272"/>
      <c r="E65" s="278">
        <f>IFERROR(E55/E50,0)</f>
        <v>0</v>
      </c>
      <c r="F65" s="272"/>
      <c r="G65" s="278">
        <f>IFERROR(G55/G50,0)</f>
        <v>0</v>
      </c>
      <c r="H65" s="272"/>
      <c r="I65" s="276">
        <f>IFERROR(I55/I50,0)</f>
        <v>0</v>
      </c>
      <c r="J65" s="278"/>
      <c r="K65" s="278">
        <f>IFERROR(K55/K50,0)</f>
        <v>0</v>
      </c>
      <c r="L65" s="278"/>
      <c r="M65" s="278">
        <f>IFERROR(M55/M50,0)</f>
        <v>0</v>
      </c>
      <c r="N65" s="278"/>
      <c r="O65" s="278">
        <f>IFERROR(O55/O50,0)</f>
        <v>0</v>
      </c>
      <c r="P65" s="278"/>
      <c r="Q65" s="276">
        <f>IFERROR(Q55/Q50,0)</f>
        <v>0</v>
      </c>
      <c r="S65" s="278">
        <f>IFERROR(S55/S50,0)</f>
        <v>0</v>
      </c>
      <c r="T65" s="278"/>
      <c r="U65" s="278">
        <f>IFERROR(U55/U50,0)</f>
        <v>0</v>
      </c>
      <c r="V65" s="278"/>
      <c r="W65" s="278">
        <f>IFERROR(W55/W50,0)</f>
        <v>0</v>
      </c>
      <c r="X65" s="278"/>
      <c r="Y65" s="276">
        <f>IFERROR(Y55/Y50,0)</f>
        <v>0</v>
      </c>
      <c r="Z65" s="278"/>
      <c r="AA65" s="278">
        <f>IFERROR(AA55/AA50,0)</f>
        <v>0</v>
      </c>
      <c r="AB65" s="396"/>
      <c r="AC65" s="278">
        <f>IFERROR(AC55/AC50,0)</f>
        <v>0</v>
      </c>
      <c r="AE65" s="278">
        <f>IFERROR(AE55/AE50,0)</f>
        <v>0</v>
      </c>
      <c r="AG65" s="276">
        <f>IFERROR(AG55/AG50,0)</f>
        <v>0</v>
      </c>
      <c r="AI65" s="276">
        <f>IFERROR(AI55/AI50,0)</f>
        <v>0</v>
      </c>
    </row>
    <row r="66" spans="2:35" hidden="1">
      <c r="Q66"/>
      <c r="AG66"/>
      <c r="AI66"/>
    </row>
    <row r="67" spans="2:35" hidden="1">
      <c r="Q67"/>
      <c r="AG67"/>
      <c r="AI67"/>
    </row>
    <row r="68" spans="2:35" ht="15.75" hidden="1">
      <c r="Q68"/>
      <c r="Y68" s="61"/>
      <c r="Z68" s="61"/>
      <c r="AG68"/>
      <c r="AI68"/>
    </row>
    <row r="69" spans="2:35" ht="15.75" hidden="1">
      <c r="Q69"/>
      <c r="Y69" s="61"/>
      <c r="Z69" s="61"/>
      <c r="AG69"/>
      <c r="AI69"/>
    </row>
    <row r="70" spans="2:35" ht="15.75" hidden="1">
      <c r="C70" s="21" t="s">
        <v>3</v>
      </c>
      <c r="E70" s="21" t="s">
        <v>4</v>
      </c>
      <c r="G70" s="21" t="s">
        <v>438</v>
      </c>
      <c r="I70" s="21" t="s">
        <v>419</v>
      </c>
      <c r="K70" s="21" t="s">
        <v>6</v>
      </c>
      <c r="L70" s="21"/>
      <c r="M70" s="21" t="s">
        <v>7</v>
      </c>
      <c r="N70" s="21"/>
      <c r="O70" s="21" t="s">
        <v>439</v>
      </c>
      <c r="P70" s="21"/>
      <c r="Q70" s="21" t="s">
        <v>420</v>
      </c>
      <c r="S70" s="21" t="s">
        <v>440</v>
      </c>
      <c r="T70" s="21"/>
      <c r="U70" s="21" t="s">
        <v>441</v>
      </c>
      <c r="V70" s="21"/>
      <c r="W70" s="21" t="s">
        <v>442</v>
      </c>
      <c r="X70" s="21"/>
      <c r="Y70" s="21" t="s">
        <v>421</v>
      </c>
      <c r="Z70" s="257"/>
      <c r="AA70" s="21" t="s">
        <v>12</v>
      </c>
      <c r="AB70" s="21"/>
      <c r="AC70" s="21" t="s">
        <v>13</v>
      </c>
      <c r="AE70" s="21" t="s">
        <v>443</v>
      </c>
      <c r="AG70" s="21" t="s">
        <v>422</v>
      </c>
      <c r="AI70" s="21" t="s">
        <v>444</v>
      </c>
    </row>
    <row r="71" spans="2:35" ht="15" hidden="1">
      <c r="B71" s="269" t="s">
        <v>461</v>
      </c>
      <c r="C71" s="273">
        <v>96</v>
      </c>
      <c r="D71" s="272"/>
      <c r="E71" s="273">
        <v>38</v>
      </c>
      <c r="F71" s="272"/>
      <c r="G71" s="273">
        <v>16</v>
      </c>
      <c r="H71" s="272"/>
      <c r="I71" s="276">
        <f t="shared" ref="I71:I76" si="48">SUM(C71,E71,G71)</f>
        <v>150</v>
      </c>
      <c r="K71" s="273">
        <v>26</v>
      </c>
      <c r="L71" s="273"/>
      <c r="M71" s="273">
        <v>12</v>
      </c>
      <c r="N71" s="273"/>
      <c r="O71" s="273">
        <v>40</v>
      </c>
      <c r="P71" s="273"/>
      <c r="Q71" s="276">
        <f t="shared" ref="Q71:Q76" si="49">SUM(K71:O71)</f>
        <v>78</v>
      </c>
      <c r="S71" s="273">
        <v>32</v>
      </c>
      <c r="T71" s="273"/>
      <c r="U71" s="273">
        <v>32</v>
      </c>
      <c r="V71" s="277"/>
      <c r="W71" s="273">
        <v>58</v>
      </c>
      <c r="X71" s="277"/>
      <c r="Y71" s="276">
        <f t="shared" ref="Y71:Y76" si="50">SUM(S71:X71)</f>
        <v>122</v>
      </c>
      <c r="AA71" s="273">
        <v>32</v>
      </c>
      <c r="AB71" s="395"/>
      <c r="AC71" s="401">
        <v>44</v>
      </c>
      <c r="AE71" s="401">
        <v>20</v>
      </c>
      <c r="AG71" s="276">
        <f t="shared" ref="AG71:AG76" si="51">SUM(AA71:AF71)</f>
        <v>96</v>
      </c>
      <c r="AI71" s="276">
        <f t="shared" ref="AI71:AI76" si="52">+I71+Q71+Y71+AG71</f>
        <v>446</v>
      </c>
    </row>
    <row r="72" spans="2:35" ht="15" hidden="1">
      <c r="B72" s="269" t="s">
        <v>462</v>
      </c>
      <c r="C72" s="273">
        <v>285</v>
      </c>
      <c r="D72" s="272"/>
      <c r="E72" s="273">
        <v>180</v>
      </c>
      <c r="F72" s="272"/>
      <c r="G72" s="273">
        <v>193</v>
      </c>
      <c r="H72" s="272"/>
      <c r="I72" s="276">
        <f t="shared" si="48"/>
        <v>658</v>
      </c>
      <c r="K72" s="273">
        <v>178</v>
      </c>
      <c r="L72" s="273"/>
      <c r="M72" s="273">
        <v>192</v>
      </c>
      <c r="N72" s="273"/>
      <c r="O72" s="273">
        <v>208</v>
      </c>
      <c r="P72" s="273"/>
      <c r="Q72" s="276">
        <f t="shared" si="49"/>
        <v>578</v>
      </c>
      <c r="S72" s="273">
        <v>221</v>
      </c>
      <c r="T72" s="273"/>
      <c r="U72" s="273">
        <v>303</v>
      </c>
      <c r="V72" s="277"/>
      <c r="W72" s="273">
        <v>324</v>
      </c>
      <c r="X72" s="277"/>
      <c r="Y72" s="276">
        <f t="shared" si="50"/>
        <v>848</v>
      </c>
      <c r="AA72" s="273">
        <v>258</v>
      </c>
      <c r="AB72" s="395"/>
      <c r="AC72" s="401">
        <v>152</v>
      </c>
      <c r="AE72" s="401">
        <v>148</v>
      </c>
      <c r="AG72" s="276">
        <f>SUM(AA72:AF72)</f>
        <v>558</v>
      </c>
      <c r="AI72" s="276">
        <f t="shared" si="52"/>
        <v>2642</v>
      </c>
    </row>
    <row r="73" spans="2:35" ht="15" hidden="1">
      <c r="B73" s="269" t="s">
        <v>463</v>
      </c>
      <c r="C73" s="273">
        <v>66</v>
      </c>
      <c r="D73" s="272"/>
      <c r="E73" s="273">
        <v>3</v>
      </c>
      <c r="F73" s="272"/>
      <c r="G73" s="273">
        <v>5</v>
      </c>
      <c r="H73" s="272"/>
      <c r="I73" s="276">
        <f t="shared" si="48"/>
        <v>74</v>
      </c>
      <c r="K73" s="273">
        <v>0</v>
      </c>
      <c r="L73" s="273"/>
      <c r="M73" s="273">
        <v>1</v>
      </c>
      <c r="N73" s="273"/>
      <c r="O73" s="273">
        <v>12</v>
      </c>
      <c r="P73" s="273"/>
      <c r="Q73" s="276">
        <f t="shared" si="49"/>
        <v>13</v>
      </c>
      <c r="S73" s="273">
        <v>16</v>
      </c>
      <c r="T73" s="273"/>
      <c r="U73" s="273">
        <v>19</v>
      </c>
      <c r="V73" s="277"/>
      <c r="W73" s="273">
        <v>10</v>
      </c>
      <c r="X73" s="277"/>
      <c r="Y73" s="276">
        <f t="shared" si="50"/>
        <v>45</v>
      </c>
      <c r="AA73" s="273">
        <v>3</v>
      </c>
      <c r="AB73" s="395"/>
      <c r="AC73" s="401"/>
      <c r="AE73" s="401"/>
      <c r="AG73" s="276">
        <f t="shared" si="51"/>
        <v>3</v>
      </c>
      <c r="AI73" s="276">
        <f t="shared" si="52"/>
        <v>135</v>
      </c>
    </row>
    <row r="74" spans="2:35" ht="15" hidden="1">
      <c r="B74" s="269" t="s">
        <v>464</v>
      </c>
      <c r="C74" s="273">
        <v>0</v>
      </c>
      <c r="D74" s="272"/>
      <c r="E74" s="273"/>
      <c r="F74" s="272"/>
      <c r="G74" s="273"/>
      <c r="H74" s="272"/>
      <c r="I74" s="276">
        <f t="shared" si="48"/>
        <v>0</v>
      </c>
      <c r="K74" s="273"/>
      <c r="L74" s="273"/>
      <c r="M74" s="273"/>
      <c r="N74" s="273"/>
      <c r="O74" s="273"/>
      <c r="P74" s="273"/>
      <c r="Q74" s="276">
        <f t="shared" si="49"/>
        <v>0</v>
      </c>
      <c r="S74" s="273"/>
      <c r="T74" s="273"/>
      <c r="U74" s="273"/>
      <c r="V74" s="277"/>
      <c r="W74" s="273"/>
      <c r="X74" s="277"/>
      <c r="Y74" s="276">
        <f t="shared" si="50"/>
        <v>0</v>
      </c>
      <c r="AA74" s="273"/>
      <c r="AB74" s="395"/>
      <c r="AC74" s="401"/>
      <c r="AE74" s="401"/>
      <c r="AG74" s="276">
        <f t="shared" si="51"/>
        <v>0</v>
      </c>
      <c r="AI74" s="276">
        <f t="shared" si="52"/>
        <v>0</v>
      </c>
    </row>
    <row r="75" spans="2:35" ht="15" hidden="1">
      <c r="B75" s="269" t="s">
        <v>465</v>
      </c>
      <c r="C75" s="273">
        <v>37</v>
      </c>
      <c r="D75" s="272"/>
      <c r="E75" s="273">
        <v>49</v>
      </c>
      <c r="F75" s="272"/>
      <c r="G75" s="273">
        <v>56</v>
      </c>
      <c r="H75" s="272"/>
      <c r="I75" s="276">
        <f t="shared" si="48"/>
        <v>142</v>
      </c>
      <c r="K75" s="273">
        <v>63</v>
      </c>
      <c r="L75" s="273"/>
      <c r="M75" s="273">
        <v>32</v>
      </c>
      <c r="N75" s="273"/>
      <c r="O75" s="273">
        <v>16</v>
      </c>
      <c r="P75" s="273"/>
      <c r="Q75" s="276">
        <f t="shared" si="49"/>
        <v>111</v>
      </c>
      <c r="S75" s="273">
        <v>30</v>
      </c>
      <c r="T75" s="273"/>
      <c r="U75" s="273">
        <v>61</v>
      </c>
      <c r="V75" s="277"/>
      <c r="W75" s="273">
        <v>40</v>
      </c>
      <c r="X75" s="277"/>
      <c r="Y75" s="276">
        <f t="shared" si="50"/>
        <v>131</v>
      </c>
      <c r="AA75" s="322">
        <v>32</v>
      </c>
      <c r="AB75" s="395"/>
      <c r="AC75" s="402">
        <v>24</v>
      </c>
      <c r="AE75" s="402">
        <v>31</v>
      </c>
      <c r="AG75" s="276">
        <f t="shared" si="51"/>
        <v>87</v>
      </c>
      <c r="AI75" s="276">
        <f t="shared" si="52"/>
        <v>471</v>
      </c>
    </row>
    <row r="76" spans="2:35" ht="15" hidden="1">
      <c r="B76" s="269"/>
      <c r="C76" s="273">
        <v>0</v>
      </c>
      <c r="D76" s="272"/>
      <c r="E76" s="273"/>
      <c r="F76" s="272"/>
      <c r="G76" s="273"/>
      <c r="H76" s="272"/>
      <c r="I76" s="276">
        <f t="shared" si="48"/>
        <v>0</v>
      </c>
      <c r="K76" s="273"/>
      <c r="L76" s="273"/>
      <c r="M76" s="273"/>
      <c r="N76" s="273"/>
      <c r="O76" s="273"/>
      <c r="P76" s="273"/>
      <c r="Q76" s="276">
        <f t="shared" si="49"/>
        <v>0</v>
      </c>
      <c r="S76" s="273"/>
      <c r="T76" s="273"/>
      <c r="U76" s="273"/>
      <c r="V76" s="277"/>
      <c r="W76" s="277"/>
      <c r="X76" s="277"/>
      <c r="Y76" s="276">
        <f t="shared" si="50"/>
        <v>0</v>
      </c>
      <c r="AA76" s="277"/>
      <c r="AB76" s="395"/>
      <c r="AC76" s="401"/>
      <c r="AE76" s="401"/>
      <c r="AG76" s="276">
        <f t="shared" si="51"/>
        <v>0</v>
      </c>
      <c r="AI76" s="276">
        <f t="shared" si="52"/>
        <v>0</v>
      </c>
    </row>
    <row r="77" spans="2:35" hidden="1">
      <c r="C77" s="149">
        <f>SUM(C71:C76)</f>
        <v>484</v>
      </c>
      <c r="E77" s="149">
        <f>SUM(E71:E76)</f>
        <v>270</v>
      </c>
      <c r="G77" s="149">
        <f>SUM(G71:G76)</f>
        <v>270</v>
      </c>
      <c r="I77" s="149">
        <f>SUM(I71:I76)</f>
        <v>1024</v>
      </c>
      <c r="K77" s="149">
        <f>SUM(K71:K76)</f>
        <v>267</v>
      </c>
      <c r="M77" s="149">
        <f>SUM(M71:M76)</f>
        <v>237</v>
      </c>
      <c r="O77" s="149">
        <f>SUM(O71:O76)</f>
        <v>276</v>
      </c>
      <c r="Q77" s="149">
        <f>SUM(Q71:Q76)</f>
        <v>780</v>
      </c>
      <c r="S77" s="149">
        <f>SUM(S71:S76)</f>
        <v>299</v>
      </c>
      <c r="U77" s="149">
        <f>SUM(U71:U76)</f>
        <v>415</v>
      </c>
      <c r="W77" s="149">
        <f>SUM(W71:W76)</f>
        <v>432</v>
      </c>
      <c r="Y77" s="149">
        <f>SUM(Y71:Y76)</f>
        <v>1146</v>
      </c>
      <c r="AA77" s="149">
        <f>SUM(AA71:AA76)</f>
        <v>325</v>
      </c>
      <c r="AB77" s="149"/>
      <c r="AC77" s="149">
        <f>SUM(AC71:AC76)</f>
        <v>220</v>
      </c>
      <c r="AE77" s="149">
        <f>SUM(AE71:AE76)</f>
        <v>199</v>
      </c>
      <c r="AG77" s="149">
        <f>SUM(AG71:AG76)</f>
        <v>744</v>
      </c>
      <c r="AI77" s="149">
        <f>SUM(AI71:AI76)</f>
        <v>3694</v>
      </c>
    </row>
    <row r="78" spans="2:35" hidden="1">
      <c r="Q78"/>
      <c r="AG78"/>
      <c r="AI78"/>
    </row>
    <row r="79" spans="2:35" hidden="1">
      <c r="Q79"/>
      <c r="AG79"/>
      <c r="AI79"/>
    </row>
    <row r="80" spans="2:35" hidden="1">
      <c r="Q80"/>
      <c r="AG80"/>
      <c r="AI80"/>
    </row>
    <row r="81" spans="17:35" hidden="1">
      <c r="Q81"/>
      <c r="AG81"/>
      <c r="AI81"/>
    </row>
    <row r="82" spans="17:35" hidden="1">
      <c r="Q82"/>
      <c r="AG82"/>
      <c r="AI82"/>
    </row>
    <row r="83" spans="17:35" hidden="1">
      <c r="AG83"/>
      <c r="AI83"/>
    </row>
    <row r="84" spans="17:35" hidden="1">
      <c r="AG84"/>
      <c r="AI84"/>
    </row>
    <row r="85" spans="17:35" hidden="1">
      <c r="AG85"/>
      <c r="AI85"/>
    </row>
    <row r="86" spans="17:35" hidden="1">
      <c r="AG86"/>
      <c r="AI86"/>
    </row>
    <row r="87" spans="17:35" hidden="1">
      <c r="AG87"/>
      <c r="AI87"/>
    </row>
    <row r="88" spans="17:35" hidden="1">
      <c r="AG88"/>
      <c r="AI88"/>
    </row>
    <row r="89" spans="17:35" hidden="1">
      <c r="AG89"/>
      <c r="AI89"/>
    </row>
    <row r="90" spans="17:35" hidden="1">
      <c r="AG90"/>
      <c r="AI90"/>
    </row>
    <row r="91" spans="17:35" hidden="1">
      <c r="AG91"/>
      <c r="AI91"/>
    </row>
    <row r="92" spans="17:35" hidden="1">
      <c r="AG92"/>
      <c r="AI92"/>
    </row>
    <row r="93" spans="17:35" hidden="1">
      <c r="AG93"/>
      <c r="AI93"/>
    </row>
    <row r="94" spans="17:35" hidden="1">
      <c r="AG94"/>
      <c r="AI94"/>
    </row>
    <row r="95" spans="17:35" hidden="1">
      <c r="AG95"/>
      <c r="AI95"/>
    </row>
    <row r="96" spans="17:35" hidden="1">
      <c r="AG96"/>
      <c r="AI96"/>
    </row>
    <row r="97" spans="33:35" hidden="1">
      <c r="AG97"/>
      <c r="AI97"/>
    </row>
    <row r="98" spans="33:35" hidden="1">
      <c r="AG98"/>
      <c r="AI98"/>
    </row>
    <row r="99" spans="33:35" hidden="1">
      <c r="AG99"/>
      <c r="AI99"/>
    </row>
    <row r="100" spans="33:35" hidden="1">
      <c r="AG100"/>
      <c r="AI100"/>
    </row>
    <row r="101" spans="33:35" hidden="1">
      <c r="AG101"/>
      <c r="AI101"/>
    </row>
    <row r="102" spans="33:35" hidden="1">
      <c r="AG102"/>
      <c r="AI102"/>
    </row>
    <row r="103" spans="33:35" hidden="1">
      <c r="AG103"/>
      <c r="AI103"/>
    </row>
    <row r="104" spans="33:35" hidden="1">
      <c r="AG104"/>
      <c r="AI104"/>
    </row>
    <row r="105" spans="33:35" hidden="1">
      <c r="AG105"/>
      <c r="AI105"/>
    </row>
    <row r="106" spans="33:35" hidden="1">
      <c r="AG106"/>
      <c r="AI106"/>
    </row>
    <row r="107" spans="33:35" hidden="1">
      <c r="AG107"/>
      <c r="AI107"/>
    </row>
    <row r="108" spans="33:35" hidden="1">
      <c r="AG108"/>
      <c r="AI108"/>
    </row>
    <row r="109" spans="33:35" hidden="1">
      <c r="AG109"/>
      <c r="AI109"/>
    </row>
    <row r="110" spans="33:35" hidden="1">
      <c r="AG110"/>
      <c r="AI110"/>
    </row>
    <row r="111" spans="33:35" hidden="1">
      <c r="AG111"/>
      <c r="AI111"/>
    </row>
    <row r="112" spans="33:35" hidden="1">
      <c r="AG112"/>
      <c r="AI112"/>
    </row>
    <row r="113" spans="33:35" hidden="1">
      <c r="AG113"/>
      <c r="AI113"/>
    </row>
    <row r="114" spans="33:35" hidden="1">
      <c r="AG114"/>
      <c r="AI114"/>
    </row>
    <row r="115" spans="33:35" hidden="1">
      <c r="AG115"/>
      <c r="AI115"/>
    </row>
    <row r="116" spans="33:35" hidden="1">
      <c r="AG116"/>
      <c r="AI116"/>
    </row>
    <row r="117" spans="33:35" hidden="1">
      <c r="AG117"/>
      <c r="AI117"/>
    </row>
    <row r="118" spans="33:35" hidden="1">
      <c r="AG118"/>
      <c r="AI118"/>
    </row>
    <row r="119" spans="33:35" hidden="1">
      <c r="AG119"/>
      <c r="AI119"/>
    </row>
    <row r="120" spans="33:35" hidden="1">
      <c r="AG120"/>
      <c r="AI120"/>
    </row>
    <row r="121" spans="33:35" hidden="1">
      <c r="AG121"/>
      <c r="AI121"/>
    </row>
    <row r="122" spans="33:35" hidden="1">
      <c r="AG122"/>
      <c r="AI122"/>
    </row>
    <row r="123" spans="33:35" hidden="1">
      <c r="AG123"/>
      <c r="AI123"/>
    </row>
    <row r="124" spans="33:35" hidden="1">
      <c r="AG124"/>
      <c r="AI124"/>
    </row>
    <row r="125" spans="33:35" hidden="1">
      <c r="AG125"/>
      <c r="AI125"/>
    </row>
    <row r="126" spans="33:35" hidden="1">
      <c r="AG126"/>
      <c r="AI126"/>
    </row>
    <row r="127" spans="33:35" hidden="1">
      <c r="AG127"/>
      <c r="AI127"/>
    </row>
    <row r="128" spans="33:35" hidden="1">
      <c r="AG128"/>
      <c r="AI128"/>
    </row>
    <row r="129" spans="10:35" hidden="1">
      <c r="AG129"/>
      <c r="AI129"/>
    </row>
    <row r="130" spans="10:35" hidden="1">
      <c r="AG130"/>
      <c r="AI130"/>
    </row>
    <row r="131" spans="10:35" s="187" customFormat="1" hidden="1">
      <c r="J131"/>
      <c r="R131"/>
      <c r="T131"/>
      <c r="V131"/>
      <c r="Z131"/>
      <c r="AH131"/>
    </row>
    <row r="132" spans="10:35" hidden="1">
      <c r="AG132"/>
      <c r="AI132"/>
    </row>
    <row r="133" spans="10:35" hidden="1">
      <c r="AG133"/>
      <c r="AI133"/>
    </row>
    <row r="134" spans="10:35" hidden="1">
      <c r="AG134"/>
      <c r="AI134"/>
    </row>
    <row r="135" spans="10:35" hidden="1">
      <c r="AG135"/>
      <c r="AI135"/>
    </row>
    <row r="136" spans="10:35" hidden="1">
      <c r="AG136"/>
      <c r="AI136"/>
    </row>
    <row r="137" spans="10:35" hidden="1">
      <c r="AG137"/>
      <c r="AI137"/>
    </row>
    <row r="138" spans="10:35" hidden="1">
      <c r="AG138"/>
      <c r="AI138"/>
    </row>
    <row r="139" spans="10:35" hidden="1">
      <c r="AG139"/>
      <c r="AI139"/>
    </row>
    <row r="140" spans="10:35" hidden="1">
      <c r="AG140"/>
      <c r="AI140"/>
    </row>
    <row r="141" spans="10:35" hidden="1">
      <c r="AG141"/>
      <c r="AI141"/>
    </row>
    <row r="142" spans="10:35" hidden="1">
      <c r="AG142"/>
      <c r="AI142"/>
    </row>
    <row r="143" spans="10:35" hidden="1">
      <c r="AG143"/>
      <c r="AI143"/>
    </row>
    <row r="144" spans="10:35" hidden="1">
      <c r="AG144"/>
      <c r="AI144"/>
    </row>
    <row r="145" spans="33:35" hidden="1">
      <c r="AG145"/>
      <c r="AI145"/>
    </row>
    <row r="146" spans="33:35" hidden="1">
      <c r="AG146"/>
      <c r="AI146"/>
    </row>
    <row r="147" spans="33:35" hidden="1">
      <c r="AG147"/>
      <c r="AI147"/>
    </row>
    <row r="148" spans="33:35" hidden="1">
      <c r="AG148"/>
      <c r="AI148"/>
    </row>
    <row r="149" spans="33:35" hidden="1">
      <c r="AG149"/>
      <c r="AI149"/>
    </row>
    <row r="150" spans="33:35" hidden="1">
      <c r="AG150"/>
      <c r="AI150"/>
    </row>
    <row r="151" spans="33:35" hidden="1">
      <c r="AG151"/>
      <c r="AI151"/>
    </row>
    <row r="152" spans="33:35" hidden="1">
      <c r="AG152"/>
      <c r="AI152"/>
    </row>
    <row r="153" spans="33:35" hidden="1">
      <c r="AG153"/>
      <c r="AI153"/>
    </row>
    <row r="154" spans="33:35" hidden="1">
      <c r="AG154"/>
      <c r="AI154"/>
    </row>
    <row r="155" spans="33:35" hidden="1">
      <c r="AG155"/>
      <c r="AI155"/>
    </row>
    <row r="156" spans="33:35" hidden="1">
      <c r="AG156"/>
      <c r="AI156"/>
    </row>
    <row r="157" spans="33:35" hidden="1">
      <c r="AG157"/>
      <c r="AI157"/>
    </row>
    <row r="158" spans="33:35" hidden="1">
      <c r="AG158"/>
      <c r="AI158"/>
    </row>
    <row r="159" spans="33:35" hidden="1">
      <c r="AG159"/>
      <c r="AI159"/>
    </row>
    <row r="160" spans="33:35" hidden="1">
      <c r="AG160"/>
      <c r="AI160"/>
    </row>
    <row r="161" spans="33:35" hidden="1">
      <c r="AG161"/>
      <c r="AI161"/>
    </row>
    <row r="162" spans="33:35" hidden="1">
      <c r="AG162"/>
      <c r="AI162"/>
    </row>
    <row r="163" spans="33:35" hidden="1">
      <c r="AG163"/>
      <c r="AI163"/>
    </row>
    <row r="164" spans="33:35" hidden="1">
      <c r="AG164"/>
      <c r="AI164"/>
    </row>
    <row r="165" spans="33:35" hidden="1">
      <c r="AG165"/>
      <c r="AI165"/>
    </row>
    <row r="166" spans="33:35" hidden="1">
      <c r="AG166"/>
      <c r="AI166"/>
    </row>
    <row r="167" spans="33:35" hidden="1">
      <c r="AG167"/>
      <c r="AI167"/>
    </row>
    <row r="168" spans="33:35" hidden="1">
      <c r="AG168"/>
      <c r="AI168"/>
    </row>
    <row r="169" spans="33:35" hidden="1">
      <c r="AG169"/>
      <c r="AI169"/>
    </row>
    <row r="170" spans="33:35" hidden="1">
      <c r="AG170"/>
      <c r="AI170"/>
    </row>
    <row r="171" spans="33:35" hidden="1">
      <c r="AG171"/>
      <c r="AI171"/>
    </row>
    <row r="172" spans="33:35" hidden="1">
      <c r="AG172"/>
      <c r="AI172"/>
    </row>
    <row r="173" spans="33:35" hidden="1">
      <c r="AG173"/>
      <c r="AI173"/>
    </row>
    <row r="174" spans="33:35" hidden="1">
      <c r="AG174"/>
      <c r="AI174"/>
    </row>
    <row r="175" spans="33:35" hidden="1">
      <c r="AG175"/>
      <c r="AI175"/>
    </row>
    <row r="176" spans="33:35" hidden="1">
      <c r="AG176"/>
      <c r="AI176"/>
    </row>
    <row r="177" spans="17:35" hidden="1">
      <c r="AG177"/>
      <c r="AI177"/>
    </row>
    <row r="178" spans="17:35" hidden="1">
      <c r="AG178"/>
      <c r="AI178"/>
    </row>
    <row r="179" spans="17:35" hidden="1">
      <c r="AG179"/>
      <c r="AI179"/>
    </row>
    <row r="180" spans="17:35" hidden="1">
      <c r="AG180"/>
      <c r="AI180"/>
    </row>
    <row r="181" spans="17:35" hidden="1">
      <c r="AG181"/>
      <c r="AI181"/>
    </row>
    <row r="182" spans="17:35" hidden="1">
      <c r="AG182"/>
      <c r="AI182"/>
    </row>
    <row r="183" spans="17:35" hidden="1">
      <c r="AG183"/>
      <c r="AI183"/>
    </row>
    <row r="184" spans="17:35" hidden="1">
      <c r="AG184"/>
      <c r="AI184"/>
    </row>
    <row r="185" spans="17:35" hidden="1">
      <c r="AG185"/>
      <c r="AI185"/>
    </row>
    <row r="186" spans="17:35" hidden="1">
      <c r="AG186"/>
      <c r="AI186"/>
    </row>
    <row r="187" spans="17:35" hidden="1">
      <c r="AG187"/>
      <c r="AI187"/>
    </row>
    <row r="188" spans="17:35" hidden="1">
      <c r="AG188"/>
      <c r="AI188"/>
    </row>
    <row r="189" spans="17:35" hidden="1">
      <c r="AG189"/>
      <c r="AI189"/>
    </row>
    <row r="190" spans="17:35" hidden="1">
      <c r="AG190"/>
      <c r="AI190"/>
    </row>
    <row r="191" spans="17:35" hidden="1">
      <c r="AG191"/>
      <c r="AI191"/>
    </row>
    <row r="192" spans="17:35" hidden="1">
      <c r="Q192"/>
      <c r="AG192"/>
      <c r="AI192"/>
    </row>
    <row r="193" customFormat="1" hidden="1"/>
    <row r="194" customFormat="1" hidden="1"/>
    <row r="195" customFormat="1" hidden="1"/>
    <row r="196" customFormat="1" hidden="1"/>
    <row r="197" customFormat="1" hidden="1"/>
    <row r="198" customFormat="1" hidden="1"/>
    <row r="199" customFormat="1" hidden="1"/>
    <row r="200" customFormat="1" hidden="1"/>
    <row r="201" customFormat="1" hidden="1"/>
    <row r="202" customFormat="1" hidden="1"/>
    <row r="203" customFormat="1" hidden="1"/>
    <row r="204" customFormat="1" hidden="1"/>
    <row r="205" customFormat="1" hidden="1"/>
    <row r="206" customFormat="1" hidden="1"/>
    <row r="207" customFormat="1" hidden="1"/>
    <row r="208" customFormat="1" hidden="1"/>
    <row r="209" customFormat="1" hidden="1"/>
    <row r="210" customFormat="1" hidden="1"/>
    <row r="211" customFormat="1" hidden="1"/>
    <row r="212" customFormat="1" hidden="1"/>
    <row r="213" customFormat="1" hidden="1"/>
    <row r="214" customFormat="1" hidden="1"/>
    <row r="215" customFormat="1" hidden="1"/>
    <row r="216" customFormat="1" hidden="1"/>
    <row r="217" customFormat="1" hidden="1"/>
    <row r="218" customFormat="1" hidden="1"/>
    <row r="219" customFormat="1" hidden="1"/>
    <row r="220" customFormat="1" hidden="1"/>
    <row r="221" customFormat="1" hidden="1"/>
    <row r="222" customFormat="1" hidden="1"/>
    <row r="223" customFormat="1" hidden="1"/>
    <row r="224" customFormat="1" hidden="1"/>
    <row r="225" customFormat="1" hidden="1"/>
    <row r="226" customFormat="1" hidden="1"/>
    <row r="227" customFormat="1" hidden="1"/>
    <row r="228" customFormat="1" hidden="1"/>
    <row r="229" customFormat="1" hidden="1"/>
    <row r="230" customFormat="1" hidden="1"/>
    <row r="231" customFormat="1" hidden="1"/>
    <row r="232" customFormat="1" hidden="1"/>
    <row r="233" customFormat="1" hidden="1"/>
    <row r="234" customFormat="1" hidden="1"/>
    <row r="235" customFormat="1" hidden="1"/>
    <row r="236" customFormat="1" hidden="1"/>
    <row r="237" customFormat="1" hidden="1"/>
    <row r="238" customFormat="1" hidden="1"/>
    <row r="239" customFormat="1" hidden="1"/>
    <row r="240" customFormat="1" hidden="1"/>
    <row r="241" customFormat="1" hidden="1"/>
    <row r="242" customFormat="1" hidden="1"/>
    <row r="243" customFormat="1" hidden="1"/>
    <row r="244" customFormat="1" hidden="1"/>
    <row r="245" customFormat="1" hidden="1"/>
    <row r="246" customFormat="1" hidden="1"/>
    <row r="247" customFormat="1" hidden="1"/>
    <row r="248" customFormat="1" hidden="1"/>
    <row r="249" customFormat="1" hidden="1"/>
    <row r="250" customFormat="1" hidden="1"/>
    <row r="251" customFormat="1" hidden="1"/>
    <row r="252" customFormat="1" hidden="1"/>
    <row r="253" customFormat="1" hidden="1"/>
    <row r="254" customFormat="1" hidden="1"/>
    <row r="255" customFormat="1" hidden="1"/>
    <row r="256" customFormat="1"/>
    <row r="257" spans="2:35">
      <c r="Q257"/>
      <c r="AG257"/>
      <c r="AI257"/>
    </row>
    <row r="258" spans="2:35">
      <c r="B258" s="64" t="s">
        <v>466</v>
      </c>
      <c r="C258" s="223" t="e">
        <f>IF(C47&gt;=60000,60000*4%,0)</f>
        <v>#REF!</v>
      </c>
      <c r="D258" s="187"/>
      <c r="E258" s="223" t="e">
        <f>IF(E47&gt;=60000,60000*4%,0)</f>
        <v>#REF!</v>
      </c>
      <c r="F258" s="187"/>
      <c r="G258" s="223" t="e">
        <f>IF(G47&gt;=60000,60000*4%,0)</f>
        <v>#REF!</v>
      </c>
      <c r="H258" s="187"/>
      <c r="I258" s="223" t="e">
        <f>IF(I47&gt;=60000,60000*4%,0)</f>
        <v>#REF!</v>
      </c>
      <c r="J258" s="187"/>
      <c r="K258" s="223" t="e">
        <f>IF(K47&gt;=60000,60000*4%,0)</f>
        <v>#REF!</v>
      </c>
      <c r="L258" s="187"/>
      <c r="M258" s="223" t="e">
        <f>IF(M47&gt;=60000,60000*4%,0)</f>
        <v>#REF!</v>
      </c>
      <c r="N258" s="187"/>
      <c r="O258" s="223" t="e">
        <f>IF(O47&gt;=60000,60000*4%,0)</f>
        <v>#REF!</v>
      </c>
      <c r="P258" s="187"/>
      <c r="Q258" s="223" t="e">
        <f>IF(Q47&gt;=60000,60000*4%,0)</f>
        <v>#REF!</v>
      </c>
      <c r="R258" s="187"/>
      <c r="S258" s="223" t="e">
        <f>IF(S47&gt;=60000,60000*4%,0)</f>
        <v>#REF!</v>
      </c>
      <c r="T258" s="187"/>
      <c r="U258" s="223" t="e">
        <f>IF(U47&gt;=60000,60000*4%,0)</f>
        <v>#REF!</v>
      </c>
      <c r="V258" s="187"/>
      <c r="W258" s="223" t="e">
        <f>IF(W47&gt;=60000,60000*4%,0)</f>
        <v>#REF!</v>
      </c>
      <c r="X258" s="187"/>
      <c r="Y258" s="223" t="e">
        <f>IF(Y47&gt;=60000,60000*4%,0)</f>
        <v>#REF!</v>
      </c>
      <c r="Z258" s="187"/>
      <c r="AA258" s="223" t="e">
        <f>IF(AA47&gt;=60000,60000*4%,0)</f>
        <v>#REF!</v>
      </c>
      <c r="AB258" s="187"/>
      <c r="AC258" s="223" t="e">
        <f>IF(AC47&gt;=60000,60000*4%,0)</f>
        <v>#REF!</v>
      </c>
      <c r="AD258" s="187"/>
      <c r="AE258" s="223" t="e">
        <f>IF(AE47&gt;=60000,60000*4%,0)</f>
        <v>#REF!</v>
      </c>
      <c r="AF258" s="187"/>
      <c r="AH258" s="187"/>
      <c r="AI258" s="223" t="e">
        <f>+C258+E258+G258+K258+M258+O258+S258+U258+W258+AA258+AC258+AE258</f>
        <v>#REF!</v>
      </c>
    </row>
    <row r="259" spans="2:35">
      <c r="B259" s="64" t="s">
        <v>467</v>
      </c>
      <c r="C259" s="223">
        <v>0</v>
      </c>
      <c r="D259" s="187"/>
      <c r="E259" s="223" t="e">
        <f>+#REF!</f>
        <v>#REF!</v>
      </c>
      <c r="F259" s="187"/>
      <c r="G259" s="223" t="e">
        <f>+#REF!</f>
        <v>#REF!</v>
      </c>
      <c r="H259" s="187"/>
      <c r="I259" s="223" t="e">
        <f>+#REF!</f>
        <v>#REF!</v>
      </c>
      <c r="J259" s="187"/>
      <c r="K259" s="223" t="e">
        <f>+#REF!</f>
        <v>#REF!</v>
      </c>
      <c r="L259" s="187"/>
      <c r="M259" s="223" t="e">
        <f>+#REF!</f>
        <v>#REF!</v>
      </c>
      <c r="N259" s="187"/>
      <c r="O259" s="223" t="e">
        <f>+#REF!</f>
        <v>#REF!</v>
      </c>
      <c r="P259" s="187"/>
      <c r="Q259" s="223" t="e">
        <f>+#REF!</f>
        <v>#REF!</v>
      </c>
      <c r="R259" s="187"/>
      <c r="S259" s="223" t="e">
        <f>+#REF!</f>
        <v>#REF!</v>
      </c>
      <c r="T259" s="187"/>
      <c r="U259" s="223" t="e">
        <f>+#REF!</f>
        <v>#REF!</v>
      </c>
      <c r="V259" s="187"/>
      <c r="W259" s="223" t="e">
        <f>+#REF!</f>
        <v>#REF!</v>
      </c>
      <c r="X259" s="187"/>
      <c r="Y259" s="223" t="e">
        <f>+#REF!</f>
        <v>#REF!</v>
      </c>
      <c r="Z259" s="187"/>
      <c r="AA259" s="223" t="e">
        <f>+#REF!</f>
        <v>#REF!</v>
      </c>
      <c r="AB259" s="187"/>
      <c r="AC259" s="223" t="e">
        <f>+#REF!</f>
        <v>#REF!</v>
      </c>
      <c r="AD259" s="187"/>
      <c r="AE259" s="223" t="e">
        <f>+#REF!</f>
        <v>#REF!</v>
      </c>
      <c r="AF259" s="187"/>
      <c r="AH259" s="187"/>
      <c r="AI259" s="223" t="e">
        <f>+C259+E259+G259+K259+M259+O259+S259+U259+W259+AA259+AC259+AE259</f>
        <v>#REF!</v>
      </c>
    </row>
    <row r="260" spans="2:35">
      <c r="B260" s="64" t="s">
        <v>468</v>
      </c>
      <c r="C260" s="223">
        <v>0</v>
      </c>
      <c r="D260" s="187"/>
      <c r="E260" s="223" t="e">
        <f>+#REF!</f>
        <v>#REF!</v>
      </c>
      <c r="F260" s="187"/>
      <c r="G260" s="223" t="e">
        <f>+#REF!</f>
        <v>#REF!</v>
      </c>
      <c r="H260" s="187"/>
      <c r="I260" s="223" t="e">
        <f>+#REF!</f>
        <v>#REF!</v>
      </c>
      <c r="J260" s="187"/>
      <c r="K260" s="223" t="e">
        <f>+#REF!</f>
        <v>#REF!</v>
      </c>
      <c r="L260" s="187"/>
      <c r="M260" s="223" t="e">
        <f>+#REF!</f>
        <v>#REF!</v>
      </c>
      <c r="N260" s="187"/>
      <c r="O260" s="223" t="e">
        <f>+#REF!</f>
        <v>#REF!</v>
      </c>
      <c r="P260" s="187"/>
      <c r="Q260" s="223" t="e">
        <f>+#REF!</f>
        <v>#REF!</v>
      </c>
      <c r="R260" s="187"/>
      <c r="S260" s="223" t="e">
        <f>+#REF!</f>
        <v>#REF!</v>
      </c>
      <c r="T260" s="187"/>
      <c r="U260" s="223" t="e">
        <f>+#REF!</f>
        <v>#REF!</v>
      </c>
      <c r="V260" s="187"/>
      <c r="W260" s="223" t="e">
        <f>+#REF!</f>
        <v>#REF!</v>
      </c>
      <c r="X260" s="187"/>
      <c r="Y260" s="223" t="e">
        <f>+#REF!</f>
        <v>#REF!</v>
      </c>
      <c r="Z260" s="187"/>
      <c r="AA260" s="223" t="e">
        <f>+#REF!</f>
        <v>#REF!</v>
      </c>
      <c r="AB260" s="187"/>
      <c r="AC260" s="223" t="e">
        <f>+#REF!</f>
        <v>#REF!</v>
      </c>
      <c r="AD260" s="187"/>
      <c r="AE260" s="223" t="e">
        <f>IF(AE47&gt;=80000,(AE47-80000)*7%,0)</f>
        <v>#REF!</v>
      </c>
      <c r="AF260" s="187"/>
      <c r="AH260" s="187"/>
      <c r="AI260" s="223" t="e">
        <f>+C260+E260+G260+K260+M260+O260+S260+U260+W260+AA260+AC260+AE260</f>
        <v>#REF!</v>
      </c>
    </row>
    <row r="261" spans="2:35">
      <c r="B261" s="64" t="s">
        <v>469</v>
      </c>
      <c r="C261" s="223">
        <v>0</v>
      </c>
      <c r="D261" s="187"/>
      <c r="E261" s="223" t="e">
        <f>+#REF!</f>
        <v>#REF!</v>
      </c>
      <c r="F261" s="187"/>
      <c r="G261" s="223" t="e">
        <f>+#REF!</f>
        <v>#REF!</v>
      </c>
      <c r="H261" s="187"/>
      <c r="I261" s="223" t="e">
        <f>+#REF!</f>
        <v>#REF!</v>
      </c>
      <c r="J261" s="187"/>
      <c r="K261" s="223" t="e">
        <f>+#REF!</f>
        <v>#REF!</v>
      </c>
      <c r="L261" s="187"/>
      <c r="M261" s="223" t="e">
        <f>+#REF!</f>
        <v>#REF!</v>
      </c>
      <c r="N261" s="187"/>
      <c r="O261" s="223" t="e">
        <f>+#REF!</f>
        <v>#REF!</v>
      </c>
      <c r="P261" s="187"/>
      <c r="Q261" s="223" t="e">
        <f>+#REF!</f>
        <v>#REF!</v>
      </c>
      <c r="R261" s="187"/>
      <c r="S261" s="223" t="e">
        <f>+#REF!</f>
        <v>#REF!</v>
      </c>
      <c r="T261" s="187"/>
      <c r="U261" s="223" t="e">
        <f>+#REF!</f>
        <v>#REF!</v>
      </c>
      <c r="V261" s="187"/>
      <c r="W261" s="223" t="e">
        <f>+#REF!</f>
        <v>#REF!</v>
      </c>
      <c r="X261" s="187"/>
      <c r="Y261" s="223" t="e">
        <f>+#REF!</f>
        <v>#REF!</v>
      </c>
      <c r="Z261" s="187"/>
      <c r="AA261" s="223" t="e">
        <f>+#REF!</f>
        <v>#REF!</v>
      </c>
      <c r="AB261" s="187"/>
      <c r="AC261" s="223" t="e">
        <f>+#REF!</f>
        <v>#REF!</v>
      </c>
      <c r="AD261" s="187"/>
      <c r="AE261" s="223">
        <v>0</v>
      </c>
      <c r="AF261" s="187"/>
      <c r="AH261" s="187"/>
      <c r="AI261" s="223" t="e">
        <f>+C261+E261+G261+K261+M261+O261+S261+U261+W261+AA261+AC261+AE261</f>
        <v>#REF!</v>
      </c>
    </row>
    <row r="262" spans="2:35">
      <c r="B262" s="1" t="s">
        <v>470</v>
      </c>
      <c r="C262" s="317" t="e">
        <f>SUM(C258:C261)</f>
        <v>#REF!</v>
      </c>
      <c r="D262" s="187"/>
      <c r="E262" s="317" t="e">
        <f>SUM(E258:E261)</f>
        <v>#REF!</v>
      </c>
      <c r="F262" s="187"/>
      <c r="G262" s="317" t="e">
        <f>SUM(G258:G261)</f>
        <v>#REF!</v>
      </c>
      <c r="H262" s="187"/>
      <c r="I262" s="317" t="e">
        <f>SUM(I258:I261)</f>
        <v>#REF!</v>
      </c>
      <c r="J262" s="187"/>
      <c r="K262" s="317" t="e">
        <f>SUM(K258:K261)</f>
        <v>#REF!</v>
      </c>
      <c r="L262" s="187"/>
      <c r="M262" s="317" t="e">
        <f>SUM(M258:M261)</f>
        <v>#REF!</v>
      </c>
      <c r="N262" s="187"/>
      <c r="O262" s="317" t="e">
        <f>SUM(O258:O261)</f>
        <v>#REF!</v>
      </c>
      <c r="P262" s="266"/>
      <c r="Q262" s="317" t="e">
        <f>SUM(Q258:Q261)</f>
        <v>#REF!</v>
      </c>
      <c r="R262" s="266"/>
      <c r="S262" s="317" t="e">
        <f>SUM(S258:S261)</f>
        <v>#REF!</v>
      </c>
      <c r="T262" s="266"/>
      <c r="U262" s="317" t="e">
        <f>SUM(U258:U261)</f>
        <v>#REF!</v>
      </c>
      <c r="V262" s="266"/>
      <c r="W262" s="317" t="e">
        <f>SUM(W258:W261)</f>
        <v>#REF!</v>
      </c>
      <c r="X262" s="266"/>
      <c r="Y262" s="317" t="e">
        <f>SUM(Y258:Y261)</f>
        <v>#REF!</v>
      </c>
      <c r="Z262" s="266"/>
      <c r="AA262" s="317" t="e">
        <f>SUM(AA258:AA261)</f>
        <v>#REF!</v>
      </c>
      <c r="AB262" s="266"/>
      <c r="AC262" s="317" t="e">
        <f>SUM(AC258:AC261)</f>
        <v>#REF!</v>
      </c>
      <c r="AD262" s="266"/>
      <c r="AE262" s="317" t="e">
        <f>SUM(AE258:AE261)</f>
        <v>#REF!</v>
      </c>
      <c r="AF262" s="187"/>
      <c r="AH262" s="187"/>
      <c r="AI262" s="317" t="e">
        <f>SUM(AI258:AI261)</f>
        <v>#REF!</v>
      </c>
    </row>
    <row r="263" spans="2:35">
      <c r="Q263"/>
      <c r="AG263"/>
      <c r="AI263"/>
    </row>
    <row r="264" spans="2:35">
      <c r="Q264"/>
      <c r="AG264"/>
      <c r="AI264"/>
    </row>
    <row r="265" spans="2:35">
      <c r="Q265"/>
      <c r="AG265"/>
      <c r="AI265"/>
    </row>
    <row r="266" spans="2:35">
      <c r="Q266"/>
      <c r="AG266"/>
      <c r="AI266"/>
    </row>
    <row r="267" spans="2:35">
      <c r="Q267"/>
      <c r="AG267"/>
      <c r="AI267"/>
    </row>
    <row r="268" spans="2:35">
      <c r="Q268"/>
      <c r="AG268"/>
      <c r="AI268"/>
    </row>
    <row r="269" spans="2:35">
      <c r="Q269"/>
      <c r="AG269"/>
      <c r="AI269"/>
    </row>
    <row r="270" spans="2:35">
      <c r="Q270"/>
      <c r="AG270"/>
      <c r="AI270"/>
    </row>
    <row r="271" spans="2:35">
      <c r="Q271"/>
      <c r="AG271"/>
      <c r="AI271"/>
    </row>
    <row r="272" spans="2:35">
      <c r="Q272"/>
      <c r="AG272"/>
      <c r="AI272"/>
    </row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</sheetData>
  <mergeCells count="1">
    <mergeCell ref="C3:AI3"/>
  </mergeCells>
  <phoneticPr fontId="29" type="noConversion"/>
  <pageMargins left="0.7" right="0.7" top="0.75" bottom="0.75" header="0.3" footer="0.3"/>
  <pageSetup orientation="portrait" horizontalDpi="1200" verticalDpi="120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B20FA-97E5-4AA1-A7EC-A9CE37AB4B4F}">
  <sheetPr>
    <tabColor rgb="FFFFFF66"/>
  </sheetPr>
  <dimension ref="A1:AC28"/>
  <sheetViews>
    <sheetView workbookViewId="0">
      <selection activeCell="B6" sqref="B6"/>
    </sheetView>
  </sheetViews>
  <sheetFormatPr baseColWidth="10" defaultColWidth="11.42578125" defaultRowHeight="12.75"/>
  <cols>
    <col min="1" max="1" width="36.85546875" customWidth="1"/>
    <col min="2" max="2" width="15" customWidth="1"/>
    <col min="3" max="3" width="16.42578125" customWidth="1"/>
    <col min="4" max="4" width="9.85546875" style="776" customWidth="1"/>
    <col min="5" max="5" width="14.140625" customWidth="1"/>
    <col min="6" max="6" width="7.7109375" customWidth="1"/>
    <col min="7" max="7" width="15.28515625" customWidth="1"/>
    <col min="8" max="8" width="7.7109375" customWidth="1"/>
    <col min="9" max="9" width="13.5703125" customWidth="1"/>
    <col min="10" max="10" width="7.7109375" customWidth="1"/>
    <col min="11" max="11" width="13.5703125" customWidth="1"/>
    <col min="12" max="12" width="7.7109375" customWidth="1"/>
    <col min="13" max="13" width="13.5703125" customWidth="1"/>
    <col min="14" max="14" width="7.7109375" customWidth="1"/>
    <col min="15" max="15" width="13.5703125" customWidth="1"/>
    <col min="16" max="16" width="7.7109375" customWidth="1"/>
    <col min="17" max="17" width="13.5703125" customWidth="1"/>
    <col min="18" max="18" width="7.7109375" customWidth="1"/>
    <col min="19" max="19" width="13.5703125" customWidth="1"/>
    <col min="20" max="20" width="7.7109375" customWidth="1"/>
    <col min="21" max="21" width="13.5703125" customWidth="1"/>
    <col min="22" max="22" width="7.7109375" customWidth="1"/>
    <col min="23" max="23" width="13.5703125" customWidth="1"/>
    <col min="24" max="24" width="7.7109375" customWidth="1"/>
    <col min="25" max="25" width="13.5703125" customWidth="1"/>
    <col min="26" max="26" width="7.7109375" customWidth="1"/>
    <col min="27" max="27" width="13.5703125" customWidth="1"/>
    <col min="28" max="29" width="7.7109375" customWidth="1"/>
  </cols>
  <sheetData>
    <row r="1" spans="1:29">
      <c r="A1" s="1"/>
      <c r="C1" s="773">
        <f ca="1">'Proyección mensual'!B7</f>
        <v>1144</v>
      </c>
      <c r="D1" s="773">
        <f ca="1">'Proyección mensual'!C7</f>
        <v>1</v>
      </c>
      <c r="E1" s="773">
        <f ca="1">'Proyección mensual'!D7</f>
        <v>2728</v>
      </c>
      <c r="F1" s="773">
        <f ca="1">'Proyección mensual'!E7</f>
        <v>1</v>
      </c>
      <c r="G1" s="773">
        <f ca="1">'Proyección mensual'!F7</f>
        <v>2728</v>
      </c>
      <c r="H1" s="773">
        <f ca="1">'Proyección mensual'!G7</f>
        <v>1</v>
      </c>
      <c r="I1" s="773">
        <f ca="1">'Proyección mensual'!H7</f>
        <v>2728</v>
      </c>
      <c r="J1" s="773">
        <f ca="1">'Proyección mensual'!I7</f>
        <v>1</v>
      </c>
      <c r="K1" s="773">
        <f ca="1">'Proyección mensual'!J7</f>
        <v>2728</v>
      </c>
      <c r="L1" s="773">
        <f ca="1">'Proyección mensual'!K7</f>
        <v>1</v>
      </c>
      <c r="M1" s="773">
        <f ca="1">'Proyección mensual'!L7</f>
        <v>2728</v>
      </c>
      <c r="N1" s="773">
        <f ca="1">'Proyección mensual'!M7</f>
        <v>1</v>
      </c>
      <c r="O1" s="773">
        <f ca="1">'Proyección mensual'!N7</f>
        <v>2728</v>
      </c>
      <c r="P1" s="773">
        <f ca="1">'Proyección mensual'!O7</f>
        <v>1</v>
      </c>
      <c r="Q1" s="773">
        <f ca="1">'Proyección mensual'!P7</f>
        <v>2728</v>
      </c>
      <c r="R1" s="773">
        <f ca="1">'Proyección mensual'!Q7</f>
        <v>1</v>
      </c>
      <c r="S1" s="773">
        <f ca="1">'Proyección mensual'!R7</f>
        <v>2728</v>
      </c>
      <c r="T1" s="773">
        <f ca="1">'Proyección mensual'!S7</f>
        <v>1</v>
      </c>
      <c r="U1" s="773">
        <f ca="1">'Proyección mensual'!T7</f>
        <v>2728</v>
      </c>
      <c r="V1" s="773">
        <f ca="1">'Proyección mensual'!U7</f>
        <v>1</v>
      </c>
      <c r="W1" s="773">
        <f ca="1">'Proyección mensual'!V7</f>
        <v>2728</v>
      </c>
      <c r="X1" s="773">
        <f ca="1">'Proyección mensual'!W7</f>
        <v>1</v>
      </c>
      <c r="Y1" s="773">
        <f ca="1">'Proyección mensual'!X7</f>
        <v>440</v>
      </c>
      <c r="Z1" s="738"/>
    </row>
    <row r="2" spans="1:29">
      <c r="A2" s="1" t="s">
        <v>471</v>
      </c>
      <c r="B2" s="21" t="s">
        <v>472</v>
      </c>
      <c r="C2" s="21" t="str">
        <f>'Proyección mensual'!B5</f>
        <v>MES 1</v>
      </c>
      <c r="E2" s="21" t="str">
        <f>'Proyección mensual'!D5</f>
        <v>MES 2</v>
      </c>
      <c r="F2" s="21"/>
      <c r="G2" s="21" t="str">
        <f>'Proyección mensual'!F5</f>
        <v>MES 3</v>
      </c>
      <c r="H2" s="21"/>
      <c r="I2" s="21" t="str">
        <f>'Proyección mensual'!H5</f>
        <v>MES 4</v>
      </c>
      <c r="J2" s="21"/>
      <c r="K2" s="21" t="str">
        <f>'Proyección mensual'!J5</f>
        <v>MES 5</v>
      </c>
      <c r="L2" s="21"/>
      <c r="M2" s="21" t="str">
        <f>'Proyección mensual'!L5</f>
        <v>MES 6</v>
      </c>
      <c r="N2" s="21"/>
      <c r="O2" s="21" t="str">
        <f>'Proyección mensual'!N5</f>
        <v>MES 7</v>
      </c>
      <c r="P2" s="21"/>
      <c r="Q2" s="21" t="str">
        <f>'Proyección mensual'!P5</f>
        <v>MES 8</v>
      </c>
      <c r="R2" s="21"/>
      <c r="S2" s="21" t="str">
        <f>'Proyección mensual'!R5</f>
        <v>MES 9</v>
      </c>
      <c r="T2" s="21"/>
      <c r="U2" s="21" t="str">
        <f>'Proyección mensual'!T5</f>
        <v>MES 10</v>
      </c>
      <c r="V2" s="21"/>
      <c r="W2" s="21" t="str">
        <f>'Proyección mensual'!V5</f>
        <v>MES 11</v>
      </c>
      <c r="X2" s="21"/>
      <c r="Y2" s="21" t="str">
        <f>'Proyección mensual'!X5</f>
        <v>MES 12</v>
      </c>
      <c r="Z2" s="21"/>
      <c r="AA2" s="21" t="s">
        <v>473</v>
      </c>
      <c r="AB2" s="21"/>
      <c r="AC2" s="21"/>
    </row>
    <row r="3" spans="1:29">
      <c r="A3" s="1" t="s">
        <v>474</v>
      </c>
      <c r="D3" s="795"/>
      <c r="AA3" s="782"/>
    </row>
    <row r="4" spans="1:29">
      <c r="A4" s="743" t="s">
        <v>475</v>
      </c>
      <c r="B4" s="787"/>
      <c r="C4" s="773"/>
      <c r="D4" s="777"/>
      <c r="E4" s="773"/>
      <c r="F4" s="771"/>
      <c r="G4" s="773"/>
      <c r="H4" s="771"/>
      <c r="I4" s="1005">
        <f ca="1">C1</f>
        <v>1144</v>
      </c>
      <c r="J4" s="771"/>
      <c r="K4" s="1005">
        <f ca="1">E1</f>
        <v>2728</v>
      </c>
      <c r="L4" s="771"/>
      <c r="M4" s="1005">
        <f ca="1">G1</f>
        <v>2728</v>
      </c>
      <c r="N4" s="771"/>
      <c r="O4" s="1005">
        <f ca="1">I1</f>
        <v>2728</v>
      </c>
      <c r="P4" s="771"/>
      <c r="Q4" s="1005">
        <f ca="1">K1</f>
        <v>2728</v>
      </c>
      <c r="R4" s="771"/>
      <c r="S4" s="1005">
        <f ca="1">M1</f>
        <v>2728</v>
      </c>
      <c r="T4" s="771"/>
      <c r="U4" s="1005">
        <f ca="1">O1</f>
        <v>2728</v>
      </c>
      <c r="V4" s="771"/>
      <c r="W4" s="1005">
        <f ca="1">Q1</f>
        <v>2728</v>
      </c>
      <c r="X4" s="771"/>
      <c r="Y4" s="1005">
        <f ca="1">S1</f>
        <v>2728</v>
      </c>
      <c r="Z4" s="738"/>
      <c r="AA4" s="1006">
        <f ca="1">C4+E4+G4+I4+K4+M4+O4+Q4+S4+U4+W4+Y4</f>
        <v>22968</v>
      </c>
      <c r="AB4" s="735"/>
      <c r="AC4" s="735"/>
    </row>
    <row r="5" spans="1:29">
      <c r="A5" s="743" t="s">
        <v>476</v>
      </c>
      <c r="B5" s="787"/>
      <c r="C5" s="773">
        <f ca="1">'Proyección mensual'!B51</f>
        <v>2293</v>
      </c>
      <c r="D5" s="777"/>
      <c r="E5" s="773">
        <f ca="1">'Proyección mensual'!D51</f>
        <v>319</v>
      </c>
      <c r="F5" s="771"/>
      <c r="G5" s="773">
        <f ca="1">'Proyección mensual'!F51</f>
        <v>319</v>
      </c>
      <c r="H5" s="771"/>
      <c r="I5" s="773">
        <f ca="1">'Proyección mensual'!H51</f>
        <v>319</v>
      </c>
      <c r="J5" s="771"/>
      <c r="K5" s="773">
        <f ca="1">'Proyección mensual'!J51</f>
        <v>702</v>
      </c>
      <c r="L5" s="771"/>
      <c r="M5" s="773">
        <f ca="1">'Proyección mensual'!L51</f>
        <v>319</v>
      </c>
      <c r="N5" s="771"/>
      <c r="O5" s="773">
        <f ca="1">'Proyección mensual'!N51</f>
        <v>319</v>
      </c>
      <c r="P5" s="771"/>
      <c r="Q5" s="773">
        <f ca="1">'Proyección mensual'!P51</f>
        <v>319</v>
      </c>
      <c r="R5" s="771"/>
      <c r="S5" s="773">
        <f ca="1">'Proyección mensual'!R51</f>
        <v>702</v>
      </c>
      <c r="T5" s="771"/>
      <c r="U5" s="773">
        <f ca="1">'Proyección mensual'!T51</f>
        <v>319</v>
      </c>
      <c r="V5" s="771"/>
      <c r="W5" s="773">
        <f ca="1">'Proyección mensual'!V51</f>
        <v>319</v>
      </c>
      <c r="X5" s="771"/>
      <c r="Y5" s="773">
        <f ca="1">'Proyección mensual'!X51</f>
        <v>2240</v>
      </c>
      <c r="Z5" s="738"/>
      <c r="AA5" s="790">
        <f t="shared" ref="AA5:AA13" ca="1" si="0">C5+E5+G5+I5+K5+M5+O5+Q5+S5+U5+W5+Y5</f>
        <v>8489</v>
      </c>
      <c r="AB5" s="735"/>
      <c r="AC5" s="735"/>
    </row>
    <row r="6" spans="1:29">
      <c r="A6" s="758" t="s">
        <v>477</v>
      </c>
      <c r="B6" s="787"/>
      <c r="C6" s="773">
        <f ca="1">C4-C5</f>
        <v>-2293</v>
      </c>
      <c r="D6" s="779" t="e">
        <f ca="1">C6/C$4</f>
        <v>#DIV/0!</v>
      </c>
      <c r="E6" s="773">
        <f ca="1">E4-E5</f>
        <v>-319</v>
      </c>
      <c r="F6" s="779" t="e">
        <f ca="1">E6/E$4</f>
        <v>#DIV/0!</v>
      </c>
      <c r="G6" s="773">
        <f ca="1">G4-G5</f>
        <v>-319</v>
      </c>
      <c r="H6" s="779" t="e">
        <f ca="1">G6/G$4</f>
        <v>#DIV/0!</v>
      </c>
      <c r="I6" s="773">
        <f ca="1">I4-I5</f>
        <v>825</v>
      </c>
      <c r="J6" s="779">
        <f ca="1">I6/I$4</f>
        <v>0.72099999999999997</v>
      </c>
      <c r="K6" s="773">
        <f ca="1">K4-K5</f>
        <v>2026</v>
      </c>
      <c r="L6" s="779">
        <f ca="1">K6/K$4</f>
        <v>0.74299999999999999</v>
      </c>
      <c r="M6" s="773">
        <f ca="1">M4-M5</f>
        <v>2409</v>
      </c>
      <c r="N6" s="779">
        <f ca="1">M6/M$4</f>
        <v>0.88300000000000001</v>
      </c>
      <c r="O6" s="773">
        <f ca="1">O4-O5</f>
        <v>2409</v>
      </c>
      <c r="P6" s="779">
        <f ca="1">O6/O$4</f>
        <v>0.88300000000000001</v>
      </c>
      <c r="Q6" s="773">
        <f ca="1">Q4-Q5</f>
        <v>2409</v>
      </c>
      <c r="R6" s="779">
        <f ca="1">Q6/Q$4</f>
        <v>0.88300000000000001</v>
      </c>
      <c r="S6" s="773">
        <f ca="1">S4-S5</f>
        <v>2026</v>
      </c>
      <c r="T6" s="779">
        <f ca="1">S6/S$4</f>
        <v>0.74299999999999999</v>
      </c>
      <c r="U6" s="773">
        <f ca="1">U4-U5</f>
        <v>2409</v>
      </c>
      <c r="V6" s="779">
        <f ca="1">U6/U$4</f>
        <v>0.88300000000000001</v>
      </c>
      <c r="W6" s="773">
        <f ca="1">W4-W5</f>
        <v>2409</v>
      </c>
      <c r="X6" s="779">
        <f ca="1">W6/W$4</f>
        <v>0.88300000000000001</v>
      </c>
      <c r="Y6" s="773">
        <f ca="1">Y4-Y5</f>
        <v>488</v>
      </c>
      <c r="Z6" s="779">
        <f ca="1">Y6/Y$4</f>
        <v>0.17899999999999999</v>
      </c>
      <c r="AA6" s="783">
        <f t="shared" ca="1" si="0"/>
        <v>14479</v>
      </c>
      <c r="AB6" s="772">
        <f ca="1">AA6/AA$4</f>
        <v>0.63</v>
      </c>
      <c r="AC6" s="735"/>
    </row>
    <row r="7" spans="1:29">
      <c r="A7" s="743" t="s">
        <v>478</v>
      </c>
      <c r="B7" s="787"/>
      <c r="C7" s="773">
        <f ca="1">'Proyección mensual'!B55</f>
        <v>137</v>
      </c>
      <c r="D7" s="777"/>
      <c r="E7" s="773">
        <f ca="1">'Proyección mensual'!D55</f>
        <v>327</v>
      </c>
      <c r="F7" s="771"/>
      <c r="G7" s="773">
        <f ca="1">'Proyección mensual'!F55</f>
        <v>327</v>
      </c>
      <c r="H7" s="771"/>
      <c r="I7" s="773">
        <f ca="1">'Proyección mensual'!H55</f>
        <v>327</v>
      </c>
      <c r="J7" s="771"/>
      <c r="K7" s="773">
        <f ca="1">'Proyección mensual'!J55</f>
        <v>327</v>
      </c>
      <c r="L7" s="771"/>
      <c r="M7" s="773">
        <f ca="1">'Proyección mensual'!L55</f>
        <v>327</v>
      </c>
      <c r="N7" s="771"/>
      <c r="O7" s="773">
        <f ca="1">'Proyección mensual'!N55</f>
        <v>327</v>
      </c>
      <c r="P7" s="771"/>
      <c r="Q7" s="773">
        <f ca="1">'Proyección mensual'!P55</f>
        <v>327</v>
      </c>
      <c r="R7" s="771"/>
      <c r="S7" s="773">
        <f ca="1">'Proyección mensual'!R55</f>
        <v>327</v>
      </c>
      <c r="T7" s="771"/>
      <c r="U7" s="773">
        <f ca="1">'Proyección mensual'!T55</f>
        <v>327</v>
      </c>
      <c r="V7" s="771"/>
      <c r="W7" s="773">
        <f ca="1">'Proyección mensual'!V55</f>
        <v>327</v>
      </c>
      <c r="X7" s="771"/>
      <c r="Y7" s="773">
        <f ca="1">'Proyección mensual'!X55</f>
        <v>53</v>
      </c>
      <c r="Z7" s="738"/>
      <c r="AA7" s="790">
        <f t="shared" ca="1" si="0"/>
        <v>3460</v>
      </c>
      <c r="AB7" s="735"/>
      <c r="AC7" s="735"/>
    </row>
    <row r="8" spans="1:29">
      <c r="A8" s="758" t="s">
        <v>479</v>
      </c>
      <c r="B8" s="787"/>
      <c r="C8" s="796">
        <f ca="1">+C4-C5-C7</f>
        <v>-2430</v>
      </c>
      <c r="D8" s="779" t="e">
        <f ca="1">C8/C$4</f>
        <v>#DIV/0!</v>
      </c>
      <c r="E8" s="796">
        <f ca="1">+E4-E5-E7</f>
        <v>-646</v>
      </c>
      <c r="F8" s="779" t="e">
        <f ca="1">E8/E$4</f>
        <v>#DIV/0!</v>
      </c>
      <c r="G8" s="796">
        <f ca="1">+G4-G5-G7</f>
        <v>-646</v>
      </c>
      <c r="H8" s="779" t="e">
        <f ca="1">G8/G$4</f>
        <v>#DIV/0!</v>
      </c>
      <c r="I8" s="796">
        <f ca="1">+I4-I5-I7</f>
        <v>498</v>
      </c>
      <c r="J8" s="779">
        <f ca="1">I8/I$4</f>
        <v>0.435</v>
      </c>
      <c r="K8" s="796">
        <f ca="1">+K4-K5-K7</f>
        <v>1699</v>
      </c>
      <c r="L8" s="779">
        <f ca="1">K8/K$4</f>
        <v>0.623</v>
      </c>
      <c r="M8" s="796">
        <f ca="1">+M4-M5-M7</f>
        <v>2082</v>
      </c>
      <c r="N8" s="779">
        <f ca="1">M8/M$4</f>
        <v>0.76300000000000001</v>
      </c>
      <c r="O8" s="796">
        <f ca="1">+O4-O5-O7</f>
        <v>2082</v>
      </c>
      <c r="P8" s="779">
        <f ca="1">O8/O$4</f>
        <v>0.76300000000000001</v>
      </c>
      <c r="Q8" s="796">
        <f ca="1">+Q4-Q5-Q7</f>
        <v>2082</v>
      </c>
      <c r="R8" s="779">
        <f ca="1">Q8/Q$4</f>
        <v>0.76300000000000001</v>
      </c>
      <c r="S8" s="796">
        <f ca="1">+S4-S5-S7</f>
        <v>1699</v>
      </c>
      <c r="T8" s="779">
        <f ca="1">S8/S$4</f>
        <v>0.623</v>
      </c>
      <c r="U8" s="796">
        <f ca="1">+U4-U5-U7</f>
        <v>2082</v>
      </c>
      <c r="V8" s="779">
        <f ca="1">U8/U$4</f>
        <v>0.76300000000000001</v>
      </c>
      <c r="W8" s="796">
        <f ca="1">+W4-W5-W7</f>
        <v>2082</v>
      </c>
      <c r="X8" s="779">
        <f ca="1">W8/W$4</f>
        <v>0.76300000000000001</v>
      </c>
      <c r="Y8" s="796">
        <f ca="1">+Y4-Y5-Y7</f>
        <v>435</v>
      </c>
      <c r="Z8" s="779">
        <f ca="1">Y8/Y$4</f>
        <v>0.159</v>
      </c>
      <c r="AA8" s="783">
        <f t="shared" ca="1" si="0"/>
        <v>11019</v>
      </c>
      <c r="AB8" s="772">
        <f ca="1">AA8/AA$4</f>
        <v>0.48</v>
      </c>
      <c r="AC8" s="772"/>
    </row>
    <row r="9" spans="1:29">
      <c r="A9" s="737" t="s">
        <v>480</v>
      </c>
      <c r="C9" s="774">
        <f ca="1">'Proyección mensual'!B64</f>
        <v>-450</v>
      </c>
      <c r="D9" s="778"/>
      <c r="E9" s="774">
        <f ca="1">'Proyección mensual'!D64</f>
        <v>729</v>
      </c>
      <c r="F9" s="778"/>
      <c r="G9" s="774">
        <f ca="1">'Proyección mensual'!F64</f>
        <v>729</v>
      </c>
      <c r="H9" s="778"/>
      <c r="I9" s="774">
        <f ca="1">'Proyección mensual'!H64</f>
        <v>729</v>
      </c>
      <c r="J9" s="778"/>
      <c r="K9" s="774">
        <f ca="1">'Proyección mensual'!J64</f>
        <v>595</v>
      </c>
      <c r="L9" s="778"/>
      <c r="M9" s="774">
        <f ca="1">'Proyección mensual'!L64</f>
        <v>729</v>
      </c>
      <c r="N9" s="778"/>
      <c r="O9" s="774">
        <f ca="1">'Proyección mensual'!N64</f>
        <v>729</v>
      </c>
      <c r="P9" s="778"/>
      <c r="Q9" s="774">
        <f ca="1">'Proyección mensual'!P64</f>
        <v>729</v>
      </c>
      <c r="R9" s="778"/>
      <c r="S9" s="774">
        <f ca="1">'Proyección mensual'!R64</f>
        <v>595</v>
      </c>
      <c r="T9" s="778"/>
      <c r="U9" s="774">
        <f ca="1">'Proyección mensual'!T64</f>
        <v>729</v>
      </c>
      <c r="V9" s="778"/>
      <c r="W9" s="774">
        <f ca="1">'Proyección mensual'!V64</f>
        <v>729</v>
      </c>
      <c r="X9" s="778"/>
      <c r="Y9" s="774">
        <f ca="1">'Proyección mensual'!X64</f>
        <v>-649</v>
      </c>
      <c r="Z9" s="778"/>
      <c r="AA9" s="790">
        <f t="shared" ca="1" si="0"/>
        <v>5923</v>
      </c>
      <c r="AB9" s="780"/>
      <c r="AC9" s="780"/>
    </row>
    <row r="10" spans="1:29" ht="25.5">
      <c r="A10" s="740" t="s">
        <v>481</v>
      </c>
      <c r="B10" s="741"/>
      <c r="C10" s="775">
        <f ca="1">C8-C9</f>
        <v>-1980</v>
      </c>
      <c r="D10" s="779" t="e">
        <f ca="1">C10/C$4</f>
        <v>#DIV/0!</v>
      </c>
      <c r="E10" s="775">
        <f t="shared" ref="E10:I10" ca="1" si="1">E8-E9</f>
        <v>-1375</v>
      </c>
      <c r="F10" s="779" t="e">
        <f ca="1">E10/E$4</f>
        <v>#DIV/0!</v>
      </c>
      <c r="G10" s="775">
        <f t="shared" ca="1" si="1"/>
        <v>-1375</v>
      </c>
      <c r="H10" s="779" t="e">
        <f ca="1">G10/G$4</f>
        <v>#DIV/0!</v>
      </c>
      <c r="I10" s="775">
        <f t="shared" ca="1" si="1"/>
        <v>-231</v>
      </c>
      <c r="J10" s="779">
        <f ca="1">I10/I$4</f>
        <v>-0.20200000000000001</v>
      </c>
      <c r="K10" s="775">
        <f t="shared" ref="K10" ca="1" si="2">K8-K9</f>
        <v>1104</v>
      </c>
      <c r="L10" s="779">
        <f ca="1">K10/K$4</f>
        <v>0.40500000000000003</v>
      </c>
      <c r="M10" s="775">
        <f t="shared" ref="M10" ca="1" si="3">M8-M9</f>
        <v>1353</v>
      </c>
      <c r="N10" s="779">
        <f ca="1">M10/M$4</f>
        <v>0.496</v>
      </c>
      <c r="O10" s="775">
        <f t="shared" ref="O10" ca="1" si="4">O8-O9</f>
        <v>1353</v>
      </c>
      <c r="P10" s="779">
        <f ca="1">O10/O$4</f>
        <v>0.496</v>
      </c>
      <c r="Q10" s="775">
        <f t="shared" ref="Q10" ca="1" si="5">Q8-Q9</f>
        <v>1353</v>
      </c>
      <c r="R10" s="779">
        <f ca="1">Q10/Q$4</f>
        <v>0.496</v>
      </c>
      <c r="S10" s="775">
        <f t="shared" ref="S10" ca="1" si="6">S8-S9</f>
        <v>1104</v>
      </c>
      <c r="T10" s="779">
        <f ca="1">S10/S$4</f>
        <v>0.40500000000000003</v>
      </c>
      <c r="U10" s="775">
        <f t="shared" ref="U10" ca="1" si="7">U8-U9</f>
        <v>1353</v>
      </c>
      <c r="V10" s="779">
        <f ca="1">U10/U$4</f>
        <v>0.496</v>
      </c>
      <c r="W10" s="775">
        <f t="shared" ref="W10" ca="1" si="8">W8-W9</f>
        <v>1353</v>
      </c>
      <c r="X10" s="779">
        <f ca="1">W10/W$4</f>
        <v>0.496</v>
      </c>
      <c r="Y10" s="775">
        <f t="shared" ref="Y10" ca="1" si="9">Y8-Y9</f>
        <v>1084</v>
      </c>
      <c r="Z10" s="779">
        <f ca="1">Y10/Y$4</f>
        <v>0.39700000000000002</v>
      </c>
      <c r="AA10" s="783">
        <f t="shared" ca="1" si="0"/>
        <v>5096</v>
      </c>
      <c r="AB10" s="772">
        <f ca="1">AA10/AA$4</f>
        <v>0.222</v>
      </c>
      <c r="AC10" s="772"/>
    </row>
    <row r="11" spans="1:29">
      <c r="A11" s="743" t="s">
        <v>482</v>
      </c>
      <c r="C11" s="774">
        <f>Depreciación!$E$9/12</f>
        <v>72</v>
      </c>
      <c r="E11" s="774">
        <f>Depreciación!$E$9/12</f>
        <v>72</v>
      </c>
      <c r="F11" s="770"/>
      <c r="G11" s="774">
        <f>Depreciación!$E$9/12</f>
        <v>72</v>
      </c>
      <c r="H11" s="770"/>
      <c r="I11" s="774">
        <f>Depreciación!$E$9/12</f>
        <v>72</v>
      </c>
      <c r="J11" s="770"/>
      <c r="K11" s="774">
        <f>Depreciación!$E$9/12</f>
        <v>72</v>
      </c>
      <c r="L11" s="770"/>
      <c r="M11" s="774">
        <f>Depreciación!$E$9/12</f>
        <v>72</v>
      </c>
      <c r="N11" s="770"/>
      <c r="O11" s="774">
        <f>Depreciación!$E$9/12</f>
        <v>72</v>
      </c>
      <c r="P11" s="770"/>
      <c r="Q11" s="774">
        <f>Depreciación!$E$9/12</f>
        <v>72</v>
      </c>
      <c r="R11" s="770"/>
      <c r="S11" s="774">
        <f>Depreciación!$E$9/12</f>
        <v>72</v>
      </c>
      <c r="T11" s="770"/>
      <c r="U11" s="774">
        <f>Depreciación!$E$9/12</f>
        <v>72</v>
      </c>
      <c r="V11" s="770"/>
      <c r="W11" s="774">
        <f>Depreciación!$E$9/12</f>
        <v>72</v>
      </c>
      <c r="X11" s="770"/>
      <c r="Y11" s="774">
        <f>Depreciación!$E$9/12</f>
        <v>72</v>
      </c>
      <c r="Z11" s="739"/>
      <c r="AA11" s="790">
        <f t="shared" si="0"/>
        <v>864</v>
      </c>
      <c r="AB11" s="781"/>
      <c r="AC11" s="781"/>
    </row>
    <row r="12" spans="1:29">
      <c r="A12" s="744" t="s">
        <v>483</v>
      </c>
      <c r="C12" s="774">
        <f>'Proyección mensual'!B48</f>
        <v>65</v>
      </c>
      <c r="E12" s="774">
        <f>'Proyección mensual'!D48</f>
        <v>65</v>
      </c>
      <c r="F12" s="770"/>
      <c r="G12" s="774">
        <f>'Proyección mensual'!F48</f>
        <v>65</v>
      </c>
      <c r="H12" s="770"/>
      <c r="I12" s="774">
        <f>'Proyección mensual'!H48</f>
        <v>65</v>
      </c>
      <c r="J12" s="770"/>
      <c r="K12" s="774">
        <f>'Proyección mensual'!J48</f>
        <v>65</v>
      </c>
      <c r="L12" s="770"/>
      <c r="M12" s="774">
        <f>'Proyección mensual'!L48</f>
        <v>65</v>
      </c>
      <c r="N12" s="770"/>
      <c r="O12" s="774">
        <f>'Proyección mensual'!N48</f>
        <v>65</v>
      </c>
      <c r="P12" s="770"/>
      <c r="Q12" s="774">
        <f>'Proyección mensual'!P48</f>
        <v>65</v>
      </c>
      <c r="R12" s="770"/>
      <c r="S12" s="774">
        <f>'Proyección mensual'!R48</f>
        <v>65</v>
      </c>
      <c r="T12" s="770"/>
      <c r="U12" s="774">
        <f>'Proyección mensual'!T48</f>
        <v>65</v>
      </c>
      <c r="V12" s="770"/>
      <c r="W12" s="774">
        <f>'Proyección mensual'!V48</f>
        <v>65</v>
      </c>
      <c r="X12" s="770"/>
      <c r="Y12" s="774">
        <f>'Proyección mensual'!X48</f>
        <v>65</v>
      </c>
      <c r="Z12" s="739"/>
      <c r="AA12" s="790">
        <f t="shared" si="0"/>
        <v>780</v>
      </c>
      <c r="AB12" s="739"/>
      <c r="AC12" s="739"/>
    </row>
    <row r="13" spans="1:29">
      <c r="A13" s="758" t="s">
        <v>484</v>
      </c>
      <c r="C13" s="760">
        <f ca="1">C10+C11+C12</f>
        <v>-1843</v>
      </c>
      <c r="D13" s="760"/>
      <c r="E13" s="760">
        <f ca="1">E10+E11+E12</f>
        <v>-1238</v>
      </c>
      <c r="F13" s="760"/>
      <c r="G13" s="760">
        <f ca="1">G10+G11+G12</f>
        <v>-1238</v>
      </c>
      <c r="H13" s="760"/>
      <c r="I13" s="760">
        <f ca="1">I10+I11+I12</f>
        <v>-94</v>
      </c>
      <c r="J13" s="760"/>
      <c r="K13" s="760">
        <f ca="1">K10+K11+K12</f>
        <v>1241</v>
      </c>
      <c r="L13" s="760"/>
      <c r="M13" s="760">
        <f ca="1">M10+M11+M12</f>
        <v>1490</v>
      </c>
      <c r="N13" s="760"/>
      <c r="O13" s="760">
        <f ca="1">O10+O11+O12</f>
        <v>1490</v>
      </c>
      <c r="P13" s="760"/>
      <c r="Q13" s="760">
        <f ca="1">Q10+Q11+Q12</f>
        <v>1490</v>
      </c>
      <c r="R13" s="760"/>
      <c r="S13" s="760">
        <f ca="1">S10+S11+S12</f>
        <v>1241</v>
      </c>
      <c r="T13" s="760"/>
      <c r="U13" s="760">
        <f ca="1">U10+U11+U12</f>
        <v>1490</v>
      </c>
      <c r="V13" s="760"/>
      <c r="W13" s="760">
        <f ca="1">W10+W11+W12</f>
        <v>1490</v>
      </c>
      <c r="X13" s="760"/>
      <c r="Y13" s="760">
        <f ca="1">Y10+Y11</f>
        <v>1156</v>
      </c>
      <c r="Z13" s="739"/>
      <c r="AA13" s="783">
        <f t="shared" ca="1" si="0"/>
        <v>6675</v>
      </c>
      <c r="AB13" s="739"/>
      <c r="AC13" s="739"/>
    </row>
    <row r="14" spans="1:29">
      <c r="A14" s="744"/>
      <c r="C14" s="739"/>
      <c r="E14" s="739"/>
      <c r="F14" s="739"/>
      <c r="G14" s="739"/>
      <c r="H14" s="739"/>
      <c r="I14" s="739"/>
      <c r="J14" s="739"/>
      <c r="K14" s="739"/>
      <c r="L14" s="739"/>
      <c r="M14" s="739"/>
      <c r="N14" s="739"/>
      <c r="O14" s="739"/>
      <c r="P14" s="739"/>
      <c r="Q14" s="739"/>
      <c r="R14" s="739"/>
      <c r="S14" s="739"/>
      <c r="T14" s="739"/>
      <c r="U14" s="739"/>
      <c r="V14" s="739"/>
      <c r="W14" s="739"/>
      <c r="X14" s="739"/>
      <c r="Y14" s="739"/>
      <c r="Z14" s="739"/>
      <c r="AA14" s="739"/>
      <c r="AB14" s="739"/>
      <c r="AC14" s="739"/>
    </row>
    <row r="15" spans="1:29" ht="16.5" customHeight="1">
      <c r="A15" s="813" t="s">
        <v>485</v>
      </c>
      <c r="B15" s="1015">
        <f ca="1">C13+E13+G13+I13</f>
        <v>-4413</v>
      </c>
      <c r="C15" s="739"/>
      <c r="E15" s="739"/>
      <c r="F15" s="739"/>
      <c r="G15" s="739"/>
      <c r="H15" s="739"/>
      <c r="I15" s="739"/>
      <c r="J15" s="739"/>
      <c r="K15" s="739"/>
      <c r="L15" s="739"/>
      <c r="M15" s="739"/>
      <c r="N15" s="739"/>
      <c r="O15" s="739"/>
      <c r="P15" s="739"/>
      <c r="Q15" s="739"/>
      <c r="R15" s="739"/>
      <c r="S15" s="739"/>
      <c r="T15" s="739"/>
      <c r="U15" s="739"/>
      <c r="V15" s="739"/>
      <c r="W15" s="739"/>
      <c r="X15" s="739"/>
      <c r="Y15" s="739"/>
      <c r="Z15" s="739"/>
      <c r="AA15" s="739"/>
      <c r="AB15" s="739"/>
      <c r="AC15" s="739"/>
    </row>
    <row r="16" spans="1:29">
      <c r="A16" s="744"/>
      <c r="B16" s="743"/>
      <c r="C16" s="745"/>
      <c r="D16" s="777"/>
      <c r="E16" s="745"/>
      <c r="F16" s="745"/>
      <c r="G16" s="745"/>
      <c r="H16" s="745"/>
      <c r="I16" s="745"/>
      <c r="J16" s="745"/>
      <c r="K16" s="745"/>
      <c r="L16" s="745"/>
      <c r="M16" s="745"/>
      <c r="N16" s="745"/>
      <c r="O16" s="745"/>
      <c r="P16" s="745"/>
      <c r="Q16" s="745"/>
      <c r="R16" s="745"/>
      <c r="S16" s="745"/>
      <c r="T16" s="745"/>
      <c r="U16" s="745"/>
      <c r="V16" s="745"/>
      <c r="W16" s="745"/>
      <c r="X16" s="745"/>
      <c r="Y16" s="745"/>
      <c r="Z16" s="745"/>
      <c r="AB16" s="745"/>
      <c r="AC16" s="745"/>
    </row>
    <row r="17" spans="1:29">
      <c r="A17" s="24" t="s">
        <v>486</v>
      </c>
      <c r="B17" s="746">
        <f ca="1">-'Presupuesto Inversión'!C47-B15</f>
        <v>-14013</v>
      </c>
      <c r="C17" s="739"/>
      <c r="E17" s="739"/>
      <c r="F17" s="739"/>
      <c r="G17" s="739"/>
      <c r="H17" s="739"/>
      <c r="I17" s="739"/>
      <c r="J17" s="739"/>
      <c r="K17" s="739"/>
      <c r="L17" s="739"/>
      <c r="M17" s="739"/>
      <c r="N17" s="739"/>
      <c r="O17" s="739"/>
      <c r="P17" s="739"/>
      <c r="Q17" s="739"/>
      <c r="R17" s="739"/>
      <c r="S17" s="739"/>
      <c r="T17" s="739"/>
      <c r="U17" s="739"/>
      <c r="V17" s="739"/>
      <c r="W17" s="739"/>
      <c r="X17" s="739"/>
      <c r="Y17" s="739"/>
      <c r="Z17" s="739"/>
      <c r="AB17" s="739"/>
      <c r="AC17" s="739"/>
    </row>
    <row r="18" spans="1:29">
      <c r="A18" s="743"/>
    </row>
    <row r="19" spans="1:29" s="1" customFormat="1">
      <c r="A19" s="1" t="s">
        <v>474</v>
      </c>
      <c r="B19" s="735">
        <f ca="1">B17+B15</f>
        <v>-18426</v>
      </c>
      <c r="C19" s="760">
        <f ca="1">C10+C11+C12</f>
        <v>-1843</v>
      </c>
      <c r="D19" s="760"/>
      <c r="E19" s="760">
        <f ca="1">E10+E11+E12</f>
        <v>-1238</v>
      </c>
      <c r="F19" s="760"/>
      <c r="G19" s="760">
        <f ca="1">G10+G11+G12</f>
        <v>-1238</v>
      </c>
      <c r="H19" s="760"/>
      <c r="I19" s="760">
        <f ca="1">I10+I11+I12</f>
        <v>-94</v>
      </c>
      <c r="J19" s="760"/>
      <c r="K19" s="760">
        <f ca="1">K10+K11+K12</f>
        <v>1241</v>
      </c>
      <c r="L19" s="760"/>
      <c r="M19" s="760">
        <f ca="1">M10+M11+M12</f>
        <v>1490</v>
      </c>
      <c r="N19" s="760"/>
      <c r="O19" s="760">
        <f ca="1">O10+O11+O12</f>
        <v>1490</v>
      </c>
      <c r="P19" s="760"/>
      <c r="Q19" s="760">
        <f ca="1">Q10+Q11+Q12</f>
        <v>1490</v>
      </c>
      <c r="R19" s="760"/>
      <c r="S19" s="760">
        <f ca="1">S10+S11+S12</f>
        <v>1241</v>
      </c>
      <c r="T19" s="760"/>
      <c r="U19" s="760">
        <f ca="1">U10+U11+U12</f>
        <v>1490</v>
      </c>
      <c r="V19" s="760"/>
      <c r="W19" s="760">
        <f ca="1">W10+W11+W12</f>
        <v>1490</v>
      </c>
      <c r="X19" s="760"/>
      <c r="Y19" s="760">
        <f ca="1">Y10+Y11+Y12</f>
        <v>1221</v>
      </c>
      <c r="Z19" s="735"/>
      <c r="AA19" s="735"/>
      <c r="AB19" s="735"/>
      <c r="AC19" s="735"/>
    </row>
    <row r="20" spans="1:29" s="1" customFormat="1">
      <c r="A20" s="1" t="s">
        <v>487</v>
      </c>
      <c r="B20" s="760">
        <f ca="1">NPV(B22,C19,E19,G19,I19,K19,M19,O19,Q19,S19,U19,W19,Y19)+B19</f>
        <v>-18665.669999999998</v>
      </c>
      <c r="C20" s="735"/>
      <c r="D20" s="776"/>
      <c r="E20" s="735"/>
      <c r="F20" s="735"/>
      <c r="G20" s="735"/>
      <c r="H20" s="735"/>
      <c r="I20" s="735"/>
      <c r="J20" s="735"/>
      <c r="K20" s="735"/>
      <c r="L20" s="735"/>
      <c r="M20" s="735"/>
      <c r="N20" s="735"/>
      <c r="O20" s="735"/>
      <c r="P20" s="735"/>
      <c r="Q20" s="735"/>
      <c r="R20" s="735"/>
      <c r="S20" s="735"/>
      <c r="T20" s="735"/>
      <c r="U20" s="735"/>
      <c r="V20" s="735"/>
      <c r="W20" s="735"/>
      <c r="X20" s="735"/>
      <c r="Y20" s="735"/>
      <c r="Z20" s="735"/>
      <c r="AA20" s="735"/>
      <c r="AB20" s="735"/>
      <c r="AC20" s="735"/>
    </row>
    <row r="21" spans="1:29" s="1" customFormat="1">
      <c r="A21" s="1" t="s">
        <v>488</v>
      </c>
      <c r="B21" s="761">
        <f ca="1">IRR(FCL_mensual!B19:Y19)</f>
        <v>-8.2699999999999996E-2</v>
      </c>
      <c r="C21" s="735"/>
      <c r="D21" s="776"/>
      <c r="E21" s="735"/>
      <c r="F21" s="735"/>
      <c r="G21" s="735"/>
      <c r="H21" s="735"/>
      <c r="I21" s="735"/>
      <c r="J21" s="735"/>
      <c r="K21" s="735"/>
      <c r="L21" s="735"/>
      <c r="M21" s="735"/>
      <c r="N21" s="735"/>
      <c r="O21" s="735"/>
      <c r="P21" s="735"/>
      <c r="Q21" s="735"/>
      <c r="R21" s="735"/>
      <c r="S21" s="735"/>
      <c r="T21" s="735"/>
      <c r="U21" s="735"/>
      <c r="V21" s="735"/>
      <c r="W21" s="735"/>
      <c r="X21" s="735"/>
      <c r="Y21" s="735"/>
      <c r="Z21" s="735"/>
      <c r="AA21" s="735"/>
      <c r="AB21" s="735"/>
      <c r="AC21" s="735"/>
    </row>
    <row r="22" spans="1:29">
      <c r="A22" s="1008" t="s">
        <v>489</v>
      </c>
      <c r="B22" s="1007">
        <f>TIO!D35</f>
        <v>0.1744</v>
      </c>
      <c r="C22" s="735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>
      <c r="B23" s="30"/>
    </row>
    <row r="26" spans="1:29">
      <c r="B26" s="759"/>
    </row>
    <row r="28" spans="1:29">
      <c r="C28" s="492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1EDF9-F5E1-4975-9878-31A1DD25C0E4}">
  <sheetPr codeName="Hoja18">
    <tabColor rgb="FFFFFF66"/>
    <pageSetUpPr fitToPage="1"/>
  </sheetPr>
  <dimension ref="A1:AH129"/>
  <sheetViews>
    <sheetView topLeftCell="A57" zoomScaleNormal="100" workbookViewId="0">
      <selection activeCell="B72" sqref="B72"/>
    </sheetView>
  </sheetViews>
  <sheetFormatPr baseColWidth="10" defaultColWidth="9.140625" defaultRowHeight="12.75"/>
  <cols>
    <col min="1" max="1" width="39.28515625" customWidth="1"/>
    <col min="2" max="2" width="14.42578125" customWidth="1"/>
    <col min="3" max="3" width="8.42578125" style="356" customWidth="1"/>
    <col min="4" max="4" width="14.42578125" customWidth="1"/>
    <col min="5" max="5" width="8.140625" style="356" customWidth="1"/>
    <col min="6" max="6" width="15.42578125" customWidth="1"/>
    <col min="7" max="7" width="8.42578125" style="356" customWidth="1"/>
    <col min="8" max="8" width="14.42578125" customWidth="1"/>
    <col min="9" max="9" width="8" style="356" customWidth="1"/>
    <col min="10" max="10" width="15.140625" customWidth="1"/>
    <col min="11" max="11" width="8" customWidth="1"/>
    <col min="12" max="12" width="17.42578125" style="8" customWidth="1"/>
    <col min="13" max="13" width="9.42578125" style="167" customWidth="1"/>
    <col min="14" max="14" width="19.140625" customWidth="1"/>
    <col min="15" max="15" width="16.42578125" bestFit="1" customWidth="1"/>
    <col min="16" max="16" width="15.42578125" customWidth="1"/>
    <col min="19" max="19" width="12.42578125" customWidth="1"/>
    <col min="20" max="20" width="12.5703125" customWidth="1"/>
    <col min="21" max="21" width="15" customWidth="1"/>
    <col min="22" max="22" width="18.42578125" customWidth="1"/>
    <col min="23" max="23" width="12.42578125" bestFit="1" customWidth="1"/>
    <col min="24" max="24" width="11.42578125" bestFit="1" customWidth="1"/>
    <col min="26" max="26" width="14.42578125" bestFit="1" customWidth="1"/>
    <col min="27" max="27" width="11.42578125" customWidth="1"/>
  </cols>
  <sheetData>
    <row r="1" spans="1:15" ht="15.75">
      <c r="A1" s="11"/>
      <c r="B1" s="195">
        <f>+'FX Rates'!B2</f>
        <v>1</v>
      </c>
      <c r="C1" s="354"/>
      <c r="D1" s="195">
        <f>+'FX Rates'!C2</f>
        <v>1</v>
      </c>
      <c r="E1" s="354"/>
      <c r="F1" s="195">
        <f>+'FX Rates'!D2</f>
        <v>1</v>
      </c>
      <c r="G1" s="354"/>
      <c r="H1" s="195">
        <f>+'FX Rates'!E2</f>
        <v>1</v>
      </c>
      <c r="I1" s="354"/>
      <c r="J1" s="195">
        <f>+'FX Rates'!F2</f>
        <v>1</v>
      </c>
      <c r="K1" s="195"/>
      <c r="L1" s="20"/>
    </row>
    <row r="2" spans="1:15" s="4" customFormat="1" ht="15.75">
      <c r="A2" s="11" t="s">
        <v>372</v>
      </c>
      <c r="D2" s="170"/>
      <c r="E2" s="354"/>
      <c r="F2" s="170"/>
      <c r="G2" s="354"/>
      <c r="H2" s="170"/>
      <c r="I2" s="354"/>
      <c r="J2" s="170"/>
      <c r="K2" s="354"/>
      <c r="L2" s="8"/>
      <c r="M2" s="239"/>
      <c r="N2" s="453"/>
    </row>
    <row r="3" spans="1:15" ht="15.75">
      <c r="A3" s="18" t="s">
        <v>373</v>
      </c>
      <c r="B3" s="195"/>
      <c r="C3" s="354"/>
      <c r="D3" s="195"/>
      <c r="F3" s="195"/>
      <c r="H3" s="195"/>
      <c r="J3" s="195"/>
      <c r="K3" s="149"/>
      <c r="L3" s="149"/>
      <c r="N3" s="149"/>
    </row>
    <row r="4" spans="1:15" ht="15.75">
      <c r="A4" s="18"/>
      <c r="B4" s="195"/>
      <c r="C4" s="354"/>
      <c r="D4" s="142"/>
      <c r="F4" s="142"/>
      <c r="H4" s="142"/>
      <c r="J4" s="142"/>
      <c r="K4" s="149"/>
      <c r="L4" s="149"/>
      <c r="N4" s="149"/>
    </row>
    <row r="5" spans="1:15">
      <c r="A5" s="493" t="s">
        <v>490</v>
      </c>
      <c r="B5" s="728">
        <v>0.05</v>
      </c>
      <c r="C5" s="729"/>
      <c r="D5" s="728">
        <v>0.05</v>
      </c>
      <c r="E5" s="729"/>
      <c r="F5" s="728">
        <v>0.05</v>
      </c>
      <c r="G5" s="729"/>
      <c r="H5" s="728">
        <v>0.05</v>
      </c>
      <c r="I5" s="729"/>
      <c r="J5" s="728">
        <v>0.05</v>
      </c>
      <c r="K5" s="728"/>
      <c r="L5" s="356"/>
      <c r="N5" s="149"/>
    </row>
    <row r="6" spans="1:15">
      <c r="A6" s="493" t="s">
        <v>491</v>
      </c>
      <c r="B6" s="728">
        <v>5.0000000000000001E-3</v>
      </c>
      <c r="C6" s="729"/>
      <c r="D6" s="728">
        <v>5.0000000000000001E-3</v>
      </c>
      <c r="E6" s="729"/>
      <c r="F6" s="728">
        <v>5.0000000000000001E-3</v>
      </c>
      <c r="G6" s="729"/>
      <c r="H6" s="728">
        <v>5.0000000000000001E-3</v>
      </c>
      <c r="I6" s="729"/>
      <c r="J6" s="728">
        <v>5.0000000000000001E-3</v>
      </c>
      <c r="K6" s="728"/>
      <c r="L6" s="356"/>
      <c r="N6" s="149"/>
    </row>
    <row r="7" spans="1:15" s="726" customFormat="1">
      <c r="A7" s="493" t="s">
        <v>492</v>
      </c>
      <c r="B7" s="730">
        <v>328</v>
      </c>
      <c r="C7" s="731"/>
      <c r="D7" s="730">
        <f>B7</f>
        <v>328</v>
      </c>
      <c r="E7" s="731"/>
      <c r="F7" s="730">
        <f>D7</f>
        <v>328</v>
      </c>
      <c r="G7" s="731"/>
      <c r="H7" s="730">
        <f>F7</f>
        <v>328</v>
      </c>
      <c r="I7" s="731"/>
      <c r="J7" s="730">
        <f>H7</f>
        <v>328</v>
      </c>
      <c r="K7" s="730"/>
      <c r="M7" s="727"/>
    </row>
    <row r="8" spans="1:15" s="726" customFormat="1">
      <c r="A8" s="493" t="s">
        <v>493</v>
      </c>
      <c r="B8" s="730">
        <v>328</v>
      </c>
      <c r="C8" s="731"/>
      <c r="D8" s="730">
        <v>328</v>
      </c>
      <c r="E8" s="731"/>
      <c r="F8" s="730">
        <f>D8</f>
        <v>328</v>
      </c>
      <c r="G8" s="731"/>
      <c r="H8" s="730">
        <f>F8</f>
        <v>328</v>
      </c>
      <c r="I8" s="731"/>
      <c r="J8" s="730">
        <f>H8</f>
        <v>328</v>
      </c>
      <c r="K8" s="730"/>
      <c r="M8" s="727"/>
    </row>
    <row r="9" spans="1:15">
      <c r="A9" s="493" t="s">
        <v>494</v>
      </c>
      <c r="B9" s="725">
        <f>B8/B7</f>
        <v>1</v>
      </c>
      <c r="C9" s="354"/>
      <c r="D9" s="725">
        <f>D8/D7</f>
        <v>1</v>
      </c>
      <c r="F9" s="725">
        <f>F8/F7</f>
        <v>1</v>
      </c>
      <c r="H9" s="725">
        <f>H8/H7</f>
        <v>1</v>
      </c>
      <c r="J9" s="725">
        <f>J8/J7</f>
        <v>1</v>
      </c>
      <c r="K9" s="725"/>
      <c r="L9" s="356"/>
      <c r="N9" s="149"/>
    </row>
    <row r="10" spans="1:15" ht="25.5">
      <c r="A10" s="732" t="s">
        <v>495</v>
      </c>
      <c r="B10" s="733"/>
      <c r="C10" s="734"/>
      <c r="D10" s="733">
        <f>(D8/B8)-1</f>
        <v>0</v>
      </c>
      <c r="E10" s="733"/>
      <c r="F10" s="733">
        <f>(F8/D8)-1</f>
        <v>0</v>
      </c>
      <c r="G10" s="734"/>
      <c r="H10" s="733">
        <f>(H8/F8)-1</f>
        <v>0</v>
      </c>
      <c r="I10" s="734"/>
      <c r="J10" s="733">
        <f>(J8/H8)-1</f>
        <v>0</v>
      </c>
      <c r="K10" s="733"/>
      <c r="L10" s="356"/>
      <c r="N10" s="149"/>
    </row>
    <row r="11" spans="1:15">
      <c r="A11" s="1" t="s">
        <v>496</v>
      </c>
      <c r="B11" s="733"/>
      <c r="C11" s="734"/>
      <c r="D11" s="728">
        <v>0</v>
      </c>
      <c r="E11" s="729"/>
      <c r="F11" s="728">
        <v>0.05</v>
      </c>
      <c r="G11" s="729"/>
      <c r="H11" s="728">
        <v>0</v>
      </c>
      <c r="I11" s="729"/>
      <c r="J11" s="728">
        <v>0.05</v>
      </c>
      <c r="K11" s="728"/>
      <c r="L11" s="356"/>
      <c r="N11" s="149"/>
    </row>
    <row r="12" spans="1:15">
      <c r="B12" s="21"/>
      <c r="C12" s="724"/>
      <c r="D12" s="21"/>
      <c r="E12" s="724"/>
      <c r="F12" s="21"/>
      <c r="G12" s="724"/>
      <c r="H12" s="21"/>
      <c r="I12" s="724"/>
      <c r="J12" s="21"/>
      <c r="K12" s="21"/>
      <c r="L12" s="21"/>
      <c r="N12" s="149"/>
    </row>
    <row r="13" spans="1:15" ht="15.75">
      <c r="A13" s="18"/>
      <c r="B13" s="21" t="s">
        <v>473</v>
      </c>
      <c r="C13" s="724"/>
      <c r="D13" s="21" t="s">
        <v>497</v>
      </c>
      <c r="E13" s="724"/>
      <c r="F13" s="21" t="s">
        <v>498</v>
      </c>
      <c r="G13" s="724"/>
      <c r="H13" s="21" t="s">
        <v>499</v>
      </c>
      <c r="I13" s="724"/>
      <c r="J13" s="21" t="s">
        <v>500</v>
      </c>
      <c r="K13" s="21"/>
      <c r="L13" s="21" t="s">
        <v>51</v>
      </c>
      <c r="N13" s="149"/>
    </row>
    <row r="14" spans="1:15">
      <c r="A14" s="6" t="s">
        <v>376</v>
      </c>
      <c r="N14" s="149"/>
    </row>
    <row r="15" spans="1:15">
      <c r="A15" s="1012" t="str">
        <f>Sales!B4</f>
        <v>OPD Unidad GreenER</v>
      </c>
      <c r="B15" s="14">
        <f ca="1">'Proyección mensual'!Z7</f>
        <v>28864</v>
      </c>
      <c r="C15" s="910">
        <f ca="1">IFERROR(B15/$B$21,0)</f>
        <v>1</v>
      </c>
      <c r="D15" s="14">
        <f ca="1">$B15*(1+D$10)*(1+D$11)</f>
        <v>28864</v>
      </c>
      <c r="E15" s="910">
        <f ca="1">IFERROR(D15/$D$21,0)</f>
        <v>1</v>
      </c>
      <c r="F15" s="14">
        <f ca="1">$D15*(1+F$10)*(1+F$11)</f>
        <v>30307</v>
      </c>
      <c r="G15" s="910">
        <f ca="1">IFERROR(F15/F21,0)</f>
        <v>1</v>
      </c>
      <c r="H15" s="14">
        <f ca="1">$F15*(1+H$10)*(1+H$11)</f>
        <v>30307</v>
      </c>
      <c r="I15" s="910">
        <f ca="1">IFERROR(H15/H21,0)</f>
        <v>1</v>
      </c>
      <c r="J15" s="14">
        <f ca="1">$H15*(1+J$10)*(1+J$11)</f>
        <v>31822</v>
      </c>
      <c r="K15" s="910">
        <f ca="1">IFERROR(J15/J21,0)</f>
        <v>1</v>
      </c>
      <c r="L15" s="15">
        <f t="shared" ref="L15:L20" ca="1" si="0">+B15+D15+F15+H15+J15</f>
        <v>150164</v>
      </c>
      <c r="M15" s="908">
        <f t="shared" ref="M15:M20" ca="1" si="1">+L15/$L$21</f>
        <v>1</v>
      </c>
      <c r="N15" s="149"/>
      <c r="O15" s="149"/>
    </row>
    <row r="16" spans="1:15">
      <c r="A16" s="757" t="s">
        <v>377</v>
      </c>
      <c r="B16" s="14">
        <f>'Proyección mensual'!Z8</f>
        <v>0</v>
      </c>
      <c r="C16" s="357"/>
      <c r="D16" s="14">
        <f t="shared" ref="D16:D19" si="2">$B16*(1+D$10)</f>
        <v>0</v>
      </c>
      <c r="E16" s="357"/>
      <c r="F16" s="14">
        <f t="shared" ref="F16:F18" si="3">$B16*(1+F$10)</f>
        <v>0</v>
      </c>
      <c r="G16" s="357"/>
      <c r="H16" s="14">
        <f t="shared" ref="H16:H19" si="4">$B16*(1+H$10)</f>
        <v>0</v>
      </c>
      <c r="I16" s="357"/>
      <c r="J16" s="14">
        <f t="shared" ref="J16:J19" si="5">$B16*(1+J$10)</f>
        <v>0</v>
      </c>
      <c r="K16" s="357"/>
      <c r="L16" s="15">
        <f t="shared" si="0"/>
        <v>0</v>
      </c>
      <c r="M16" s="908">
        <f t="shared" ca="1" si="1"/>
        <v>0</v>
      </c>
      <c r="N16" s="149"/>
    </row>
    <row r="17" spans="1:34">
      <c r="A17" s="757" t="s">
        <v>378</v>
      </c>
      <c r="B17" s="14">
        <f>'Proyección mensual'!Z9</f>
        <v>0</v>
      </c>
      <c r="C17" s="910">
        <f ca="1">+B17/$B$21</f>
        <v>0</v>
      </c>
      <c r="D17" s="14">
        <f t="shared" si="2"/>
        <v>0</v>
      </c>
      <c r="E17" s="910">
        <f ca="1">+D17/$B$21</f>
        <v>0</v>
      </c>
      <c r="F17" s="14">
        <f t="shared" si="3"/>
        <v>0</v>
      </c>
      <c r="G17" s="910">
        <f ca="1">+F17/$B$21</f>
        <v>0</v>
      </c>
      <c r="H17" s="14">
        <f t="shared" si="4"/>
        <v>0</v>
      </c>
      <c r="I17" s="910">
        <f ca="1">+H17/$B$21</f>
        <v>0</v>
      </c>
      <c r="J17" s="14">
        <f t="shared" si="5"/>
        <v>0</v>
      </c>
      <c r="K17" s="910">
        <f ca="1">+J17/$B$21</f>
        <v>0</v>
      </c>
      <c r="L17" s="15">
        <f t="shared" si="0"/>
        <v>0</v>
      </c>
      <c r="M17" s="908">
        <f t="shared" ca="1" si="1"/>
        <v>0</v>
      </c>
      <c r="N17" s="149"/>
      <c r="O17" s="14"/>
    </row>
    <row r="18" spans="1:34">
      <c r="A18" s="757" t="s">
        <v>379</v>
      </c>
      <c r="B18" s="14">
        <f>'Proyección mensual'!Z10</f>
        <v>0</v>
      </c>
      <c r="C18" s="910"/>
      <c r="D18" s="14">
        <f t="shared" si="2"/>
        <v>0</v>
      </c>
      <c r="E18" s="910"/>
      <c r="F18" s="14">
        <f t="shared" si="3"/>
        <v>0</v>
      </c>
      <c r="G18" s="910"/>
      <c r="H18" s="14">
        <f t="shared" si="4"/>
        <v>0</v>
      </c>
      <c r="I18" s="910"/>
      <c r="J18" s="14">
        <f t="shared" si="5"/>
        <v>0</v>
      </c>
      <c r="K18" s="910"/>
      <c r="L18" s="15">
        <f t="shared" si="0"/>
        <v>0</v>
      </c>
      <c r="M18" s="908">
        <f t="shared" ca="1" si="1"/>
        <v>0</v>
      </c>
      <c r="N18" s="149"/>
      <c r="O18" s="20"/>
    </row>
    <row r="19" spans="1:34" s="35" customFormat="1">
      <c r="A19" s="32" t="s">
        <v>380</v>
      </c>
      <c r="B19" s="14">
        <f>'Proyección mensual'!Z11</f>
        <v>0</v>
      </c>
      <c r="C19" s="910"/>
      <c r="D19" s="14">
        <f t="shared" si="2"/>
        <v>0</v>
      </c>
      <c r="E19" s="910"/>
      <c r="F19" s="14">
        <f>$B19*(1+F$10)</f>
        <v>0</v>
      </c>
      <c r="G19" s="910"/>
      <c r="H19" s="14">
        <f t="shared" si="4"/>
        <v>0</v>
      </c>
      <c r="I19" s="910"/>
      <c r="J19" s="14">
        <f t="shared" si="5"/>
        <v>0</v>
      </c>
      <c r="K19" s="910"/>
      <c r="L19" s="15">
        <f t="shared" si="0"/>
        <v>0</v>
      </c>
      <c r="M19" s="908">
        <f t="shared" ca="1" si="1"/>
        <v>0</v>
      </c>
      <c r="N19" s="149"/>
    </row>
    <row r="20" spans="1:34">
      <c r="A20" s="757" t="s">
        <v>59</v>
      </c>
      <c r="B20" s="20"/>
      <c r="C20" s="910"/>
      <c r="D20" s="14"/>
      <c r="E20" s="910"/>
      <c r="F20" s="14"/>
      <c r="G20" s="910"/>
      <c r="H20" s="14"/>
      <c r="I20" s="910"/>
      <c r="J20" s="14"/>
      <c r="K20" s="910"/>
      <c r="L20" s="15">
        <f t="shared" si="0"/>
        <v>0</v>
      </c>
      <c r="M20" s="908">
        <f t="shared" ca="1" si="1"/>
        <v>0</v>
      </c>
      <c r="N20" s="149"/>
    </row>
    <row r="21" spans="1:34" s="1" customFormat="1" ht="13.5" thickBot="1">
      <c r="A21" s="6" t="s">
        <v>381</v>
      </c>
      <c r="B21" s="40">
        <f ca="1">SUM(B15:B20)</f>
        <v>28864</v>
      </c>
      <c r="C21" s="910">
        <f ca="1">IFERROR(B21/$B$21,0)</f>
        <v>1</v>
      </c>
      <c r="D21" s="40">
        <f ca="1">SUM(D15:D20)</f>
        <v>28864</v>
      </c>
      <c r="E21" s="910">
        <f ca="1">IFERROR(D21/D21,0)</f>
        <v>1</v>
      </c>
      <c r="F21" s="40">
        <f t="shared" ref="F21:J21" ca="1" si="6">SUM(F15:F20)</f>
        <v>30307</v>
      </c>
      <c r="G21" s="910">
        <f ca="1">IFERROR(F21/F21,0)</f>
        <v>1</v>
      </c>
      <c r="H21" s="40">
        <f t="shared" ca="1" si="6"/>
        <v>30307</v>
      </c>
      <c r="I21" s="910">
        <f ca="1">IFERROR(H21/H21,0)</f>
        <v>1</v>
      </c>
      <c r="J21" s="40">
        <f t="shared" ca="1" si="6"/>
        <v>31822</v>
      </c>
      <c r="K21" s="910">
        <f ca="1">IFERROR(J21/J21,0)</f>
        <v>1</v>
      </c>
      <c r="L21" s="40">
        <f ca="1">SUM(L15:L20)</f>
        <v>150164</v>
      </c>
      <c r="M21" s="21"/>
      <c r="N21" s="149"/>
      <c r="P21" s="603"/>
    </row>
    <row r="22" spans="1:34" ht="13.5" thickTop="1">
      <c r="A22" s="757"/>
      <c r="B22" s="20"/>
      <c r="C22" s="910"/>
      <c r="D22" s="20"/>
      <c r="F22" s="20"/>
      <c r="H22" s="20"/>
      <c r="J22" s="20"/>
      <c r="K22" s="356"/>
      <c r="L22" s="15"/>
      <c r="N22" s="149"/>
      <c r="O22" s="168"/>
      <c r="P22" s="20"/>
      <c r="U22" s="149"/>
    </row>
    <row r="23" spans="1:34">
      <c r="A23" s="6" t="s">
        <v>382</v>
      </c>
      <c r="B23" s="20"/>
      <c r="C23" s="910"/>
      <c r="D23" s="20"/>
      <c r="F23" s="20"/>
      <c r="H23" s="20"/>
      <c r="J23" s="20"/>
      <c r="K23" s="356"/>
      <c r="L23" s="15"/>
      <c r="N23" s="149"/>
      <c r="U23" s="149"/>
      <c r="X23" s="187"/>
      <c r="Y23" s="187"/>
      <c r="Z23" s="204"/>
    </row>
    <row r="24" spans="1:34">
      <c r="A24" s="757" t="s">
        <v>266</v>
      </c>
      <c r="B24" s="14">
        <f>'Proyección mensual'!Z16</f>
        <v>230</v>
      </c>
      <c r="C24" s="910">
        <f t="shared" ref="C24:C57" ca="1" si="7">+B24/$B$21</f>
        <v>8.0000000000000002E-3</v>
      </c>
      <c r="D24" s="14">
        <f>$B24*(1+D$5+D$6+D$10)</f>
        <v>243</v>
      </c>
      <c r="E24" s="910">
        <f ca="1">IFERROR(D24/$D$21,0)</f>
        <v>8.0000000000000002E-3</v>
      </c>
      <c r="F24" s="14">
        <f>IF(Staff_shift!$X$23=1,$D24*(1+F$5+F$6+F$10),$D24*(1+F$5+F$6+F$10))</f>
        <v>256</v>
      </c>
      <c r="G24" s="910">
        <f ca="1">IFERROR(F24/$F$21,0)</f>
        <v>8.0000000000000002E-3</v>
      </c>
      <c r="H24" s="14">
        <f>IF(Staff_shift!$X$23=1,$F24*(1+H$5+H$6+H$10),$F24*(1+H$5+H$6+H$10))</f>
        <v>270</v>
      </c>
      <c r="I24" s="910">
        <f ca="1">IFERROR(H24/$H$21,0)</f>
        <v>8.9999999999999993E-3</v>
      </c>
      <c r="J24" s="14">
        <f>IF(Staff_shift!$X$23=1,$H24*(1+J$5+J$6+J$10),$H24*(1+J$5+J$6+J$10))</f>
        <v>285</v>
      </c>
      <c r="K24" s="910">
        <f ca="1">IFERROR(J24/$H$21,0)</f>
        <v>8.9999999999999993E-3</v>
      </c>
      <c r="L24" s="15">
        <f>+B24+D24+F24+H24+J24</f>
        <v>1284</v>
      </c>
      <c r="M24" s="913">
        <f ca="1">+L24/$L$21</f>
        <v>0.01</v>
      </c>
      <c r="N24" s="149"/>
      <c r="U24" s="149"/>
      <c r="X24" s="555"/>
      <c r="Y24" s="187"/>
      <c r="Z24" s="223"/>
      <c r="AA24" s="149"/>
      <c r="AB24" s="149"/>
      <c r="AC24" s="149"/>
      <c r="AD24" s="149"/>
      <c r="AE24" s="149"/>
      <c r="AF24" s="149"/>
      <c r="AG24" s="149"/>
      <c r="AH24" s="149"/>
    </row>
    <row r="25" spans="1:34">
      <c r="A25" s="757" t="s">
        <v>268</v>
      </c>
      <c r="B25" s="14">
        <f>'Proyección mensual'!Z17</f>
        <v>110</v>
      </c>
      <c r="C25" s="910">
        <f t="shared" ca="1" si="7"/>
        <v>4.0000000000000001E-3</v>
      </c>
      <c r="D25" s="14">
        <f>$B25*(1+D$5+D$6+D$10)</f>
        <v>116</v>
      </c>
      <c r="E25" s="910">
        <f ca="1">IFERROR(D25/$D$21,0)</f>
        <v>4.0000000000000001E-3</v>
      </c>
      <c r="F25" s="14">
        <f>IF(Staff_shift!$X$23=1,$D25*(1+F$5+F$6+F$10),$D25*(1+F$5+F$6+F$10))</f>
        <v>122</v>
      </c>
      <c r="G25" s="910">
        <f ca="1">IFERROR(F25/$F$21,0)</f>
        <v>4.0000000000000001E-3</v>
      </c>
      <c r="H25" s="14">
        <f>IF(Staff_shift!$X$23=1,$F25*(1+H$5+H$6+H$10),$F25*(1+H$5+H$6+H$10))</f>
        <v>129</v>
      </c>
      <c r="I25" s="910">
        <f t="shared" ref="I25:K59" ca="1" si="8">IFERROR(H25/$H$21,0)</f>
        <v>4.0000000000000001E-3</v>
      </c>
      <c r="J25" s="14">
        <f>IF(Staff_shift!$X$23=1,$B25*(1+J$5+J$6+J$10),$B25*(1+J$5+J$6+J$10))</f>
        <v>116</v>
      </c>
      <c r="K25" s="910">
        <f t="shared" ca="1" si="8"/>
        <v>4.0000000000000001E-3</v>
      </c>
      <c r="L25" s="15">
        <f>+B25+D25+F25+H25+J25</f>
        <v>593</v>
      </c>
      <c r="M25" s="913">
        <f t="shared" ref="M25:M61" ca="1" si="9">+L25/$L$21</f>
        <v>0</v>
      </c>
      <c r="N25" s="149"/>
      <c r="U25" s="149"/>
      <c r="X25" s="555"/>
      <c r="Y25" s="187"/>
      <c r="Z25" s="223"/>
      <c r="AA25" s="149"/>
      <c r="AB25" s="149"/>
      <c r="AC25" s="149"/>
      <c r="AD25" s="149"/>
      <c r="AE25" s="149"/>
      <c r="AF25" s="149"/>
      <c r="AG25" s="149"/>
      <c r="AH25" s="149"/>
    </row>
    <row r="26" spans="1:34">
      <c r="A26" s="757" t="s">
        <v>383</v>
      </c>
      <c r="B26" s="14">
        <f>'Proyección mensual'!Z18</f>
        <v>0</v>
      </c>
      <c r="C26" s="910">
        <f t="shared" ca="1" si="7"/>
        <v>0</v>
      </c>
      <c r="D26" s="14">
        <f t="shared" ref="D26:D54" si="10">$B26*(1+D$5+D$6+$D$10)</f>
        <v>0</v>
      </c>
      <c r="E26" s="910">
        <f t="shared" ref="E26:E58" ca="1" si="11">IFERROR(D26/$D$21,0)</f>
        <v>0</v>
      </c>
      <c r="F26" s="14">
        <f t="shared" ref="F26:F57" si="12">$B26*(1+F$5+F$6+F$10)</f>
        <v>0</v>
      </c>
      <c r="G26" s="910">
        <f t="shared" ref="G26:G59" ca="1" si="13">IFERROR(F26/$F$21,0)</f>
        <v>0</v>
      </c>
      <c r="H26" s="14">
        <f t="shared" ref="H26:H57" si="14">$B26*(1+H$5+H$6+H$10)</f>
        <v>0</v>
      </c>
      <c r="I26" s="910">
        <f t="shared" ca="1" si="8"/>
        <v>0</v>
      </c>
      <c r="J26" s="14">
        <f t="shared" ref="J26:J57" si="15">$B26*(1+J$5+J$6+J$10)</f>
        <v>0</v>
      </c>
      <c r="K26" s="910">
        <f t="shared" ca="1" si="8"/>
        <v>0</v>
      </c>
      <c r="L26" s="15">
        <f>+B26+D26+F26+H26+J26</f>
        <v>0</v>
      </c>
      <c r="M26" s="913">
        <f t="shared" ca="1" si="9"/>
        <v>0</v>
      </c>
      <c r="N26" s="149"/>
      <c r="U26" s="149"/>
      <c r="X26" s="555"/>
      <c r="Y26" s="187"/>
      <c r="Z26" s="223"/>
      <c r="AA26" s="149"/>
      <c r="AB26" s="149"/>
      <c r="AC26" s="149"/>
      <c r="AD26" s="149"/>
      <c r="AE26" s="149"/>
      <c r="AF26" s="149"/>
      <c r="AG26" s="149"/>
      <c r="AH26" s="149"/>
    </row>
    <row r="27" spans="1:34">
      <c r="A27" s="757" t="s">
        <v>269</v>
      </c>
      <c r="B27" s="14">
        <f>'Proyección mensual'!Z19</f>
        <v>92</v>
      </c>
      <c r="C27" s="910">
        <f t="shared" ca="1" si="7"/>
        <v>3.0000000000000001E-3</v>
      </c>
      <c r="D27" s="14">
        <f>$B27*(1+D$5+D$6+$D$10)</f>
        <v>97</v>
      </c>
      <c r="E27" s="910">
        <f t="shared" ca="1" si="11"/>
        <v>3.0000000000000001E-3</v>
      </c>
      <c r="F27" s="14">
        <f>$D27*(1+F$5+F$6+F$10)</f>
        <v>102</v>
      </c>
      <c r="G27" s="910">
        <f t="shared" ca="1" si="13"/>
        <v>3.0000000000000001E-3</v>
      </c>
      <c r="H27" s="14">
        <f>$F27*(1+H$5+H$6+H$10)</f>
        <v>108</v>
      </c>
      <c r="I27" s="910">
        <f t="shared" ca="1" si="8"/>
        <v>4.0000000000000001E-3</v>
      </c>
      <c r="J27" s="14">
        <f>$H27*(1+J$5+J$6+J$10)</f>
        <v>114</v>
      </c>
      <c r="K27" s="910">
        <f t="shared" ca="1" si="8"/>
        <v>4.0000000000000001E-3</v>
      </c>
      <c r="L27" s="15">
        <f t="shared" ref="L27:L57" si="16">+B27+D27+F27+H27+J27</f>
        <v>513</v>
      </c>
      <c r="M27" s="913">
        <f t="shared" ca="1" si="9"/>
        <v>0</v>
      </c>
      <c r="N27" s="149"/>
      <c r="U27" s="149"/>
      <c r="X27" s="555"/>
      <c r="Y27" s="187"/>
      <c r="Z27" s="223"/>
      <c r="AA27" s="149"/>
      <c r="AB27" s="149"/>
      <c r="AC27" s="149"/>
      <c r="AD27" s="149"/>
      <c r="AE27" s="149"/>
      <c r="AF27" s="149"/>
      <c r="AG27" s="149"/>
      <c r="AH27" s="149"/>
    </row>
    <row r="28" spans="1:34">
      <c r="A28" s="757" t="s">
        <v>384</v>
      </c>
      <c r="B28" s="14">
        <f>'Proyección mensual'!Z20</f>
        <v>44</v>
      </c>
      <c r="C28" s="910">
        <f t="shared" ca="1" si="7"/>
        <v>2E-3</v>
      </c>
      <c r="D28" s="14">
        <f>$B28*(1+D$5+D$6+$D$10)</f>
        <v>46</v>
      </c>
      <c r="E28" s="910">
        <f t="shared" ca="1" si="11"/>
        <v>2E-3</v>
      </c>
      <c r="F28" s="14">
        <f>$D28*(1+F$5+F$6+F$10)</f>
        <v>49</v>
      </c>
      <c r="G28" s="910">
        <f t="shared" ca="1" si="13"/>
        <v>2E-3</v>
      </c>
      <c r="H28" s="14">
        <f>$F28*(1+H$5+H$6+H$10)</f>
        <v>52</v>
      </c>
      <c r="I28" s="910">
        <f t="shared" ca="1" si="8"/>
        <v>2E-3</v>
      </c>
      <c r="J28" s="14">
        <f>$H28*(1+J$5+J$6+J$10)</f>
        <v>55</v>
      </c>
      <c r="K28" s="910">
        <f t="shared" ca="1" si="8"/>
        <v>2E-3</v>
      </c>
      <c r="L28" s="15">
        <f t="shared" si="16"/>
        <v>246</v>
      </c>
      <c r="M28" s="913">
        <f t="shared" ca="1" si="9"/>
        <v>0</v>
      </c>
      <c r="N28" s="149"/>
      <c r="O28" s="726"/>
      <c r="P28" s="726"/>
      <c r="Q28" s="726"/>
      <c r="R28" s="726"/>
      <c r="S28" s="726"/>
      <c r="T28" s="726"/>
      <c r="U28" s="149"/>
      <c r="Z28" s="149"/>
      <c r="AA28" s="149"/>
      <c r="AB28" s="149"/>
      <c r="AC28" s="149"/>
      <c r="AD28" s="149"/>
      <c r="AE28" s="149"/>
      <c r="AF28" s="149"/>
      <c r="AG28" s="149"/>
      <c r="AH28" s="149"/>
    </row>
    <row r="29" spans="1:34">
      <c r="A29" s="757" t="s">
        <v>385</v>
      </c>
      <c r="B29" s="14">
        <f>'Proyección mensual'!Z21</f>
        <v>0</v>
      </c>
      <c r="C29" s="910">
        <f t="shared" ca="1" si="7"/>
        <v>0</v>
      </c>
      <c r="D29" s="14">
        <f t="shared" si="10"/>
        <v>0</v>
      </c>
      <c r="E29" s="910">
        <f t="shared" ca="1" si="11"/>
        <v>0</v>
      </c>
      <c r="F29" s="14">
        <f t="shared" si="12"/>
        <v>0</v>
      </c>
      <c r="G29" s="910">
        <f t="shared" ca="1" si="13"/>
        <v>0</v>
      </c>
      <c r="H29" s="14">
        <f t="shared" si="14"/>
        <v>0</v>
      </c>
      <c r="I29" s="910">
        <f t="shared" ca="1" si="8"/>
        <v>0</v>
      </c>
      <c r="J29" s="14">
        <f t="shared" si="15"/>
        <v>0</v>
      </c>
      <c r="K29" s="910">
        <f t="shared" ca="1" si="8"/>
        <v>0</v>
      </c>
      <c r="L29" s="15">
        <f t="shared" si="16"/>
        <v>0</v>
      </c>
      <c r="M29" s="913">
        <f t="shared" ca="1" si="9"/>
        <v>0</v>
      </c>
      <c r="N29" s="149"/>
      <c r="O29" s="726"/>
      <c r="P29" s="726"/>
      <c r="Q29" s="726"/>
      <c r="R29" s="726"/>
      <c r="S29" s="726"/>
      <c r="T29" s="726"/>
      <c r="U29" s="149"/>
      <c r="Z29" s="149"/>
      <c r="AA29" s="149"/>
      <c r="AB29" s="149"/>
      <c r="AC29" s="149"/>
      <c r="AD29" s="149"/>
      <c r="AE29" s="149"/>
      <c r="AF29" s="149"/>
      <c r="AG29" s="149"/>
      <c r="AH29" s="149"/>
    </row>
    <row r="30" spans="1:34">
      <c r="A30" s="757" t="s">
        <v>386</v>
      </c>
      <c r="B30" s="14">
        <f>'Proyección mensual'!Z22</f>
        <v>0</v>
      </c>
      <c r="C30" s="910">
        <f t="shared" ca="1" si="7"/>
        <v>0</v>
      </c>
      <c r="D30" s="14">
        <f t="shared" si="10"/>
        <v>0</v>
      </c>
      <c r="E30" s="910">
        <f t="shared" ca="1" si="11"/>
        <v>0</v>
      </c>
      <c r="F30" s="14">
        <f t="shared" si="12"/>
        <v>0</v>
      </c>
      <c r="G30" s="910">
        <f t="shared" ca="1" si="13"/>
        <v>0</v>
      </c>
      <c r="H30" s="14">
        <f t="shared" si="14"/>
        <v>0</v>
      </c>
      <c r="I30" s="910">
        <f t="shared" ca="1" si="8"/>
        <v>0</v>
      </c>
      <c r="J30" s="14">
        <f t="shared" si="15"/>
        <v>0</v>
      </c>
      <c r="K30" s="910">
        <f t="shared" ca="1" si="8"/>
        <v>0</v>
      </c>
      <c r="L30" s="15">
        <f t="shared" si="16"/>
        <v>0</v>
      </c>
      <c r="M30" s="913">
        <f t="shared" ca="1" si="9"/>
        <v>0</v>
      </c>
      <c r="N30" s="149"/>
      <c r="U30" s="149"/>
      <c r="X30" s="149"/>
      <c r="Z30" s="149"/>
      <c r="AA30" s="149"/>
      <c r="AB30" s="149"/>
      <c r="AC30" s="149"/>
      <c r="AD30" s="149"/>
      <c r="AE30" s="149"/>
      <c r="AF30" s="149"/>
      <c r="AG30" s="149"/>
      <c r="AH30" s="149"/>
    </row>
    <row r="31" spans="1:34">
      <c r="A31" s="757" t="s">
        <v>387</v>
      </c>
      <c r="B31" s="14">
        <f>'Proyección mensual'!Z23</f>
        <v>0</v>
      </c>
      <c r="C31" s="910">
        <f t="shared" ca="1" si="7"/>
        <v>0</v>
      </c>
      <c r="D31" s="14">
        <f t="shared" si="10"/>
        <v>0</v>
      </c>
      <c r="E31" s="910">
        <f t="shared" ca="1" si="11"/>
        <v>0</v>
      </c>
      <c r="F31" s="14">
        <f t="shared" si="12"/>
        <v>0</v>
      </c>
      <c r="G31" s="910">
        <f t="shared" ca="1" si="13"/>
        <v>0</v>
      </c>
      <c r="H31" s="14">
        <f t="shared" si="14"/>
        <v>0</v>
      </c>
      <c r="I31" s="910">
        <f t="shared" ca="1" si="8"/>
        <v>0</v>
      </c>
      <c r="J31" s="14">
        <f t="shared" si="15"/>
        <v>0</v>
      </c>
      <c r="K31" s="910">
        <f t="shared" ca="1" si="8"/>
        <v>0</v>
      </c>
      <c r="L31" s="15">
        <f t="shared" si="16"/>
        <v>0</v>
      </c>
      <c r="M31" s="913">
        <f t="shared" ca="1" si="9"/>
        <v>0</v>
      </c>
      <c r="N31" s="149"/>
      <c r="U31" s="149"/>
      <c r="X31" s="149"/>
      <c r="Z31" s="149"/>
      <c r="AA31" s="149"/>
      <c r="AB31" s="149"/>
      <c r="AC31" s="149"/>
      <c r="AD31" s="149"/>
      <c r="AE31" s="149"/>
      <c r="AF31" s="149"/>
      <c r="AG31" s="149"/>
      <c r="AH31" s="149"/>
    </row>
    <row r="32" spans="1:34">
      <c r="A32" s="757" t="s">
        <v>388</v>
      </c>
      <c r="B32" s="14">
        <f>'Proyección mensual'!Z24</f>
        <v>0</v>
      </c>
      <c r="C32" s="910">
        <f t="shared" ca="1" si="7"/>
        <v>0</v>
      </c>
      <c r="D32" s="14">
        <f t="shared" si="10"/>
        <v>0</v>
      </c>
      <c r="E32" s="910">
        <f t="shared" ca="1" si="11"/>
        <v>0</v>
      </c>
      <c r="F32" s="14">
        <f t="shared" si="12"/>
        <v>0</v>
      </c>
      <c r="G32" s="910">
        <f t="shared" ca="1" si="13"/>
        <v>0</v>
      </c>
      <c r="H32" s="14">
        <f t="shared" si="14"/>
        <v>0</v>
      </c>
      <c r="I32" s="910">
        <f t="shared" ca="1" si="8"/>
        <v>0</v>
      </c>
      <c r="J32" s="14">
        <f t="shared" si="15"/>
        <v>0</v>
      </c>
      <c r="K32" s="910">
        <f t="shared" ca="1" si="8"/>
        <v>0</v>
      </c>
      <c r="L32" s="15">
        <f t="shared" si="16"/>
        <v>0</v>
      </c>
      <c r="M32" s="253">
        <f t="shared" ca="1" si="9"/>
        <v>0</v>
      </c>
      <c r="N32" s="149"/>
      <c r="T32" s="150"/>
      <c r="U32" s="150"/>
      <c r="V32" s="150"/>
      <c r="W32" s="150"/>
      <c r="X32" s="4"/>
      <c r="Y32" s="4"/>
      <c r="Z32" s="149"/>
      <c r="AA32" s="149"/>
      <c r="AB32" s="149"/>
      <c r="AC32" s="149"/>
      <c r="AD32" s="149"/>
      <c r="AE32" s="149"/>
      <c r="AF32" s="149"/>
      <c r="AG32" s="149"/>
      <c r="AH32" s="149"/>
    </row>
    <row r="33" spans="1:34">
      <c r="A33" s="757" t="s">
        <v>389</v>
      </c>
      <c r="B33" s="14">
        <f>'Proyección mensual'!Z25</f>
        <v>0</v>
      </c>
      <c r="C33" s="910">
        <f t="shared" ca="1" si="7"/>
        <v>0</v>
      </c>
      <c r="D33" s="14">
        <f t="shared" si="10"/>
        <v>0</v>
      </c>
      <c r="E33" s="910">
        <f t="shared" ca="1" si="11"/>
        <v>0</v>
      </c>
      <c r="F33" s="14">
        <f t="shared" si="12"/>
        <v>0</v>
      </c>
      <c r="G33" s="910">
        <f t="shared" ca="1" si="13"/>
        <v>0</v>
      </c>
      <c r="H33" s="14">
        <f t="shared" si="14"/>
        <v>0</v>
      </c>
      <c r="I33" s="910">
        <f t="shared" ca="1" si="8"/>
        <v>0</v>
      </c>
      <c r="J33" s="14">
        <f t="shared" si="15"/>
        <v>0</v>
      </c>
      <c r="K33" s="910">
        <f t="shared" ca="1" si="8"/>
        <v>0</v>
      </c>
      <c r="L33" s="15">
        <f t="shared" si="16"/>
        <v>0</v>
      </c>
      <c r="M33" s="908">
        <f t="shared" ca="1" si="9"/>
        <v>0</v>
      </c>
      <c r="N33" s="149"/>
      <c r="T33" s="150"/>
      <c r="U33" s="150"/>
      <c r="V33" s="150"/>
      <c r="W33" s="150"/>
      <c r="X33" s="4"/>
      <c r="Y33" s="4"/>
      <c r="Z33" s="149"/>
      <c r="AA33" s="149"/>
      <c r="AB33" s="149"/>
      <c r="AC33" s="149"/>
      <c r="AD33" s="149"/>
      <c r="AE33" s="149"/>
      <c r="AF33" s="149"/>
      <c r="AG33" s="149"/>
      <c r="AH33" s="149"/>
    </row>
    <row r="34" spans="1:34" s="4" customFormat="1">
      <c r="A34" s="757" t="s">
        <v>390</v>
      </c>
      <c r="B34" s="14">
        <f>'Proyección mensual'!Z26</f>
        <v>0</v>
      </c>
      <c r="C34" s="910">
        <f t="shared" ca="1" si="7"/>
        <v>0</v>
      </c>
      <c r="D34" s="14">
        <f t="shared" si="10"/>
        <v>0</v>
      </c>
      <c r="E34" s="910">
        <f t="shared" ca="1" si="11"/>
        <v>0</v>
      </c>
      <c r="F34" s="14">
        <f t="shared" si="12"/>
        <v>0</v>
      </c>
      <c r="G34" s="910">
        <f t="shared" ca="1" si="13"/>
        <v>0</v>
      </c>
      <c r="H34" s="14">
        <f t="shared" si="14"/>
        <v>0</v>
      </c>
      <c r="I34" s="910">
        <f t="shared" ca="1" si="8"/>
        <v>0</v>
      </c>
      <c r="J34" s="14">
        <f t="shared" si="15"/>
        <v>0</v>
      </c>
      <c r="K34" s="910">
        <f t="shared" ca="1" si="8"/>
        <v>0</v>
      </c>
      <c r="L34" s="15">
        <f t="shared" si="16"/>
        <v>0</v>
      </c>
      <c r="M34" s="252">
        <f t="shared" ca="1" si="9"/>
        <v>0</v>
      </c>
      <c r="N34" s="20"/>
      <c r="U34" s="150"/>
      <c r="V34" s="150"/>
      <c r="Z34" s="150"/>
      <c r="AA34" s="150"/>
      <c r="AB34" s="150"/>
      <c r="AC34" s="150"/>
      <c r="AD34" s="150"/>
      <c r="AE34" s="150"/>
      <c r="AF34" s="150"/>
      <c r="AG34" s="150"/>
      <c r="AH34" s="150"/>
    </row>
    <row r="35" spans="1:34" s="4" customFormat="1">
      <c r="A35" s="757" t="s">
        <v>391</v>
      </c>
      <c r="B35" s="14">
        <f>'Proyección mensual'!Z27</f>
        <v>0</v>
      </c>
      <c r="C35" s="910">
        <f t="shared" ca="1" si="7"/>
        <v>0</v>
      </c>
      <c r="D35" s="14">
        <f t="shared" si="10"/>
        <v>0</v>
      </c>
      <c r="E35" s="910">
        <f t="shared" ca="1" si="11"/>
        <v>0</v>
      </c>
      <c r="F35" s="14">
        <f t="shared" si="12"/>
        <v>0</v>
      </c>
      <c r="G35" s="910">
        <f t="shared" ca="1" si="13"/>
        <v>0</v>
      </c>
      <c r="H35" s="14">
        <f t="shared" si="14"/>
        <v>0</v>
      </c>
      <c r="I35" s="910">
        <f t="shared" ca="1" si="8"/>
        <v>0</v>
      </c>
      <c r="J35" s="14">
        <f t="shared" si="15"/>
        <v>0</v>
      </c>
      <c r="K35" s="910">
        <f t="shared" ca="1" si="8"/>
        <v>0</v>
      </c>
      <c r="L35" s="15">
        <f t="shared" si="16"/>
        <v>0</v>
      </c>
      <c r="M35" s="252">
        <f t="shared" ca="1" si="9"/>
        <v>0</v>
      </c>
      <c r="N35" s="20"/>
      <c r="T35" s="458"/>
      <c r="U35" s="150"/>
      <c r="V35" s="150"/>
      <c r="W35" s="914"/>
      <c r="Z35" s="150"/>
      <c r="AA35" s="150"/>
      <c r="AB35" s="150"/>
      <c r="AC35" s="150"/>
      <c r="AD35" s="150"/>
      <c r="AE35" s="150"/>
      <c r="AF35" s="150"/>
      <c r="AG35" s="150"/>
      <c r="AH35" s="150"/>
    </row>
    <row r="36" spans="1:34" s="4" customFormat="1">
      <c r="A36" s="757" t="s">
        <v>392</v>
      </c>
      <c r="B36" s="14">
        <f>'Proyección mensual'!Z28</f>
        <v>0</v>
      </c>
      <c r="C36" s="910">
        <f t="shared" ca="1" si="7"/>
        <v>0</v>
      </c>
      <c r="D36" s="14">
        <f t="shared" si="10"/>
        <v>0</v>
      </c>
      <c r="E36" s="910">
        <f t="shared" ca="1" si="11"/>
        <v>0</v>
      </c>
      <c r="F36" s="14">
        <f t="shared" si="12"/>
        <v>0</v>
      </c>
      <c r="G36" s="910">
        <f t="shared" ca="1" si="13"/>
        <v>0</v>
      </c>
      <c r="H36" s="14">
        <f t="shared" si="14"/>
        <v>0</v>
      </c>
      <c r="I36" s="910">
        <f t="shared" ca="1" si="8"/>
        <v>0</v>
      </c>
      <c r="J36" s="14">
        <f t="shared" si="15"/>
        <v>0</v>
      </c>
      <c r="K36" s="910">
        <f t="shared" ca="1" si="8"/>
        <v>0</v>
      </c>
      <c r="L36" s="15">
        <f t="shared" si="16"/>
        <v>0</v>
      </c>
      <c r="M36" s="252">
        <f t="shared" ca="1" si="9"/>
        <v>0</v>
      </c>
      <c r="N36" s="20"/>
      <c r="U36" s="150"/>
      <c r="V36" s="150"/>
      <c r="Z36" s="453"/>
      <c r="AA36" s="453"/>
      <c r="AB36" s="453"/>
      <c r="AC36" s="453"/>
      <c r="AD36" s="453"/>
    </row>
    <row r="37" spans="1:34" s="4" customFormat="1">
      <c r="A37" s="757" t="s">
        <v>501</v>
      </c>
      <c r="B37" s="14">
        <f>'Proyección mensual'!Z29</f>
        <v>768</v>
      </c>
      <c r="C37" s="910">
        <f t="shared" ca="1" si="7"/>
        <v>2.7E-2</v>
      </c>
      <c r="D37" s="14">
        <f>$B37*(1+D$5+D$6+D$10)</f>
        <v>810</v>
      </c>
      <c r="E37" s="910">
        <f t="shared" ca="1" si="11"/>
        <v>2.8000000000000001E-2</v>
      </c>
      <c r="F37" s="14">
        <f>IF(Staff_shift!$X$23,$D37*(1+F$5+F$6+F$10),$D37*(1+F$5+F$6+F$10))</f>
        <v>855</v>
      </c>
      <c r="G37" s="910">
        <f t="shared" ca="1" si="13"/>
        <v>2.8000000000000001E-2</v>
      </c>
      <c r="H37" s="14">
        <f>IF(Staff_shift!$X$23,$F37*(1+H$5+H$6+H$10),$F37*(1+H$5+H$6+H$10))</f>
        <v>902</v>
      </c>
      <c r="I37" s="910">
        <f t="shared" ca="1" si="8"/>
        <v>0.03</v>
      </c>
      <c r="J37" s="14">
        <f>IF(Staff_shift!$X$23,$B37*(1+J$5+J$6+J$10),$B37*(1+J$5+J$6+J$10))</f>
        <v>810</v>
      </c>
      <c r="K37" s="910">
        <f t="shared" ca="1" si="8"/>
        <v>2.7E-2</v>
      </c>
      <c r="L37" s="15">
        <f t="shared" si="16"/>
        <v>4145</v>
      </c>
      <c r="M37" s="253">
        <f t="shared" ca="1" si="9"/>
        <v>2.76E-2</v>
      </c>
      <c r="N37" s="20"/>
      <c r="U37" s="150"/>
      <c r="V37" s="150"/>
      <c r="W37" s="915"/>
    </row>
    <row r="38" spans="1:34" s="4" customFormat="1">
      <c r="A38" s="757" t="s">
        <v>393</v>
      </c>
      <c r="B38" s="14">
        <f>'Proyección mensual'!Z30</f>
        <v>0</v>
      </c>
      <c r="C38" s="910">
        <f t="shared" ca="1" si="7"/>
        <v>0</v>
      </c>
      <c r="D38" s="14">
        <f t="shared" si="10"/>
        <v>0</v>
      </c>
      <c r="E38" s="910">
        <f t="shared" ca="1" si="11"/>
        <v>0</v>
      </c>
      <c r="F38" s="14">
        <f t="shared" si="12"/>
        <v>0</v>
      </c>
      <c r="G38" s="910">
        <f t="shared" ca="1" si="13"/>
        <v>0</v>
      </c>
      <c r="H38" s="14">
        <f t="shared" si="14"/>
        <v>0</v>
      </c>
      <c r="I38" s="910">
        <f t="shared" ca="1" si="8"/>
        <v>0</v>
      </c>
      <c r="J38" s="14">
        <f t="shared" si="15"/>
        <v>0</v>
      </c>
      <c r="K38" s="910">
        <f t="shared" ca="1" si="8"/>
        <v>0</v>
      </c>
      <c r="L38" s="15">
        <f t="shared" si="16"/>
        <v>0</v>
      </c>
      <c r="M38" s="253">
        <f t="shared" ca="1" si="9"/>
        <v>0</v>
      </c>
      <c r="N38" s="20"/>
      <c r="U38" s="150"/>
      <c r="V38" s="459"/>
      <c r="W38" s="150"/>
    </row>
    <row r="39" spans="1:34" s="4" customFormat="1">
      <c r="A39" s="757" t="s">
        <v>394</v>
      </c>
      <c r="B39" s="14">
        <f>'Proyección mensual'!Z31</f>
        <v>804</v>
      </c>
      <c r="C39" s="910">
        <f t="shared" ca="1" si="7"/>
        <v>2.8000000000000001E-2</v>
      </c>
      <c r="D39" s="14">
        <f>$B39*(1+D$5+D$6+$D$10)</f>
        <v>848</v>
      </c>
      <c r="E39" s="910">
        <f t="shared" ca="1" si="11"/>
        <v>2.9000000000000001E-2</v>
      </c>
      <c r="F39" s="14">
        <f>$D39*(1+F$5+F$6+F$10)</f>
        <v>895</v>
      </c>
      <c r="G39" s="910">
        <f t="shared" ca="1" si="13"/>
        <v>0.03</v>
      </c>
      <c r="H39" s="14">
        <f>$F39*(1+H$5+H$6+H$10)</f>
        <v>944</v>
      </c>
      <c r="I39" s="910">
        <f t="shared" ca="1" si="8"/>
        <v>3.1E-2</v>
      </c>
      <c r="J39" s="14">
        <f>$H39*(1+J$5+J$6+J$10)</f>
        <v>996</v>
      </c>
      <c r="K39" s="910">
        <f t="shared" ca="1" si="8"/>
        <v>3.3000000000000002E-2</v>
      </c>
      <c r="L39" s="15">
        <f t="shared" si="16"/>
        <v>4487</v>
      </c>
      <c r="M39" s="252">
        <f t="shared" ca="1" si="9"/>
        <v>0.03</v>
      </c>
      <c r="N39" s="20"/>
      <c r="U39" s="150"/>
      <c r="V39" s="149"/>
      <c r="W39" s="915"/>
    </row>
    <row r="40" spans="1:34" s="4" customFormat="1">
      <c r="A40" s="757" t="s">
        <v>307</v>
      </c>
      <c r="B40" s="14">
        <f ca="1">'Proyección mensual'!Z32</f>
        <v>488</v>
      </c>
      <c r="C40" s="910">
        <f t="shared" ca="1" si="7"/>
        <v>1.7000000000000001E-2</v>
      </c>
      <c r="D40" s="14">
        <f ca="1">$B40*(1+D$5+D$6+$D$10)</f>
        <v>515</v>
      </c>
      <c r="E40" s="910">
        <f t="shared" ca="1" si="11"/>
        <v>1.7999999999999999E-2</v>
      </c>
      <c r="F40" s="14">
        <f ca="1">$D40*(1+F$5+F$6+F$10)</f>
        <v>543</v>
      </c>
      <c r="G40" s="910">
        <f t="shared" ca="1" si="13"/>
        <v>1.7999999999999999E-2</v>
      </c>
      <c r="H40" s="14">
        <f ca="1">$F40*(1+H$5+H$6+H$10)</f>
        <v>573</v>
      </c>
      <c r="I40" s="910">
        <f t="shared" ca="1" si="8"/>
        <v>1.9E-2</v>
      </c>
      <c r="J40" s="14">
        <f ca="1">$H40*(1+J$5+J$6+J$10)</f>
        <v>605</v>
      </c>
      <c r="K40" s="910">
        <f t="shared" ca="1" si="8"/>
        <v>0.02</v>
      </c>
      <c r="L40" s="15">
        <f t="shared" ca="1" si="16"/>
        <v>2724</v>
      </c>
      <c r="M40" s="253">
        <f t="shared" ca="1" si="9"/>
        <v>1.8100000000000002E-2</v>
      </c>
      <c r="N40" s="20"/>
      <c r="U40" s="150"/>
      <c r="V40" s="149"/>
      <c r="W40" s="915"/>
    </row>
    <row r="41" spans="1:34" s="4" customFormat="1">
      <c r="A41" s="757" t="s">
        <v>395</v>
      </c>
      <c r="B41" s="14">
        <f>'Proyección mensual'!Z33</f>
        <v>0</v>
      </c>
      <c r="C41" s="910">
        <f t="shared" ca="1" si="7"/>
        <v>0</v>
      </c>
      <c r="D41" s="14">
        <f t="shared" si="10"/>
        <v>0</v>
      </c>
      <c r="E41" s="910">
        <f t="shared" ca="1" si="11"/>
        <v>0</v>
      </c>
      <c r="F41" s="14">
        <f t="shared" si="12"/>
        <v>0</v>
      </c>
      <c r="G41" s="910">
        <f t="shared" ca="1" si="13"/>
        <v>0</v>
      </c>
      <c r="H41" s="14">
        <f t="shared" si="14"/>
        <v>0</v>
      </c>
      <c r="I41" s="910">
        <f t="shared" ca="1" si="8"/>
        <v>0</v>
      </c>
      <c r="J41" s="14">
        <f t="shared" si="15"/>
        <v>0</v>
      </c>
      <c r="K41" s="910">
        <f t="shared" ca="1" si="8"/>
        <v>0</v>
      </c>
      <c r="L41" s="15">
        <f t="shared" si="16"/>
        <v>0</v>
      </c>
      <c r="M41" s="253">
        <f t="shared" ca="1" si="9"/>
        <v>0</v>
      </c>
      <c r="N41" s="20"/>
      <c r="U41" s="150"/>
      <c r="V41" s="459"/>
    </row>
    <row r="42" spans="1:34" s="4" customFormat="1">
      <c r="A42" s="757" t="s">
        <v>396</v>
      </c>
      <c r="B42" s="14">
        <f>'Proyección mensual'!Z34</f>
        <v>0</v>
      </c>
      <c r="C42" s="910">
        <f t="shared" ca="1" si="7"/>
        <v>0</v>
      </c>
      <c r="D42" s="14">
        <f t="shared" si="10"/>
        <v>0</v>
      </c>
      <c r="E42" s="910">
        <f t="shared" ca="1" si="11"/>
        <v>0</v>
      </c>
      <c r="F42" s="14">
        <f t="shared" si="12"/>
        <v>0</v>
      </c>
      <c r="G42" s="910">
        <f t="shared" ca="1" si="13"/>
        <v>0</v>
      </c>
      <c r="H42" s="14">
        <f t="shared" si="14"/>
        <v>0</v>
      </c>
      <c r="I42" s="910">
        <f t="shared" ca="1" si="8"/>
        <v>0</v>
      </c>
      <c r="J42" s="14">
        <f t="shared" si="15"/>
        <v>0</v>
      </c>
      <c r="K42" s="910">
        <f t="shared" ca="1" si="8"/>
        <v>0</v>
      </c>
      <c r="L42" s="15">
        <f t="shared" si="16"/>
        <v>0</v>
      </c>
      <c r="M42" s="319">
        <f t="shared" ca="1" si="9"/>
        <v>0</v>
      </c>
      <c r="N42" s="20"/>
      <c r="T42" s="458"/>
      <c r="U42" s="150"/>
      <c r="V42" s="150"/>
      <c r="W42" s="915"/>
    </row>
    <row r="43" spans="1:34" s="4" customFormat="1">
      <c r="A43" s="757" t="s">
        <v>290</v>
      </c>
      <c r="B43" s="14">
        <f>'Proyección mensual'!Z35</f>
        <v>2926</v>
      </c>
      <c r="C43" s="910">
        <f t="shared" ca="1" si="7"/>
        <v>0.10100000000000001</v>
      </c>
      <c r="D43" s="14">
        <f>B43*(1+D$5+D$6+$D$10)</f>
        <v>3087</v>
      </c>
      <c r="E43" s="910">
        <f t="shared" ca="1" si="11"/>
        <v>0.107</v>
      </c>
      <c r="F43" s="14">
        <f>D43*(1+F$5+F$6+F$10)</f>
        <v>3257</v>
      </c>
      <c r="G43" s="910">
        <f t="shared" ca="1" si="13"/>
        <v>0.107</v>
      </c>
      <c r="H43" s="14">
        <f>F43*(1+H$5+H$6+H$10)</f>
        <v>3436</v>
      </c>
      <c r="I43" s="910">
        <f t="shared" ca="1" si="8"/>
        <v>0.113</v>
      </c>
      <c r="J43" s="14">
        <f>H43*(1+J$5+J$6+J$10)</f>
        <v>3625</v>
      </c>
      <c r="K43" s="910">
        <f t="shared" ca="1" si="8"/>
        <v>0.12</v>
      </c>
      <c r="L43" s="15">
        <f t="shared" si="16"/>
        <v>16331</v>
      </c>
      <c r="M43" s="253">
        <f t="shared" ca="1" si="9"/>
        <v>0.10879999999999999</v>
      </c>
      <c r="N43" s="20"/>
      <c r="U43" s="150"/>
      <c r="V43" s="150"/>
      <c r="W43" s="915"/>
      <c r="X43" s="914"/>
    </row>
    <row r="44" spans="1:34" s="4" customFormat="1" ht="12" customHeight="1">
      <c r="A44" s="757" t="s">
        <v>297</v>
      </c>
      <c r="B44" s="14">
        <f>'Proyección mensual'!Z36</f>
        <v>0</v>
      </c>
      <c r="C44" s="910">
        <f t="shared" ca="1" si="7"/>
        <v>0</v>
      </c>
      <c r="D44" s="14">
        <f t="shared" si="10"/>
        <v>0</v>
      </c>
      <c r="E44" s="910">
        <f t="shared" ca="1" si="11"/>
        <v>0</v>
      </c>
      <c r="F44" s="14">
        <f t="shared" si="12"/>
        <v>0</v>
      </c>
      <c r="G44" s="910">
        <f t="shared" ca="1" si="13"/>
        <v>0</v>
      </c>
      <c r="H44" s="14">
        <f t="shared" si="14"/>
        <v>0</v>
      </c>
      <c r="I44" s="910">
        <f t="shared" ca="1" si="8"/>
        <v>0</v>
      </c>
      <c r="J44" s="14">
        <f t="shared" si="15"/>
        <v>0</v>
      </c>
      <c r="K44" s="910">
        <f t="shared" ca="1" si="8"/>
        <v>0</v>
      </c>
      <c r="L44" s="15">
        <f t="shared" si="16"/>
        <v>0</v>
      </c>
      <c r="M44" s="253">
        <f t="shared" ca="1" si="9"/>
        <v>0</v>
      </c>
      <c r="N44" s="20"/>
      <c r="U44" s="460"/>
      <c r="V44" s="461"/>
      <c r="W44" s="462"/>
      <c r="X44" s="452"/>
    </row>
    <row r="45" spans="1:34" s="4" customFormat="1">
      <c r="A45" s="757" t="s">
        <v>299</v>
      </c>
      <c r="B45" s="14">
        <f>'Proyección mensual'!Z37</f>
        <v>29</v>
      </c>
      <c r="C45" s="910">
        <f t="shared" ca="1" si="7"/>
        <v>1E-3</v>
      </c>
      <c r="D45" s="14">
        <f>B45*(1+D$5+D$6+$D$10)</f>
        <v>31</v>
      </c>
      <c r="E45" s="910">
        <f t="shared" ca="1" si="11"/>
        <v>1E-3</v>
      </c>
      <c r="F45" s="14">
        <f>IF(Staff_shift!$X$23=1,$D45*(1+F$5+F$6),$D45*(1+F$5+F$6))</f>
        <v>33</v>
      </c>
      <c r="G45" s="910">
        <f t="shared" ca="1" si="13"/>
        <v>1E-3</v>
      </c>
      <c r="H45" s="14">
        <f>IF(Staff_shift!$X$23=1,$F45*(1+H$5+H$6),$F45*(1+H$5+H$6))</f>
        <v>35</v>
      </c>
      <c r="I45" s="910">
        <f t="shared" ca="1" si="8"/>
        <v>1E-3</v>
      </c>
      <c r="J45" s="14">
        <f>IF(Staff_shift!$X$23=1,$H45*(1+J$5+J$6),$H45*(1+J$5+J$6))</f>
        <v>37</v>
      </c>
      <c r="K45" s="910">
        <f t="shared" ca="1" si="8"/>
        <v>1E-3</v>
      </c>
      <c r="L45" s="15">
        <f t="shared" si="16"/>
        <v>165</v>
      </c>
      <c r="M45" s="253">
        <f t="shared" ca="1" si="9"/>
        <v>1.1000000000000001E-3</v>
      </c>
      <c r="N45" s="20"/>
      <c r="U45" s="150"/>
      <c r="V45" s="150"/>
      <c r="W45" s="150"/>
    </row>
    <row r="46" spans="1:34" s="4" customFormat="1">
      <c r="A46" s="757" t="s">
        <v>397</v>
      </c>
      <c r="B46" s="14">
        <f>'Proyección mensual'!Z38</f>
        <v>0</v>
      </c>
      <c r="C46" s="910">
        <f t="shared" ca="1" si="7"/>
        <v>0</v>
      </c>
      <c r="D46" s="14">
        <f t="shared" si="10"/>
        <v>0</v>
      </c>
      <c r="E46" s="910">
        <f t="shared" ca="1" si="11"/>
        <v>0</v>
      </c>
      <c r="F46" s="14">
        <f t="shared" si="12"/>
        <v>0</v>
      </c>
      <c r="G46" s="910">
        <f t="shared" ca="1" si="13"/>
        <v>0</v>
      </c>
      <c r="H46" s="14">
        <f t="shared" si="14"/>
        <v>0</v>
      </c>
      <c r="I46" s="910">
        <f t="shared" ca="1" si="8"/>
        <v>0</v>
      </c>
      <c r="J46" s="14">
        <f t="shared" si="15"/>
        <v>0</v>
      </c>
      <c r="K46" s="910">
        <f t="shared" ca="1" si="8"/>
        <v>0</v>
      </c>
      <c r="L46" s="15">
        <f t="shared" si="16"/>
        <v>0</v>
      </c>
      <c r="M46" s="253">
        <f t="shared" ca="1" si="9"/>
        <v>0</v>
      </c>
      <c r="N46" s="14"/>
      <c r="U46" s="150"/>
      <c r="W46" s="150"/>
    </row>
    <row r="47" spans="1:34" s="4" customFormat="1">
      <c r="A47" s="757" t="s">
        <v>398</v>
      </c>
      <c r="B47" s="14">
        <f>'Proyección mensual'!Z39</f>
        <v>0</v>
      </c>
      <c r="C47" s="910">
        <f t="shared" ca="1" si="7"/>
        <v>0</v>
      </c>
      <c r="D47" s="14">
        <f t="shared" si="10"/>
        <v>0</v>
      </c>
      <c r="E47" s="910">
        <f t="shared" ca="1" si="11"/>
        <v>0</v>
      </c>
      <c r="F47" s="14">
        <f t="shared" si="12"/>
        <v>0</v>
      </c>
      <c r="G47" s="910">
        <f t="shared" ca="1" si="13"/>
        <v>0</v>
      </c>
      <c r="H47" s="14">
        <f t="shared" si="14"/>
        <v>0</v>
      </c>
      <c r="I47" s="910">
        <f t="shared" ca="1" si="8"/>
        <v>0</v>
      </c>
      <c r="J47" s="14">
        <f t="shared" si="15"/>
        <v>0</v>
      </c>
      <c r="K47" s="910">
        <f t="shared" ca="1" si="8"/>
        <v>0</v>
      </c>
      <c r="L47" s="15">
        <f t="shared" si="16"/>
        <v>0</v>
      </c>
      <c r="M47" s="252">
        <f t="shared" ca="1" si="9"/>
        <v>0</v>
      </c>
      <c r="N47" s="20"/>
      <c r="U47" s="150"/>
      <c r="W47" s="150"/>
    </row>
    <row r="48" spans="1:34" s="4" customFormat="1">
      <c r="A48" s="757" t="s">
        <v>399</v>
      </c>
      <c r="B48" s="14">
        <f>'Proyección mensual'!Z40</f>
        <v>0</v>
      </c>
      <c r="C48" s="910">
        <f t="shared" ca="1" si="7"/>
        <v>0</v>
      </c>
      <c r="D48" s="14">
        <f t="shared" si="10"/>
        <v>0</v>
      </c>
      <c r="E48" s="910">
        <f t="shared" ca="1" si="11"/>
        <v>0</v>
      </c>
      <c r="F48" s="14">
        <f t="shared" si="12"/>
        <v>0</v>
      </c>
      <c r="G48" s="910">
        <f t="shared" ca="1" si="13"/>
        <v>0</v>
      </c>
      <c r="H48" s="14">
        <f t="shared" si="14"/>
        <v>0</v>
      </c>
      <c r="I48" s="910">
        <f t="shared" ca="1" si="8"/>
        <v>0</v>
      </c>
      <c r="J48" s="14">
        <f t="shared" si="15"/>
        <v>0</v>
      </c>
      <c r="K48" s="910">
        <f t="shared" ca="1" si="8"/>
        <v>0</v>
      </c>
      <c r="L48" s="15">
        <f t="shared" si="16"/>
        <v>0</v>
      </c>
      <c r="M48" s="252">
        <f t="shared" ca="1" si="9"/>
        <v>0</v>
      </c>
      <c r="N48" s="20"/>
      <c r="U48" s="150"/>
      <c r="W48" s="150"/>
    </row>
    <row r="49" spans="1:23" s="4" customFormat="1">
      <c r="A49" s="757" t="s">
        <v>400</v>
      </c>
      <c r="B49" s="14">
        <f>'Proyección mensual'!Z41</f>
        <v>0</v>
      </c>
      <c r="C49" s="910">
        <f t="shared" ca="1" si="7"/>
        <v>0</v>
      </c>
      <c r="D49" s="14">
        <f t="shared" si="10"/>
        <v>0</v>
      </c>
      <c r="E49" s="910">
        <f t="shared" ca="1" si="11"/>
        <v>0</v>
      </c>
      <c r="F49" s="14">
        <f t="shared" si="12"/>
        <v>0</v>
      </c>
      <c r="G49" s="910">
        <f t="shared" ca="1" si="13"/>
        <v>0</v>
      </c>
      <c r="H49" s="14">
        <f t="shared" si="14"/>
        <v>0</v>
      </c>
      <c r="I49" s="910">
        <f t="shared" ca="1" si="8"/>
        <v>0</v>
      </c>
      <c r="J49" s="14">
        <f t="shared" si="15"/>
        <v>0</v>
      </c>
      <c r="K49" s="910">
        <f t="shared" ca="1" si="8"/>
        <v>0</v>
      </c>
      <c r="L49" s="15">
        <f t="shared" si="16"/>
        <v>0</v>
      </c>
      <c r="M49" s="252">
        <f t="shared" ca="1" si="9"/>
        <v>0</v>
      </c>
      <c r="N49" s="20"/>
      <c r="U49" s="150"/>
      <c r="W49" s="150"/>
    </row>
    <row r="50" spans="1:23" s="4" customFormat="1">
      <c r="A50" s="757" t="s">
        <v>66</v>
      </c>
      <c r="B50" s="14">
        <f>'Proyección mensual'!Z42</f>
        <v>0</v>
      </c>
      <c r="C50" s="910">
        <f t="shared" ca="1" si="7"/>
        <v>0</v>
      </c>
      <c r="D50" s="14">
        <f t="shared" si="10"/>
        <v>0</v>
      </c>
      <c r="E50" s="910">
        <f t="shared" ca="1" si="11"/>
        <v>0</v>
      </c>
      <c r="F50" s="14">
        <f t="shared" si="12"/>
        <v>0</v>
      </c>
      <c r="G50" s="910">
        <f t="shared" ca="1" si="13"/>
        <v>0</v>
      </c>
      <c r="H50" s="14">
        <f t="shared" si="14"/>
        <v>0</v>
      </c>
      <c r="I50" s="910">
        <f t="shared" ca="1" si="8"/>
        <v>0</v>
      </c>
      <c r="J50" s="14">
        <f t="shared" si="15"/>
        <v>0</v>
      </c>
      <c r="K50" s="910">
        <f t="shared" ca="1" si="8"/>
        <v>0</v>
      </c>
      <c r="L50" s="15">
        <f t="shared" si="16"/>
        <v>0</v>
      </c>
      <c r="M50" s="253">
        <f t="shared" ca="1" si="9"/>
        <v>0</v>
      </c>
      <c r="N50" s="20"/>
      <c r="P50" s="150"/>
      <c r="U50" s="150"/>
      <c r="W50" s="150"/>
    </row>
    <row r="51" spans="1:23" s="4" customFormat="1">
      <c r="A51" s="219" t="s">
        <v>401</v>
      </c>
      <c r="B51" s="14">
        <f>'Proyección mensual'!Z43</f>
        <v>0</v>
      </c>
      <c r="C51" s="910">
        <f t="shared" ca="1" si="7"/>
        <v>0</v>
      </c>
      <c r="D51" s="14">
        <f t="shared" si="10"/>
        <v>0</v>
      </c>
      <c r="E51" s="910">
        <f t="shared" ca="1" si="11"/>
        <v>0</v>
      </c>
      <c r="F51" s="14">
        <v>0</v>
      </c>
      <c r="G51" s="910">
        <f t="shared" ca="1" si="13"/>
        <v>0</v>
      </c>
      <c r="H51" s="14">
        <v>0</v>
      </c>
      <c r="I51" s="910">
        <f t="shared" ca="1" si="8"/>
        <v>0</v>
      </c>
      <c r="J51" s="14">
        <v>0</v>
      </c>
      <c r="K51" s="910">
        <f t="shared" ca="1" si="8"/>
        <v>0</v>
      </c>
      <c r="L51" s="15">
        <f t="shared" si="16"/>
        <v>0</v>
      </c>
      <c r="M51" s="253">
        <f t="shared" ca="1" si="9"/>
        <v>0</v>
      </c>
      <c r="N51" s="20"/>
      <c r="P51" s="150"/>
      <c r="U51" s="150"/>
      <c r="W51" s="150"/>
    </row>
    <row r="52" spans="1:23" s="4" customFormat="1">
      <c r="A52" s="757" t="s">
        <v>402</v>
      </c>
      <c r="B52" s="14">
        <f>'Proyección mensual'!Z44</f>
        <v>0</v>
      </c>
      <c r="C52" s="910">
        <f t="shared" ca="1" si="7"/>
        <v>0</v>
      </c>
      <c r="D52" s="14">
        <f t="shared" si="10"/>
        <v>0</v>
      </c>
      <c r="E52" s="910">
        <f t="shared" ca="1" si="11"/>
        <v>0</v>
      </c>
      <c r="F52" s="14">
        <f t="shared" si="12"/>
        <v>0</v>
      </c>
      <c r="G52" s="910">
        <f t="shared" ca="1" si="13"/>
        <v>0</v>
      </c>
      <c r="H52" s="14">
        <f t="shared" si="14"/>
        <v>0</v>
      </c>
      <c r="I52" s="910">
        <f t="shared" ca="1" si="8"/>
        <v>0</v>
      </c>
      <c r="J52" s="14">
        <f t="shared" si="15"/>
        <v>0</v>
      </c>
      <c r="K52" s="910">
        <f t="shared" ca="1" si="8"/>
        <v>0</v>
      </c>
      <c r="L52" s="15">
        <f t="shared" si="16"/>
        <v>0</v>
      </c>
      <c r="M52" s="320">
        <f t="shared" ca="1" si="9"/>
        <v>0</v>
      </c>
      <c r="N52" s="20"/>
      <c r="P52" s="150"/>
      <c r="U52" s="150"/>
    </row>
    <row r="53" spans="1:23" s="4" customFormat="1">
      <c r="A53" s="757" t="s">
        <v>329</v>
      </c>
      <c r="B53" s="14">
        <f ca="1">'Proyección mensual'!Z45</f>
        <v>582</v>
      </c>
      <c r="C53" s="910">
        <f t="shared" ca="1" si="7"/>
        <v>0.02</v>
      </c>
      <c r="D53" s="14">
        <f ca="1">D15*0.02</f>
        <v>577</v>
      </c>
      <c r="E53" s="910">
        <f t="shared" ca="1" si="11"/>
        <v>0.02</v>
      </c>
      <c r="F53" s="14">
        <f ca="1">F15*0.02</f>
        <v>606</v>
      </c>
      <c r="G53" s="910">
        <f t="shared" ca="1" si="13"/>
        <v>0.02</v>
      </c>
      <c r="H53" s="14">
        <f ca="1">H15*0.02</f>
        <v>606</v>
      </c>
      <c r="I53" s="910">
        <f ca="1">IFERROR(H53/$H$21,0)</f>
        <v>0.02</v>
      </c>
      <c r="J53" s="14">
        <f ca="1">J15*0.02</f>
        <v>636</v>
      </c>
      <c r="K53" s="910">
        <f ca="1">IFERROR(J53/$J$21,0)</f>
        <v>0.02</v>
      </c>
      <c r="L53" s="15">
        <f t="shared" ca="1" si="16"/>
        <v>3007</v>
      </c>
      <c r="M53" s="320">
        <f t="shared" ca="1" si="9"/>
        <v>2.002E-2</v>
      </c>
      <c r="N53" s="20"/>
      <c r="P53" s="150"/>
      <c r="U53" s="150"/>
    </row>
    <row r="54" spans="1:23" s="4" customFormat="1">
      <c r="A54" s="757" t="s">
        <v>403</v>
      </c>
      <c r="B54" s="14">
        <f>'Proyección mensual'!Z46</f>
        <v>0</v>
      </c>
      <c r="C54" s="910">
        <f t="shared" ca="1" si="7"/>
        <v>0</v>
      </c>
      <c r="D54" s="14">
        <f t="shared" si="10"/>
        <v>0</v>
      </c>
      <c r="E54" s="910">
        <f ca="1">IFERROR(D54/$D$21,0)</f>
        <v>0</v>
      </c>
      <c r="F54" s="14">
        <f t="shared" si="12"/>
        <v>0</v>
      </c>
      <c r="G54" s="910">
        <f t="shared" ca="1" si="13"/>
        <v>0</v>
      </c>
      <c r="H54" s="14">
        <f t="shared" si="14"/>
        <v>0</v>
      </c>
      <c r="I54" s="910">
        <f t="shared" ca="1" si="8"/>
        <v>0</v>
      </c>
      <c r="J54" s="14">
        <f t="shared" si="15"/>
        <v>0</v>
      </c>
      <c r="K54" s="910">
        <f t="shared" ca="1" si="8"/>
        <v>0</v>
      </c>
      <c r="L54" s="15">
        <f t="shared" si="16"/>
        <v>0</v>
      </c>
      <c r="M54" s="252">
        <f t="shared" ca="1" si="9"/>
        <v>0</v>
      </c>
      <c r="U54" s="150"/>
    </row>
    <row r="55" spans="1:23" s="4" customFormat="1">
      <c r="A55" s="757" t="s">
        <v>404</v>
      </c>
      <c r="B55" s="14">
        <f>'Proyección mensual'!Z47</f>
        <v>864</v>
      </c>
      <c r="C55" s="910">
        <f ca="1">+B55/$B$21</f>
        <v>0.03</v>
      </c>
      <c r="D55" s="14">
        <f>B55</f>
        <v>864</v>
      </c>
      <c r="E55" s="910">
        <f t="shared" ca="1" si="11"/>
        <v>0.03</v>
      </c>
      <c r="F55" s="14">
        <f>D55</f>
        <v>864</v>
      </c>
      <c r="G55" s="910">
        <f t="shared" ca="1" si="13"/>
        <v>2.9000000000000001E-2</v>
      </c>
      <c r="H55" s="14">
        <f>F55</f>
        <v>864</v>
      </c>
      <c r="I55" s="910">
        <f t="shared" ca="1" si="8"/>
        <v>2.9000000000000001E-2</v>
      </c>
      <c r="J55" s="14">
        <f>H55</f>
        <v>864</v>
      </c>
      <c r="K55" s="910">
        <f t="shared" ca="1" si="8"/>
        <v>2.9000000000000001E-2</v>
      </c>
      <c r="L55" s="15">
        <f t="shared" si="16"/>
        <v>4320</v>
      </c>
      <c r="M55" s="252">
        <f t="shared" ca="1" si="9"/>
        <v>0.03</v>
      </c>
      <c r="U55" s="150"/>
    </row>
    <row r="56" spans="1:23" s="4" customFormat="1">
      <c r="A56" s="757" t="s">
        <v>405</v>
      </c>
      <c r="B56" s="14">
        <f>'Proyección mensual'!Z48</f>
        <v>780</v>
      </c>
      <c r="C56" s="910">
        <f t="shared" ca="1" si="7"/>
        <v>2.7E-2</v>
      </c>
      <c r="D56" s="14">
        <f>B56</f>
        <v>780</v>
      </c>
      <c r="E56" s="910">
        <f t="shared" ca="1" si="11"/>
        <v>2.7E-2</v>
      </c>
      <c r="F56" s="14">
        <f>D56</f>
        <v>780</v>
      </c>
      <c r="G56" s="910">
        <f t="shared" ca="1" si="13"/>
        <v>2.5999999999999999E-2</v>
      </c>
      <c r="H56" s="14">
        <f>F56</f>
        <v>780</v>
      </c>
      <c r="I56" s="910">
        <f t="shared" ca="1" si="8"/>
        <v>2.5999999999999999E-2</v>
      </c>
      <c r="J56" s="14">
        <f>H56</f>
        <v>780</v>
      </c>
      <c r="K56" s="910">
        <f t="shared" ca="1" si="8"/>
        <v>2.5999999999999999E-2</v>
      </c>
      <c r="L56" s="15">
        <f>+B56+D56+F56+H56+J56</f>
        <v>3900</v>
      </c>
      <c r="M56" s="252">
        <f t="shared" ca="1" si="9"/>
        <v>0.03</v>
      </c>
      <c r="U56" s="150"/>
    </row>
    <row r="57" spans="1:23" s="37" customFormat="1">
      <c r="A57" s="32" t="s">
        <v>406</v>
      </c>
      <c r="B57" s="14">
        <f ca="1">'Proyección mensual'!Z49</f>
        <v>772</v>
      </c>
      <c r="C57" s="910">
        <f t="shared" ca="1" si="7"/>
        <v>2.7E-2</v>
      </c>
      <c r="D57" s="14">
        <f ca="1">$B57*(1+D$5+D$6+$D$10)</f>
        <v>814</v>
      </c>
      <c r="E57" s="910">
        <f ca="1">IFERROR(D57/$D$21,0)</f>
        <v>2.8000000000000001E-2</v>
      </c>
      <c r="F57" s="14">
        <f t="shared" ca="1" si="12"/>
        <v>814</v>
      </c>
      <c r="G57" s="910">
        <f t="shared" ca="1" si="13"/>
        <v>2.7E-2</v>
      </c>
      <c r="H57" s="14">
        <f t="shared" ca="1" si="14"/>
        <v>814</v>
      </c>
      <c r="I57" s="910">
        <f t="shared" ca="1" si="8"/>
        <v>2.7E-2</v>
      </c>
      <c r="J57" s="14">
        <f t="shared" ca="1" si="15"/>
        <v>814</v>
      </c>
      <c r="K57" s="910">
        <f t="shared" ca="1" si="8"/>
        <v>2.7E-2</v>
      </c>
      <c r="L57" s="15">
        <f t="shared" ca="1" si="16"/>
        <v>4028</v>
      </c>
      <c r="M57" s="252">
        <f t="shared" ca="1" si="9"/>
        <v>0.03</v>
      </c>
      <c r="U57" s="151"/>
    </row>
    <row r="58" spans="1:23" s="4" customFormat="1">
      <c r="A58" s="757"/>
      <c r="B58" s="17"/>
      <c r="C58" s="910"/>
      <c r="D58" s="14"/>
      <c r="E58" s="910">
        <f t="shared" ca="1" si="11"/>
        <v>0</v>
      </c>
      <c r="F58" s="14"/>
      <c r="G58" s="910">
        <f t="shared" ca="1" si="13"/>
        <v>0</v>
      </c>
      <c r="H58" s="14"/>
      <c r="I58" s="910">
        <f t="shared" ca="1" si="8"/>
        <v>0</v>
      </c>
      <c r="J58" s="14"/>
      <c r="K58" s="910">
        <f t="shared" ca="1" si="8"/>
        <v>0</v>
      </c>
      <c r="L58" s="15"/>
      <c r="M58" s="252">
        <f t="shared" ca="1" si="9"/>
        <v>0</v>
      </c>
      <c r="U58" s="150"/>
    </row>
    <row r="59" spans="1:23" s="1" customFormat="1" ht="13.5" thickBot="1">
      <c r="A59" s="6" t="s">
        <v>407</v>
      </c>
      <c r="B59" s="16">
        <f ca="1">'Proyección mensual'!Z51</f>
        <v>8489</v>
      </c>
      <c r="C59" s="910">
        <f ca="1">+B59/$B$21</f>
        <v>0.29399999999999998</v>
      </c>
      <c r="D59" s="16">
        <f ca="1">SUM(D24:D58)</f>
        <v>8828</v>
      </c>
      <c r="E59" s="910">
        <f ca="1">IFERROR(D59/$D$21,0)</f>
        <v>0.30599999999999999</v>
      </c>
      <c r="F59" s="16">
        <f ca="1">SUM(F24:F58)</f>
        <v>9176</v>
      </c>
      <c r="G59" s="910">
        <f t="shared" ca="1" si="13"/>
        <v>0.30299999999999999</v>
      </c>
      <c r="H59" s="16">
        <f ca="1">SUM(H24:H58)</f>
        <v>9513</v>
      </c>
      <c r="I59" s="910">
        <f t="shared" ca="1" si="8"/>
        <v>0.314</v>
      </c>
      <c r="J59" s="16">
        <f ca="1">SUM(J24:J58)</f>
        <v>9737</v>
      </c>
      <c r="K59" s="910">
        <f t="shared" ca="1" si="8"/>
        <v>0.32100000000000001</v>
      </c>
      <c r="L59" s="16">
        <f ca="1">SUM(L24:L58)</f>
        <v>45743</v>
      </c>
      <c r="M59" s="252">
        <f t="shared" ca="1" si="9"/>
        <v>0.3</v>
      </c>
      <c r="U59" s="154"/>
    </row>
    <row r="60" spans="1:23" ht="13.5" thickTop="1">
      <c r="A60" s="118" t="s">
        <v>408</v>
      </c>
      <c r="B60" s="880">
        <f ca="1">'Proyección mensual'!Z52</f>
        <v>20375</v>
      </c>
      <c r="C60" s="881"/>
      <c r="D60" s="880">
        <f t="shared" ref="D60:L60" ca="1" si="17">+D21-D59</f>
        <v>20036</v>
      </c>
      <c r="E60" s="881"/>
      <c r="F60" s="880">
        <f t="shared" ca="1" si="17"/>
        <v>21131</v>
      </c>
      <c r="G60" s="881"/>
      <c r="H60" s="880">
        <f t="shared" ca="1" si="17"/>
        <v>20794</v>
      </c>
      <c r="I60" s="881"/>
      <c r="J60" s="880">
        <f t="shared" ca="1" si="17"/>
        <v>22085</v>
      </c>
      <c r="K60" s="881"/>
      <c r="L60" s="880">
        <f t="shared" ca="1" si="17"/>
        <v>104421</v>
      </c>
      <c r="M60" s="12">
        <f t="shared" ca="1" si="9"/>
        <v>0.69540000000000002</v>
      </c>
    </row>
    <row r="61" spans="1:23">
      <c r="A61" s="6" t="s">
        <v>409</v>
      </c>
      <c r="B61" s="882">
        <f ca="1">'Proyección mensual'!Z53</f>
        <v>0.71</v>
      </c>
      <c r="C61" s="883"/>
      <c r="D61" s="882">
        <f t="shared" ref="D61:L61" ca="1" si="18">+D60/D21</f>
        <v>0.69</v>
      </c>
      <c r="E61" s="883"/>
      <c r="F61" s="882">
        <f t="shared" ca="1" si="18"/>
        <v>0.7</v>
      </c>
      <c r="G61" s="883"/>
      <c r="H61" s="882">
        <f t="shared" ca="1" si="18"/>
        <v>0.69</v>
      </c>
      <c r="I61" s="883"/>
      <c r="J61" s="882">
        <f t="shared" ca="1" si="18"/>
        <v>0.69</v>
      </c>
      <c r="K61" s="883"/>
      <c r="L61" s="882">
        <f t="shared" ca="1" si="18"/>
        <v>0.7</v>
      </c>
      <c r="M61" s="12">
        <f t="shared" ca="1" si="9"/>
        <v>0</v>
      </c>
    </row>
    <row r="62" spans="1:23" s="1" customFormat="1">
      <c r="A62" s="6"/>
      <c r="B62" s="884"/>
      <c r="C62" s="920"/>
      <c r="D62" s="884"/>
      <c r="E62" s="885"/>
      <c r="F62" s="884"/>
      <c r="G62" s="885"/>
      <c r="H62" s="884"/>
      <c r="I62" s="885"/>
      <c r="J62" s="884"/>
      <c r="K62" s="885"/>
      <c r="L62" s="884"/>
      <c r="M62" s="21"/>
      <c r="U62" s="154"/>
    </row>
    <row r="63" spans="1:23" ht="13.5" thickBot="1">
      <c r="A63" s="6" t="s">
        <v>410</v>
      </c>
      <c r="B63" s="886">
        <f ca="1">'Proyección mensual'!Z55</f>
        <v>3464</v>
      </c>
      <c r="C63" s="920">
        <f ca="1">+B63/$B$21</f>
        <v>0.12</v>
      </c>
      <c r="D63" s="886">
        <f ca="1">D21*0.12</f>
        <v>3464</v>
      </c>
      <c r="E63" s="920">
        <f ca="1">IFERROR(D63/$D$21,0)</f>
        <v>0.12</v>
      </c>
      <c r="F63" s="886">
        <f ca="1">F21*0.12</f>
        <v>3637</v>
      </c>
      <c r="G63" s="920">
        <f ca="1">IFERROR(F63/$F$21,0)</f>
        <v>0.12</v>
      </c>
      <c r="H63" s="886">
        <f ca="1">H21*0.12</f>
        <v>3637</v>
      </c>
      <c r="I63" s="920">
        <f ca="1">IFERROR(H63/$H$21,0)</f>
        <v>0.12</v>
      </c>
      <c r="J63" s="886">
        <f ca="1">J21*0.12</f>
        <v>3819</v>
      </c>
      <c r="K63" s="920">
        <f ca="1">IFERROR(J63/$H$21,0)</f>
        <v>0.126</v>
      </c>
      <c r="L63" s="886">
        <f ca="1">L21*0.12</f>
        <v>18020</v>
      </c>
      <c r="M63" s="252">
        <f ca="1">+L63/$L$21</f>
        <v>0.12</v>
      </c>
    </row>
    <row r="64" spans="1:23" s="1" customFormat="1">
      <c r="A64" s="6"/>
      <c r="B64" s="884"/>
      <c r="C64" s="920"/>
      <c r="D64" s="884"/>
      <c r="E64" s="885"/>
      <c r="F64" s="884"/>
      <c r="G64" s="885"/>
      <c r="H64" s="884"/>
      <c r="I64" s="885"/>
      <c r="J64" s="884"/>
      <c r="K64" s="885"/>
      <c r="L64" s="884"/>
      <c r="M64" s="21"/>
    </row>
    <row r="65" spans="1:21" s="1" customFormat="1">
      <c r="A65" s="6" t="s">
        <v>411</v>
      </c>
      <c r="B65" s="884"/>
      <c r="C65" s="920"/>
      <c r="D65" s="884"/>
      <c r="E65" s="885"/>
      <c r="F65" s="884"/>
      <c r="G65" s="885"/>
      <c r="H65" s="884"/>
      <c r="I65" s="885"/>
      <c r="J65" s="884"/>
      <c r="K65" s="885"/>
      <c r="L65" s="884"/>
      <c r="M65" s="21"/>
    </row>
    <row r="66" spans="1:21" s="1" customFormat="1">
      <c r="A66" s="840" t="s">
        <v>72</v>
      </c>
      <c r="B66" s="887">
        <f>Amortización!J9/Cost!$D$7</f>
        <v>0</v>
      </c>
      <c r="C66" s="916"/>
      <c r="D66" s="887">
        <f>Amortización!K9/Cost!$D$7</f>
        <v>0</v>
      </c>
      <c r="E66" s="916"/>
      <c r="F66" s="887">
        <f>Amortización!L9/Cost!$D$7</f>
        <v>0</v>
      </c>
      <c r="G66" s="916"/>
      <c r="H66" s="887">
        <f>Amortización!M9/Cost!$D$7</f>
        <v>0</v>
      </c>
      <c r="I66" s="916"/>
      <c r="J66" s="887">
        <f>Amortización!N9/Cost!$D$7</f>
        <v>0</v>
      </c>
      <c r="K66" s="916"/>
      <c r="L66" s="884">
        <f>+B66+D66+F66+H66+J66</f>
        <v>0</v>
      </c>
      <c r="M66" s="252">
        <f t="shared" ref="M66" ca="1" si="19">+L66/$L$21</f>
        <v>0</v>
      </c>
    </row>
    <row r="67" spans="1:21" s="1" customFormat="1" ht="13.5" thickBot="1">
      <c r="A67" s="6" t="s">
        <v>412</v>
      </c>
      <c r="B67" s="886">
        <f>B66</f>
        <v>0</v>
      </c>
      <c r="C67" s="920">
        <f ca="1">+B67/$B$21</f>
        <v>0</v>
      </c>
      <c r="D67" s="886">
        <f>D66</f>
        <v>0</v>
      </c>
      <c r="E67" s="920">
        <f ca="1">IFERROR(D67/$D$21,0)</f>
        <v>0</v>
      </c>
      <c r="F67" s="886">
        <f>F66</f>
        <v>0</v>
      </c>
      <c r="G67" s="920">
        <f ca="1">IFERROR(F67/$F$21,0)</f>
        <v>0</v>
      </c>
      <c r="H67" s="886">
        <f>H66</f>
        <v>0</v>
      </c>
      <c r="I67" s="920">
        <f ca="1">IFERROR(H67/$H$21,0)</f>
        <v>0</v>
      </c>
      <c r="J67" s="886">
        <f>J66</f>
        <v>0</v>
      </c>
      <c r="K67" s="920">
        <f ca="1">IFERROR(J67/$H$21,0)</f>
        <v>0</v>
      </c>
      <c r="L67" s="886">
        <f>+B67+D67+F67+H67+J67</f>
        <v>0</v>
      </c>
      <c r="M67" s="252">
        <f t="shared" ref="M67" ca="1" si="20">+L67/$L$21</f>
        <v>0</v>
      </c>
    </row>
    <row r="68" spans="1:21" s="1" customFormat="1">
      <c r="A68" s="6"/>
      <c r="B68" s="884"/>
      <c r="C68" s="920"/>
      <c r="D68" s="884"/>
      <c r="E68" s="885"/>
      <c r="F68" s="884"/>
      <c r="G68" s="885"/>
      <c r="H68" s="884"/>
      <c r="I68" s="885"/>
      <c r="J68" s="884"/>
      <c r="K68" s="885"/>
      <c r="L68" s="884"/>
      <c r="M68" s="21"/>
    </row>
    <row r="69" spans="1:21" s="1" customFormat="1" ht="13.5" thickBot="1">
      <c r="A69" s="6" t="s">
        <v>413</v>
      </c>
      <c r="B69" s="888">
        <f ca="1">'Proyección mensual'!Z61</f>
        <v>16911</v>
      </c>
      <c r="C69" s="920">
        <f ca="1">+B69/$B$21</f>
        <v>0.58599999999999997</v>
      </c>
      <c r="D69" s="888">
        <f ca="1">D21-D59-D63</f>
        <v>16572</v>
      </c>
      <c r="E69" s="920">
        <f ca="1">IFERROR(D69/$D$21,0)</f>
        <v>0.57399999999999995</v>
      </c>
      <c r="F69" s="888">
        <f ca="1">F21-F59-F63</f>
        <v>17494</v>
      </c>
      <c r="G69" s="920">
        <f ca="1">IFERROR(F69/$F$21,0)</f>
        <v>0.57699999999999996</v>
      </c>
      <c r="H69" s="888">
        <f ca="1">H21-H59-H63</f>
        <v>17157</v>
      </c>
      <c r="I69" s="920">
        <f ca="1">IFERROR(H69/$H$21,0)</f>
        <v>0.56599999999999995</v>
      </c>
      <c r="J69" s="888">
        <f ca="1">J21-J59-J63</f>
        <v>18266</v>
      </c>
      <c r="K69" s="920">
        <f ca="1">IFERROR(J69/$H$21,0)</f>
        <v>0.60299999999999998</v>
      </c>
      <c r="L69" s="888">
        <f ca="1">L21-L59-L63</f>
        <v>86401</v>
      </c>
      <c r="M69" s="252">
        <f ca="1">+L69/$L$21</f>
        <v>0.57999999999999996</v>
      </c>
    </row>
    <row r="70" spans="1:21">
      <c r="A70" s="6" t="s">
        <v>414</v>
      </c>
      <c r="B70" s="889">
        <f ca="1">'Proyección mensual'!Z62</f>
        <v>0.59</v>
      </c>
      <c r="C70" s="920"/>
      <c r="D70" s="889">
        <f ca="1">+IF(D69=0,0,D69/D21)</f>
        <v>0.56999999999999995</v>
      </c>
      <c r="E70" s="890"/>
      <c r="F70" s="889">
        <f ca="1">+IF(F69=0,0,F69/F21)</f>
        <v>0.57999999999999996</v>
      </c>
      <c r="G70" s="890"/>
      <c r="H70" s="889">
        <f ca="1">+IF(H69=0,0,H69/H21)</f>
        <v>0.56999999999999995</v>
      </c>
      <c r="I70" s="890"/>
      <c r="J70" s="889">
        <f ca="1">+IF(J69=0,0,J69/J21)</f>
        <v>0.56999999999999995</v>
      </c>
      <c r="K70" s="890"/>
      <c r="L70" s="889">
        <f ca="1">+IF(L69=0,0,L69/L21)</f>
        <v>0.57999999999999996</v>
      </c>
    </row>
    <row r="71" spans="1:21" s="1" customFormat="1">
      <c r="A71" s="6"/>
      <c r="B71" s="884"/>
      <c r="C71" s="920"/>
      <c r="D71" s="884"/>
      <c r="E71" s="885"/>
      <c r="F71" s="884"/>
      <c r="G71" s="885"/>
      <c r="H71" s="884"/>
      <c r="I71" s="885"/>
      <c r="J71" s="884"/>
      <c r="K71" s="885"/>
      <c r="L71" s="884"/>
      <c r="M71" s="21"/>
    </row>
    <row r="72" spans="1:21" s="4" customFormat="1" ht="13.5" thickBot="1">
      <c r="A72" s="6" t="s">
        <v>415</v>
      </c>
      <c r="B72" s="891">
        <f ca="1">'Proyección mensual'!Z64</f>
        <v>5923</v>
      </c>
      <c r="C72" s="920">
        <f ca="1">+B72/$B$21</f>
        <v>0.20499999999999999</v>
      </c>
      <c r="D72" s="891">
        <f ca="1">+D69*Cost!$E$130</f>
        <v>5800</v>
      </c>
      <c r="E72" s="920">
        <f ca="1">IFERROR(D72/$D$21,0)</f>
        <v>0.20100000000000001</v>
      </c>
      <c r="F72" s="891">
        <f ca="1">+F69*Cost!$E$130</f>
        <v>6123</v>
      </c>
      <c r="G72" s="920">
        <f ca="1">IFERROR(F72/$F$21,0)</f>
        <v>0.20200000000000001</v>
      </c>
      <c r="H72" s="891">
        <f ca="1">+H69*Cost!$E$130</f>
        <v>6005</v>
      </c>
      <c r="I72" s="920">
        <f ca="1">IFERROR(H72/$H$21,0)</f>
        <v>0.19800000000000001</v>
      </c>
      <c r="J72" s="891">
        <f ca="1">+J69*Cost!$E$130</f>
        <v>6393</v>
      </c>
      <c r="K72" s="920">
        <f ca="1">IFERROR(J72/$H$21,0)</f>
        <v>0.21099999999999999</v>
      </c>
      <c r="L72" s="888">
        <f ca="1">+L69*Cost!$E$130</f>
        <v>30240</v>
      </c>
      <c r="M72" s="12">
        <f t="shared" ref="M72" ca="1" si="21">+L72/$L$21</f>
        <v>0.2014</v>
      </c>
      <c r="N72" s="914"/>
      <c r="O72" s="914"/>
      <c r="P72" s="914"/>
      <c r="Q72" s="914"/>
      <c r="R72" s="914"/>
      <c r="S72" s="914"/>
      <c r="T72" s="914"/>
    </row>
    <row r="73" spans="1:21" s="1" customFormat="1">
      <c r="A73" s="6"/>
      <c r="B73" s="884"/>
      <c r="C73" s="920"/>
      <c r="D73" s="884"/>
      <c r="E73" s="885"/>
      <c r="F73" s="884"/>
      <c r="G73" s="885"/>
      <c r="H73" s="884"/>
      <c r="I73" s="885"/>
      <c r="J73" s="884"/>
      <c r="K73" s="885"/>
      <c r="L73" s="884"/>
      <c r="M73" s="21"/>
    </row>
    <row r="74" spans="1:21" s="1" customFormat="1" ht="13.5" thickBot="1">
      <c r="A74" s="6" t="s">
        <v>416</v>
      </c>
      <c r="B74" s="888">
        <f ca="1">'Proyección mensual'!Z66</f>
        <v>10988</v>
      </c>
      <c r="C74" s="920">
        <f ca="1">+B74/$B$21</f>
        <v>0.38100000000000001</v>
      </c>
      <c r="D74" s="888">
        <f ca="1">D21-D59-D63-D67-D72</f>
        <v>10772</v>
      </c>
      <c r="E74" s="920">
        <f ca="1">IFERROR(D74/$D$21,0)</f>
        <v>0.373</v>
      </c>
      <c r="F74" s="888">
        <f ca="1">F21-F59-F63-F67-F72</f>
        <v>11371</v>
      </c>
      <c r="G74" s="920">
        <f ca="1">IFERROR(F74/$F$21,0)</f>
        <v>0.375</v>
      </c>
      <c r="H74" s="888">
        <f ca="1">H21-H59-H63-H67-H72</f>
        <v>11152</v>
      </c>
      <c r="I74" s="920">
        <f ca="1">IFERROR(H74/$H$21,0)</f>
        <v>0.36799999999999999</v>
      </c>
      <c r="J74" s="888">
        <f ca="1">J21-J59-J63-J67-J72</f>
        <v>11873</v>
      </c>
      <c r="K74" s="920">
        <f ca="1">IFERROR(J74/$H$21,0)</f>
        <v>0.39200000000000002</v>
      </c>
      <c r="L74" s="888">
        <f ca="1">L21-L59-L63-L67-L72</f>
        <v>56161</v>
      </c>
      <c r="M74" s="12">
        <f t="shared" ref="M74" ca="1" si="22">+L74/$L$21</f>
        <v>0.374</v>
      </c>
      <c r="N74" s="150"/>
      <c r="O74" s="150"/>
      <c r="P74" s="150"/>
      <c r="Q74" s="150"/>
      <c r="R74" s="150"/>
      <c r="S74" s="150"/>
      <c r="T74" s="150"/>
      <c r="U74" s="4"/>
    </row>
    <row r="75" spans="1:21">
      <c r="A75" s="6" t="s">
        <v>417</v>
      </c>
      <c r="B75" s="889">
        <f ca="1">'Proyección mensual'!Z67</f>
        <v>0.38</v>
      </c>
      <c r="C75" s="920"/>
      <c r="D75" s="889">
        <f ca="1">+D74/D21</f>
        <v>0.37</v>
      </c>
      <c r="E75" s="890"/>
      <c r="F75" s="889">
        <f ca="1">+F74/F21</f>
        <v>0.38</v>
      </c>
      <c r="G75" s="890"/>
      <c r="H75" s="889">
        <f ca="1">+H74/H21</f>
        <v>0.37</v>
      </c>
      <c r="I75" s="890"/>
      <c r="J75" s="889">
        <f ca="1">+J74/J21</f>
        <v>0.37</v>
      </c>
      <c r="K75" s="883"/>
      <c r="L75" s="882">
        <f ca="1">+L74/L21</f>
        <v>0.37</v>
      </c>
      <c r="M75" s="2"/>
      <c r="N75" s="4"/>
      <c r="O75" s="4"/>
      <c r="P75" s="4"/>
      <c r="Q75" s="4"/>
      <c r="R75" s="4"/>
      <c r="S75" s="4"/>
      <c r="T75" s="4"/>
      <c r="U75" s="4"/>
    </row>
    <row r="76" spans="1:21">
      <c r="A76" s="1"/>
      <c r="B76" s="21"/>
      <c r="C76" s="910"/>
      <c r="D76" s="21"/>
      <c r="E76" s="724"/>
      <c r="F76" s="21"/>
      <c r="G76" s="724"/>
      <c r="H76" s="21"/>
      <c r="I76" s="724"/>
      <c r="J76" s="21"/>
      <c r="K76" s="21"/>
    </row>
    <row r="77" spans="1:21">
      <c r="A77" s="1"/>
      <c r="B77" s="21"/>
      <c r="C77" s="910"/>
      <c r="D77" s="21"/>
      <c r="E77" s="724"/>
      <c r="F77" s="21"/>
      <c r="G77" s="724"/>
      <c r="H77" s="21"/>
      <c r="I77" s="724"/>
      <c r="J77" s="21"/>
      <c r="K77" s="21"/>
    </row>
    <row r="78" spans="1:21">
      <c r="A78" s="1"/>
      <c r="B78" s="20"/>
      <c r="C78" s="910"/>
      <c r="N78" s="12"/>
    </row>
    <row r="79" spans="1:21">
      <c r="A79" s="1"/>
      <c r="C79" s="910"/>
      <c r="N79" s="12"/>
    </row>
    <row r="80" spans="1:21">
      <c r="A80" s="1"/>
      <c r="C80" s="910"/>
      <c r="N80" s="12"/>
    </row>
    <row r="81" spans="1:14">
      <c r="A81" s="1"/>
      <c r="C81" s="910"/>
      <c r="N81" s="12"/>
    </row>
    <row r="82" spans="1:14">
      <c r="A82" s="1"/>
      <c r="B82" s="21"/>
      <c r="C82" s="910"/>
      <c r="D82" s="21"/>
      <c r="E82" s="724"/>
      <c r="F82" s="21"/>
      <c r="G82" s="724"/>
      <c r="H82" s="21"/>
      <c r="I82" s="724"/>
      <c r="J82" s="21"/>
      <c r="K82" s="21"/>
      <c r="N82" s="12"/>
    </row>
    <row r="83" spans="1:14">
      <c r="A83" s="1"/>
      <c r="B83" s="21"/>
      <c r="C83" s="910"/>
      <c r="D83" s="21"/>
      <c r="E83" s="724"/>
      <c r="F83" s="21"/>
      <c r="G83" s="724"/>
      <c r="H83" s="21"/>
      <c r="I83" s="724"/>
      <c r="J83" s="21"/>
      <c r="K83" s="21"/>
      <c r="N83" s="12"/>
    </row>
    <row r="84" spans="1:14">
      <c r="A84" s="1"/>
      <c r="B84" s="21"/>
      <c r="C84" s="910"/>
      <c r="D84" s="21"/>
      <c r="E84" s="724"/>
      <c r="F84" s="21"/>
      <c r="G84" s="724"/>
      <c r="H84" s="21"/>
      <c r="I84" s="724"/>
      <c r="J84" s="21"/>
      <c r="K84" s="21"/>
      <c r="N84" s="12"/>
    </row>
    <row r="85" spans="1:14">
      <c r="A85" s="1"/>
      <c r="B85" s="21"/>
      <c r="C85" s="910"/>
      <c r="D85" s="21"/>
      <c r="E85" s="724"/>
      <c r="F85" s="21"/>
      <c r="G85" s="724"/>
      <c r="H85" s="21"/>
      <c r="I85" s="724"/>
      <c r="J85" s="21"/>
      <c r="K85" s="21"/>
      <c r="N85" s="12"/>
    </row>
    <row r="86" spans="1:14">
      <c r="A86" s="1"/>
      <c r="B86" s="21"/>
      <c r="C86" s="910"/>
      <c r="D86" s="21"/>
      <c r="E86" s="724"/>
      <c r="F86" s="21"/>
      <c r="G86" s="724"/>
      <c r="H86" s="21"/>
      <c r="I86" s="724"/>
      <c r="J86" s="21"/>
      <c r="K86" s="21"/>
      <c r="N86" s="12"/>
    </row>
    <row r="87" spans="1:14">
      <c r="A87" s="1"/>
      <c r="B87" s="21"/>
      <c r="C87" s="910"/>
      <c r="D87" s="21"/>
      <c r="E87" s="724"/>
      <c r="F87" s="21"/>
      <c r="G87" s="724"/>
      <c r="H87" s="21"/>
      <c r="I87" s="724"/>
      <c r="J87" s="21"/>
      <c r="K87" s="21"/>
      <c r="N87" s="12"/>
    </row>
    <row r="88" spans="1:14">
      <c r="C88" s="910"/>
      <c r="N88" s="12"/>
    </row>
    <row r="89" spans="1:14">
      <c r="A89" s="1"/>
      <c r="C89" s="910"/>
      <c r="N89" s="12"/>
    </row>
    <row r="90" spans="1:14">
      <c r="A90" s="1"/>
      <c r="B90" s="21"/>
      <c r="C90" s="910"/>
      <c r="D90" s="21"/>
      <c r="E90" s="724"/>
      <c r="F90" s="21"/>
      <c r="G90" s="724"/>
      <c r="H90" s="21"/>
      <c r="I90" s="724"/>
      <c r="J90" s="21"/>
      <c r="K90" s="21"/>
      <c r="N90" s="12"/>
    </row>
    <row r="91" spans="1:14">
      <c r="A91" s="1"/>
      <c r="B91" s="21"/>
      <c r="C91" s="910"/>
      <c r="D91" s="21"/>
      <c r="E91" s="724"/>
      <c r="F91" s="21"/>
      <c r="G91" s="724"/>
      <c r="H91" s="21"/>
      <c r="I91" s="724"/>
      <c r="J91" s="21"/>
      <c r="K91" s="21"/>
      <c r="N91" s="12"/>
    </row>
    <row r="92" spans="1:14">
      <c r="A92" s="1"/>
      <c r="B92" s="21"/>
      <c r="C92" s="910"/>
      <c r="D92" s="21"/>
      <c r="E92" s="724"/>
      <c r="F92" s="21"/>
      <c r="G92" s="724"/>
      <c r="H92" s="21"/>
      <c r="I92" s="724"/>
      <c r="J92" s="21"/>
      <c r="K92" s="21"/>
      <c r="N92" s="12"/>
    </row>
    <row r="93" spans="1:14">
      <c r="A93" s="1"/>
      <c r="B93" s="21"/>
      <c r="C93" s="910"/>
      <c r="D93" s="21"/>
      <c r="E93" s="724"/>
      <c r="F93" s="21"/>
      <c r="G93" s="724"/>
      <c r="H93" s="21"/>
      <c r="I93" s="724"/>
      <c r="J93" s="21"/>
      <c r="K93" s="21"/>
      <c r="N93" s="12"/>
    </row>
    <row r="94" spans="1:14">
      <c r="A94" s="1"/>
      <c r="B94" s="21"/>
      <c r="C94" s="910"/>
      <c r="D94" s="21"/>
      <c r="E94" s="724"/>
      <c r="F94" s="21"/>
      <c r="G94" s="724"/>
      <c r="H94" s="21"/>
      <c r="I94" s="724"/>
      <c r="J94" s="21"/>
      <c r="K94" s="21"/>
      <c r="N94" s="12"/>
    </row>
    <row r="95" spans="1:14">
      <c r="A95" s="1"/>
      <c r="B95" s="21"/>
      <c r="C95" s="910"/>
      <c r="D95" s="21"/>
      <c r="E95" s="724"/>
      <c r="F95" s="21"/>
      <c r="G95" s="724"/>
      <c r="H95" s="21"/>
      <c r="I95" s="724"/>
      <c r="J95" s="21"/>
      <c r="K95" s="21"/>
      <c r="N95" s="12"/>
    </row>
    <row r="96" spans="1:14">
      <c r="A96" s="1"/>
      <c r="B96" s="21"/>
      <c r="C96" s="910"/>
      <c r="D96" s="21"/>
      <c r="E96" s="724"/>
      <c r="F96" s="21"/>
      <c r="G96" s="724"/>
      <c r="H96" s="21"/>
      <c r="I96" s="724"/>
      <c r="J96" s="21"/>
      <c r="K96" s="21"/>
      <c r="N96" s="12"/>
    </row>
    <row r="97" spans="1:14">
      <c r="C97" s="910"/>
      <c r="N97" s="12"/>
    </row>
    <row r="98" spans="1:14">
      <c r="A98" s="1"/>
      <c r="B98" s="236"/>
      <c r="C98" s="910"/>
      <c r="D98" s="21"/>
      <c r="E98" s="724"/>
      <c r="F98" s="21"/>
      <c r="G98" s="724"/>
      <c r="H98" s="21"/>
      <c r="I98" s="724"/>
      <c r="J98" s="21"/>
      <c r="K98" s="21"/>
      <c r="N98" s="12"/>
    </row>
    <row r="99" spans="1:14">
      <c r="C99" s="910"/>
      <c r="N99" s="12"/>
    </row>
    <row r="100" spans="1:14">
      <c r="C100" s="910"/>
      <c r="N100" s="12"/>
    </row>
    <row r="101" spans="1:14">
      <c r="C101" s="910"/>
      <c r="N101" s="12"/>
    </row>
    <row r="102" spans="1:14">
      <c r="C102" s="910"/>
      <c r="N102" s="12"/>
    </row>
    <row r="103" spans="1:14">
      <c r="C103" s="910"/>
      <c r="N103" s="12"/>
    </row>
    <row r="104" spans="1:14">
      <c r="C104" s="910"/>
      <c r="N104" s="12"/>
    </row>
    <row r="105" spans="1:14">
      <c r="C105" s="910"/>
      <c r="N105" s="12"/>
    </row>
    <row r="106" spans="1:14">
      <c r="C106" s="910"/>
      <c r="N106" s="12"/>
    </row>
    <row r="107" spans="1:14">
      <c r="C107" s="910"/>
      <c r="N107" s="12"/>
    </row>
    <row r="108" spans="1:14">
      <c r="C108" s="910"/>
      <c r="N108" s="12"/>
    </row>
    <row r="109" spans="1:14">
      <c r="C109" s="910"/>
      <c r="N109" s="12"/>
    </row>
    <row r="110" spans="1:14">
      <c r="C110" s="910"/>
      <c r="N110" s="12"/>
    </row>
    <row r="111" spans="1:14">
      <c r="C111" s="910"/>
      <c r="N111" s="12"/>
    </row>
    <row r="112" spans="1:14">
      <c r="C112" s="910"/>
      <c r="N112" s="12"/>
    </row>
    <row r="113" spans="3:14">
      <c r="C113" s="910"/>
      <c r="N113" s="12"/>
    </row>
    <row r="114" spans="3:14">
      <c r="C114" s="910"/>
      <c r="N114" s="12"/>
    </row>
    <row r="115" spans="3:14">
      <c r="C115" s="910"/>
      <c r="N115" s="12"/>
    </row>
    <row r="116" spans="3:14">
      <c r="C116" s="910"/>
      <c r="N116" s="12"/>
    </row>
    <row r="117" spans="3:14">
      <c r="C117" s="910"/>
      <c r="N117" s="12"/>
    </row>
    <row r="118" spans="3:14">
      <c r="C118" s="910"/>
      <c r="N118" s="12"/>
    </row>
    <row r="119" spans="3:14">
      <c r="C119" s="910"/>
      <c r="N119" s="12"/>
    </row>
    <row r="120" spans="3:14">
      <c r="C120" s="910"/>
      <c r="N120" s="12"/>
    </row>
    <row r="121" spans="3:14">
      <c r="C121" s="910"/>
      <c r="N121" s="12"/>
    </row>
    <row r="122" spans="3:14">
      <c r="C122" s="910"/>
      <c r="N122" s="12"/>
    </row>
    <row r="123" spans="3:14">
      <c r="C123" s="910"/>
      <c r="N123" s="12"/>
    </row>
    <row r="124" spans="3:14">
      <c r="C124" s="910"/>
      <c r="N124" s="12"/>
    </row>
    <row r="125" spans="3:14">
      <c r="C125" s="910"/>
      <c r="N125" s="12"/>
    </row>
    <row r="126" spans="3:14">
      <c r="N126" s="12"/>
    </row>
    <row r="127" spans="3:14">
      <c r="N127" s="12"/>
    </row>
    <row r="128" spans="3:14">
      <c r="N128" s="12"/>
    </row>
    <row r="129" spans="14:14">
      <c r="N129" s="12"/>
    </row>
  </sheetData>
  <pageMargins left="0.75" right="0.75" top="0.54" bottom="0.55000000000000004" header="0.5" footer="0.5"/>
  <pageSetup scale="53" orientation="landscape" r:id="rId1"/>
  <headerFooter alignWithMargins="0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DFCAC-4012-4BD7-96B3-30DB3B0F7DFB}">
  <sheetPr>
    <tabColor rgb="FFFFFF66"/>
  </sheetPr>
  <dimension ref="A1:Q34"/>
  <sheetViews>
    <sheetView topLeftCell="A13" zoomScaleNormal="100" workbookViewId="0">
      <selection activeCell="C25" sqref="C25"/>
    </sheetView>
  </sheetViews>
  <sheetFormatPr baseColWidth="10" defaultColWidth="11.42578125" defaultRowHeight="12.75"/>
  <cols>
    <col min="1" max="1" width="6.42578125" customWidth="1"/>
    <col min="2" max="2" width="45.5703125" customWidth="1"/>
    <col min="3" max="3" width="13.7109375" customWidth="1"/>
    <col min="4" max="4" width="7.7109375" customWidth="1"/>
    <col min="5" max="5" width="13.7109375" customWidth="1"/>
    <col min="6" max="6" width="7.7109375" customWidth="1"/>
    <col min="7" max="7" width="13.7109375" customWidth="1"/>
    <col min="8" max="8" width="7.7109375" customWidth="1"/>
    <col min="9" max="9" width="15.28515625" customWidth="1"/>
    <col min="10" max="10" width="7.7109375" customWidth="1"/>
    <col min="11" max="11" width="13.5703125" customWidth="1"/>
    <col min="12" max="12" width="7.7109375" customWidth="1"/>
    <col min="13" max="13" width="13.5703125" customWidth="1"/>
    <col min="14" max="14" width="7.7109375" customWidth="1"/>
    <col min="15" max="15" width="13.42578125" customWidth="1"/>
    <col min="17" max="17" width="14.42578125" customWidth="1"/>
  </cols>
  <sheetData>
    <row r="1" spans="2:17">
      <c r="B1" s="1"/>
    </row>
    <row r="2" spans="2:17">
      <c r="B2" s="1" t="s">
        <v>502</v>
      </c>
      <c r="C2" s="21" t="s">
        <v>472</v>
      </c>
      <c r="D2" s="21"/>
      <c r="E2" s="21" t="s">
        <v>134</v>
      </c>
      <c r="F2" s="21"/>
      <c r="G2" s="21" t="s">
        <v>135</v>
      </c>
      <c r="H2" s="21"/>
      <c r="I2" s="21" t="s">
        <v>136</v>
      </c>
      <c r="J2" s="21"/>
      <c r="K2" s="21" t="s">
        <v>137</v>
      </c>
      <c r="L2" s="21"/>
      <c r="M2" s="21" t="s">
        <v>138</v>
      </c>
      <c r="N2" s="21"/>
      <c r="O2" s="735" t="s">
        <v>313</v>
      </c>
    </row>
    <row r="3" spans="2:17">
      <c r="B3" s="1" t="s">
        <v>474</v>
      </c>
      <c r="O3" s="735"/>
      <c r="P3" s="736"/>
      <c r="Q3" s="736"/>
    </row>
    <row r="4" spans="2:17">
      <c r="B4" s="743" t="s">
        <v>475</v>
      </c>
      <c r="C4" s="787"/>
      <c r="D4" s="787"/>
      <c r="E4" s="738">
        <f ca="1">FCL_mensual!AA4</f>
        <v>22968</v>
      </c>
      <c r="F4" s="738"/>
      <c r="G4" s="738">
        <f ca="1">'Proyección Anual'!D21</f>
        <v>28864</v>
      </c>
      <c r="H4" s="738"/>
      <c r="I4" s="738">
        <f ca="1">'Proyección Anual'!F21</f>
        <v>30307</v>
      </c>
      <c r="J4" s="738"/>
      <c r="K4" s="738">
        <f ca="1">'Proyección Anual'!H21</f>
        <v>30307</v>
      </c>
      <c r="L4" s="738"/>
      <c r="M4" s="738">
        <f ca="1">'Proyección Anual'!J21</f>
        <v>31822</v>
      </c>
      <c r="N4" s="738"/>
      <c r="O4" s="791">
        <f ca="1">E4+G4+I4+K4+M4</f>
        <v>144268</v>
      </c>
      <c r="P4" s="789"/>
      <c r="Q4" s="789"/>
    </row>
    <row r="5" spans="2:17">
      <c r="B5" s="743" t="s">
        <v>476</v>
      </c>
      <c r="C5" s="787"/>
      <c r="D5" s="787"/>
      <c r="E5" s="738">
        <f ca="1">'Proyección Anual'!B59</f>
        <v>8489</v>
      </c>
      <c r="F5" s="738"/>
      <c r="G5" s="738">
        <f ca="1">'Proyección Anual'!D59</f>
        <v>8828</v>
      </c>
      <c r="H5" s="738"/>
      <c r="I5" s="738">
        <f ca="1">'Proyección Anual'!F59</f>
        <v>9176</v>
      </c>
      <c r="J5" s="738"/>
      <c r="K5" s="738">
        <f ca="1">'Proyección Anual'!H59</f>
        <v>9513</v>
      </c>
      <c r="L5" s="738"/>
      <c r="M5" s="738">
        <f ca="1">'Proyección Anual'!J59</f>
        <v>9737</v>
      </c>
      <c r="N5" s="738"/>
      <c r="O5" s="791">
        <f t="shared" ref="O5:O13" ca="1" si="0">E5+G5+I5+K5+M5</f>
        <v>45743</v>
      </c>
      <c r="P5" s="789"/>
      <c r="Q5" s="789"/>
    </row>
    <row r="6" spans="2:17">
      <c r="B6" s="758" t="s">
        <v>477</v>
      </c>
      <c r="C6" s="787"/>
      <c r="D6" s="787"/>
      <c r="E6" s="738">
        <f ca="1">E4-E5</f>
        <v>14479</v>
      </c>
      <c r="F6" s="788">
        <f ca="1">E6/E$4</f>
        <v>0.63</v>
      </c>
      <c r="G6" s="738">
        <f ca="1">G4-G5</f>
        <v>20036</v>
      </c>
      <c r="H6" s="788">
        <f ca="1">G6/G$4</f>
        <v>0.69</v>
      </c>
      <c r="I6" s="738">
        <f ca="1">I4-I5</f>
        <v>21131</v>
      </c>
      <c r="J6" s="788">
        <f ca="1">I6/I$4</f>
        <v>0.7</v>
      </c>
      <c r="K6" s="738">
        <f ca="1">K4-K5</f>
        <v>20794</v>
      </c>
      <c r="L6" s="788">
        <f ca="1">K6/K$4</f>
        <v>0.69</v>
      </c>
      <c r="M6" s="738">
        <f ca="1">M4-M5</f>
        <v>22085</v>
      </c>
      <c r="N6" s="788">
        <f ca="1">M6/M$4</f>
        <v>0.69</v>
      </c>
      <c r="O6" s="792">
        <f t="shared" ca="1" si="0"/>
        <v>98525</v>
      </c>
      <c r="P6" s="789"/>
      <c r="Q6" s="789"/>
    </row>
    <row r="7" spans="2:17">
      <c r="B7" s="743" t="s">
        <v>478</v>
      </c>
      <c r="C7" s="787"/>
      <c r="D7" s="787"/>
      <c r="E7" s="738">
        <f ca="1">'Proyección Anual'!B63</f>
        <v>3464</v>
      </c>
      <c r="F7" s="738"/>
      <c r="G7" s="738">
        <f ca="1">'Proyección Anual'!D63</f>
        <v>3464</v>
      </c>
      <c r="H7" s="738"/>
      <c r="I7" s="738">
        <f ca="1">'Proyección Anual'!F63</f>
        <v>3637</v>
      </c>
      <c r="J7" s="738"/>
      <c r="K7" s="738">
        <f ca="1">'Proyección Anual'!H63</f>
        <v>3637</v>
      </c>
      <c r="L7" s="738"/>
      <c r="M7" s="738">
        <f ca="1">'Proyección Anual'!J63</f>
        <v>3819</v>
      </c>
      <c r="N7" s="738"/>
      <c r="O7" s="791">
        <f t="shared" ca="1" si="0"/>
        <v>18021</v>
      </c>
      <c r="P7" s="789"/>
      <c r="Q7" s="789"/>
    </row>
    <row r="8" spans="2:17">
      <c r="B8" s="758" t="s">
        <v>479</v>
      </c>
      <c r="C8" s="787"/>
      <c r="D8" s="787"/>
      <c r="E8" s="838">
        <f ca="1">+E4-E5-E7</f>
        <v>11015</v>
      </c>
      <c r="F8" s="794">
        <f ca="1">E8/E4</f>
        <v>0.48</v>
      </c>
      <c r="G8" s="793">
        <f t="shared" ref="G8:M8" ca="1" si="1">+G4-G5-G7</f>
        <v>16572</v>
      </c>
      <c r="H8" s="794">
        <f ca="1">G8/G4</f>
        <v>0.56999999999999995</v>
      </c>
      <c r="I8" s="793">
        <f t="shared" ca="1" si="1"/>
        <v>17494</v>
      </c>
      <c r="J8" s="794">
        <f ca="1">I8/I4</f>
        <v>0.57999999999999996</v>
      </c>
      <c r="K8" s="793">
        <f t="shared" ca="1" si="1"/>
        <v>17157</v>
      </c>
      <c r="L8" s="794">
        <f ca="1">K8/K4</f>
        <v>0.56999999999999995</v>
      </c>
      <c r="M8" s="793">
        <f t="shared" ca="1" si="1"/>
        <v>18266</v>
      </c>
      <c r="N8" s="794">
        <f ca="1">M8/M4</f>
        <v>0.56999999999999995</v>
      </c>
      <c r="O8" s="792">
        <f t="shared" ca="1" si="0"/>
        <v>80504</v>
      </c>
      <c r="P8" s="610"/>
    </row>
    <row r="9" spans="2:17">
      <c r="B9" s="743" t="s">
        <v>480</v>
      </c>
      <c r="E9" s="839">
        <f ca="1">'Proyección Anual'!B72</f>
        <v>5923</v>
      </c>
      <c r="F9" s="739"/>
      <c r="G9" s="739">
        <f ca="1">'Proyección Anual'!D72</f>
        <v>5800</v>
      </c>
      <c r="H9" s="739"/>
      <c r="I9" s="739">
        <f ca="1">'Proyección Anual'!F72</f>
        <v>6123</v>
      </c>
      <c r="J9" s="739"/>
      <c r="K9" s="739">
        <f ca="1">'Proyección Anual'!H72</f>
        <v>6005</v>
      </c>
      <c r="L9" s="739"/>
      <c r="M9" s="739">
        <f ca="1">'Proyección Anual'!J72</f>
        <v>6393</v>
      </c>
      <c r="N9" s="739"/>
      <c r="O9" s="791">
        <f t="shared" ca="1" si="0"/>
        <v>30244</v>
      </c>
      <c r="P9" s="1"/>
    </row>
    <row r="10" spans="2:17" ht="25.5">
      <c r="B10" s="740" t="s">
        <v>481</v>
      </c>
      <c r="C10" s="741"/>
      <c r="D10" s="741"/>
      <c r="E10" s="838">
        <f ca="1">E8-E9</f>
        <v>5092</v>
      </c>
      <c r="F10" s="769">
        <f ca="1">E10/E$4</f>
        <v>0.22</v>
      </c>
      <c r="G10" s="742">
        <f t="shared" ref="G10:M10" ca="1" si="2">G8-G9</f>
        <v>10772</v>
      </c>
      <c r="H10" s="769">
        <f ca="1">G10/G4</f>
        <v>0.37</v>
      </c>
      <c r="I10" s="742">
        <f t="shared" ca="1" si="2"/>
        <v>11371</v>
      </c>
      <c r="J10" s="769">
        <f ca="1">I10/I4</f>
        <v>0.38</v>
      </c>
      <c r="K10" s="742">
        <f t="shared" ca="1" si="2"/>
        <v>11152</v>
      </c>
      <c r="L10" s="769">
        <f ca="1">K10/K4</f>
        <v>0.37</v>
      </c>
      <c r="M10" s="742">
        <f t="shared" ca="1" si="2"/>
        <v>11873</v>
      </c>
      <c r="N10" s="769">
        <f ca="1">M10/M4</f>
        <v>0.37</v>
      </c>
      <c r="O10" s="792">
        <f t="shared" ca="1" si="0"/>
        <v>50260</v>
      </c>
    </row>
    <row r="11" spans="2:17">
      <c r="B11" s="743" t="s">
        <v>482</v>
      </c>
      <c r="E11" s="739">
        <f>Depreciación!E9</f>
        <v>868</v>
      </c>
      <c r="F11" s="739"/>
      <c r="G11" s="739">
        <f>Depreciación!G9</f>
        <v>361</v>
      </c>
      <c r="H11" s="739"/>
      <c r="I11" s="739">
        <f>Depreciación!G9</f>
        <v>361</v>
      </c>
      <c r="J11" s="739"/>
      <c r="K11" s="739">
        <f>Depreciación!H9</f>
        <v>361</v>
      </c>
      <c r="L11" s="739"/>
      <c r="M11" s="739">
        <f>Depreciación!I9</f>
        <v>361</v>
      </c>
      <c r="N11" s="739"/>
      <c r="O11" s="791">
        <f t="shared" si="0"/>
        <v>2312</v>
      </c>
    </row>
    <row r="12" spans="2:17">
      <c r="B12" s="744" t="s">
        <v>483</v>
      </c>
      <c r="E12" s="739">
        <f>'Proyección Anual'!B56</f>
        <v>780</v>
      </c>
      <c r="F12" s="739"/>
      <c r="G12" s="739">
        <f>'Proyección Anual'!D56</f>
        <v>780</v>
      </c>
      <c r="H12" s="739"/>
      <c r="I12" s="739">
        <f>'Proyección Anual'!F56</f>
        <v>780</v>
      </c>
      <c r="J12" s="739"/>
      <c r="K12" s="739">
        <f>'Proyección Anual'!H56</f>
        <v>780</v>
      </c>
      <c r="L12" s="739"/>
      <c r="M12" s="739">
        <f>'Proyección Anual'!J56</f>
        <v>780</v>
      </c>
      <c r="N12" s="739"/>
      <c r="O12" s="791">
        <f t="shared" si="0"/>
        <v>3900</v>
      </c>
      <c r="P12" s="493"/>
    </row>
    <row r="13" spans="2:17">
      <c r="B13" s="758" t="s">
        <v>484</v>
      </c>
      <c r="E13" s="739">
        <f ca="1">E10+E11+E12</f>
        <v>6740</v>
      </c>
      <c r="F13" s="786"/>
      <c r="G13" s="786">
        <f ca="1">G10+G11+G12</f>
        <v>11913</v>
      </c>
      <c r="H13" s="786"/>
      <c r="I13" s="786">
        <f ca="1">I10+I11+I12</f>
        <v>12512</v>
      </c>
      <c r="J13" s="786"/>
      <c r="K13" s="786">
        <f ca="1">K10+K11+K12</f>
        <v>12293</v>
      </c>
      <c r="L13" s="786"/>
      <c r="M13" s="786">
        <f ca="1">M10+M11+M12</f>
        <v>13014</v>
      </c>
      <c r="N13" s="739"/>
      <c r="O13" s="792">
        <f t="shared" ca="1" si="0"/>
        <v>56472</v>
      </c>
    </row>
    <row r="14" spans="2:17">
      <c r="B14" s="744"/>
      <c r="E14" s="739"/>
      <c r="F14" s="739"/>
      <c r="G14" s="739"/>
      <c r="H14" s="739"/>
      <c r="I14" s="739"/>
      <c r="J14" s="739"/>
      <c r="K14" s="739"/>
      <c r="L14" s="739"/>
      <c r="M14" s="739"/>
      <c r="N14" s="739"/>
    </row>
    <row r="15" spans="2:17">
      <c r="B15" s="1" t="s">
        <v>486</v>
      </c>
      <c r="C15" s="746">
        <f>'Presupuesto Inversión'!C47</f>
        <v>18426</v>
      </c>
      <c r="D15" s="746"/>
      <c r="E15" s="739"/>
      <c r="F15" s="739"/>
      <c r="G15" s="739"/>
      <c r="H15" s="739"/>
      <c r="I15" s="739"/>
      <c r="J15" s="739"/>
      <c r="K15" s="739"/>
      <c r="L15" s="739"/>
      <c r="M15" s="739"/>
      <c r="N15" s="739"/>
    </row>
    <row r="16" spans="2:17">
      <c r="B16" s="744" t="s">
        <v>503</v>
      </c>
      <c r="M16" s="493"/>
      <c r="N16" s="493"/>
    </row>
    <row r="17" spans="1:16">
      <c r="B17" s="811" t="s">
        <v>504</v>
      </c>
      <c r="C17" s="569"/>
      <c r="D17" s="569"/>
      <c r="E17" s="569"/>
      <c r="F17" s="569"/>
      <c r="G17" s="569"/>
      <c r="H17" s="569"/>
      <c r="I17" s="569"/>
      <c r="J17" s="569"/>
      <c r="K17" s="569"/>
      <c r="L17" s="569"/>
      <c r="M17" s="810"/>
      <c r="N17" s="810"/>
      <c r="O17" s="569"/>
    </row>
    <row r="18" spans="1:16" s="1" customFormat="1">
      <c r="B18" s="1" t="s">
        <v>505</v>
      </c>
      <c r="C18" s="812">
        <f>-C15</f>
        <v>-18426</v>
      </c>
      <c r="D18" s="735"/>
      <c r="E18" s="812">
        <f ca="1">E10+E11+E12-E16</f>
        <v>6740</v>
      </c>
      <c r="F18" s="735"/>
      <c r="G18" s="812">
        <f ca="1">G10+G11+G12-G16</f>
        <v>11913</v>
      </c>
      <c r="H18" s="735"/>
      <c r="I18" s="812">
        <f ca="1">I10+I11+I12-I16</f>
        <v>12512</v>
      </c>
      <c r="J18" s="735"/>
      <c r="K18" s="812">
        <f ca="1">K10+K11+K12-K16</f>
        <v>12293</v>
      </c>
      <c r="L18"/>
      <c r="M18" s="812">
        <f ca="1">M10+M11+M12-M16</f>
        <v>13014</v>
      </c>
      <c r="N18" s="812"/>
      <c r="O18" s="812">
        <f ca="1">O10+O11+O12-O16</f>
        <v>56472</v>
      </c>
    </row>
    <row r="19" spans="1:16">
      <c r="B19" s="1" t="s">
        <v>506</v>
      </c>
      <c r="C19" s="812">
        <f ca="1">NPV(C21,FCL_Anual!E18:M18)+C18</f>
        <v>15963</v>
      </c>
      <c r="D19" s="785"/>
      <c r="E19" s="812"/>
      <c r="F19" s="735"/>
      <c r="G19" s="812"/>
      <c r="H19" s="735"/>
      <c r="I19" s="812"/>
      <c r="J19" s="735"/>
      <c r="K19" s="812"/>
      <c r="M19" s="812"/>
    </row>
    <row r="20" spans="1:16">
      <c r="B20" s="1" t="s">
        <v>488</v>
      </c>
      <c r="C20" s="761">
        <f ca="1">IRR(FCL_Anual!C18:M18)</f>
        <v>0.4743</v>
      </c>
      <c r="D20" s="785"/>
      <c r="E20" s="812"/>
      <c r="F20" s="735"/>
      <c r="G20" s="812"/>
      <c r="H20" s="735"/>
      <c r="I20" s="812"/>
      <c r="J20" s="735"/>
      <c r="K20" s="812"/>
      <c r="M20" s="812"/>
    </row>
    <row r="21" spans="1:16">
      <c r="B21" s="1" t="s">
        <v>489</v>
      </c>
      <c r="C21" s="819">
        <f>TIO!D35</f>
        <v>0.1744</v>
      </c>
      <c r="D21" s="785"/>
      <c r="E21" s="812"/>
      <c r="F21" s="735"/>
      <c r="G21" s="812"/>
      <c r="H21" s="735"/>
      <c r="I21" s="812"/>
      <c r="J21" s="735"/>
      <c r="K21" s="812"/>
      <c r="M21" s="812"/>
    </row>
    <row r="22" spans="1:16" hidden="1">
      <c r="C22" s="633">
        <v>0</v>
      </c>
      <c r="D22" s="829"/>
      <c r="E22" s="633">
        <v>1</v>
      </c>
      <c r="F22" s="633"/>
      <c r="G22" s="633">
        <v>2</v>
      </c>
      <c r="H22" s="633"/>
      <c r="I22" s="633">
        <v>3</v>
      </c>
      <c r="J22" s="633"/>
      <c r="K22" s="633">
        <v>4</v>
      </c>
      <c r="L22" s="633"/>
      <c r="M22" s="633">
        <v>5</v>
      </c>
      <c r="N22" s="768"/>
    </row>
    <row r="23" spans="1:16" hidden="1">
      <c r="B23" s="1" t="s">
        <v>507</v>
      </c>
      <c r="C23" s="785"/>
      <c r="D23" s="785"/>
      <c r="E23" s="786">
        <f ca="1">E18/(1+$C$21)^E22</f>
        <v>5739</v>
      </c>
      <c r="F23" s="786"/>
      <c r="G23" s="786">
        <f ca="1">G18/(1+$C$21)^G22</f>
        <v>8638</v>
      </c>
      <c r="H23" s="786"/>
      <c r="I23" s="786">
        <f ca="1">I18/(1+$C$21)^I22</f>
        <v>7725</v>
      </c>
      <c r="J23" s="786"/>
      <c r="K23" s="786">
        <f ca="1">K18/(1+$C$21)^K22</f>
        <v>6462</v>
      </c>
      <c r="L23" s="786"/>
      <c r="M23" s="786">
        <f ca="1">M18/(1+$C$21)^M22</f>
        <v>5825</v>
      </c>
      <c r="N23" s="784"/>
    </row>
    <row r="24" spans="1:16" hidden="1">
      <c r="B24" s="1" t="s">
        <v>508</v>
      </c>
      <c r="C24" s="785">
        <f>C18</f>
        <v>-18426</v>
      </c>
      <c r="D24" s="785"/>
      <c r="E24" s="786">
        <f ca="1">C24+E23</f>
        <v>-12687</v>
      </c>
      <c r="F24" s="786"/>
      <c r="G24" s="786">
        <f ca="1">E24+G23</f>
        <v>-4049</v>
      </c>
      <c r="H24" s="786"/>
      <c r="I24" s="786">
        <f ca="1">G24+I23</f>
        <v>3676</v>
      </c>
      <c r="J24" s="786"/>
      <c r="K24" s="786">
        <f ca="1">I24+K23</f>
        <v>10138</v>
      </c>
      <c r="L24" s="786"/>
      <c r="M24" s="786">
        <f ca="1">K24+M23</f>
        <v>15963</v>
      </c>
      <c r="N24" s="786"/>
      <c r="O24" s="739"/>
    </row>
    <row r="25" spans="1:16">
      <c r="B25" s="265" t="s">
        <v>509</v>
      </c>
      <c r="C25" s="1014" cm="1">
        <f t="array" aca="1" ref="C25" ca="1">LOOKUP(0,C24:M24,C22:M22+ABS(C24:M24)/(E23:M23))</f>
        <v>2.52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P25" s="493"/>
    </row>
    <row r="26" spans="1:16">
      <c r="B26" s="1009" t="s">
        <v>510</v>
      </c>
      <c r="C26" s="1008"/>
      <c r="D26" s="1008"/>
      <c r="E26" s="1010">
        <f ca="1">+E10/$C$15</f>
        <v>0.28000000000000003</v>
      </c>
      <c r="F26" s="1008"/>
      <c r="G26" s="1010">
        <f ca="1">(+G10+E10)/$C$15</f>
        <v>0.86</v>
      </c>
      <c r="H26" s="1008"/>
      <c r="I26" s="1010">
        <f ca="1">(+I10+G10)/$C$15</f>
        <v>1.2</v>
      </c>
      <c r="J26" s="1"/>
      <c r="K26" s="170"/>
      <c r="M26" s="170"/>
    </row>
    <row r="27" spans="1:16">
      <c r="B27" s="811" t="s">
        <v>511</v>
      </c>
      <c r="C27" s="569"/>
      <c r="D27" s="569"/>
      <c r="E27" s="569"/>
      <c r="F27" s="569"/>
      <c r="G27" s="569"/>
      <c r="H27" s="569"/>
      <c r="I27" s="569"/>
      <c r="J27" s="569"/>
      <c r="K27" s="569"/>
      <c r="L27" s="569"/>
      <c r="M27" s="810"/>
      <c r="N27" s="810"/>
      <c r="O27" s="569"/>
    </row>
    <row r="28" spans="1:16">
      <c r="A28">
        <v>1</v>
      </c>
      <c r="B28" s="1" t="s">
        <v>512</v>
      </c>
      <c r="C28" s="812">
        <f>+C18</f>
        <v>-18426</v>
      </c>
      <c r="D28" s="735"/>
      <c r="E28" s="812">
        <f ca="1">+E18</f>
        <v>6740</v>
      </c>
      <c r="F28" s="735"/>
      <c r="G28" s="812">
        <f ca="1">+G18</f>
        <v>11913</v>
      </c>
      <c r="H28" s="735"/>
      <c r="I28" s="812">
        <f ca="1">+I18</f>
        <v>12512</v>
      </c>
      <c r="J28" s="735"/>
      <c r="K28" s="812">
        <f ca="1">+K18</f>
        <v>12293</v>
      </c>
      <c r="M28" s="812">
        <f ca="1">+M18</f>
        <v>13014</v>
      </c>
      <c r="N28" s="812"/>
      <c r="O28" s="735">
        <f ca="1">SUM(D28:M28)</f>
        <v>56472</v>
      </c>
    </row>
    <row r="29" spans="1:16" s="1" customFormat="1">
      <c r="A29" s="493">
        <v>2</v>
      </c>
      <c r="B29" s="758" t="s">
        <v>164</v>
      </c>
      <c r="C29" s="812">
        <f>+Amortización!C2/Cost!$D$7</f>
        <v>0</v>
      </c>
      <c r="D29" s="735"/>
      <c r="E29" s="812">
        <f>+Amortización!J19/Cost!$D$7</f>
        <v>0</v>
      </c>
      <c r="F29" s="735"/>
      <c r="G29" s="812">
        <f>+Amortización!K19/Cost!$D$7</f>
        <v>0</v>
      </c>
      <c r="H29" s="735"/>
      <c r="I29" s="812">
        <f>+Amortización!L19/Cost!$D$7</f>
        <v>0</v>
      </c>
      <c r="J29" s="735"/>
      <c r="K29" s="812">
        <f>+Amortización!M19/Cost!$D$7</f>
        <v>0</v>
      </c>
      <c r="L29"/>
      <c r="M29" s="812">
        <f>+Amortización!N19/Cost!$D$7</f>
        <v>0</v>
      </c>
      <c r="N29"/>
    </row>
    <row r="30" spans="1:16">
      <c r="A30">
        <v>3</v>
      </c>
      <c r="B30" s="758" t="s">
        <v>513</v>
      </c>
      <c r="C30" s="785">
        <f>C28+C29</f>
        <v>-18426</v>
      </c>
      <c r="D30" s="785"/>
      <c r="E30" s="812">
        <f ca="1">E28+E29</f>
        <v>6740</v>
      </c>
      <c r="F30" s="735"/>
      <c r="G30" s="812">
        <f ca="1">G28+G29</f>
        <v>11913</v>
      </c>
      <c r="H30" s="735"/>
      <c r="I30" s="812">
        <f ca="1">I28+I29</f>
        <v>12512</v>
      </c>
      <c r="J30" s="735"/>
      <c r="K30" s="812">
        <f ca="1">K28+K29</f>
        <v>12293</v>
      </c>
      <c r="M30" s="812">
        <f ca="1">M28+M29</f>
        <v>13014</v>
      </c>
    </row>
    <row r="31" spans="1:16">
      <c r="B31" s="1" t="s">
        <v>514</v>
      </c>
      <c r="C31" s="812">
        <f ca="1">NPV(C33,E30:M30)+C30</f>
        <v>15963</v>
      </c>
      <c r="K31" s="736"/>
    </row>
    <row r="32" spans="1:16" s="1" customFormat="1">
      <c r="B32" s="1" t="s">
        <v>515</v>
      </c>
      <c r="C32" s="761">
        <f ca="1">IRR(FCL_Anual!C30:M30)</f>
        <v>0.4743</v>
      </c>
      <c r="K32" s="735"/>
      <c r="L32"/>
      <c r="M32"/>
      <c r="N32"/>
    </row>
    <row r="33" spans="2:3" ht="13.5" thickBot="1">
      <c r="B33" s="1" t="s">
        <v>516</v>
      </c>
      <c r="C33" s="819">
        <f>TIO!D20</f>
        <v>0.1744</v>
      </c>
    </row>
    <row r="34" spans="2:3" ht="13.5" thickBot="1">
      <c r="B34" s="493" t="s">
        <v>517</v>
      </c>
      <c r="C34" s="879">
        <v>0</v>
      </c>
    </row>
  </sheetData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66FF99"/>
    <pageSetUpPr fitToPage="1"/>
  </sheetPr>
  <dimension ref="A1:AB50"/>
  <sheetViews>
    <sheetView tabSelected="1" workbookViewId="0">
      <selection activeCell="H37" sqref="H37"/>
    </sheetView>
  </sheetViews>
  <sheetFormatPr baseColWidth="10" defaultColWidth="9.140625" defaultRowHeight="12.75"/>
  <cols>
    <col min="1" max="1" width="4.140625" style="63" customWidth="1"/>
    <col min="2" max="2" width="54.5703125" style="63" customWidth="1"/>
    <col min="3" max="3" width="15.7109375" style="63" customWidth="1"/>
    <col min="4" max="4" width="8.7109375" style="114" customWidth="1"/>
    <col min="5" max="5" width="15.7109375" style="63" customWidth="1"/>
    <col min="6" max="6" width="8.7109375" style="114" customWidth="1"/>
    <col min="7" max="7" width="15.7109375" style="114" customWidth="1"/>
    <col min="8" max="8" width="8.7109375" style="114" customWidth="1"/>
    <col min="9" max="9" width="15.7109375" style="114" customWidth="1"/>
    <col min="10" max="10" width="8.7109375" style="114" customWidth="1"/>
    <col min="11" max="11" width="15.7109375" style="114" customWidth="1"/>
    <col min="12" max="12" width="8.7109375" style="114" customWidth="1"/>
    <col min="13" max="13" width="3.85546875" style="120" customWidth="1"/>
    <col min="14" max="16384" width="9.140625" style="63"/>
  </cols>
  <sheetData>
    <row r="1" spans="1:28" ht="13.5" thickBot="1"/>
    <row r="2" spans="1:28" ht="19.5" customHeight="1">
      <c r="B2" s="1042" t="s">
        <v>518</v>
      </c>
      <c r="C2" s="1043"/>
      <c r="D2" s="1043"/>
      <c r="E2" s="1043"/>
      <c r="F2" s="1043"/>
      <c r="G2" s="1043"/>
      <c r="H2" s="1043"/>
      <c r="I2" s="1043"/>
      <c r="J2" s="1043"/>
      <c r="K2" s="1043"/>
      <c r="L2" s="1044"/>
      <c r="M2" s="113"/>
    </row>
    <row r="3" spans="1:28" ht="15.75">
      <c r="B3" s="1045" t="s">
        <v>519</v>
      </c>
      <c r="C3" s="1046"/>
      <c r="D3" s="1046"/>
      <c r="E3" s="1046"/>
      <c r="F3" s="1046"/>
      <c r="G3" s="1046"/>
      <c r="H3" s="1046"/>
      <c r="I3" s="1046"/>
      <c r="J3" s="1046"/>
      <c r="K3" s="1046"/>
      <c r="L3" s="1047"/>
      <c r="M3" s="113"/>
    </row>
    <row r="4" spans="1:28">
      <c r="B4" s="421"/>
      <c r="C4" s="73"/>
      <c r="D4" s="121"/>
      <c r="E4" s="73"/>
      <c r="F4" s="121"/>
      <c r="G4" s="121"/>
      <c r="H4" s="121"/>
      <c r="I4" s="121"/>
      <c r="J4" s="121"/>
      <c r="K4" s="121"/>
      <c r="L4" s="574"/>
      <c r="M4" s="121"/>
    </row>
    <row r="5" spans="1:28">
      <c r="B5" s="421"/>
      <c r="C5" s="1013" t="s">
        <v>520</v>
      </c>
      <c r="D5" s="121" t="s">
        <v>521</v>
      </c>
      <c r="E5" s="1013" t="s">
        <v>522</v>
      </c>
      <c r="F5" s="121" t="s">
        <v>521</v>
      </c>
      <c r="G5" s="1013" t="s">
        <v>523</v>
      </c>
      <c r="H5" s="121" t="s">
        <v>521</v>
      </c>
      <c r="I5" s="1013" t="s">
        <v>524</v>
      </c>
      <c r="J5" s="121" t="s">
        <v>521</v>
      </c>
      <c r="K5" s="1013" t="s">
        <v>525</v>
      </c>
      <c r="L5" s="574" t="s">
        <v>521</v>
      </c>
      <c r="M5" s="121"/>
    </row>
    <row r="6" spans="1:28">
      <c r="B6" s="421"/>
      <c r="G6" s="63"/>
      <c r="I6" s="63"/>
      <c r="K6" s="63"/>
      <c r="L6" s="575"/>
    </row>
    <row r="7" spans="1:28">
      <c r="B7" s="422" t="s">
        <v>53</v>
      </c>
      <c r="C7" s="824">
        <f ca="1">'Proyección Anual'!B21</f>
        <v>28864</v>
      </c>
      <c r="D7" s="119"/>
      <c r="E7" s="824">
        <f ca="1">'Proyección Anual'!D21</f>
        <v>28864</v>
      </c>
      <c r="F7" s="119"/>
      <c r="G7" s="824">
        <f ca="1">'Proyección Anual'!F21</f>
        <v>30307</v>
      </c>
      <c r="H7" s="119"/>
      <c r="I7" s="824">
        <f ca="1">'Proyección Anual'!H21</f>
        <v>30307</v>
      </c>
      <c r="J7" s="119"/>
      <c r="K7" s="824">
        <f ca="1">'Proyección Anual'!J21</f>
        <v>31822</v>
      </c>
      <c r="L7" s="293"/>
      <c r="M7" s="593"/>
    </row>
    <row r="8" spans="1:28">
      <c r="B8" s="423"/>
      <c r="C8" s="825"/>
      <c r="D8" s="921"/>
      <c r="E8" s="825"/>
      <c r="F8" s="921"/>
      <c r="G8" s="825"/>
      <c r="H8" s="921"/>
      <c r="I8" s="825"/>
      <c r="J8" s="921"/>
      <c r="K8" s="825"/>
      <c r="L8" s="922"/>
      <c r="M8" s="923"/>
    </row>
    <row r="9" spans="1:28">
      <c r="B9" s="424" t="s">
        <v>54</v>
      </c>
      <c r="C9" s="825"/>
      <c r="D9" s="921"/>
      <c r="E9" s="825"/>
      <c r="F9" s="921"/>
      <c r="G9" s="825"/>
      <c r="H9" s="921"/>
      <c r="I9" s="825"/>
      <c r="J9" s="921"/>
      <c r="K9" s="825"/>
      <c r="L9" s="922"/>
      <c r="M9" s="923"/>
    </row>
    <row r="10" spans="1:28">
      <c r="B10" s="421" t="s">
        <v>526</v>
      </c>
      <c r="C10" s="825">
        <f ca="1">'Proyección Anual'!B59-'Proyección Anual'!B55-'Proyección Anual'!B56</f>
        <v>6845</v>
      </c>
      <c r="D10" s="921">
        <f ca="1">IF(C$7=0,0,C10/C$7)</f>
        <v>0.24</v>
      </c>
      <c r="E10" s="825">
        <f ca="1">'Proyección Anual'!D59</f>
        <v>8828</v>
      </c>
      <c r="F10" s="921">
        <f ca="1">IF(E$7=0,0,E10/E$7)</f>
        <v>0.31</v>
      </c>
      <c r="G10" s="825">
        <f ca="1">'Proyección Anual'!F59</f>
        <v>9176</v>
      </c>
      <c r="H10" s="921">
        <f ca="1">IF(G$7=0,0,G10/G$7)</f>
        <v>0.3</v>
      </c>
      <c r="I10" s="825">
        <f ca="1">'Proyección Anual'!H59</f>
        <v>9513</v>
      </c>
      <c r="J10" s="921">
        <f ca="1">IF(I$7=0,0,I10/I$7)</f>
        <v>0.31</v>
      </c>
      <c r="K10" s="825">
        <f ca="1">'Proyección Anual'!J59</f>
        <v>9737</v>
      </c>
      <c r="L10" s="922">
        <f ca="1">IF(K$7=0,0,K10/K$7)</f>
        <v>0.31</v>
      </c>
      <c r="M10" s="923"/>
    </row>
    <row r="11" spans="1:28">
      <c r="B11" s="423" t="s">
        <v>527</v>
      </c>
      <c r="C11" s="825"/>
      <c r="D11" s="921">
        <f ca="1">IF(C$7=0,0,C11/C$7)</f>
        <v>0</v>
      </c>
      <c r="E11" s="825"/>
      <c r="F11" s="921">
        <f ca="1">IF(E$7=0,0,E11/E$7)</f>
        <v>0</v>
      </c>
      <c r="G11" s="825"/>
      <c r="H11" s="921">
        <f ca="1">IF(G$7=0,0,G11/G$7)</f>
        <v>0</v>
      </c>
      <c r="I11" s="825"/>
      <c r="J11" s="921">
        <f ca="1">IF(I$7=0,0,I11/I$7)</f>
        <v>0</v>
      </c>
      <c r="K11" s="825"/>
      <c r="L11" s="922">
        <f ca="1">IF(K$7=0,0,K11/K$7)</f>
        <v>0</v>
      </c>
      <c r="M11" s="923"/>
    </row>
    <row r="12" spans="1:28">
      <c r="B12" s="423" t="s">
        <v>528</v>
      </c>
      <c r="C12" s="825">
        <f>'Proyección Anual'!B55</f>
        <v>864</v>
      </c>
      <c r="D12" s="921">
        <f ca="1">IF(C$7=0,0,C12/C$7)</f>
        <v>0.03</v>
      </c>
      <c r="E12" s="825">
        <f>'Proyección Anual'!D55</f>
        <v>864</v>
      </c>
      <c r="F12" s="921">
        <f ca="1">IF(E$7=0,0,E12/E$7)</f>
        <v>0.03</v>
      </c>
      <c r="G12" s="825">
        <f>'Proyección Anual'!F55</f>
        <v>864</v>
      </c>
      <c r="H12" s="921">
        <f ca="1">IF(G$7=0,0,G12/G$7)</f>
        <v>0.03</v>
      </c>
      <c r="I12" s="825">
        <f>'Proyección Anual'!H55</f>
        <v>864</v>
      </c>
      <c r="J12" s="921">
        <f ca="1">IF(I$7=0,0,I12/I$7)</f>
        <v>0.03</v>
      </c>
      <c r="K12" s="825">
        <f>'Proyección Anual'!J55</f>
        <v>864</v>
      </c>
      <c r="L12" s="922">
        <f ca="1">IF(K$7=0,0,K12/K$7)</f>
        <v>0.03</v>
      </c>
      <c r="M12" s="923"/>
    </row>
    <row r="13" spans="1:28">
      <c r="B13" s="423"/>
      <c r="C13" s="824">
        <f ca="1">SUM(C10:C12)</f>
        <v>7709</v>
      </c>
      <c r="D13" s="119">
        <f ca="1">IF(C$7=0,0,C13/C$7)</f>
        <v>0.27</v>
      </c>
      <c r="E13" s="824">
        <f ca="1">SUM(E10:E12)</f>
        <v>9692</v>
      </c>
      <c r="F13" s="119">
        <f ca="1">IF(E$7=0,0,E13/E$7)</f>
        <v>0.34</v>
      </c>
      <c r="G13" s="824">
        <f ca="1">SUM(G10:G12)</f>
        <v>10040</v>
      </c>
      <c r="H13" s="119">
        <f ca="1">IF(G$7=0,0,G13/G$7)</f>
        <v>0.33</v>
      </c>
      <c r="I13" s="824">
        <f ca="1">SUM(I10:I12)</f>
        <v>10377</v>
      </c>
      <c r="J13" s="119">
        <f ca="1">IF(I$7=0,0,I13/I$7)</f>
        <v>0.34</v>
      </c>
      <c r="K13" s="824">
        <f ca="1">SUM(K10:K12)</f>
        <v>10601</v>
      </c>
      <c r="L13" s="293">
        <f ca="1">IF(K$7=0,0,K13/K$7)</f>
        <v>0.33</v>
      </c>
      <c r="M13" s="593"/>
    </row>
    <row r="14" spans="1:28">
      <c r="B14" s="423" t="s">
        <v>59</v>
      </c>
      <c r="C14" s="825"/>
      <c r="D14" s="921"/>
      <c r="E14" s="825"/>
      <c r="F14" s="921"/>
      <c r="G14" s="825"/>
      <c r="H14" s="921"/>
      <c r="I14" s="825"/>
      <c r="J14" s="921"/>
      <c r="K14" s="825"/>
      <c r="L14" s="922"/>
      <c r="M14" s="923"/>
      <c r="N14" s="64"/>
      <c r="O14" s="64"/>
      <c r="P14" s="64"/>
    </row>
    <row r="15" spans="1:28" s="323" customFormat="1">
      <c r="A15" s="63"/>
      <c r="B15" s="425" t="s">
        <v>408</v>
      </c>
      <c r="C15" s="826">
        <f ca="1">C7-C13</f>
        <v>21155</v>
      </c>
      <c r="D15" s="465">
        <f ca="1">IF(C$7=0,0,C15/C$7)</f>
        <v>0.73</v>
      </c>
      <c r="E15" s="826">
        <f ca="1">E7-E13</f>
        <v>19172</v>
      </c>
      <c r="F15" s="465">
        <f ca="1">IF(E$7=0,0,E15/E$7)</f>
        <v>0.66</v>
      </c>
      <c r="G15" s="826">
        <f ca="1">G7-G13</f>
        <v>20267</v>
      </c>
      <c r="H15" s="465">
        <f ca="1">IF(G$7=0,0,G15/G$7)</f>
        <v>0.67</v>
      </c>
      <c r="I15" s="826">
        <f ca="1">I7-I13</f>
        <v>19930</v>
      </c>
      <c r="J15" s="465">
        <f ca="1">IF(I$7=0,0,I15/I$7)</f>
        <v>0.66</v>
      </c>
      <c r="K15" s="826">
        <f ca="1">K7-K13</f>
        <v>21221</v>
      </c>
      <c r="L15" s="466">
        <f ca="1">IF(K$7=0,0,K15/K$7)</f>
        <v>0.67</v>
      </c>
      <c r="M15" s="593"/>
      <c r="N15" s="324" t="s">
        <v>529</v>
      </c>
      <c r="O15" s="324"/>
      <c r="P15" s="64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</row>
    <row r="16" spans="1:28" ht="9.9499999999999993" customHeight="1">
      <c r="B16" s="423" t="s">
        <v>59</v>
      </c>
      <c r="C16" s="825"/>
      <c r="D16" s="921"/>
      <c r="E16" s="825"/>
      <c r="F16" s="921"/>
      <c r="G16" s="825"/>
      <c r="H16" s="921"/>
      <c r="I16" s="825"/>
      <c r="J16" s="921"/>
      <c r="K16" s="825"/>
      <c r="L16" s="922"/>
      <c r="M16" s="923"/>
    </row>
    <row r="17" spans="1:28">
      <c r="B17" s="424" t="s">
        <v>60</v>
      </c>
      <c r="C17" s="825"/>
      <c r="D17" s="921"/>
      <c r="E17" s="825"/>
      <c r="F17" s="921"/>
      <c r="G17" s="825"/>
      <c r="H17" s="921"/>
      <c r="I17" s="825"/>
      <c r="J17" s="921"/>
      <c r="K17" s="825"/>
      <c r="L17" s="922"/>
      <c r="M17" s="923"/>
    </row>
    <row r="18" spans="1:28">
      <c r="B18" s="423" t="s">
        <v>530</v>
      </c>
      <c r="C18" s="825">
        <f ca="1">'Proyección Anual'!B63</f>
        <v>3464</v>
      </c>
      <c r="D18" s="921">
        <f t="shared" ref="D18:D19" ca="1" si="0">IF(C$7=0,0,C18/C$7)</f>
        <v>0.12</v>
      </c>
      <c r="E18" s="825">
        <f ca="1">'Proyección Anual'!D63</f>
        <v>3464</v>
      </c>
      <c r="F18" s="921">
        <f t="shared" ref="F18:F19" ca="1" si="1">IF(E$7=0,0,E18/E$7)</f>
        <v>0.12</v>
      </c>
      <c r="G18" s="825">
        <f ca="1">'Proyección Anual'!F63</f>
        <v>3637</v>
      </c>
      <c r="H18" s="921">
        <f t="shared" ref="H18:H19" ca="1" si="2">IF(G$7=0,0,G18/G$7)</f>
        <v>0.12</v>
      </c>
      <c r="I18" s="825">
        <f ca="1">'Proyección Anual'!H63</f>
        <v>3637</v>
      </c>
      <c r="J18" s="921">
        <f t="shared" ref="J18:J19" ca="1" si="3">IF(I$7=0,0,I18/I$7)</f>
        <v>0.12</v>
      </c>
      <c r="K18" s="825">
        <f ca="1">'Proyección Anual'!J63</f>
        <v>3819</v>
      </c>
      <c r="L18" s="922">
        <f t="shared" ref="L18:L19" ca="1" si="4">IF(K$7=0,0,K18/K$7)</f>
        <v>0.12</v>
      </c>
      <c r="M18" s="923"/>
    </row>
    <row r="19" spans="1:28">
      <c r="B19" s="423" t="s">
        <v>531</v>
      </c>
      <c r="C19" s="825">
        <f>'Proyección Anual'!B56</f>
        <v>780</v>
      </c>
      <c r="D19" s="921">
        <f t="shared" ca="1" si="0"/>
        <v>0.03</v>
      </c>
      <c r="E19" s="825">
        <f>'Proyección Anual'!D56</f>
        <v>780</v>
      </c>
      <c r="F19" s="921">
        <f t="shared" ca="1" si="1"/>
        <v>0.03</v>
      </c>
      <c r="G19" s="825">
        <f>'Proyección Anual'!F56</f>
        <v>780</v>
      </c>
      <c r="H19" s="921">
        <f t="shared" ca="1" si="2"/>
        <v>0.03</v>
      </c>
      <c r="I19" s="825">
        <f>'Proyección Anual'!H56</f>
        <v>780</v>
      </c>
      <c r="J19" s="921">
        <f t="shared" ca="1" si="3"/>
        <v>0.03</v>
      </c>
      <c r="K19" s="825">
        <f>'Proyección Anual'!J56</f>
        <v>780</v>
      </c>
      <c r="L19" s="922">
        <f t="shared" ca="1" si="4"/>
        <v>0.02</v>
      </c>
      <c r="M19" s="923"/>
    </row>
    <row r="20" spans="1:28" ht="9.9499999999999993" hidden="1" customHeight="1">
      <c r="B20" s="423"/>
      <c r="C20" s="825"/>
      <c r="D20" s="921"/>
      <c r="E20" s="825"/>
      <c r="F20" s="921"/>
      <c r="G20" s="825"/>
      <c r="H20" s="921"/>
      <c r="I20" s="825"/>
      <c r="J20" s="921"/>
      <c r="K20" s="825"/>
      <c r="L20" s="922"/>
      <c r="M20" s="923"/>
    </row>
    <row r="21" spans="1:28">
      <c r="B21" s="423"/>
      <c r="C21" s="74">
        <f ca="1">C18+C19</f>
        <v>4244</v>
      </c>
      <c r="D21" s="119">
        <f ca="1">IF(C$7=0,0,C21/C$7)</f>
        <v>0.15</v>
      </c>
      <c r="E21" s="74">
        <f ca="1">'Proyección Anual'!D63</f>
        <v>3464</v>
      </c>
      <c r="F21" s="119">
        <f ca="1">IF(E$7=0,0,E21/E$7)</f>
        <v>0.12</v>
      </c>
      <c r="G21" s="74">
        <f ca="1">'Proyección Anual'!F63</f>
        <v>3637</v>
      </c>
      <c r="H21" s="119">
        <f ca="1">IF(G$7=0,0,G21/G$7)</f>
        <v>0.12</v>
      </c>
      <c r="I21" s="74">
        <f ca="1">'Proyección Anual'!H63</f>
        <v>3637</v>
      </c>
      <c r="J21" s="119">
        <f ca="1">IF(I$7=0,0,I21/I$7)</f>
        <v>0.12</v>
      </c>
      <c r="K21" s="74">
        <f ca="1">'Proyección Anual'!J63</f>
        <v>3819</v>
      </c>
      <c r="L21" s="293">
        <f ca="1">IF(K$7=0,0,K21/K$7)</f>
        <v>0.12</v>
      </c>
      <c r="M21" s="593"/>
    </row>
    <row r="22" spans="1:28">
      <c r="B22" s="423"/>
      <c r="C22" s="825"/>
      <c r="D22" s="921"/>
      <c r="E22" s="825"/>
      <c r="F22" s="921"/>
      <c r="G22" s="825"/>
      <c r="H22" s="921"/>
      <c r="I22" s="825"/>
      <c r="J22" s="921"/>
      <c r="K22" s="825"/>
      <c r="L22" s="922"/>
      <c r="M22" s="923"/>
    </row>
    <row r="23" spans="1:28" s="323" customFormat="1">
      <c r="A23" s="63"/>
      <c r="B23" s="425" t="s">
        <v>70</v>
      </c>
      <c r="C23" s="826">
        <f ca="1">C15-C21</f>
        <v>16911</v>
      </c>
      <c r="D23" s="465">
        <f ca="1">IF(C$7=0,0,C23/C$7)</f>
        <v>0.59</v>
      </c>
      <c r="E23" s="826">
        <f ca="1">E15-E21</f>
        <v>15708</v>
      </c>
      <c r="F23" s="465">
        <f ca="1">IF(E$7=0,0,E23/E$7)</f>
        <v>0.54</v>
      </c>
      <c r="G23" s="826">
        <f ca="1">G15-G21</f>
        <v>16630</v>
      </c>
      <c r="H23" s="465">
        <f ca="1">IF(G$7=0,0,G23/G$7)</f>
        <v>0.55000000000000004</v>
      </c>
      <c r="I23" s="826">
        <f ca="1">I15-I21</f>
        <v>16293</v>
      </c>
      <c r="J23" s="465">
        <f ca="1">IF(I$7=0,0,I23/I$7)</f>
        <v>0.54</v>
      </c>
      <c r="K23" s="826">
        <f ca="1">K15-K21</f>
        <v>17402</v>
      </c>
      <c r="L23" s="466">
        <f ca="1">IF(K$7=0,0,K23/K$7)</f>
        <v>0.55000000000000004</v>
      </c>
      <c r="M23" s="593"/>
      <c r="N23" s="324" t="s">
        <v>532</v>
      </c>
      <c r="O23" s="324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</row>
    <row r="24" spans="1:28">
      <c r="B24" s="423"/>
      <c r="C24" s="825"/>
      <c r="D24" s="921"/>
      <c r="E24" s="825"/>
      <c r="F24" s="921"/>
      <c r="G24" s="825"/>
      <c r="H24" s="921"/>
      <c r="I24" s="825"/>
      <c r="J24" s="921"/>
      <c r="K24" s="825"/>
      <c r="L24" s="922"/>
      <c r="M24" s="923"/>
    </row>
    <row r="25" spans="1:28" hidden="1">
      <c r="B25" s="423" t="s">
        <v>533</v>
      </c>
      <c r="C25" s="825">
        <v>0</v>
      </c>
      <c r="D25" s="921">
        <f ca="1">IF(C$7=0,0,C25/C$7)</f>
        <v>0</v>
      </c>
      <c r="E25" s="825">
        <v>0</v>
      </c>
      <c r="F25" s="921">
        <f ca="1">IF(E$7=0,0,E25/E$7)</f>
        <v>0</v>
      </c>
      <c r="G25" s="825">
        <v>0</v>
      </c>
      <c r="H25" s="921">
        <f ca="1">IF(G$7=0,0,G25/G$7)</f>
        <v>0</v>
      </c>
      <c r="I25" s="825">
        <v>0</v>
      </c>
      <c r="J25" s="921">
        <f ca="1">IF(I$7=0,0,I25/I$7)</f>
        <v>0</v>
      </c>
      <c r="K25" s="825">
        <v>0</v>
      </c>
      <c r="L25" s="922">
        <f ca="1">IF(K$7=0,0,K25/K$7)</f>
        <v>0</v>
      </c>
      <c r="M25" s="923"/>
    </row>
    <row r="26" spans="1:28">
      <c r="B26" s="423" t="s">
        <v>534</v>
      </c>
      <c r="C26" s="825">
        <f>Amortización!J9/Cost!$D$7</f>
        <v>0</v>
      </c>
      <c r="D26" s="921">
        <f ca="1">IF(C$7=0,0,C26/C$7)</f>
        <v>0</v>
      </c>
      <c r="E26" s="825">
        <f>Amortización!K9/Cost!$D$7</f>
        <v>0</v>
      </c>
      <c r="F26" s="921">
        <f ca="1">IF(E$7=0,0,E26/E$7)</f>
        <v>0</v>
      </c>
      <c r="G26" s="825">
        <f>Amortización!L9/Cost!$D$7</f>
        <v>0</v>
      </c>
      <c r="H26" s="921">
        <f ca="1">IF(G$7=0,0,G26/G$7)</f>
        <v>0</v>
      </c>
      <c r="I26" s="825">
        <f>Amortización!M9/Cost!$D$7</f>
        <v>0</v>
      </c>
      <c r="J26" s="921">
        <f ca="1">IF(I$7=0,0,I26/I$7)</f>
        <v>0</v>
      </c>
      <c r="K26" s="825">
        <f>Amortización!N9/Cost!$D$7</f>
        <v>0</v>
      </c>
      <c r="L26" s="922">
        <f ca="1">IF(K$7=0,0,K26/K$7)</f>
        <v>0</v>
      </c>
      <c r="M26" s="923"/>
      <c r="N26" s="116"/>
    </row>
    <row r="27" spans="1:28" hidden="1">
      <c r="B27" s="423" t="s">
        <v>535</v>
      </c>
      <c r="C27" s="825">
        <v>0</v>
      </c>
      <c r="D27" s="921">
        <f ca="1">IF(C$7=0,0,C27/C$7)</f>
        <v>0</v>
      </c>
      <c r="E27" s="825">
        <v>0</v>
      </c>
      <c r="F27" s="921">
        <f ca="1">IF(E$7=0,0,E27/E$7)</f>
        <v>0</v>
      </c>
      <c r="G27" s="825">
        <v>0</v>
      </c>
      <c r="H27" s="921">
        <f ca="1">IF(G$7=0,0,G27/G$7)</f>
        <v>0</v>
      </c>
      <c r="I27" s="825">
        <v>0</v>
      </c>
      <c r="J27" s="921">
        <f ca="1">IF(I$7=0,0,I27/I$7)</f>
        <v>0</v>
      </c>
      <c r="K27" s="825">
        <v>0</v>
      </c>
      <c r="L27" s="922">
        <f ca="1">IF(K$7=0,0,K27/K$7)</f>
        <v>0</v>
      </c>
      <c r="M27" s="923"/>
    </row>
    <row r="28" spans="1:28" hidden="1">
      <c r="B28" s="596" t="s">
        <v>74</v>
      </c>
      <c r="C28" s="827">
        <v>0</v>
      </c>
      <c r="D28" s="924">
        <f ca="1">IF(C$7=0,0,C28/C$7)</f>
        <v>0</v>
      </c>
      <c r="E28" s="827">
        <v>0</v>
      </c>
      <c r="F28" s="924">
        <f ca="1">IF(E$7=0,0,E28/E$7)</f>
        <v>0</v>
      </c>
      <c r="G28" s="827">
        <v>0</v>
      </c>
      <c r="H28" s="924">
        <f ca="1">IF(G$7=0,0,G28/G$7)</f>
        <v>0</v>
      </c>
      <c r="I28" s="827">
        <v>0</v>
      </c>
      <c r="J28" s="924">
        <f ca="1">IF(I$7=0,0,I28/I$7)</f>
        <v>0</v>
      </c>
      <c r="K28" s="827">
        <v>0</v>
      </c>
      <c r="L28" s="925">
        <f ca="1">IF(K$7=0,0,K28/K$7)</f>
        <v>0</v>
      </c>
      <c r="M28" s="923"/>
    </row>
    <row r="29" spans="1:28" hidden="1">
      <c r="B29" s="423" t="s">
        <v>536</v>
      </c>
      <c r="C29" s="825">
        <v>0</v>
      </c>
      <c r="D29" s="926">
        <f ca="1">IF(C$7=0,0,C29/C$7)</f>
        <v>0</v>
      </c>
      <c r="E29" s="825">
        <v>0</v>
      </c>
      <c r="F29" s="921">
        <f ca="1">IF(E$7=0,0,E29/E$7)</f>
        <v>0</v>
      </c>
      <c r="G29" s="825">
        <v>0</v>
      </c>
      <c r="H29" s="921">
        <f ca="1">IF(G$7=0,0,G29/G$7)</f>
        <v>0</v>
      </c>
      <c r="I29" s="825">
        <v>0</v>
      </c>
      <c r="J29" s="921">
        <f ca="1">IF(I$7=0,0,I29/I$7)</f>
        <v>0</v>
      </c>
      <c r="K29" s="825">
        <v>0</v>
      </c>
      <c r="L29" s="922">
        <f ca="1">IF(K$7=0,0,K29/K$7)</f>
        <v>0</v>
      </c>
      <c r="M29" s="923"/>
    </row>
    <row r="30" spans="1:28" ht="9.9499999999999993" customHeight="1">
      <c r="B30" s="423"/>
      <c r="C30" s="825"/>
      <c r="D30" s="921"/>
      <c r="E30" s="825"/>
      <c r="F30" s="921"/>
      <c r="G30" s="825"/>
      <c r="H30" s="921"/>
      <c r="I30" s="825"/>
      <c r="J30" s="921"/>
      <c r="K30" s="825"/>
      <c r="L30" s="922"/>
      <c r="M30" s="923"/>
    </row>
    <row r="31" spans="1:28">
      <c r="B31" s="424" t="s">
        <v>537</v>
      </c>
      <c r="C31" s="824">
        <f>SUM(C25:C29)</f>
        <v>0</v>
      </c>
      <c r="D31" s="119">
        <f ca="1">IF(C$7=0,0,C31/C$7)</f>
        <v>0</v>
      </c>
      <c r="E31" s="824">
        <f>SUM(E25:E29)</f>
        <v>0</v>
      </c>
      <c r="F31" s="119">
        <f ca="1">IF(E$7=0,0,E31/E$7)</f>
        <v>0</v>
      </c>
      <c r="G31" s="824">
        <f>SUM(G25:G29)</f>
        <v>0</v>
      </c>
      <c r="H31" s="119">
        <f ca="1">IF(G$7=0,0,G31/G$7)</f>
        <v>0</v>
      </c>
      <c r="I31" s="824">
        <f>SUM(I25:I29)</f>
        <v>0</v>
      </c>
      <c r="J31" s="119">
        <f ca="1">IF(I$7=0,0,I31/I$7)</f>
        <v>0</v>
      </c>
      <c r="K31" s="824">
        <f>SUM(K25:K29)</f>
        <v>0</v>
      </c>
      <c r="L31" s="293">
        <f ca="1">IF(K$7=0,0,K31/K$7)</f>
        <v>0</v>
      </c>
      <c r="M31" s="593"/>
    </row>
    <row r="32" spans="1:28">
      <c r="B32" s="423"/>
      <c r="C32" s="825"/>
      <c r="D32" s="921"/>
      <c r="E32" s="825"/>
      <c r="F32" s="921"/>
      <c r="G32" s="825"/>
      <c r="H32" s="921"/>
      <c r="I32" s="825"/>
      <c r="J32" s="921"/>
      <c r="K32" s="825"/>
      <c r="L32" s="922"/>
      <c r="M32" s="923"/>
    </row>
    <row r="33" spans="1:28" s="323" customFormat="1">
      <c r="A33" s="63"/>
      <c r="B33" s="425" t="s">
        <v>538</v>
      </c>
      <c r="C33" s="826">
        <f ca="1">C23-C31</f>
        <v>16911</v>
      </c>
      <c r="D33" s="465">
        <f ca="1">IF(C$7=0,0,C33/C$7)</f>
        <v>0.59</v>
      </c>
      <c r="E33" s="826">
        <f ca="1">E23-E31</f>
        <v>15708</v>
      </c>
      <c r="F33" s="465">
        <f ca="1">IF(E$7=0,0,E33/E$7)</f>
        <v>0.54</v>
      </c>
      <c r="G33" s="826">
        <f ca="1">G23-G31</f>
        <v>16630</v>
      </c>
      <c r="H33" s="465">
        <f ca="1">IF(G$7=0,0,G33/G$7)</f>
        <v>0.55000000000000004</v>
      </c>
      <c r="I33" s="826">
        <f ca="1">I23-I31</f>
        <v>16293</v>
      </c>
      <c r="J33" s="465">
        <f ca="1">IF(I$7=0,0,I33/I$7)</f>
        <v>0.54</v>
      </c>
      <c r="K33" s="826">
        <f ca="1">K23-K31</f>
        <v>17402</v>
      </c>
      <c r="L33" s="466">
        <f ca="1">IF(K$7=0,0,K33/K$7)</f>
        <v>0.55000000000000004</v>
      </c>
      <c r="M33" s="593"/>
      <c r="N33" s="324" t="s">
        <v>539</v>
      </c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</row>
    <row r="34" spans="1:28">
      <c r="B34" s="423"/>
      <c r="C34" s="825"/>
      <c r="D34" s="921"/>
      <c r="E34" s="825"/>
      <c r="F34" s="921"/>
      <c r="G34" s="825"/>
      <c r="H34" s="921"/>
      <c r="I34" s="825"/>
      <c r="J34" s="921"/>
      <c r="K34" s="825"/>
      <c r="L34" s="922"/>
      <c r="M34" s="923"/>
    </row>
    <row r="35" spans="1:28">
      <c r="B35" s="424" t="s">
        <v>77</v>
      </c>
      <c r="C35" s="824">
        <f ca="1">'Proyección Anual'!B72</f>
        <v>5923</v>
      </c>
      <c r="D35" s="119">
        <f ca="1">IF(C$7=0,0,C35/C$7)</f>
        <v>0.21</v>
      </c>
      <c r="E35" s="824">
        <f ca="1">'Proyección Anual'!D72</f>
        <v>5800</v>
      </c>
      <c r="F35" s="119">
        <f ca="1">IF(E$7=0,0,E35/E$7)</f>
        <v>0.2</v>
      </c>
      <c r="G35" s="824">
        <f ca="1">'Proyección Anual'!F72</f>
        <v>6123</v>
      </c>
      <c r="H35" s="119">
        <f ca="1">IF(G$7=0,0,G35/G$7)</f>
        <v>0.2</v>
      </c>
      <c r="I35" s="824">
        <f ca="1">'Proyección Anual'!H72</f>
        <v>6005</v>
      </c>
      <c r="J35" s="119">
        <f ca="1">IF(I$7=0,0,I35/I$7)</f>
        <v>0.2</v>
      </c>
      <c r="K35" s="824">
        <f ca="1">'Proyección Anual'!J72</f>
        <v>6393</v>
      </c>
      <c r="L35" s="293">
        <f ca="1">IF(K$7=0,0,K35/K$7)</f>
        <v>0.2</v>
      </c>
      <c r="M35" s="593"/>
      <c r="N35" s="115"/>
    </row>
    <row r="36" spans="1:28">
      <c r="B36" s="423"/>
      <c r="C36" s="825"/>
      <c r="D36" s="921"/>
      <c r="E36" s="825"/>
      <c r="F36" s="921"/>
      <c r="G36" s="825"/>
      <c r="H36" s="921"/>
      <c r="I36" s="825"/>
      <c r="J36" s="921"/>
      <c r="K36" s="825"/>
      <c r="L36" s="922"/>
      <c r="M36" s="923"/>
    </row>
    <row r="37" spans="1:28" s="323" customFormat="1">
      <c r="A37" s="63"/>
      <c r="B37" s="425" t="s">
        <v>78</v>
      </c>
      <c r="C37" s="826">
        <f ca="1">C33-C35</f>
        <v>10988</v>
      </c>
      <c r="D37" s="465">
        <f ca="1">IF(C$7=0,0,C37/C$7)</f>
        <v>0.38</v>
      </c>
      <c r="E37" s="826">
        <f ca="1">E33-E35</f>
        <v>9908</v>
      </c>
      <c r="F37" s="465">
        <f ca="1">IF(E$7=0,0,E37/E$7)</f>
        <v>0.34</v>
      </c>
      <c r="G37" s="826">
        <f ca="1">G33-G35</f>
        <v>10507</v>
      </c>
      <c r="H37" s="465">
        <f ca="1">IF(G$7=0,0,G37/G$7)</f>
        <v>0.35</v>
      </c>
      <c r="I37" s="826">
        <f ca="1">I33-I35</f>
        <v>10288</v>
      </c>
      <c r="J37" s="465">
        <f ca="1">IF(I$7=0,0,I37/I$7)</f>
        <v>0.34</v>
      </c>
      <c r="K37" s="826">
        <f ca="1">K33-K35</f>
        <v>11009</v>
      </c>
      <c r="L37" s="466">
        <f ca="1">IF(K$7=0,0,K37/K$7)</f>
        <v>0.35</v>
      </c>
      <c r="M37" s="594"/>
      <c r="N37" s="324" t="s">
        <v>540</v>
      </c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</row>
    <row r="38" spans="1:28" ht="5.25" customHeight="1">
      <c r="B38" s="423"/>
      <c r="C38" s="828"/>
      <c r="D38" s="921"/>
      <c r="E38" s="828"/>
      <c r="F38" s="921"/>
      <c r="G38" s="828"/>
      <c r="H38" s="921"/>
      <c r="I38" s="828"/>
      <c r="J38" s="921"/>
      <c r="K38" s="828"/>
      <c r="L38" s="922"/>
      <c r="M38" s="923"/>
    </row>
    <row r="39" spans="1:28">
      <c r="B39" s="423"/>
      <c r="C39" s="825"/>
      <c r="D39" s="921"/>
      <c r="E39" s="825"/>
      <c r="F39" s="921"/>
      <c r="G39" s="825"/>
      <c r="H39" s="921"/>
      <c r="I39" s="825"/>
      <c r="J39" s="921"/>
      <c r="K39" s="825"/>
      <c r="L39" s="922"/>
      <c r="M39" s="923"/>
    </row>
    <row r="40" spans="1:28">
      <c r="B40" s="425" t="s">
        <v>541</v>
      </c>
      <c r="C40" s="826">
        <f ca="1">C33+C12+C19+C26+C28</f>
        <v>18555</v>
      </c>
      <c r="D40" s="465">
        <f ca="1">IF(C$7=0,0,C40/C$7)</f>
        <v>0.64</v>
      </c>
      <c r="E40" s="826">
        <f ca="1">E33+E12+E19+E26+E28</f>
        <v>17352</v>
      </c>
      <c r="F40" s="465">
        <f ca="1">IF(E$7=0,0,E40/E$7)</f>
        <v>0.6</v>
      </c>
      <c r="G40" s="826">
        <f ca="1">G33+G12+G19+G26+G28</f>
        <v>18274</v>
      </c>
      <c r="H40" s="465">
        <f ca="1">IF(G$7=0,0,G40/G$7)</f>
        <v>0.6</v>
      </c>
      <c r="I40" s="826">
        <f ca="1">I33+I12+I19+I26+I28</f>
        <v>17937</v>
      </c>
      <c r="J40" s="465">
        <f ca="1">IF(I$7=0,0,I40/I$7)</f>
        <v>0.59</v>
      </c>
      <c r="K40" s="826">
        <f ca="1">K33+K12+K19+K26+K28</f>
        <v>19046</v>
      </c>
      <c r="L40" s="466">
        <f ca="1">IF(K$7=0,0,K40/K$7)</f>
        <v>0.6</v>
      </c>
      <c r="M40" s="923"/>
    </row>
    <row r="41" spans="1:28" ht="9.9499999999999993" customHeight="1">
      <c r="B41" s="424"/>
      <c r="C41" s="824"/>
      <c r="D41" s="921"/>
      <c r="E41" s="824"/>
      <c r="F41" s="921"/>
      <c r="G41" s="824"/>
      <c r="H41" s="921"/>
      <c r="I41" s="824"/>
      <c r="J41" s="921"/>
      <c r="K41" s="824"/>
      <c r="L41" s="922"/>
      <c r="M41" s="923"/>
    </row>
    <row r="42" spans="1:28">
      <c r="B42" s="424" t="s">
        <v>542</v>
      </c>
      <c r="C42" s="824">
        <f ca="1">C40-C28</f>
        <v>18555</v>
      </c>
      <c r="D42" s="921">
        <f ca="1">IF(C$7=0,0,C42/C$7)</f>
        <v>0.64</v>
      </c>
      <c r="E42" s="824">
        <f ca="1">E40-E28</f>
        <v>17352</v>
      </c>
      <c r="F42" s="921">
        <f ca="1">IF(E$7=0,0,E42/E$7)</f>
        <v>0.6</v>
      </c>
      <c r="G42" s="824">
        <f ca="1">G40-G28</f>
        <v>18274</v>
      </c>
      <c r="H42" s="921">
        <f ca="1">IF(G$7=0,0,G42/G$7)</f>
        <v>0.6</v>
      </c>
      <c r="I42" s="824">
        <f ca="1">I40-I28</f>
        <v>17937</v>
      </c>
      <c r="J42" s="921">
        <f ca="1">IF(I$7=0,0,I42/I$7)</f>
        <v>0.59</v>
      </c>
      <c r="K42" s="824">
        <f ca="1">K40-K28</f>
        <v>19046</v>
      </c>
      <c r="L42" s="922">
        <f ca="1">IF(K$7=0,0,K42/K$7)</f>
        <v>0.6</v>
      </c>
      <c r="M42" s="923"/>
    </row>
    <row r="43" spans="1:28" ht="9" customHeight="1">
      <c r="B43" s="424"/>
      <c r="C43" s="824"/>
      <c r="D43" s="119"/>
      <c r="E43" s="824"/>
      <c r="F43" s="119"/>
      <c r="G43" s="824"/>
      <c r="H43" s="119"/>
      <c r="I43" s="824"/>
      <c r="J43" s="119"/>
      <c r="K43" s="824"/>
      <c r="L43" s="293"/>
      <c r="M43" s="593"/>
    </row>
    <row r="44" spans="1:28" hidden="1">
      <c r="B44" s="421"/>
      <c r="C44" s="830"/>
      <c r="E44" s="830"/>
      <c r="G44" s="830"/>
      <c r="I44" s="830"/>
      <c r="K44" s="830"/>
      <c r="L44" s="575"/>
    </row>
    <row r="45" spans="1:28" ht="13.5" thickBot="1">
      <c r="B45" s="831" t="str">
        <f>+B40</f>
        <v>EBITDA</v>
      </c>
      <c r="C45" s="832">
        <f ca="1">+C40</f>
        <v>18555</v>
      </c>
      <c r="D45" s="833"/>
      <c r="E45" s="832">
        <f ca="1">+E40</f>
        <v>17352</v>
      </c>
      <c r="F45" s="833"/>
      <c r="G45" s="832">
        <f ca="1">+G40</f>
        <v>18274</v>
      </c>
      <c r="H45" s="833"/>
      <c r="I45" s="832">
        <f ca="1">+I40</f>
        <v>17937</v>
      </c>
      <c r="J45" s="833"/>
      <c r="K45" s="832">
        <f ca="1">+K40</f>
        <v>19046</v>
      </c>
      <c r="L45" s="834"/>
      <c r="M45" s="595"/>
    </row>
    <row r="46" spans="1:28">
      <c r="C46" s="116"/>
      <c r="E46" s="116"/>
      <c r="F46" s="63"/>
      <c r="G46" s="63"/>
      <c r="H46" s="63"/>
      <c r="I46" s="63"/>
      <c r="J46" s="63"/>
      <c r="K46" s="63"/>
      <c r="L46" s="63"/>
      <c r="M46" s="63"/>
    </row>
    <row r="47" spans="1:28">
      <c r="F47" s="63"/>
      <c r="G47" s="63"/>
      <c r="H47" s="63"/>
      <c r="I47" s="63"/>
      <c r="J47" s="63"/>
      <c r="K47" s="63"/>
      <c r="L47" s="63"/>
      <c r="M47" s="63"/>
    </row>
    <row r="48" spans="1:28">
      <c r="B48" s="589"/>
      <c r="C48" s="590"/>
      <c r="D48" s="591"/>
      <c r="E48" s="590"/>
      <c r="F48" s="63"/>
      <c r="G48" s="63"/>
      <c r="H48" s="63"/>
      <c r="I48" s="63"/>
      <c r="J48" s="63"/>
      <c r="K48" s="63"/>
      <c r="L48" s="63"/>
      <c r="M48" s="63"/>
    </row>
    <row r="49" spans="3:13">
      <c r="C49" s="592"/>
      <c r="E49" s="592"/>
      <c r="F49" s="63"/>
      <c r="G49" s="63"/>
      <c r="H49" s="63"/>
      <c r="I49" s="63"/>
      <c r="J49" s="63"/>
      <c r="K49" s="63"/>
      <c r="L49" s="63"/>
      <c r="M49" s="63"/>
    </row>
    <row r="50" spans="3:13">
      <c r="C50" s="303"/>
      <c r="E50" s="303"/>
    </row>
  </sheetData>
  <mergeCells count="2">
    <mergeCell ref="B2:L2"/>
    <mergeCell ref="B3:L3"/>
  </mergeCells>
  <phoneticPr fontId="29" type="noConversion"/>
  <pageMargins left="0" right="0" top="0.5" bottom="0.25" header="0.5" footer="0.5"/>
  <pageSetup scale="58" orientation="landscape" horizontalDpi="4294967293" r:id="rId1"/>
  <headerFooter alignWithMargins="0"/>
  <ignoredErrors>
    <ignoredError sqref="D13 D40 D37 F37 D15" 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E31D7-2E0B-48BC-B41E-D180A0A22572}">
  <sheetPr codeName="Hoja11"/>
  <dimension ref="A1:Y116"/>
  <sheetViews>
    <sheetView workbookViewId="0"/>
  </sheetViews>
  <sheetFormatPr baseColWidth="10" defaultColWidth="11.42578125" defaultRowHeight="12.75"/>
  <cols>
    <col min="1" max="1" width="8.42578125" style="493" customWidth="1"/>
    <col min="2" max="2" width="40.42578125" style="493" customWidth="1"/>
    <col min="3" max="3" width="13.5703125" style="493" customWidth="1"/>
    <col min="4" max="4" width="12.85546875" style="493" customWidth="1"/>
    <col min="5" max="5" width="14" style="493" customWidth="1"/>
    <col min="6" max="6" width="12.42578125" style="493" customWidth="1"/>
    <col min="7" max="7" width="11.140625" style="493" customWidth="1"/>
    <col min="8" max="8" width="10.85546875" style="493" customWidth="1"/>
    <col min="9" max="9" width="11" style="493" customWidth="1"/>
    <col min="10" max="10" width="10.42578125" style="493" customWidth="1"/>
    <col min="11" max="11" width="11.5703125" style="493" customWidth="1"/>
    <col min="12" max="12" width="10.5703125" style="493" customWidth="1"/>
    <col min="13" max="13" width="10.140625" style="493" customWidth="1"/>
    <col min="14" max="14" width="9.5703125" style="493" customWidth="1"/>
    <col min="15" max="15" width="11.42578125" style="493"/>
    <col min="16" max="16" width="9.42578125" style="493" customWidth="1"/>
    <col min="17" max="17" width="11.42578125" style="493" customWidth="1"/>
    <col min="18" max="18" width="8.85546875" style="493" customWidth="1"/>
    <col min="19" max="19" width="10.42578125" style="493" customWidth="1"/>
    <col min="20" max="21" width="12.5703125" style="493" bestFit="1" customWidth="1"/>
    <col min="22" max="22" width="15.140625" style="493" bestFit="1" customWidth="1"/>
    <col min="23" max="16384" width="11.42578125" style="493"/>
  </cols>
  <sheetData>
    <row r="1" spans="1:25" ht="13.5" thickBot="1">
      <c r="B1" s="154"/>
      <c r="C1" s="154">
        <v>1</v>
      </c>
      <c r="D1" s="1050"/>
      <c r="E1" s="1050"/>
      <c r="F1" s="1050"/>
      <c r="G1" s="1050"/>
      <c r="H1" s="1050"/>
      <c r="I1" s="1050"/>
      <c r="J1" s="1050"/>
      <c r="K1" s="1050"/>
      <c r="L1" s="1050"/>
      <c r="M1" s="1050"/>
      <c r="N1" s="1050"/>
      <c r="O1" s="1051"/>
    </row>
    <row r="2" spans="1:25">
      <c r="B2" s="561">
        <v>0</v>
      </c>
      <c r="C2" s="21">
        <v>1</v>
      </c>
      <c r="D2" s="21">
        <v>2</v>
      </c>
      <c r="E2" s="21">
        <v>3</v>
      </c>
      <c r="F2" s="21">
        <v>4</v>
      </c>
      <c r="G2" s="21">
        <v>5</v>
      </c>
      <c r="H2" s="21">
        <v>6</v>
      </c>
      <c r="I2" s="21">
        <v>7</v>
      </c>
      <c r="J2" s="21">
        <v>8</v>
      </c>
      <c r="K2" s="21">
        <v>9</v>
      </c>
      <c r="L2" s="21">
        <v>10</v>
      </c>
      <c r="M2" s="21">
        <v>11</v>
      </c>
      <c r="N2" s="21">
        <v>12</v>
      </c>
      <c r="O2" s="21">
        <v>13</v>
      </c>
      <c r="P2" s="21">
        <v>14</v>
      </c>
      <c r="Q2" s="21">
        <v>15</v>
      </c>
      <c r="R2" s="21">
        <v>16</v>
      </c>
      <c r="S2" s="21">
        <v>17</v>
      </c>
      <c r="T2" s="21">
        <v>18</v>
      </c>
      <c r="U2" s="21">
        <v>19</v>
      </c>
      <c r="V2" s="21">
        <v>20</v>
      </c>
      <c r="W2" s="21">
        <v>21</v>
      </c>
      <c r="X2" s="21">
        <v>22</v>
      </c>
    </row>
    <row r="3" spans="1:25">
      <c r="B3" s="283" t="s">
        <v>543</v>
      </c>
      <c r="C3" s="283"/>
      <c r="D3" s="21"/>
      <c r="E3" s="21"/>
      <c r="F3" s="190">
        <f ca="1">D4</f>
        <v>1144</v>
      </c>
      <c r="G3" s="190">
        <f t="shared" ref="G3:X3" ca="1" si="0">E4</f>
        <v>2728</v>
      </c>
      <c r="H3" s="190">
        <f t="shared" ca="1" si="0"/>
        <v>2728</v>
      </c>
      <c r="I3" s="190">
        <f t="shared" ca="1" si="0"/>
        <v>2728</v>
      </c>
      <c r="J3" s="190">
        <f t="shared" ca="1" si="0"/>
        <v>2728</v>
      </c>
      <c r="K3" s="190">
        <f t="shared" ca="1" si="0"/>
        <v>2728</v>
      </c>
      <c r="L3" s="190">
        <f t="shared" ca="1" si="0"/>
        <v>2728</v>
      </c>
      <c r="M3" s="190">
        <f t="shared" ca="1" si="0"/>
        <v>2728</v>
      </c>
      <c r="N3" s="190">
        <f t="shared" ca="1" si="0"/>
        <v>2728</v>
      </c>
      <c r="O3" s="190">
        <f t="shared" ca="1" si="0"/>
        <v>2728</v>
      </c>
      <c r="P3" s="190">
        <f t="shared" ca="1" si="0"/>
        <v>2728</v>
      </c>
      <c r="Q3" s="190" t="e">
        <f t="shared" si="0"/>
        <v>#REF!</v>
      </c>
      <c r="R3" s="190" t="e">
        <f t="shared" si="0"/>
        <v>#REF!</v>
      </c>
      <c r="S3" s="190" t="e">
        <f t="shared" si="0"/>
        <v>#REF!</v>
      </c>
      <c r="T3" s="190" t="e">
        <f t="shared" si="0"/>
        <v>#REF!</v>
      </c>
      <c r="U3" s="190" t="e">
        <f t="shared" si="0"/>
        <v>#REF!</v>
      </c>
      <c r="V3" s="190" t="e">
        <f t="shared" si="0"/>
        <v>#REF!</v>
      </c>
      <c r="W3" s="190" t="e">
        <f t="shared" si="0"/>
        <v>#REF!</v>
      </c>
      <c r="X3" s="190" t="e">
        <f t="shared" si="0"/>
        <v>#REF!</v>
      </c>
      <c r="Y3" s="190"/>
    </row>
    <row r="4" spans="1:25">
      <c r="B4" s="497" t="s">
        <v>544</v>
      </c>
      <c r="C4" s="604">
        <v>1</v>
      </c>
      <c r="D4" s="498">
        <f ca="1">+Sales!F13*$C$4</f>
        <v>1144</v>
      </c>
      <c r="E4" s="498">
        <f ca="1">+Sales!H13*$C$4</f>
        <v>2728</v>
      </c>
      <c r="F4" s="498">
        <f ca="1">+Sales!J13*$C$4</f>
        <v>2728</v>
      </c>
      <c r="G4" s="498">
        <f ca="1">+Sales!L13*$C$4</f>
        <v>2728</v>
      </c>
      <c r="H4" s="498">
        <f ca="1">+Sales!N13*$C$4</f>
        <v>2728</v>
      </c>
      <c r="I4" s="498">
        <f ca="1">+Sales!P13*$C$4</f>
        <v>2728</v>
      </c>
      <c r="J4" s="498">
        <f ca="1">+Sales!R13*$C$4</f>
        <v>2728</v>
      </c>
      <c r="K4" s="498">
        <f ca="1">+Sales!T13*$C$4</f>
        <v>2728</v>
      </c>
      <c r="L4" s="498">
        <f ca="1">+Sales!V13*$C$4</f>
        <v>2728</v>
      </c>
      <c r="M4" s="498">
        <f ca="1">+Sales!X13*$C$4</f>
        <v>2728</v>
      </c>
      <c r="N4" s="498">
        <f ca="1">+Sales!Z13*$C$4</f>
        <v>2728</v>
      </c>
      <c r="O4" s="498" t="e">
        <f>+Sales!#REF!*$C$4</f>
        <v>#REF!</v>
      </c>
      <c r="P4" s="498" t="e">
        <f>+Sales!#REF!*$C$4</f>
        <v>#REF!</v>
      </c>
      <c r="Q4" s="498" t="e">
        <f>+Sales!#REF!*$C$4</f>
        <v>#REF!</v>
      </c>
      <c r="R4" s="498" t="e">
        <f>+Sales!#REF!*$C$4</f>
        <v>#REF!</v>
      </c>
      <c r="S4" s="498" t="e">
        <f>+Sales!#REF!*$C$4</f>
        <v>#REF!</v>
      </c>
      <c r="T4" s="498" t="e">
        <f>+Sales!#REF!*$C$4</f>
        <v>#REF!</v>
      </c>
      <c r="U4" s="498" t="e">
        <f>+Sales!#REF!*$C$4</f>
        <v>#REF!</v>
      </c>
      <c r="V4" s="498" t="e">
        <f>+Sales!#REF!*$C$4</f>
        <v>#REF!</v>
      </c>
      <c r="W4" s="610">
        <v>0</v>
      </c>
      <c r="X4" s="610">
        <v>0</v>
      </c>
      <c r="Y4" s="528" t="e">
        <f ca="1">SUM(D4:V4)</f>
        <v>#REF!</v>
      </c>
    </row>
    <row r="5" spans="1:25">
      <c r="A5" s="493" t="s">
        <v>59</v>
      </c>
      <c r="B5" s="499"/>
      <c r="C5" s="500">
        <v>45413</v>
      </c>
      <c r="D5" s="500">
        <v>45444</v>
      </c>
      <c r="E5" s="500">
        <v>45474</v>
      </c>
      <c r="F5" s="500">
        <v>45505</v>
      </c>
      <c r="G5" s="500">
        <v>45536</v>
      </c>
      <c r="H5" s="500">
        <v>45566</v>
      </c>
      <c r="I5" s="500">
        <v>45597</v>
      </c>
      <c r="J5" s="500">
        <v>45627</v>
      </c>
      <c r="K5" s="500">
        <v>45658</v>
      </c>
      <c r="L5" s="500">
        <v>45689</v>
      </c>
      <c r="M5" s="500">
        <v>45717</v>
      </c>
      <c r="N5" s="500">
        <v>45748</v>
      </c>
      <c r="O5" s="500">
        <v>45778</v>
      </c>
      <c r="P5" s="500">
        <v>45809</v>
      </c>
      <c r="Q5" s="500">
        <v>45839</v>
      </c>
      <c r="R5" s="500">
        <v>45870</v>
      </c>
      <c r="S5" s="500">
        <v>45901</v>
      </c>
      <c r="T5" s="500">
        <v>45931</v>
      </c>
      <c r="U5" s="500">
        <v>45962</v>
      </c>
      <c r="V5" s="500">
        <v>45992</v>
      </c>
      <c r="W5" s="500">
        <v>46023</v>
      </c>
      <c r="X5" s="500">
        <v>46054</v>
      </c>
    </row>
    <row r="6" spans="1:25">
      <c r="C6" s="501" t="s">
        <v>82</v>
      </c>
      <c r="D6" s="501" t="s">
        <v>82</v>
      </c>
      <c r="E6" s="501" t="s">
        <v>82</v>
      </c>
      <c r="F6" s="501" t="s">
        <v>82</v>
      </c>
      <c r="G6" s="501" t="s">
        <v>82</v>
      </c>
      <c r="H6" s="501" t="s">
        <v>82</v>
      </c>
      <c r="I6" s="501" t="s">
        <v>82</v>
      </c>
      <c r="J6" s="501" t="s">
        <v>82</v>
      </c>
      <c r="K6" s="501" t="s">
        <v>82</v>
      </c>
      <c r="L6" s="502" t="s">
        <v>82</v>
      </c>
      <c r="M6" s="501" t="s">
        <v>82</v>
      </c>
      <c r="N6" s="501" t="s">
        <v>82</v>
      </c>
      <c r="O6" s="501" t="s">
        <v>82</v>
      </c>
      <c r="P6" s="501" t="s">
        <v>82</v>
      </c>
      <c r="Q6" s="501" t="s">
        <v>82</v>
      </c>
      <c r="R6" s="501" t="s">
        <v>82</v>
      </c>
      <c r="S6" s="501" t="s">
        <v>82</v>
      </c>
      <c r="T6" s="501" t="s">
        <v>82</v>
      </c>
      <c r="U6" s="501" t="s">
        <v>82</v>
      </c>
      <c r="V6" s="501" t="s">
        <v>82</v>
      </c>
      <c r="W6" s="501" t="s">
        <v>82</v>
      </c>
      <c r="X6" s="501" t="s">
        <v>82</v>
      </c>
    </row>
    <row r="7" spans="1:25">
      <c r="B7" s="493" t="s">
        <v>545</v>
      </c>
      <c r="C7" s="503">
        <v>0</v>
      </c>
      <c r="D7" s="503">
        <f t="shared" ref="D7:S7" si="1">+C37</f>
        <v>-1180</v>
      </c>
      <c r="E7" s="504">
        <f t="shared" ca="1" si="1"/>
        <v>-2673</v>
      </c>
      <c r="F7" s="504">
        <f t="shared" ca="1" si="1"/>
        <v>-2703</v>
      </c>
      <c r="G7" s="505">
        <f t="shared" ca="1" si="1"/>
        <v>-2733</v>
      </c>
      <c r="H7" s="504" t="e">
        <f t="shared" ca="1" si="1"/>
        <v>#REF!</v>
      </c>
      <c r="I7" s="504" t="e">
        <f t="shared" ca="1" si="1"/>
        <v>#REF!</v>
      </c>
      <c r="J7" s="504" t="e">
        <f t="shared" ca="1" si="1"/>
        <v>#REF!</v>
      </c>
      <c r="K7" s="611" t="e">
        <f t="shared" ca="1" si="1"/>
        <v>#REF!</v>
      </c>
      <c r="L7" s="506" t="e">
        <f t="shared" ca="1" si="1"/>
        <v>#REF!</v>
      </c>
      <c r="M7" s="504" t="e">
        <f t="shared" ca="1" si="1"/>
        <v>#REF!</v>
      </c>
      <c r="N7" s="504" t="e">
        <f t="shared" ca="1" si="1"/>
        <v>#REF!</v>
      </c>
      <c r="O7" s="504" t="e">
        <f t="shared" ca="1" si="1"/>
        <v>#REF!</v>
      </c>
      <c r="P7" s="504" t="e">
        <f t="shared" ca="1" si="1"/>
        <v>#REF!</v>
      </c>
      <c r="Q7" s="504" t="e">
        <f t="shared" ca="1" si="1"/>
        <v>#REF!</v>
      </c>
      <c r="R7" s="504" t="e">
        <f t="shared" ca="1" si="1"/>
        <v>#REF!</v>
      </c>
      <c r="S7" s="504" t="e">
        <f t="shared" ca="1" si="1"/>
        <v>#REF!</v>
      </c>
      <c r="T7" s="504" t="e">
        <f ca="1">+S37</f>
        <v>#REF!</v>
      </c>
      <c r="U7" s="504" t="e">
        <f ca="1">+T37</f>
        <v>#REF!</v>
      </c>
      <c r="V7" s="504" t="e">
        <f ca="1">+U37</f>
        <v>#REF!</v>
      </c>
      <c r="W7" s="504" t="e">
        <f ca="1">+V37</f>
        <v>#REF!</v>
      </c>
      <c r="X7" s="504" t="e">
        <f ca="1">+W37</f>
        <v>#REF!</v>
      </c>
    </row>
    <row r="8" spans="1:25" s="507" customFormat="1" ht="17.25" customHeight="1" thickBot="1">
      <c r="B8" s="508" t="s">
        <v>546</v>
      </c>
      <c r="C8" s="509">
        <f t="shared" ref="C8:O8" si="2">+C7</f>
        <v>0</v>
      </c>
      <c r="D8" s="509">
        <f t="shared" si="2"/>
        <v>-1180</v>
      </c>
      <c r="E8" s="509">
        <f t="shared" ca="1" si="2"/>
        <v>-2673</v>
      </c>
      <c r="F8" s="509">
        <f t="shared" ca="1" si="2"/>
        <v>-2703</v>
      </c>
      <c r="G8" s="509">
        <f t="shared" ca="1" si="2"/>
        <v>-2733</v>
      </c>
      <c r="H8" s="509" t="e">
        <f t="shared" ca="1" si="2"/>
        <v>#REF!</v>
      </c>
      <c r="I8" s="509" t="e">
        <f t="shared" ca="1" si="2"/>
        <v>#REF!</v>
      </c>
      <c r="J8" s="509" t="e">
        <f t="shared" ca="1" si="2"/>
        <v>#REF!</v>
      </c>
      <c r="K8" s="509" t="e">
        <f t="shared" ca="1" si="2"/>
        <v>#REF!</v>
      </c>
      <c r="L8" s="509" t="e">
        <f t="shared" ca="1" si="2"/>
        <v>#REF!</v>
      </c>
      <c r="M8" s="509" t="e">
        <f t="shared" ca="1" si="2"/>
        <v>#REF!</v>
      </c>
      <c r="N8" s="509" t="e">
        <f t="shared" ca="1" si="2"/>
        <v>#REF!</v>
      </c>
      <c r="O8" s="509" t="e">
        <f t="shared" ca="1" si="2"/>
        <v>#REF!</v>
      </c>
      <c r="P8" s="509" t="e">
        <f ca="1">+O37</f>
        <v>#REF!</v>
      </c>
      <c r="Q8" s="509" t="e">
        <f t="shared" ref="Q8:X8" ca="1" si="3">+Q7</f>
        <v>#REF!</v>
      </c>
      <c r="R8" s="509" t="e">
        <f t="shared" ca="1" si="3"/>
        <v>#REF!</v>
      </c>
      <c r="S8" s="509" t="e">
        <f t="shared" ca="1" si="3"/>
        <v>#REF!</v>
      </c>
      <c r="T8" s="509" t="e">
        <f t="shared" ca="1" si="3"/>
        <v>#REF!</v>
      </c>
      <c r="U8" s="509" t="e">
        <f t="shared" ca="1" si="3"/>
        <v>#REF!</v>
      </c>
      <c r="V8" s="509" t="e">
        <f t="shared" ca="1" si="3"/>
        <v>#REF!</v>
      </c>
      <c r="W8" s="509" t="e">
        <f t="shared" ca="1" si="3"/>
        <v>#REF!</v>
      </c>
      <c r="X8" s="509" t="e">
        <f t="shared" ca="1" si="3"/>
        <v>#REF!</v>
      </c>
    </row>
    <row r="9" spans="1:25" ht="13.5" thickTop="1">
      <c r="B9" s="510"/>
      <c r="C9" s="511"/>
      <c r="D9" s="511"/>
      <c r="E9" s="511"/>
      <c r="F9" s="511"/>
      <c r="G9" s="511"/>
      <c r="H9" s="511"/>
      <c r="I9" s="511"/>
      <c r="J9" s="511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</row>
    <row r="10" spans="1:25">
      <c r="B10" s="510" t="s">
        <v>547</v>
      </c>
      <c r="C10" s="511">
        <v>0</v>
      </c>
      <c r="D10" s="511">
        <v>0</v>
      </c>
      <c r="E10" s="511">
        <v>0</v>
      </c>
      <c r="F10" s="511">
        <v>0</v>
      </c>
      <c r="G10" s="511">
        <f t="shared" ref="G10:U10" ca="1" si="4">+D4</f>
        <v>1144</v>
      </c>
      <c r="H10" s="511">
        <f t="shared" ca="1" si="4"/>
        <v>2728</v>
      </c>
      <c r="I10" s="511">
        <f t="shared" ca="1" si="4"/>
        <v>2728</v>
      </c>
      <c r="J10" s="511">
        <f t="shared" ca="1" si="4"/>
        <v>2728</v>
      </c>
      <c r="K10" s="511">
        <f t="shared" ca="1" si="4"/>
        <v>2728</v>
      </c>
      <c r="L10" s="511">
        <f t="shared" ca="1" si="4"/>
        <v>2728</v>
      </c>
      <c r="M10" s="511">
        <f t="shared" ca="1" si="4"/>
        <v>2728</v>
      </c>
      <c r="N10" s="511">
        <f t="shared" ca="1" si="4"/>
        <v>2728</v>
      </c>
      <c r="O10" s="511">
        <f t="shared" ca="1" si="4"/>
        <v>2728</v>
      </c>
      <c r="P10" s="511">
        <f t="shared" ca="1" si="4"/>
        <v>2728</v>
      </c>
      <c r="Q10" s="511">
        <f t="shared" ca="1" si="4"/>
        <v>2728</v>
      </c>
      <c r="R10" s="511" t="e">
        <f t="shared" si="4"/>
        <v>#REF!</v>
      </c>
      <c r="S10" s="511" t="e">
        <f t="shared" si="4"/>
        <v>#REF!</v>
      </c>
      <c r="T10" s="511" t="e">
        <f t="shared" si="4"/>
        <v>#REF!</v>
      </c>
      <c r="U10" s="511" t="e">
        <f t="shared" si="4"/>
        <v>#REF!</v>
      </c>
      <c r="V10" s="511" t="e">
        <f>+S4</f>
        <v>#REF!</v>
      </c>
      <c r="W10" s="511" t="e">
        <f>+T4</f>
        <v>#REF!</v>
      </c>
      <c r="X10" s="511" t="e">
        <f>+U4</f>
        <v>#REF!</v>
      </c>
    </row>
    <row r="11" spans="1:25">
      <c r="B11" s="510" t="s">
        <v>548</v>
      </c>
      <c r="C11" s="511">
        <v>0</v>
      </c>
      <c r="D11" s="511">
        <v>0</v>
      </c>
      <c r="E11" s="511">
        <v>0</v>
      </c>
      <c r="F11" s="511">
        <v>0</v>
      </c>
      <c r="G11" s="511"/>
      <c r="H11" s="511"/>
      <c r="I11" s="511"/>
      <c r="J11" s="511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</row>
    <row r="12" spans="1:25">
      <c r="B12" s="510" t="s">
        <v>549</v>
      </c>
      <c r="C12" s="560">
        <v>0</v>
      </c>
      <c r="D12" s="560">
        <v>0</v>
      </c>
      <c r="E12" s="511">
        <v>0</v>
      </c>
      <c r="F12" s="560">
        <v>0</v>
      </c>
      <c r="G12" s="511"/>
      <c r="H12" s="511"/>
      <c r="I12" s="511"/>
      <c r="J12" s="511"/>
      <c r="K12" s="511"/>
      <c r="L12" s="560"/>
      <c r="M12" s="560"/>
      <c r="N12" s="560"/>
      <c r="O12" s="560"/>
      <c r="P12" s="560"/>
      <c r="Q12" s="560"/>
      <c r="R12" s="560"/>
      <c r="S12" s="560"/>
      <c r="T12" s="560"/>
      <c r="U12" s="560"/>
      <c r="V12" s="560"/>
      <c r="W12" s="560"/>
      <c r="X12" s="560"/>
    </row>
    <row r="13" spans="1:25">
      <c r="B13" s="510" t="s">
        <v>550</v>
      </c>
      <c r="C13" s="511">
        <v>0</v>
      </c>
      <c r="D13" s="511">
        <v>0</v>
      </c>
      <c r="E13" s="511">
        <v>0</v>
      </c>
      <c r="F13" s="511">
        <v>0</v>
      </c>
      <c r="G13" s="511"/>
      <c r="H13" s="511"/>
      <c r="I13" s="511"/>
      <c r="J13" s="511"/>
      <c r="K13" s="511"/>
      <c r="L13" s="511"/>
      <c r="M13" s="511"/>
      <c r="N13" s="511"/>
      <c r="O13" s="511"/>
      <c r="P13" s="511"/>
      <c r="Q13" s="511"/>
      <c r="R13" s="511"/>
      <c r="S13" s="511"/>
      <c r="T13" s="511"/>
      <c r="U13" s="511"/>
      <c r="V13" s="511"/>
      <c r="W13" s="511"/>
      <c r="X13" s="511"/>
    </row>
    <row r="14" spans="1:25">
      <c r="B14" s="510" t="s">
        <v>551</v>
      </c>
      <c r="C14" s="511">
        <v>0</v>
      </c>
      <c r="D14" s="511">
        <v>0</v>
      </c>
      <c r="E14" s="511">
        <v>0</v>
      </c>
      <c r="F14" s="511">
        <v>0</v>
      </c>
      <c r="G14" s="511"/>
      <c r="H14" s="511"/>
      <c r="I14" s="511"/>
      <c r="J14" s="511"/>
      <c r="K14" s="511"/>
      <c r="L14" s="511"/>
      <c r="M14" s="511"/>
      <c r="N14" s="511"/>
      <c r="O14" s="511"/>
      <c r="P14" s="511"/>
      <c r="Q14" s="511"/>
      <c r="R14" s="511"/>
      <c r="S14" s="511"/>
      <c r="T14" s="511"/>
      <c r="U14" s="511"/>
      <c r="V14" s="511"/>
      <c r="W14" s="511"/>
      <c r="X14" s="511"/>
    </row>
    <row r="15" spans="1:25">
      <c r="B15" s="510" t="s">
        <v>552</v>
      </c>
      <c r="C15" s="511"/>
      <c r="D15" s="511"/>
      <c r="E15" s="511"/>
      <c r="F15" s="511"/>
      <c r="G15" s="511">
        <v>0</v>
      </c>
      <c r="H15" s="511">
        <f t="shared" ref="H15:S15" si="5">+G15</f>
        <v>0</v>
      </c>
      <c r="I15" s="511">
        <f t="shared" si="5"/>
        <v>0</v>
      </c>
      <c r="J15" s="511">
        <f t="shared" si="5"/>
        <v>0</v>
      </c>
      <c r="K15" s="511">
        <f t="shared" si="5"/>
        <v>0</v>
      </c>
      <c r="L15" s="511">
        <f t="shared" si="5"/>
        <v>0</v>
      </c>
      <c r="M15" s="511">
        <f t="shared" si="5"/>
        <v>0</v>
      </c>
      <c r="N15" s="511">
        <f t="shared" si="5"/>
        <v>0</v>
      </c>
      <c r="O15" s="511">
        <f t="shared" si="5"/>
        <v>0</v>
      </c>
      <c r="P15" s="511">
        <f t="shared" si="5"/>
        <v>0</v>
      </c>
      <c r="Q15" s="511">
        <f t="shared" si="5"/>
        <v>0</v>
      </c>
      <c r="R15" s="511">
        <f t="shared" si="5"/>
        <v>0</v>
      </c>
      <c r="S15" s="511">
        <f t="shared" si="5"/>
        <v>0</v>
      </c>
      <c r="T15" s="511">
        <f>+S15</f>
        <v>0</v>
      </c>
      <c r="U15" s="511">
        <f>+T15</f>
        <v>0</v>
      </c>
      <c r="V15" s="511">
        <f>+U15</f>
        <v>0</v>
      </c>
      <c r="W15" s="511">
        <f>+V15</f>
        <v>0</v>
      </c>
      <c r="X15" s="511">
        <f>+W15</f>
        <v>0</v>
      </c>
    </row>
    <row r="16" spans="1:25">
      <c r="B16" s="512" t="s">
        <v>553</v>
      </c>
      <c r="C16" s="513">
        <f t="shared" ref="C16:O16" si="6">+SUM(C9:C15)</f>
        <v>0</v>
      </c>
      <c r="D16" s="513">
        <f t="shared" si="6"/>
        <v>0</v>
      </c>
      <c r="E16" s="513">
        <f t="shared" si="6"/>
        <v>0</v>
      </c>
      <c r="F16" s="513">
        <f t="shared" si="6"/>
        <v>0</v>
      </c>
      <c r="G16" s="513">
        <f t="shared" ca="1" si="6"/>
        <v>1144</v>
      </c>
      <c r="H16" s="513">
        <f t="shared" ca="1" si="6"/>
        <v>2728</v>
      </c>
      <c r="I16" s="513">
        <f t="shared" ca="1" si="6"/>
        <v>2728</v>
      </c>
      <c r="J16" s="513">
        <f t="shared" ca="1" si="6"/>
        <v>2728</v>
      </c>
      <c r="K16" s="513">
        <f ca="1">+SUM(K9:K15)</f>
        <v>2728</v>
      </c>
      <c r="L16" s="513">
        <f t="shared" ca="1" si="6"/>
        <v>2728</v>
      </c>
      <c r="M16" s="513">
        <f t="shared" ca="1" si="6"/>
        <v>2728</v>
      </c>
      <c r="N16" s="513">
        <f t="shared" ca="1" si="6"/>
        <v>2728</v>
      </c>
      <c r="O16" s="513">
        <f t="shared" ca="1" si="6"/>
        <v>2728</v>
      </c>
      <c r="P16" s="513">
        <f t="shared" ref="P16:X16" ca="1" si="7">+SUM(P9:P15)</f>
        <v>2728</v>
      </c>
      <c r="Q16" s="513">
        <f t="shared" ca="1" si="7"/>
        <v>2728</v>
      </c>
      <c r="R16" s="513" t="e">
        <f t="shared" si="7"/>
        <v>#REF!</v>
      </c>
      <c r="S16" s="513" t="e">
        <f t="shared" si="7"/>
        <v>#REF!</v>
      </c>
      <c r="T16" s="513" t="e">
        <f t="shared" si="7"/>
        <v>#REF!</v>
      </c>
      <c r="U16" s="513" t="e">
        <f t="shared" si="7"/>
        <v>#REF!</v>
      </c>
      <c r="V16" s="513" t="e">
        <f t="shared" si="7"/>
        <v>#REF!</v>
      </c>
      <c r="W16" s="513" t="e">
        <f t="shared" si="7"/>
        <v>#REF!</v>
      </c>
      <c r="X16" s="513" t="e">
        <f t="shared" si="7"/>
        <v>#REF!</v>
      </c>
    </row>
    <row r="17" spans="2:24">
      <c r="B17" s="515" t="s">
        <v>554</v>
      </c>
      <c r="C17" s="516"/>
      <c r="D17" s="516"/>
      <c r="E17" s="516"/>
      <c r="F17" s="516"/>
      <c r="G17" s="516"/>
      <c r="H17" s="516"/>
      <c r="I17" s="516"/>
      <c r="J17" s="516"/>
      <c r="K17" s="517"/>
      <c r="L17" s="516"/>
      <c r="M17" s="516"/>
      <c r="N17" s="516"/>
      <c r="O17" s="516"/>
      <c r="P17" s="516"/>
      <c r="Q17" s="516"/>
      <c r="R17" s="516"/>
      <c r="S17" s="516"/>
      <c r="T17" s="516"/>
      <c r="U17" s="516"/>
      <c r="V17" s="516"/>
      <c r="W17" s="516"/>
      <c r="X17" s="516"/>
    </row>
    <row r="18" spans="2:24">
      <c r="B18" s="515"/>
      <c r="C18" s="516"/>
      <c r="D18" s="516"/>
      <c r="E18" s="516"/>
      <c r="F18" s="516"/>
      <c r="G18" s="516"/>
      <c r="H18" s="516"/>
      <c r="I18" s="516"/>
      <c r="J18" s="516"/>
      <c r="K18" s="516"/>
      <c r="L18" s="516"/>
      <c r="M18" s="516"/>
      <c r="N18" s="516"/>
      <c r="O18" s="516"/>
      <c r="P18" s="516"/>
      <c r="Q18" s="516"/>
      <c r="R18" s="516"/>
      <c r="S18" s="516"/>
      <c r="T18" s="516"/>
      <c r="U18" s="516"/>
      <c r="V18" s="516"/>
      <c r="W18" s="516"/>
      <c r="X18" s="516"/>
    </row>
    <row r="19" spans="2:24">
      <c r="B19" s="518" t="s">
        <v>555</v>
      </c>
      <c r="C19" s="511"/>
      <c r="D19" s="511"/>
      <c r="E19" s="511"/>
      <c r="F19" s="511"/>
      <c r="G19" s="511"/>
      <c r="H19" s="511"/>
      <c r="I19" s="511"/>
      <c r="J19" s="511"/>
      <c r="K19" s="511"/>
      <c r="L19" s="511"/>
      <c r="M19" s="511"/>
      <c r="N19" s="511"/>
      <c r="O19" s="511"/>
      <c r="P19" s="511"/>
      <c r="Q19" s="511"/>
      <c r="R19" s="511"/>
      <c r="S19" s="511"/>
      <c r="T19" s="511"/>
      <c r="U19" s="511"/>
      <c r="V19" s="511"/>
      <c r="W19" s="511"/>
      <c r="X19" s="511"/>
    </row>
    <row r="20" spans="2:24">
      <c r="B20" s="515" t="s">
        <v>556</v>
      </c>
      <c r="C20" s="511"/>
      <c r="D20" s="511"/>
      <c r="E20" s="511"/>
      <c r="F20" s="511"/>
      <c r="G20" s="511"/>
      <c r="H20" s="511"/>
      <c r="I20" s="511"/>
      <c r="J20" s="511"/>
      <c r="K20" s="511"/>
      <c r="L20" s="511"/>
      <c r="M20" s="511"/>
      <c r="N20" s="511"/>
      <c r="O20" s="511"/>
      <c r="P20" s="511"/>
      <c r="Q20" s="511"/>
      <c r="R20" s="511"/>
      <c r="S20" s="511"/>
      <c r="T20" s="511"/>
      <c r="U20" s="511"/>
      <c r="V20" s="511"/>
      <c r="W20" s="511"/>
      <c r="X20" s="511"/>
    </row>
    <row r="21" spans="2:24">
      <c r="B21" s="515" t="s">
        <v>557</v>
      </c>
      <c r="C21" s="511"/>
      <c r="D21" s="511"/>
      <c r="E21" s="511"/>
      <c r="F21" s="511"/>
      <c r="G21" s="511"/>
      <c r="H21" s="511"/>
      <c r="I21" s="511"/>
      <c r="J21" s="511"/>
      <c r="K21" s="511"/>
      <c r="L21" s="511"/>
      <c r="M21" s="511"/>
      <c r="N21" s="511"/>
      <c r="O21" s="511"/>
      <c r="P21" s="511"/>
      <c r="Q21" s="511"/>
      <c r="R21" s="511"/>
      <c r="S21" s="511"/>
      <c r="T21" s="511"/>
      <c r="U21" s="511"/>
      <c r="V21" s="511"/>
      <c r="W21" s="511"/>
      <c r="X21" s="511"/>
    </row>
    <row r="22" spans="2:24">
      <c r="B22" s="515" t="s">
        <v>97</v>
      </c>
      <c r="C22" s="511"/>
      <c r="D22" s="511"/>
      <c r="E22" s="511"/>
      <c r="F22" s="511"/>
      <c r="G22" s="511"/>
      <c r="H22" s="511"/>
      <c r="I22" s="511"/>
      <c r="J22" s="511"/>
      <c r="K22" s="511"/>
      <c r="L22" s="511"/>
      <c r="M22" s="511"/>
      <c r="N22" s="511"/>
      <c r="O22" s="511"/>
      <c r="P22" s="511"/>
      <c r="Q22" s="511"/>
      <c r="R22" s="511"/>
      <c r="S22" s="511"/>
      <c r="T22" s="511"/>
      <c r="U22" s="511"/>
      <c r="V22" s="511"/>
      <c r="W22" s="511"/>
      <c r="X22" s="511"/>
    </row>
    <row r="23" spans="2:24">
      <c r="B23" s="515" t="s">
        <v>558</v>
      </c>
      <c r="C23" s="511"/>
      <c r="D23" s="511"/>
      <c r="E23" s="519"/>
      <c r="F23" s="511"/>
      <c r="G23" s="511"/>
      <c r="H23" s="511"/>
      <c r="I23" s="511"/>
      <c r="J23" s="511"/>
      <c r="K23" s="511"/>
      <c r="L23" s="511"/>
      <c r="M23" s="511"/>
      <c r="N23" s="511"/>
      <c r="O23" s="511"/>
      <c r="P23" s="511"/>
      <c r="Q23" s="511"/>
      <c r="R23" s="511"/>
      <c r="S23" s="511"/>
      <c r="T23" s="511"/>
      <c r="U23" s="511"/>
      <c r="V23" s="511"/>
      <c r="W23" s="511"/>
      <c r="X23" s="511"/>
    </row>
    <row r="24" spans="2:24">
      <c r="B24" s="515" t="s">
        <v>559</v>
      </c>
      <c r="C24" s="511"/>
      <c r="D24" s="511"/>
      <c r="E24" s="519"/>
      <c r="F24" s="511"/>
      <c r="G24" s="511"/>
      <c r="H24" s="511"/>
      <c r="I24" s="511"/>
      <c r="J24" s="511"/>
      <c r="K24" s="511"/>
      <c r="L24" s="511"/>
      <c r="M24" s="511"/>
      <c r="N24" s="511"/>
      <c r="O24" s="511"/>
      <c r="P24" s="511"/>
      <c r="Q24" s="511"/>
      <c r="R24" s="511"/>
      <c r="S24" s="511"/>
      <c r="T24" s="511"/>
      <c r="U24" s="511"/>
      <c r="V24" s="511"/>
      <c r="W24" s="511"/>
      <c r="X24" s="511"/>
    </row>
    <row r="25" spans="2:24">
      <c r="B25" s="518" t="s">
        <v>560</v>
      </c>
      <c r="C25" s="511"/>
      <c r="D25" s="511"/>
      <c r="E25" s="519"/>
      <c r="F25" s="511"/>
      <c r="G25" s="511"/>
      <c r="H25" s="511"/>
      <c r="I25" s="511"/>
      <c r="J25" s="511"/>
      <c r="K25" s="511"/>
      <c r="L25" s="511"/>
      <c r="M25" s="511"/>
      <c r="N25" s="511"/>
      <c r="O25" s="511"/>
      <c r="P25" s="511"/>
      <c r="Q25" s="511"/>
      <c r="R25" s="511"/>
      <c r="S25" s="511"/>
      <c r="T25" s="511"/>
      <c r="U25" s="511"/>
      <c r="V25" s="511"/>
      <c r="W25" s="511"/>
      <c r="X25" s="511"/>
    </row>
    <row r="26" spans="2:24" s="523" customFormat="1">
      <c r="B26" s="520" t="s">
        <v>561</v>
      </c>
      <c r="C26" s="521"/>
      <c r="D26" s="521"/>
      <c r="E26" s="522"/>
      <c r="F26" s="521"/>
      <c r="G26" s="521"/>
      <c r="H26" s="521"/>
      <c r="I26" s="521"/>
      <c r="J26" s="521"/>
      <c r="K26" s="521"/>
      <c r="L26" s="521"/>
      <c r="M26" s="521"/>
      <c r="N26" s="521"/>
      <c r="O26" s="521"/>
      <c r="P26" s="521"/>
      <c r="Q26" s="521"/>
      <c r="R26" s="521"/>
      <c r="S26" s="521"/>
      <c r="T26" s="521"/>
      <c r="U26" s="521"/>
      <c r="V26" s="521"/>
      <c r="W26" s="521"/>
      <c r="X26" s="521"/>
    </row>
    <row r="27" spans="2:24">
      <c r="B27" s="518" t="s">
        <v>562</v>
      </c>
      <c r="C27" s="511">
        <f>+Cost!P28</f>
        <v>18</v>
      </c>
      <c r="D27" s="511">
        <f>+Cost!R28</f>
        <v>30</v>
      </c>
      <c r="E27" s="511">
        <f>+Cost!T28</f>
        <v>30</v>
      </c>
      <c r="F27" s="511">
        <f>+Cost!V28</f>
        <v>30</v>
      </c>
      <c r="G27" s="511">
        <f>+Cost!X28</f>
        <v>30</v>
      </c>
      <c r="H27" s="511">
        <f>+Cost!Z28</f>
        <v>30</v>
      </c>
      <c r="I27" s="511">
        <f>+Cost!AB28</f>
        <v>30</v>
      </c>
      <c r="J27" s="511">
        <f>+Cost!AD28</f>
        <v>30</v>
      </c>
      <c r="K27" s="511">
        <f>+Cost!AF28</f>
        <v>30</v>
      </c>
      <c r="L27" s="511">
        <f>+Cost!AH28</f>
        <v>30</v>
      </c>
      <c r="M27" s="511">
        <f>+Cost!AJ28</f>
        <v>30</v>
      </c>
      <c r="N27" s="511">
        <f>+Cost!AL28</f>
        <v>12</v>
      </c>
      <c r="O27" s="511">
        <f>+Cost!AN28</f>
        <v>0</v>
      </c>
      <c r="P27" s="511">
        <f>+Cost!AP28</f>
        <v>0</v>
      </c>
      <c r="Q27" s="511">
        <f>+Cost!AR28</f>
        <v>0</v>
      </c>
      <c r="R27" s="511">
        <f>+Cost!AT28</f>
        <v>0</v>
      </c>
      <c r="S27" s="511">
        <f>+Cost!AV28</f>
        <v>0</v>
      </c>
      <c r="T27" s="511">
        <f>+Cost!AX28</f>
        <v>0</v>
      </c>
      <c r="U27" s="511">
        <f>+Cost!AZ28</f>
        <v>0</v>
      </c>
      <c r="V27" s="511">
        <f>+Cost!BB28</f>
        <v>0</v>
      </c>
      <c r="W27" s="511"/>
      <c r="X27" s="511"/>
    </row>
    <row r="28" spans="2:24">
      <c r="B28" s="515"/>
      <c r="C28" s="511"/>
      <c r="D28" s="511"/>
      <c r="E28" s="519"/>
      <c r="F28" s="519"/>
      <c r="G28" s="519"/>
      <c r="H28" s="519"/>
      <c r="I28" s="519"/>
      <c r="J28" s="519"/>
      <c r="K28" s="519"/>
      <c r="L28" s="519"/>
      <c r="M28" s="519"/>
      <c r="N28" s="519"/>
      <c r="O28" s="519"/>
      <c r="P28" s="519"/>
      <c r="Q28" s="519"/>
      <c r="R28" s="519"/>
      <c r="S28" s="519"/>
      <c r="T28" s="519"/>
      <c r="U28" s="519"/>
      <c r="V28" s="519"/>
      <c r="W28" s="519"/>
      <c r="X28" s="519"/>
    </row>
    <row r="29" spans="2:24">
      <c r="B29" s="515" t="s">
        <v>476</v>
      </c>
      <c r="C29" s="511">
        <f>+Cost!H125</f>
        <v>294</v>
      </c>
      <c r="D29" s="511">
        <f ca="1">Cost!R43+Cost!R60+Cost!P68+Cost!R71+Cost!R85+Cost!R95</f>
        <v>1463</v>
      </c>
      <c r="E29" s="511">
        <f ca="1">Cost!T43+Cost!T60+Cost!T68+Cost!T71+Cost!T85+Cost!T95</f>
        <v>0</v>
      </c>
      <c r="F29" s="511">
        <f ca="1">Cost!V43+Cost!V60+Cost!V68+Cost!V71+Cost!V85+Cost!V95</f>
        <v>0</v>
      </c>
      <c r="G29" s="511">
        <f ca="1">Cost!X43+Cost!X60+Cost!X68+Cost!X71+Cost!X85+Cost!X95</f>
        <v>314</v>
      </c>
      <c r="H29" s="511">
        <f ca="1">Cost!Z43+Cost!Z60+Cost!Z68+Cost!Z71+Cost!Z85+Cost!Z95</f>
        <v>0</v>
      </c>
      <c r="I29" s="511">
        <f ca="1">Cost!AB43+Cost!AB60+Cost!AB68+Cost!AB71+Cost!AB85+Cost!AB95</f>
        <v>0</v>
      </c>
      <c r="J29" s="511">
        <f ca="1">Cost!AD43+Cost!AD60+Cost!AD68+Cost!AD71+Cost!AD85+Cost!AD95</f>
        <v>0</v>
      </c>
      <c r="K29" s="511">
        <f ca="1">Cost!AF43+Cost!AF60+Cost!AF68+Cost!AF71+Cost!AF85+Cost!AF95</f>
        <v>314</v>
      </c>
      <c r="L29" s="511">
        <f ca="1">Cost!AH43+Cost!AH60+Cost!AH68+Cost!AH71+Cost!AH85+Cost!AH95</f>
        <v>0</v>
      </c>
      <c r="M29" s="511">
        <f ca="1">Cost!AJ43+Cost!AJ60+Cost!AJ68+Cost!AJ71+Cost!AJ85+Cost!AJ95</f>
        <v>0</v>
      </c>
      <c r="N29" s="511">
        <f ca="1">Cost!AL43+Cost!AL60+Cost!AL68+Cost!AL71+Cost!AL85+Cost!AL95</f>
        <v>1777</v>
      </c>
      <c r="O29" s="511">
        <f>Cost!AN43+Cost!AN60+Cost!AN68+Cost!AN71+Cost!AN85+Cost!AN95</f>
        <v>0</v>
      </c>
      <c r="P29" s="511">
        <f>Cost!AP43+Cost!AP60+Cost!AP68+Cost!AP71+Cost!AP85+Cost!AP95</f>
        <v>0</v>
      </c>
      <c r="Q29" s="511">
        <f>Cost!AR43+Cost!AR60+Cost!AR68+Cost!AR71+Cost!AR85+Cost!AR95</f>
        <v>0</v>
      </c>
      <c r="R29" s="511">
        <f>Cost!AT43+Cost!AT60+Cost!AT68+Cost!AT71+Cost!AT85+Cost!AT95</f>
        <v>0</v>
      </c>
      <c r="S29" s="511">
        <f>Cost!AV43+Cost!AV60+Cost!AV68+Cost!AV71+Cost!AV85+Cost!AV95</f>
        <v>0</v>
      </c>
      <c r="T29" s="511">
        <f>Cost!AX43+Cost!AX60+Cost!AX68+Cost!AX71+Cost!AX85+Cost!AX95</f>
        <v>0</v>
      </c>
      <c r="U29" s="511">
        <f>Cost!AZ43+Cost!AZ60+Cost!AZ68+Cost!AZ71+Cost!AZ85+Cost!AZ95</f>
        <v>0</v>
      </c>
      <c r="V29" s="511">
        <f>Cost!BB43+Cost!BB60+Cost!BB68+Cost!BB71+Cost!BB85+Cost!BB95</f>
        <v>0</v>
      </c>
      <c r="W29" s="519"/>
      <c r="X29" s="519">
        <f>+Cost!L4</f>
        <v>0</v>
      </c>
    </row>
    <row r="30" spans="2:24">
      <c r="B30" s="515" t="s">
        <v>563</v>
      </c>
      <c r="C30" s="511"/>
      <c r="D30" s="511"/>
      <c r="E30" s="519"/>
      <c r="F30" s="519"/>
      <c r="G30" s="519" t="e">
        <f>+'Q&amp;KPIs USD2024'!M262+'Q&amp;KPIs USD2024'!O262</f>
        <v>#REF!</v>
      </c>
      <c r="H30" s="519" t="e">
        <f>+'Q&amp;KPIs USD2024'!S262</f>
        <v>#REF!</v>
      </c>
      <c r="I30" s="519" t="e">
        <f>+'Q&amp;KPIs USD2024'!U262</f>
        <v>#REF!</v>
      </c>
      <c r="J30" s="519" t="e">
        <f>+'Q&amp;KPIs USD2024'!W262</f>
        <v>#REF!</v>
      </c>
      <c r="K30" s="511" t="e">
        <f>+'Q&amp;KPIs USD2024'!AA262</f>
        <v>#REF!</v>
      </c>
      <c r="L30" s="519" t="e">
        <f>+'Q&amp;KPIs USD2024'!AC262</f>
        <v>#REF!</v>
      </c>
      <c r="M30" s="519" t="e">
        <f>+'Q&amp;KPIs USD2024'!AE262</f>
        <v>#REF!</v>
      </c>
      <c r="N30" s="519">
        <f ca="1">+'Q&amp;KPIs USD2025'!C262</f>
        <v>1134</v>
      </c>
      <c r="O30" s="519">
        <f ca="1">+'Q&amp;KPIs USD2025'!E262</f>
        <v>1112</v>
      </c>
      <c r="P30" s="519">
        <f ca="1">+'Q&amp;KPIs USD2025'!G262</f>
        <v>1112</v>
      </c>
      <c r="Q30" s="519">
        <f ca="1">+'Q&amp;KPIs USD2025'!K262</f>
        <v>302</v>
      </c>
      <c r="R30" s="519" t="e">
        <f>+'Q&amp;KPIs USD2025'!M262</f>
        <v>#REF!</v>
      </c>
      <c r="S30" s="519" t="e">
        <f>+'Q&amp;KPIs USD2025'!O262</f>
        <v>#REF!</v>
      </c>
      <c r="T30" s="519" t="e">
        <f>+'Q&amp;KPIs USD2025'!U262</f>
        <v>#REF!</v>
      </c>
      <c r="U30" s="519" t="e">
        <f>+'Q&amp;KPIs USD2025'!W262</f>
        <v>#REF!</v>
      </c>
      <c r="V30" s="519" t="e">
        <f>+'Q&amp;KPIs USD2025'!AA262</f>
        <v>#REF!</v>
      </c>
      <c r="W30" s="519" t="e">
        <f>+'Q&amp;KPIs USD2025'!AC262</f>
        <v>#REF!</v>
      </c>
      <c r="X30" s="519" t="e">
        <f>+'Q&amp;KPIs USD2025'!AE262</f>
        <v>#REF!</v>
      </c>
    </row>
    <row r="31" spans="2:24">
      <c r="B31" s="515"/>
      <c r="C31" s="511"/>
      <c r="D31" s="511"/>
      <c r="E31" s="519"/>
      <c r="F31" s="511"/>
      <c r="G31" s="519"/>
      <c r="H31" s="519"/>
      <c r="I31" s="519"/>
      <c r="J31" s="519"/>
      <c r="K31" s="511"/>
      <c r="L31" s="519"/>
      <c r="M31" s="519"/>
      <c r="N31" s="519"/>
      <c r="O31" s="519"/>
      <c r="P31" s="519"/>
      <c r="Q31" s="519"/>
      <c r="R31" s="519"/>
      <c r="S31" s="519"/>
      <c r="T31" s="519"/>
      <c r="U31" s="519"/>
      <c r="V31" s="519"/>
      <c r="W31" s="519"/>
      <c r="X31" s="519"/>
    </row>
    <row r="32" spans="2:24">
      <c r="B32" s="266" t="s">
        <v>564</v>
      </c>
      <c r="C32" s="511">
        <f>+Cost!H115</f>
        <v>868</v>
      </c>
      <c r="D32" s="511"/>
      <c r="E32" s="519"/>
      <c r="F32" s="519"/>
      <c r="G32" s="519"/>
      <c r="H32" s="519"/>
      <c r="I32" s="519"/>
      <c r="J32" s="519"/>
      <c r="K32" s="519"/>
      <c r="L32" s="519"/>
      <c r="M32" s="519"/>
      <c r="N32" s="519"/>
      <c r="O32" s="519"/>
      <c r="P32" s="519"/>
      <c r="Q32" s="519"/>
      <c r="R32" s="519"/>
      <c r="S32" s="519"/>
      <c r="T32" s="519"/>
      <c r="U32" s="519"/>
      <c r="V32" s="519"/>
      <c r="W32" s="519"/>
      <c r="X32" s="519"/>
    </row>
    <row r="33" spans="2:24">
      <c r="B33" s="515"/>
      <c r="C33" s="511"/>
      <c r="D33" s="511"/>
      <c r="E33" s="519"/>
      <c r="F33" s="519"/>
      <c r="G33" s="519"/>
      <c r="H33" s="519"/>
      <c r="I33" s="511"/>
      <c r="J33" s="511"/>
      <c r="K33" s="511"/>
      <c r="L33" s="519"/>
      <c r="M33" s="519"/>
      <c r="N33" s="519"/>
      <c r="O33" s="519"/>
      <c r="P33" s="519"/>
      <c r="Q33" s="519"/>
      <c r="R33" s="519"/>
      <c r="S33" s="519"/>
      <c r="T33" s="519"/>
      <c r="U33" s="519"/>
      <c r="V33" s="519"/>
      <c r="W33" s="519"/>
      <c r="X33" s="519"/>
    </row>
    <row r="34" spans="2:24">
      <c r="B34" s="1" t="s">
        <v>565</v>
      </c>
      <c r="C34" s="511"/>
      <c r="D34" s="511"/>
      <c r="E34" s="511"/>
      <c r="F34" s="511"/>
      <c r="G34" s="524"/>
      <c r="H34" s="511"/>
      <c r="I34" s="511"/>
      <c r="J34" s="511"/>
      <c r="K34" s="511"/>
      <c r="L34" s="511"/>
      <c r="M34" s="511"/>
      <c r="N34" s="511"/>
      <c r="O34" s="519"/>
      <c r="P34" s="511"/>
      <c r="Q34" s="519"/>
      <c r="R34" s="511"/>
      <c r="S34" s="511"/>
      <c r="T34" s="511"/>
      <c r="U34" s="511"/>
      <c r="V34" s="511"/>
      <c r="W34" s="511"/>
      <c r="X34" s="511"/>
    </row>
    <row r="35" spans="2:24">
      <c r="B35" s="512" t="s">
        <v>566</v>
      </c>
      <c r="C35" s="513">
        <f t="shared" ref="C35:O35" si="8">+SUM(C17:C34)</f>
        <v>1180</v>
      </c>
      <c r="D35" s="513">
        <f t="shared" ca="1" si="8"/>
        <v>1493</v>
      </c>
      <c r="E35" s="513">
        <f t="shared" ca="1" si="8"/>
        <v>30</v>
      </c>
      <c r="F35" s="513">
        <f t="shared" ca="1" si="8"/>
        <v>30</v>
      </c>
      <c r="G35" s="513" t="e">
        <f t="shared" ca="1" si="8"/>
        <v>#REF!</v>
      </c>
      <c r="H35" s="513" t="e">
        <f t="shared" ca="1" si="8"/>
        <v>#REF!</v>
      </c>
      <c r="I35" s="513" t="e">
        <f t="shared" ca="1" si="8"/>
        <v>#REF!</v>
      </c>
      <c r="J35" s="513" t="e">
        <f ca="1">+SUM(J17:J34)</f>
        <v>#REF!</v>
      </c>
      <c r="K35" s="513" t="e">
        <f t="shared" ca="1" si="8"/>
        <v>#REF!</v>
      </c>
      <c r="L35" s="513" t="e">
        <f t="shared" ca="1" si="8"/>
        <v>#REF!</v>
      </c>
      <c r="M35" s="513" t="e">
        <f t="shared" ca="1" si="8"/>
        <v>#REF!</v>
      </c>
      <c r="N35" s="513">
        <f t="shared" ca="1" si="8"/>
        <v>2923</v>
      </c>
      <c r="O35" s="525">
        <f t="shared" ca="1" si="8"/>
        <v>1112</v>
      </c>
      <c r="P35" s="513">
        <f t="shared" ref="P35:X35" ca="1" si="9">+SUM(P17:P34)</f>
        <v>1112</v>
      </c>
      <c r="Q35" s="525">
        <f t="shared" ca="1" si="9"/>
        <v>302</v>
      </c>
      <c r="R35" s="513" t="e">
        <f t="shared" si="9"/>
        <v>#REF!</v>
      </c>
      <c r="S35" s="513" t="e">
        <f t="shared" si="9"/>
        <v>#REF!</v>
      </c>
      <c r="T35" s="513" t="e">
        <f t="shared" si="9"/>
        <v>#REF!</v>
      </c>
      <c r="U35" s="513" t="e">
        <f t="shared" si="9"/>
        <v>#REF!</v>
      </c>
      <c r="V35" s="513" t="e">
        <f t="shared" si="9"/>
        <v>#REF!</v>
      </c>
      <c r="W35" s="513" t="e">
        <f t="shared" si="9"/>
        <v>#REF!</v>
      </c>
      <c r="X35" s="513" t="e">
        <f t="shared" si="9"/>
        <v>#REF!</v>
      </c>
    </row>
    <row r="36" spans="2:24">
      <c r="B36" s="526" t="s">
        <v>567</v>
      </c>
      <c r="C36" s="573">
        <f>+C16-C35</f>
        <v>-1180</v>
      </c>
      <c r="D36" s="511">
        <f t="shared" ref="D36:V36" ca="1" si="10">+D16-D35</f>
        <v>-1493</v>
      </c>
      <c r="E36" s="511">
        <f t="shared" ca="1" si="10"/>
        <v>-30</v>
      </c>
      <c r="F36" s="511">
        <f t="shared" ca="1" si="10"/>
        <v>-30</v>
      </c>
      <c r="G36" s="511" t="e">
        <f t="shared" ca="1" si="10"/>
        <v>#REF!</v>
      </c>
      <c r="H36" s="511" t="e">
        <f t="shared" ca="1" si="10"/>
        <v>#REF!</v>
      </c>
      <c r="I36" s="511" t="e">
        <f t="shared" ca="1" si="10"/>
        <v>#REF!</v>
      </c>
      <c r="J36" s="511" t="e">
        <f t="shared" ca="1" si="10"/>
        <v>#REF!</v>
      </c>
      <c r="K36" s="511" t="e">
        <f t="shared" ca="1" si="10"/>
        <v>#REF!</v>
      </c>
      <c r="L36" s="511" t="e">
        <f t="shared" ca="1" si="10"/>
        <v>#REF!</v>
      </c>
      <c r="M36" s="511" t="e">
        <f t="shared" ca="1" si="10"/>
        <v>#REF!</v>
      </c>
      <c r="N36" s="511">
        <f t="shared" ca="1" si="10"/>
        <v>-195</v>
      </c>
      <c r="O36" s="511">
        <f t="shared" ca="1" si="10"/>
        <v>1616</v>
      </c>
      <c r="P36" s="511">
        <f t="shared" ca="1" si="10"/>
        <v>1616</v>
      </c>
      <c r="Q36" s="511">
        <f t="shared" ca="1" si="10"/>
        <v>2426</v>
      </c>
      <c r="R36" s="511" t="e">
        <f t="shared" si="10"/>
        <v>#REF!</v>
      </c>
      <c r="S36" s="511" t="e">
        <f t="shared" si="10"/>
        <v>#REF!</v>
      </c>
      <c r="T36" s="511" t="e">
        <f t="shared" si="10"/>
        <v>#REF!</v>
      </c>
      <c r="U36" s="511" t="e">
        <f t="shared" si="10"/>
        <v>#REF!</v>
      </c>
      <c r="V36" s="511" t="e">
        <f t="shared" si="10"/>
        <v>#REF!</v>
      </c>
      <c r="W36" s="511" t="e">
        <f>+W16-W35</f>
        <v>#REF!</v>
      </c>
      <c r="X36" s="511" t="e">
        <f>+X16-X35</f>
        <v>#REF!</v>
      </c>
    </row>
    <row r="37" spans="2:24" ht="13.5" thickBot="1">
      <c r="B37" s="597" t="s">
        <v>568</v>
      </c>
      <c r="C37" s="598">
        <f>+C8+C16-C35</f>
        <v>-1180</v>
      </c>
      <c r="D37" s="514">
        <f t="shared" ref="D37:V37" ca="1" si="11">+D8+D16-D35</f>
        <v>-2673</v>
      </c>
      <c r="E37" s="514">
        <f t="shared" ca="1" si="11"/>
        <v>-2703</v>
      </c>
      <c r="F37" s="514">
        <f t="shared" ca="1" si="11"/>
        <v>-2733</v>
      </c>
      <c r="G37" s="514" t="e">
        <f t="shared" ca="1" si="11"/>
        <v>#REF!</v>
      </c>
      <c r="H37" s="514" t="e">
        <f t="shared" ca="1" si="11"/>
        <v>#REF!</v>
      </c>
      <c r="I37" s="514" t="e">
        <f t="shared" ca="1" si="11"/>
        <v>#REF!</v>
      </c>
      <c r="J37" s="514" t="e">
        <f t="shared" ca="1" si="11"/>
        <v>#REF!</v>
      </c>
      <c r="K37" s="514" t="e">
        <f t="shared" ca="1" si="11"/>
        <v>#REF!</v>
      </c>
      <c r="L37" s="514" t="e">
        <f t="shared" ca="1" si="11"/>
        <v>#REF!</v>
      </c>
      <c r="M37" s="514" t="e">
        <f t="shared" ca="1" si="11"/>
        <v>#REF!</v>
      </c>
      <c r="N37" s="514" t="e">
        <f t="shared" ca="1" si="11"/>
        <v>#REF!</v>
      </c>
      <c r="O37" s="514" t="e">
        <f t="shared" ca="1" si="11"/>
        <v>#REF!</v>
      </c>
      <c r="P37" s="514" t="e">
        <f t="shared" ca="1" si="11"/>
        <v>#REF!</v>
      </c>
      <c r="Q37" s="514" t="e">
        <f t="shared" ca="1" si="11"/>
        <v>#REF!</v>
      </c>
      <c r="R37" s="514" t="e">
        <f t="shared" ca="1" si="11"/>
        <v>#REF!</v>
      </c>
      <c r="S37" s="514" t="e">
        <f t="shared" ca="1" si="11"/>
        <v>#REF!</v>
      </c>
      <c r="T37" s="514" t="e">
        <f t="shared" ca="1" si="11"/>
        <v>#REF!</v>
      </c>
      <c r="U37" s="514" t="e">
        <f t="shared" ca="1" si="11"/>
        <v>#REF!</v>
      </c>
      <c r="V37" s="514" t="e">
        <f t="shared" ca="1" si="11"/>
        <v>#REF!</v>
      </c>
      <c r="W37" s="514" t="e">
        <f ca="1">+W8+W16-W35</f>
        <v>#REF!</v>
      </c>
      <c r="X37" s="514" t="e">
        <f ca="1">+X8+X16-X35</f>
        <v>#REF!</v>
      </c>
    </row>
    <row r="38" spans="2:24">
      <c r="B38" s="599" t="s">
        <v>569</v>
      </c>
      <c r="C38" s="607">
        <f>+(((1+C113)^(1/12))-1)</f>
        <v>6.4000000000000003E-3</v>
      </c>
      <c r="D38" s="497"/>
      <c r="E38" s="497"/>
      <c r="F38" s="497"/>
      <c r="G38" s="497"/>
      <c r="H38" s="497"/>
      <c r="I38" s="497"/>
      <c r="J38" s="497"/>
      <c r="K38" s="497"/>
      <c r="L38" s="497"/>
      <c r="M38" s="497"/>
      <c r="N38" s="497"/>
      <c r="O38" s="497"/>
      <c r="P38" s="497"/>
      <c r="Q38" s="497"/>
      <c r="R38" s="497"/>
    </row>
    <row r="39" spans="2:24">
      <c r="B39" s="600" t="s">
        <v>487</v>
      </c>
      <c r="C39" s="601" t="e">
        <f ca="1">NPV(C38,C36:X36)</f>
        <v>#REF!</v>
      </c>
      <c r="D39" s="527"/>
      <c r="E39" s="527"/>
      <c r="F39" s="527"/>
      <c r="G39" s="527"/>
      <c r="H39" s="527"/>
      <c r="I39" s="527"/>
      <c r="J39" s="527"/>
      <c r="K39" s="527"/>
      <c r="L39" s="527"/>
      <c r="M39" s="527"/>
      <c r="N39" s="527"/>
      <c r="O39" s="527"/>
      <c r="P39" s="527"/>
      <c r="Q39" s="527"/>
      <c r="R39" s="527"/>
    </row>
    <row r="40" spans="2:24" ht="13.5" thickBot="1">
      <c r="B40" s="602" t="s">
        <v>570</v>
      </c>
      <c r="C40" s="608" t="e">
        <f ca="1">IRR(C36:X36)</f>
        <v>#VALUE!</v>
      </c>
      <c r="D40" s="528"/>
      <c r="E40" s="528"/>
      <c r="F40" s="154"/>
      <c r="G40" s="283"/>
      <c r="H40" s="283"/>
      <c r="I40" s="283"/>
      <c r="J40" s="283"/>
      <c r="K40" s="528"/>
      <c r="L40" s="528"/>
      <c r="M40" s="528"/>
      <c r="N40" s="528"/>
      <c r="O40" s="528"/>
      <c r="P40" s="528"/>
      <c r="Q40" s="528"/>
      <c r="R40" s="528"/>
    </row>
    <row r="41" spans="2:24" hidden="1">
      <c r="I41" s="528"/>
    </row>
    <row r="42" spans="2:24" ht="13.5" hidden="1" thickBot="1"/>
    <row r="43" spans="2:24" ht="13.5" hidden="1" thickBot="1">
      <c r="B43" s="1052">
        <v>2024</v>
      </c>
      <c r="C43" s="1053"/>
      <c r="D43" s="1053"/>
      <c r="E43" s="1053"/>
      <c r="F43" s="1053"/>
      <c r="G43" s="1053"/>
      <c r="H43" s="1054"/>
      <c r="J43" s="1052">
        <v>2025</v>
      </c>
      <c r="K43" s="1053"/>
      <c r="L43" s="1053"/>
      <c r="M43" s="1053"/>
      <c r="N43" s="1054"/>
    </row>
    <row r="44" spans="2:24" hidden="1">
      <c r="B44" s="529"/>
      <c r="C44" s="564"/>
      <c r="D44" s="268" t="s">
        <v>419</v>
      </c>
      <c r="E44" s="268" t="s">
        <v>420</v>
      </c>
      <c r="F44" s="268" t="s">
        <v>421</v>
      </c>
      <c r="G44" s="268" t="s">
        <v>422</v>
      </c>
      <c r="H44" s="530" t="s">
        <v>571</v>
      </c>
      <c r="J44" s="267" t="s">
        <v>419</v>
      </c>
      <c r="K44" s="268" t="s">
        <v>420</v>
      </c>
      <c r="L44" s="268" t="s">
        <v>421</v>
      </c>
      <c r="M44" s="268" t="s">
        <v>422</v>
      </c>
      <c r="N44" s="530" t="s">
        <v>571</v>
      </c>
    </row>
    <row r="45" spans="2:24" hidden="1">
      <c r="B45" s="531"/>
      <c r="H45" s="532"/>
      <c r="J45" s="531"/>
      <c r="N45" s="532"/>
    </row>
    <row r="46" spans="2:24" hidden="1">
      <c r="B46" s="531" t="s">
        <v>545</v>
      </c>
      <c r="H46" s="532"/>
      <c r="J46" s="531"/>
      <c r="N46" s="532"/>
    </row>
    <row r="47" spans="2:24" hidden="1">
      <c r="B47" s="307" t="s">
        <v>572</v>
      </c>
      <c r="C47" s="1"/>
      <c r="D47" s="154">
        <f>+D8</f>
        <v>-1180</v>
      </c>
      <c r="E47" s="154">
        <f ca="1">+D76</f>
        <v>-2733</v>
      </c>
      <c r="F47" s="154" t="e">
        <f ca="1">+E76</f>
        <v>#REF!</v>
      </c>
      <c r="G47" s="154" t="e">
        <f ca="1">+F76</f>
        <v>#REF!</v>
      </c>
      <c r="H47" s="533">
        <f>D47</f>
        <v>-1180</v>
      </c>
      <c r="J47" s="562" t="e">
        <f ca="1">+H76</f>
        <v>#REF!</v>
      </c>
      <c r="K47" s="154" t="e">
        <f ca="1">+J76</f>
        <v>#REF!</v>
      </c>
      <c r="L47" s="154" t="e">
        <f ca="1">+K76</f>
        <v>#REF!</v>
      </c>
      <c r="M47" s="154" t="e">
        <f ca="1">+L76</f>
        <v>#REF!</v>
      </c>
      <c r="N47" s="533" t="e">
        <f ca="1">J47</f>
        <v>#REF!</v>
      </c>
    </row>
    <row r="48" spans="2:24" hidden="1">
      <c r="B48" s="531"/>
      <c r="H48" s="532"/>
      <c r="J48" s="531"/>
      <c r="N48" s="532"/>
    </row>
    <row r="49" spans="2:14" hidden="1">
      <c r="B49" s="531" t="str">
        <f>+B10</f>
        <v>Recaudo por facturas</v>
      </c>
      <c r="D49" s="528">
        <f t="shared" ref="D49:D54" si="12">+D10</f>
        <v>0</v>
      </c>
      <c r="E49" s="528">
        <f t="shared" ref="E49:F54" si="13">+D10+E10+F10</f>
        <v>0</v>
      </c>
      <c r="F49" s="528">
        <f t="shared" ca="1" si="13"/>
        <v>1144</v>
      </c>
      <c r="G49" s="528">
        <f t="shared" ref="G49:G54" ca="1" si="14">+H10+I10+J10</f>
        <v>8184</v>
      </c>
      <c r="H49" s="532">
        <f t="shared" ref="H49:H55" ca="1" si="15">SUM(D49:G49)</f>
        <v>9328</v>
      </c>
      <c r="J49" s="563">
        <f t="shared" ref="J49:J54" ca="1" si="16">+K10+L10+M10</f>
        <v>8184</v>
      </c>
      <c r="K49" s="528">
        <f t="shared" ref="K49:K54" ca="1" si="17">+N10+O10+P10</f>
        <v>8184</v>
      </c>
      <c r="L49" s="528" t="e">
        <f t="shared" ref="L49:L54" ca="1" si="18">+Q10+R10+S10</f>
        <v>#REF!</v>
      </c>
      <c r="M49" s="528" t="e">
        <f t="shared" ref="M49:M54" si="19">+T10+U10+V10</f>
        <v>#REF!</v>
      </c>
      <c r="N49" s="532" t="e">
        <f t="shared" ref="N49:N55" ca="1" si="20">SUM(J49:M49)</f>
        <v>#REF!</v>
      </c>
    </row>
    <row r="50" spans="2:14" hidden="1">
      <c r="B50" s="531" t="str">
        <f>+B11</f>
        <v>Alquler Equipo DCO</v>
      </c>
      <c r="D50" s="528">
        <f t="shared" si="12"/>
        <v>0</v>
      </c>
      <c r="E50" s="528">
        <f t="shared" si="13"/>
        <v>0</v>
      </c>
      <c r="F50" s="528">
        <f t="shared" si="13"/>
        <v>0</v>
      </c>
      <c r="G50" s="528">
        <f t="shared" si="14"/>
        <v>0</v>
      </c>
      <c r="H50" s="532">
        <f t="shared" si="15"/>
        <v>0</v>
      </c>
      <c r="J50" s="563">
        <f t="shared" si="16"/>
        <v>0</v>
      </c>
      <c r="K50" s="528">
        <f t="shared" si="17"/>
        <v>0</v>
      </c>
      <c r="L50" s="528">
        <f t="shared" si="18"/>
        <v>0</v>
      </c>
      <c r="M50" s="528">
        <f t="shared" si="19"/>
        <v>0</v>
      </c>
      <c r="N50" s="532">
        <f t="shared" si="20"/>
        <v>0</v>
      </c>
    </row>
    <row r="51" spans="2:14" hidden="1">
      <c r="B51" s="531" t="str">
        <f>+B12</f>
        <v>Gases</v>
      </c>
      <c r="D51" s="528">
        <f t="shared" si="12"/>
        <v>0</v>
      </c>
      <c r="E51" s="528">
        <f t="shared" si="13"/>
        <v>0</v>
      </c>
      <c r="F51" s="528">
        <f t="shared" si="13"/>
        <v>0</v>
      </c>
      <c r="G51" s="528">
        <f t="shared" si="14"/>
        <v>0</v>
      </c>
      <c r="H51" s="532">
        <f t="shared" si="15"/>
        <v>0</v>
      </c>
      <c r="J51" s="563">
        <f t="shared" si="16"/>
        <v>0</v>
      </c>
      <c r="K51" s="528">
        <f t="shared" si="17"/>
        <v>0</v>
      </c>
      <c r="L51" s="528">
        <f t="shared" si="18"/>
        <v>0</v>
      </c>
      <c r="M51" s="528">
        <f t="shared" si="19"/>
        <v>0</v>
      </c>
      <c r="N51" s="532">
        <f t="shared" si="20"/>
        <v>0</v>
      </c>
    </row>
    <row r="52" spans="2:14" hidden="1">
      <c r="B52" s="531" t="str">
        <f>+B13</f>
        <v>Personal Expat en Bolivia por DCO</v>
      </c>
      <c r="D52" s="528">
        <f t="shared" si="12"/>
        <v>0</v>
      </c>
      <c r="E52" s="528">
        <f t="shared" si="13"/>
        <v>0</v>
      </c>
      <c r="F52" s="528">
        <f t="shared" si="13"/>
        <v>0</v>
      </c>
      <c r="G52" s="528">
        <f t="shared" si="14"/>
        <v>0</v>
      </c>
      <c r="H52" s="532">
        <f t="shared" si="15"/>
        <v>0</v>
      </c>
      <c r="J52" s="563">
        <f t="shared" si="16"/>
        <v>0</v>
      </c>
      <c r="K52" s="528">
        <f t="shared" si="17"/>
        <v>0</v>
      </c>
      <c r="L52" s="528">
        <f t="shared" si="18"/>
        <v>0</v>
      </c>
      <c r="M52" s="528">
        <f t="shared" si="19"/>
        <v>0</v>
      </c>
      <c r="N52" s="532">
        <f t="shared" si="20"/>
        <v>0</v>
      </c>
    </row>
    <row r="53" spans="2:14" hidden="1">
      <c r="B53" s="531" t="str">
        <f>+B14</f>
        <v>Entrenamiento personal</v>
      </c>
      <c r="D53" s="528">
        <f t="shared" si="12"/>
        <v>0</v>
      </c>
      <c r="E53" s="528">
        <f t="shared" si="13"/>
        <v>0</v>
      </c>
      <c r="F53" s="528">
        <f t="shared" si="13"/>
        <v>0</v>
      </c>
      <c r="G53" s="528">
        <f t="shared" si="14"/>
        <v>0</v>
      </c>
      <c r="H53" s="532">
        <f t="shared" si="15"/>
        <v>0</v>
      </c>
      <c r="J53" s="563">
        <f t="shared" si="16"/>
        <v>0</v>
      </c>
      <c r="K53" s="528">
        <f t="shared" si="17"/>
        <v>0</v>
      </c>
      <c r="L53" s="528">
        <f t="shared" si="18"/>
        <v>0</v>
      </c>
      <c r="M53" s="528">
        <f t="shared" si="19"/>
        <v>0</v>
      </c>
      <c r="N53" s="532">
        <f t="shared" si="20"/>
        <v>0</v>
      </c>
    </row>
    <row r="54" spans="2:14" hidden="1">
      <c r="B54" s="531" t="str">
        <f t="shared" ref="B54:B61" si="21">+B15</f>
        <v>Licencia Software</v>
      </c>
      <c r="D54" s="528">
        <f t="shared" si="12"/>
        <v>0</v>
      </c>
      <c r="E54" s="528">
        <f t="shared" si="13"/>
        <v>0</v>
      </c>
      <c r="F54" s="528">
        <f t="shared" si="13"/>
        <v>0</v>
      </c>
      <c r="G54" s="528">
        <f t="shared" si="14"/>
        <v>0</v>
      </c>
      <c r="H54" s="532">
        <f t="shared" si="15"/>
        <v>0</v>
      </c>
      <c r="J54" s="563">
        <f t="shared" si="16"/>
        <v>0</v>
      </c>
      <c r="K54" s="528">
        <f t="shared" si="17"/>
        <v>0</v>
      </c>
      <c r="L54" s="528">
        <f t="shared" si="18"/>
        <v>0</v>
      </c>
      <c r="M54" s="528">
        <f t="shared" si="19"/>
        <v>0</v>
      </c>
      <c r="N54" s="532">
        <f t="shared" si="20"/>
        <v>0</v>
      </c>
    </row>
    <row r="55" spans="2:14" s="1" customFormat="1" hidden="1">
      <c r="B55" s="307" t="str">
        <f t="shared" si="21"/>
        <v>Total recaudo</v>
      </c>
      <c r="D55" s="154">
        <f>SUM(D49:D54)</f>
        <v>0</v>
      </c>
      <c r="E55" s="154">
        <f>SUM(E49:E54)</f>
        <v>0</v>
      </c>
      <c r="F55" s="154">
        <f ca="1">SUM(F49:F54)</f>
        <v>1144</v>
      </c>
      <c r="G55" s="154">
        <f ca="1">SUM(G49:G54)</f>
        <v>8184</v>
      </c>
      <c r="H55" s="533">
        <f t="shared" ca="1" si="15"/>
        <v>9328</v>
      </c>
      <c r="J55" s="562">
        <f ca="1">SUM(J49:J54)</f>
        <v>8184</v>
      </c>
      <c r="K55" s="154">
        <f ca="1">SUM(K49:K54)</f>
        <v>8184</v>
      </c>
      <c r="L55" s="154" t="e">
        <f ca="1">SUM(L49:L54)</f>
        <v>#REF!</v>
      </c>
      <c r="M55" s="154" t="e">
        <f>SUM(M49:M54)</f>
        <v>#REF!</v>
      </c>
      <c r="N55" s="533" t="e">
        <f t="shared" ca="1" si="20"/>
        <v>#REF!</v>
      </c>
    </row>
    <row r="56" spans="2:14" hidden="1">
      <c r="B56" s="531" t="str">
        <f t="shared" si="21"/>
        <v>PAGOS</v>
      </c>
      <c r="D56" s="528"/>
      <c r="E56" s="528"/>
      <c r="F56" s="528"/>
      <c r="G56" s="528"/>
      <c r="H56" s="532"/>
      <c r="J56" s="563"/>
      <c r="K56" s="528"/>
      <c r="L56" s="528"/>
      <c r="M56" s="528"/>
      <c r="N56" s="532"/>
    </row>
    <row r="57" spans="2:14" hidden="1">
      <c r="B57" s="531">
        <f t="shared" si="21"/>
        <v>0</v>
      </c>
      <c r="D57" s="528"/>
      <c r="E57" s="528"/>
      <c r="F57" s="528"/>
      <c r="G57" s="528"/>
      <c r="H57" s="532"/>
      <c r="J57" s="563"/>
      <c r="K57" s="528"/>
      <c r="L57" s="528"/>
      <c r="M57" s="528"/>
      <c r="N57" s="532"/>
    </row>
    <row r="58" spans="2:14" hidden="1">
      <c r="B58" s="531" t="str">
        <f t="shared" si="21"/>
        <v xml:space="preserve">Seguridad social </v>
      </c>
      <c r="D58" s="528">
        <f t="shared" ref="D58:D73" si="22">+D19+E19+F19</f>
        <v>0</v>
      </c>
      <c r="E58" s="528">
        <f t="shared" ref="E58:E73" si="23">+G19+H19+I19</f>
        <v>0</v>
      </c>
      <c r="F58" s="528">
        <f t="shared" ref="F58:F73" si="24">+J19+K19+L19</f>
        <v>0</v>
      </c>
      <c r="G58" s="528">
        <f t="shared" ref="G58:G73" si="25">+M19+N19+O19</f>
        <v>0</v>
      </c>
      <c r="H58" s="532">
        <f t="shared" ref="H58:H73" si="26">SUM(D58:G58)</f>
        <v>0</v>
      </c>
      <c r="J58" s="563">
        <f t="shared" ref="J58:J73" si="27">+J19+K19+L19</f>
        <v>0</v>
      </c>
      <c r="K58" s="528">
        <f t="shared" ref="K58:K73" si="28">+M19+N19+O19</f>
        <v>0</v>
      </c>
      <c r="L58" s="528">
        <f t="shared" ref="L58:L73" si="29">+P19+Q19+R19</f>
        <v>0</v>
      </c>
      <c r="M58" s="528">
        <f>+S19+T19+U19</f>
        <v>0</v>
      </c>
      <c r="N58" s="532">
        <f t="shared" ref="N58:N73" si="30">SUM(J58:M58)</f>
        <v>0</v>
      </c>
    </row>
    <row r="59" spans="2:14" hidden="1">
      <c r="B59" s="531"/>
      <c r="D59" s="528">
        <f t="shared" si="22"/>
        <v>0</v>
      </c>
      <c r="E59" s="528">
        <f t="shared" si="23"/>
        <v>0</v>
      </c>
      <c r="F59" s="528">
        <f t="shared" si="24"/>
        <v>0</v>
      </c>
      <c r="G59" s="528">
        <f t="shared" si="25"/>
        <v>0</v>
      </c>
      <c r="H59" s="532">
        <f t="shared" si="26"/>
        <v>0</v>
      </c>
      <c r="J59" s="563">
        <f t="shared" si="27"/>
        <v>0</v>
      </c>
      <c r="K59" s="528">
        <f t="shared" si="28"/>
        <v>0</v>
      </c>
      <c r="L59" s="528">
        <f t="shared" si="29"/>
        <v>0</v>
      </c>
      <c r="M59" s="528">
        <f t="shared" ref="M59:M73" si="31">+S20+T20+U20</f>
        <v>0</v>
      </c>
      <c r="N59" s="532">
        <f t="shared" si="30"/>
        <v>0</v>
      </c>
    </row>
    <row r="60" spans="2:14" hidden="1">
      <c r="B60" s="531" t="str">
        <f t="shared" si="21"/>
        <v>Rete Fuente Salarios</v>
      </c>
      <c r="D60" s="528">
        <f t="shared" si="22"/>
        <v>0</v>
      </c>
      <c r="E60" s="528">
        <f t="shared" si="23"/>
        <v>0</v>
      </c>
      <c r="F60" s="528">
        <f t="shared" si="24"/>
        <v>0</v>
      </c>
      <c r="G60" s="528">
        <f t="shared" si="25"/>
        <v>0</v>
      </c>
      <c r="H60" s="532">
        <f t="shared" si="26"/>
        <v>0</v>
      </c>
      <c r="J60" s="563">
        <f t="shared" si="27"/>
        <v>0</v>
      </c>
      <c r="K60" s="528">
        <f t="shared" si="28"/>
        <v>0</v>
      </c>
      <c r="L60" s="528">
        <f t="shared" si="29"/>
        <v>0</v>
      </c>
      <c r="M60" s="528">
        <f t="shared" si="31"/>
        <v>0</v>
      </c>
      <c r="N60" s="532">
        <f t="shared" si="30"/>
        <v>0</v>
      </c>
    </row>
    <row r="61" spans="2:14" hidden="1">
      <c r="B61" s="531" t="str">
        <f t="shared" si="21"/>
        <v>IVA</v>
      </c>
      <c r="D61" s="528">
        <f t="shared" si="22"/>
        <v>0</v>
      </c>
      <c r="E61" s="528">
        <f t="shared" si="23"/>
        <v>0</v>
      </c>
      <c r="F61" s="528">
        <f t="shared" si="24"/>
        <v>0</v>
      </c>
      <c r="G61" s="528">
        <f t="shared" si="25"/>
        <v>0</v>
      </c>
      <c r="H61" s="532">
        <f t="shared" si="26"/>
        <v>0</v>
      </c>
      <c r="J61" s="563">
        <f t="shared" si="27"/>
        <v>0</v>
      </c>
      <c r="K61" s="528">
        <f t="shared" si="28"/>
        <v>0</v>
      </c>
      <c r="L61" s="528">
        <f t="shared" si="29"/>
        <v>0</v>
      </c>
      <c r="M61" s="528">
        <f t="shared" si="31"/>
        <v>0</v>
      </c>
      <c r="N61" s="532">
        <f t="shared" si="30"/>
        <v>0</v>
      </c>
    </row>
    <row r="62" spans="2:14" hidden="1">
      <c r="B62" s="531" t="s">
        <v>558</v>
      </c>
      <c r="D62" s="528">
        <f t="shared" si="22"/>
        <v>0</v>
      </c>
      <c r="E62" s="528">
        <f t="shared" si="23"/>
        <v>0</v>
      </c>
      <c r="F62" s="528">
        <f t="shared" si="24"/>
        <v>0</v>
      </c>
      <c r="G62" s="528">
        <f t="shared" si="25"/>
        <v>0</v>
      </c>
      <c r="H62" s="532">
        <f t="shared" si="26"/>
        <v>0</v>
      </c>
      <c r="J62" s="563">
        <f t="shared" si="27"/>
        <v>0</v>
      </c>
      <c r="K62" s="528">
        <f t="shared" si="28"/>
        <v>0</v>
      </c>
      <c r="L62" s="528">
        <f t="shared" si="29"/>
        <v>0</v>
      </c>
      <c r="M62" s="528">
        <f t="shared" si="31"/>
        <v>0</v>
      </c>
      <c r="N62" s="532">
        <f t="shared" si="30"/>
        <v>0</v>
      </c>
    </row>
    <row r="63" spans="2:14" hidden="1">
      <c r="B63" s="531"/>
      <c r="D63" s="528">
        <f t="shared" si="22"/>
        <v>0</v>
      </c>
      <c r="E63" s="528">
        <f t="shared" si="23"/>
        <v>0</v>
      </c>
      <c r="F63" s="528">
        <f t="shared" si="24"/>
        <v>0</v>
      </c>
      <c r="G63" s="528">
        <f t="shared" si="25"/>
        <v>0</v>
      </c>
      <c r="H63" s="532">
        <f t="shared" si="26"/>
        <v>0</v>
      </c>
      <c r="J63" s="563">
        <f t="shared" si="27"/>
        <v>0</v>
      </c>
      <c r="K63" s="528">
        <f t="shared" si="28"/>
        <v>0</v>
      </c>
      <c r="L63" s="528">
        <f t="shared" si="29"/>
        <v>0</v>
      </c>
      <c r="M63" s="528">
        <f t="shared" si="31"/>
        <v>0</v>
      </c>
      <c r="N63" s="532">
        <f t="shared" si="30"/>
        <v>0</v>
      </c>
    </row>
    <row r="64" spans="2:14" hidden="1">
      <c r="B64" s="531" t="str">
        <f t="shared" ref="B64:B76" si="32">+B25</f>
        <v xml:space="preserve">Cuentas por pagar </v>
      </c>
      <c r="D64" s="528">
        <f t="shared" si="22"/>
        <v>0</v>
      </c>
      <c r="E64" s="528">
        <f t="shared" si="23"/>
        <v>0</v>
      </c>
      <c r="F64" s="528">
        <f t="shared" si="24"/>
        <v>0</v>
      </c>
      <c r="G64" s="528">
        <f t="shared" si="25"/>
        <v>0</v>
      </c>
      <c r="H64" s="532">
        <f t="shared" si="26"/>
        <v>0</v>
      </c>
      <c r="J64" s="563">
        <f t="shared" si="27"/>
        <v>0</v>
      </c>
      <c r="K64" s="528">
        <f t="shared" si="28"/>
        <v>0</v>
      </c>
      <c r="L64" s="528">
        <f t="shared" si="29"/>
        <v>0</v>
      </c>
      <c r="M64" s="528">
        <f t="shared" si="31"/>
        <v>0</v>
      </c>
      <c r="N64" s="532">
        <f t="shared" si="30"/>
        <v>0</v>
      </c>
    </row>
    <row r="65" spans="2:14" hidden="1">
      <c r="B65" s="531" t="str">
        <f t="shared" si="32"/>
        <v xml:space="preserve">Depositos Garantia </v>
      </c>
      <c r="D65" s="528">
        <f t="shared" si="22"/>
        <v>0</v>
      </c>
      <c r="E65" s="528">
        <f t="shared" si="23"/>
        <v>0</v>
      </c>
      <c r="F65" s="528">
        <f t="shared" si="24"/>
        <v>0</v>
      </c>
      <c r="G65" s="528">
        <f t="shared" si="25"/>
        <v>0</v>
      </c>
      <c r="H65" s="532">
        <f t="shared" si="26"/>
        <v>0</v>
      </c>
      <c r="J65" s="563">
        <f t="shared" si="27"/>
        <v>0</v>
      </c>
      <c r="K65" s="528">
        <f t="shared" si="28"/>
        <v>0</v>
      </c>
      <c r="L65" s="528">
        <f t="shared" si="29"/>
        <v>0</v>
      </c>
      <c r="M65" s="528">
        <f t="shared" si="31"/>
        <v>0</v>
      </c>
      <c r="N65" s="532">
        <f t="shared" si="30"/>
        <v>0</v>
      </c>
    </row>
    <row r="66" spans="2:14" hidden="1">
      <c r="B66" s="531" t="str">
        <f t="shared" si="32"/>
        <v>Nomina / beneficios sociales</v>
      </c>
      <c r="D66" s="528">
        <f t="shared" si="22"/>
        <v>90</v>
      </c>
      <c r="E66" s="528">
        <f t="shared" si="23"/>
        <v>90</v>
      </c>
      <c r="F66" s="528">
        <f t="shared" si="24"/>
        <v>90</v>
      </c>
      <c r="G66" s="528">
        <f t="shared" si="25"/>
        <v>42</v>
      </c>
      <c r="H66" s="532">
        <f t="shared" si="26"/>
        <v>312</v>
      </c>
      <c r="J66" s="563">
        <f t="shared" si="27"/>
        <v>90</v>
      </c>
      <c r="K66" s="528">
        <f t="shared" si="28"/>
        <v>42</v>
      </c>
      <c r="L66" s="528">
        <f t="shared" si="29"/>
        <v>0</v>
      </c>
      <c r="M66" s="528">
        <f t="shared" si="31"/>
        <v>0</v>
      </c>
      <c r="N66" s="532">
        <f t="shared" si="30"/>
        <v>132</v>
      </c>
    </row>
    <row r="67" spans="2:14" hidden="1">
      <c r="B67" s="531">
        <f t="shared" si="32"/>
        <v>0</v>
      </c>
      <c r="D67" s="528">
        <f t="shared" si="22"/>
        <v>0</v>
      </c>
      <c r="E67" s="528">
        <f t="shared" si="23"/>
        <v>0</v>
      </c>
      <c r="F67" s="528">
        <f t="shared" si="24"/>
        <v>0</v>
      </c>
      <c r="G67" s="528">
        <f t="shared" si="25"/>
        <v>0</v>
      </c>
      <c r="H67" s="532">
        <f t="shared" si="26"/>
        <v>0</v>
      </c>
      <c r="J67" s="563">
        <f t="shared" si="27"/>
        <v>0</v>
      </c>
      <c r="K67" s="528">
        <f t="shared" si="28"/>
        <v>0</v>
      </c>
      <c r="L67" s="528">
        <f t="shared" si="29"/>
        <v>0</v>
      </c>
      <c r="M67" s="528">
        <f t="shared" si="31"/>
        <v>0</v>
      </c>
      <c r="N67" s="532">
        <f t="shared" si="30"/>
        <v>0</v>
      </c>
    </row>
    <row r="68" spans="2:14" hidden="1">
      <c r="B68" s="531" t="str">
        <f t="shared" si="32"/>
        <v>Costos</v>
      </c>
      <c r="D68" s="528">
        <f t="shared" ca="1" si="22"/>
        <v>1463</v>
      </c>
      <c r="E68" s="528">
        <f t="shared" ca="1" si="23"/>
        <v>314</v>
      </c>
      <c r="F68" s="528">
        <f t="shared" ca="1" si="24"/>
        <v>314</v>
      </c>
      <c r="G68" s="528">
        <f t="shared" ca="1" si="25"/>
        <v>1777</v>
      </c>
      <c r="H68" s="532">
        <f t="shared" ca="1" si="26"/>
        <v>3868</v>
      </c>
      <c r="J68" s="563">
        <f t="shared" ca="1" si="27"/>
        <v>314</v>
      </c>
      <c r="K68" s="528">
        <f t="shared" ca="1" si="28"/>
        <v>1777</v>
      </c>
      <c r="L68" s="528">
        <f t="shared" si="29"/>
        <v>0</v>
      </c>
      <c r="M68" s="528">
        <f t="shared" si="31"/>
        <v>0</v>
      </c>
      <c r="N68" s="532">
        <f t="shared" ca="1" si="30"/>
        <v>2091</v>
      </c>
    </row>
    <row r="69" spans="2:14" hidden="1">
      <c r="B69" s="531" t="str">
        <f t="shared" si="32"/>
        <v>comisiones y administracion</v>
      </c>
      <c r="D69" s="528">
        <f t="shared" si="22"/>
        <v>0</v>
      </c>
      <c r="E69" s="528" t="e">
        <f t="shared" si="23"/>
        <v>#REF!</v>
      </c>
      <c r="F69" s="528" t="e">
        <f t="shared" si="24"/>
        <v>#REF!</v>
      </c>
      <c r="G69" s="528" t="e">
        <f t="shared" ca="1" si="25"/>
        <v>#REF!</v>
      </c>
      <c r="H69" s="532" t="e">
        <f t="shared" si="26"/>
        <v>#REF!</v>
      </c>
      <c r="J69" s="563" t="e">
        <f t="shared" si="27"/>
        <v>#REF!</v>
      </c>
      <c r="K69" s="528" t="e">
        <f t="shared" ca="1" si="28"/>
        <v>#REF!</v>
      </c>
      <c r="L69" s="528" t="e">
        <f t="shared" ca="1" si="29"/>
        <v>#REF!</v>
      </c>
      <c r="M69" s="528" t="e">
        <f t="shared" si="31"/>
        <v>#REF!</v>
      </c>
      <c r="N69" s="532" t="e">
        <f t="shared" si="30"/>
        <v>#REF!</v>
      </c>
    </row>
    <row r="70" spans="2:14" hidden="1">
      <c r="B70" s="531">
        <f t="shared" si="32"/>
        <v>0</v>
      </c>
      <c r="D70" s="528">
        <f t="shared" si="22"/>
        <v>0</v>
      </c>
      <c r="E70" s="528">
        <f t="shared" si="23"/>
        <v>0</v>
      </c>
      <c r="F70" s="528">
        <f t="shared" si="24"/>
        <v>0</v>
      </c>
      <c r="G70" s="528">
        <f t="shared" si="25"/>
        <v>0</v>
      </c>
      <c r="H70" s="532">
        <f t="shared" si="26"/>
        <v>0</v>
      </c>
      <c r="J70" s="563">
        <f t="shared" si="27"/>
        <v>0</v>
      </c>
      <c r="K70" s="528">
        <f t="shared" si="28"/>
        <v>0</v>
      </c>
      <c r="L70" s="528">
        <f t="shared" si="29"/>
        <v>0</v>
      </c>
      <c r="M70" s="528">
        <f t="shared" si="31"/>
        <v>0</v>
      </c>
      <c r="N70" s="532">
        <f t="shared" si="30"/>
        <v>0</v>
      </c>
    </row>
    <row r="71" spans="2:14" hidden="1">
      <c r="B71" s="531" t="str">
        <f t="shared" si="32"/>
        <v xml:space="preserve">CAPEX/Spare Parts </v>
      </c>
      <c r="D71" s="528">
        <f t="shared" si="22"/>
        <v>0</v>
      </c>
      <c r="E71" s="528">
        <f t="shared" si="23"/>
        <v>0</v>
      </c>
      <c r="F71" s="528">
        <f t="shared" si="24"/>
        <v>0</v>
      </c>
      <c r="G71" s="528">
        <f t="shared" si="25"/>
        <v>0</v>
      </c>
      <c r="H71" s="532">
        <f t="shared" si="26"/>
        <v>0</v>
      </c>
      <c r="J71" s="563">
        <f t="shared" si="27"/>
        <v>0</v>
      </c>
      <c r="K71" s="528">
        <f t="shared" si="28"/>
        <v>0</v>
      </c>
      <c r="L71" s="528">
        <f t="shared" si="29"/>
        <v>0</v>
      </c>
      <c r="M71" s="528">
        <f t="shared" si="31"/>
        <v>0</v>
      </c>
      <c r="N71" s="532">
        <f t="shared" si="30"/>
        <v>0</v>
      </c>
    </row>
    <row r="72" spans="2:14" hidden="1">
      <c r="B72" s="531">
        <f t="shared" si="32"/>
        <v>0</v>
      </c>
      <c r="D72" s="528">
        <f t="shared" si="22"/>
        <v>0</v>
      </c>
      <c r="E72" s="528">
        <f t="shared" si="23"/>
        <v>0</v>
      </c>
      <c r="F72" s="528">
        <f t="shared" si="24"/>
        <v>0</v>
      </c>
      <c r="G72" s="528">
        <f t="shared" si="25"/>
        <v>0</v>
      </c>
      <c r="H72" s="534">
        <f t="shared" si="26"/>
        <v>0</v>
      </c>
      <c r="J72" s="563">
        <f t="shared" si="27"/>
        <v>0</v>
      </c>
      <c r="K72" s="528">
        <f t="shared" si="28"/>
        <v>0</v>
      </c>
      <c r="L72" s="528">
        <f t="shared" si="29"/>
        <v>0</v>
      </c>
      <c r="M72" s="528">
        <f t="shared" si="31"/>
        <v>0</v>
      </c>
      <c r="N72" s="534">
        <f t="shared" si="30"/>
        <v>0</v>
      </c>
    </row>
    <row r="73" spans="2:14" hidden="1">
      <c r="B73" s="531" t="str">
        <f t="shared" si="32"/>
        <v>Gastos bancarios</v>
      </c>
      <c r="D73" s="528">
        <f t="shared" si="22"/>
        <v>0</v>
      </c>
      <c r="E73" s="528">
        <f t="shared" si="23"/>
        <v>0</v>
      </c>
      <c r="F73" s="528">
        <f t="shared" si="24"/>
        <v>0</v>
      </c>
      <c r="G73" s="528">
        <f t="shared" si="25"/>
        <v>0</v>
      </c>
      <c r="H73" s="534">
        <f t="shared" si="26"/>
        <v>0</v>
      </c>
      <c r="J73" s="563">
        <f t="shared" si="27"/>
        <v>0</v>
      </c>
      <c r="K73" s="528">
        <f t="shared" si="28"/>
        <v>0</v>
      </c>
      <c r="L73" s="528">
        <f t="shared" si="29"/>
        <v>0</v>
      </c>
      <c r="M73" s="528">
        <f t="shared" si="31"/>
        <v>0</v>
      </c>
      <c r="N73" s="534">
        <f t="shared" si="30"/>
        <v>0</v>
      </c>
    </row>
    <row r="74" spans="2:14" s="1" customFormat="1" hidden="1">
      <c r="B74" s="307" t="str">
        <f t="shared" si="32"/>
        <v>Total pagos</v>
      </c>
      <c r="D74" s="154">
        <f ca="1">SUM(D58:D73)</f>
        <v>1553</v>
      </c>
      <c r="E74" s="154" t="e">
        <f ca="1">SUM(E58:E73)</f>
        <v>#REF!</v>
      </c>
      <c r="F74" s="154" t="e">
        <f ca="1">SUM(F58:F73)</f>
        <v>#REF!</v>
      </c>
      <c r="G74" s="154" t="e">
        <f ca="1">SUM(G58:G73)</f>
        <v>#REF!</v>
      </c>
      <c r="H74" s="535" t="e">
        <f ca="1">SUM(H58:H73)</f>
        <v>#REF!</v>
      </c>
      <c r="J74" s="562" t="e">
        <f ca="1">SUM(J58:J73)</f>
        <v>#REF!</v>
      </c>
      <c r="K74" s="154" t="e">
        <f ca="1">SUM(K58:K73)</f>
        <v>#REF!</v>
      </c>
      <c r="L74" s="154" t="e">
        <f ca="1">SUM(L58:L73)</f>
        <v>#REF!</v>
      </c>
      <c r="M74" s="154" t="e">
        <f>SUM(M58:M73)</f>
        <v>#REF!</v>
      </c>
      <c r="N74" s="535" t="e">
        <f ca="1">SUM(N58:N73)</f>
        <v>#REF!</v>
      </c>
    </row>
    <row r="75" spans="2:14" hidden="1">
      <c r="B75" s="531" t="str">
        <f t="shared" si="32"/>
        <v>Flujos mensuales</v>
      </c>
      <c r="D75" s="528">
        <v>0</v>
      </c>
      <c r="E75" s="528">
        <v>0</v>
      </c>
      <c r="F75" s="528">
        <v>0</v>
      </c>
      <c r="G75" s="528">
        <v>0</v>
      </c>
      <c r="H75" s="534">
        <f>SUM(D75:G75)</f>
        <v>0</v>
      </c>
      <c r="J75" s="563">
        <v>0</v>
      </c>
      <c r="K75" s="528">
        <v>0</v>
      </c>
      <c r="L75" s="528">
        <v>0</v>
      </c>
      <c r="M75" s="528">
        <v>0</v>
      </c>
      <c r="N75" s="534">
        <f>SUM(J75:M75)</f>
        <v>0</v>
      </c>
    </row>
    <row r="76" spans="2:14" s="1" customFormat="1" ht="13.5" hidden="1" thickBot="1">
      <c r="B76" s="312" t="str">
        <f t="shared" si="32"/>
        <v>Saldo a fin de mes</v>
      </c>
      <c r="C76" s="313"/>
      <c r="D76" s="297">
        <f ca="1">+D47+D55-D74</f>
        <v>-2733</v>
      </c>
      <c r="E76" s="297" t="e">
        <f ca="1">+E47+E55-E74</f>
        <v>#REF!</v>
      </c>
      <c r="F76" s="297" t="e">
        <f ca="1">+F47+F55-F74</f>
        <v>#REF!</v>
      </c>
      <c r="G76" s="297" t="e">
        <f ca="1">+G47+G55-G74</f>
        <v>#REF!</v>
      </c>
      <c r="H76" s="536" t="e">
        <f ca="1">+H47+H55-H74</f>
        <v>#REF!</v>
      </c>
      <c r="J76" s="316" t="e">
        <f ca="1">+J47+J55-J74</f>
        <v>#REF!</v>
      </c>
      <c r="K76" s="297" t="e">
        <f ca="1">+K47+K55-K74</f>
        <v>#REF!</v>
      </c>
      <c r="L76" s="297" t="e">
        <f ca="1">+L47+L55-L74</f>
        <v>#REF!</v>
      </c>
      <c r="M76" s="297" t="e">
        <f ca="1">+M47+M55-M74</f>
        <v>#REF!</v>
      </c>
      <c r="N76" s="536" t="e">
        <f ca="1">+N47+N55-N74</f>
        <v>#REF!</v>
      </c>
    </row>
    <row r="77" spans="2:14" s="1" customFormat="1" hidden="1">
      <c r="D77" s="154"/>
      <c r="E77" s="154"/>
      <c r="F77" s="154"/>
      <c r="G77" s="154"/>
      <c r="H77" s="537"/>
    </row>
    <row r="78" spans="2:14" s="1" customFormat="1" hidden="1">
      <c r="D78" s="154"/>
      <c r="E78" s="154"/>
      <c r="F78" s="154"/>
      <c r="G78" s="154"/>
      <c r="H78" s="537"/>
    </row>
    <row r="79" spans="2:14" ht="13.5" hidden="1" thickBot="1"/>
    <row r="80" spans="2:14" ht="13.5" hidden="1" thickBot="1">
      <c r="B80" s="1055" t="s">
        <v>573</v>
      </c>
      <c r="C80" s="1056"/>
      <c r="D80" s="1056"/>
      <c r="E80" s="1056"/>
      <c r="F80" s="1056"/>
      <c r="G80" s="1056"/>
      <c r="H80" s="1057"/>
      <c r="J80" s="1058" t="s">
        <v>573</v>
      </c>
      <c r="K80" s="1050"/>
      <c r="L80" s="1050"/>
      <c r="M80" s="1050"/>
      <c r="N80" s="1051"/>
    </row>
    <row r="81" spans="2:14" hidden="1">
      <c r="B81" s="1059" t="s">
        <v>574</v>
      </c>
      <c r="C81" s="1060"/>
      <c r="D81" s="1060"/>
      <c r="E81" s="1060"/>
      <c r="F81" s="1060"/>
      <c r="G81" s="1060"/>
      <c r="H81" s="1061"/>
      <c r="J81" s="1055" t="s">
        <v>575</v>
      </c>
      <c r="K81" s="1056"/>
      <c r="L81" s="1056"/>
      <c r="M81" s="1056"/>
      <c r="N81" s="1057"/>
    </row>
    <row r="82" spans="2:14" hidden="1">
      <c r="B82" s="1048">
        <v>2024</v>
      </c>
      <c r="C82" s="1041"/>
      <c r="D82" s="1041"/>
      <c r="E82" s="1041"/>
      <c r="F82" s="1041"/>
      <c r="G82" s="1041"/>
      <c r="H82" s="1049"/>
      <c r="J82" s="1048">
        <v>2025</v>
      </c>
      <c r="K82" s="1041"/>
      <c r="L82" s="1041"/>
      <c r="M82" s="1041"/>
      <c r="N82" s="1049"/>
    </row>
    <row r="83" spans="2:14" hidden="1">
      <c r="B83" s="531"/>
      <c r="D83" s="528"/>
      <c r="E83" s="528"/>
      <c r="F83" s="528"/>
      <c r="G83" s="528"/>
      <c r="H83" s="538"/>
      <c r="J83" s="531"/>
      <c r="N83" s="546"/>
    </row>
    <row r="84" spans="2:14" ht="13.5" hidden="1" thickBot="1">
      <c r="B84" s="539"/>
      <c r="C84" s="565"/>
      <c r="D84" s="540"/>
      <c r="E84" s="540"/>
      <c r="F84" s="540"/>
      <c r="G84" s="540"/>
      <c r="H84" s="541"/>
      <c r="J84" s="539"/>
      <c r="K84" s="565"/>
      <c r="L84" s="565"/>
      <c r="M84" s="565"/>
      <c r="N84" s="566"/>
    </row>
    <row r="85" spans="2:14" ht="13.5" hidden="1" thickBot="1">
      <c r="B85" s="531"/>
      <c r="C85" s="531"/>
      <c r="D85" s="542" t="s">
        <v>419</v>
      </c>
      <c r="E85" s="543" t="s">
        <v>420</v>
      </c>
      <c r="F85" s="543" t="s">
        <v>421</v>
      </c>
      <c r="G85" s="543" t="s">
        <v>422</v>
      </c>
      <c r="H85" s="544" t="s">
        <v>571</v>
      </c>
      <c r="J85" s="542" t="s">
        <v>419</v>
      </c>
      <c r="K85" s="543" t="s">
        <v>420</v>
      </c>
      <c r="L85" s="543" t="s">
        <v>421</v>
      </c>
      <c r="M85" s="543" t="s">
        <v>422</v>
      </c>
      <c r="N85" s="544" t="s">
        <v>571</v>
      </c>
    </row>
    <row r="86" spans="2:14" ht="13.5" hidden="1" thickBot="1">
      <c r="B86" s="531"/>
      <c r="C86" s="531"/>
      <c r="D86" s="545"/>
      <c r="E86" s="545"/>
      <c r="G86" s="545"/>
      <c r="H86" s="546"/>
      <c r="J86" s="545"/>
      <c r="K86" s="545"/>
      <c r="M86" s="545"/>
      <c r="N86" s="546"/>
    </row>
    <row r="87" spans="2:14" ht="13.5" hidden="1" thickBot="1">
      <c r="B87" s="547" t="s">
        <v>572</v>
      </c>
      <c r="C87" s="547"/>
      <c r="D87" s="548">
        <f>+D47</f>
        <v>-1180</v>
      </c>
      <c r="E87" s="548">
        <f>D109</f>
        <v>-1270</v>
      </c>
      <c r="F87" s="549">
        <f>E109</f>
        <v>-1360</v>
      </c>
      <c r="G87" s="548">
        <f ca="1">F109</f>
        <v>-306</v>
      </c>
      <c r="H87" s="550">
        <f>D87</f>
        <v>-1180</v>
      </c>
      <c r="J87" s="548" t="e">
        <f ca="1">+J47</f>
        <v>#REF!</v>
      </c>
      <c r="K87" s="548" t="e">
        <f ca="1">J109</f>
        <v>#REF!</v>
      </c>
      <c r="L87" s="549" t="e">
        <f ca="1">K109</f>
        <v>#REF!</v>
      </c>
      <c r="M87" s="548" t="e">
        <f ca="1">L109</f>
        <v>#REF!</v>
      </c>
      <c r="N87" s="550" t="e">
        <f ca="1">J87</f>
        <v>#REF!</v>
      </c>
    </row>
    <row r="88" spans="2:14" hidden="1">
      <c r="B88" s="531"/>
      <c r="C88" s="531"/>
      <c r="D88" s="545"/>
      <c r="E88" s="545"/>
      <c r="G88" s="545"/>
      <c r="H88" s="551"/>
      <c r="J88" s="545"/>
      <c r="K88" s="545"/>
      <c r="M88" s="545"/>
      <c r="N88" s="551"/>
    </row>
    <row r="89" spans="2:14" hidden="1">
      <c r="B89" s="531" t="str">
        <f t="shared" ref="B89:B94" si="33">+B49</f>
        <v>Recaudo por facturas</v>
      </c>
      <c r="C89" s="531"/>
      <c r="D89" s="552">
        <f t="shared" ref="D89:G94" si="34">+D49</f>
        <v>0</v>
      </c>
      <c r="E89" s="552">
        <f t="shared" si="34"/>
        <v>0</v>
      </c>
      <c r="F89" s="552">
        <f t="shared" ca="1" si="34"/>
        <v>1144</v>
      </c>
      <c r="G89" s="552">
        <f t="shared" ca="1" si="34"/>
        <v>8184</v>
      </c>
      <c r="H89" s="551">
        <f t="shared" ref="H89:H95" ca="1" si="35">SUM(D89:G89)</f>
        <v>9328</v>
      </c>
      <c r="J89" s="552">
        <f t="shared" ref="J89:M94" ca="1" si="36">+J49</f>
        <v>8184</v>
      </c>
      <c r="K89" s="552">
        <f t="shared" ca="1" si="36"/>
        <v>8184</v>
      </c>
      <c r="L89" s="552" t="e">
        <f t="shared" ca="1" si="36"/>
        <v>#REF!</v>
      </c>
      <c r="M89" s="552" t="e">
        <f t="shared" si="36"/>
        <v>#REF!</v>
      </c>
      <c r="N89" s="551" t="e">
        <f t="shared" ref="N89:N95" ca="1" si="37">SUM(J89:M89)</f>
        <v>#REF!</v>
      </c>
    </row>
    <row r="90" spans="2:14" hidden="1">
      <c r="B90" s="531" t="str">
        <f t="shared" si="33"/>
        <v>Alquler Equipo DCO</v>
      </c>
      <c r="C90" s="531"/>
      <c r="D90" s="552">
        <f t="shared" si="34"/>
        <v>0</v>
      </c>
      <c r="E90" s="552">
        <f t="shared" si="34"/>
        <v>0</v>
      </c>
      <c r="F90" s="552">
        <f t="shared" si="34"/>
        <v>0</v>
      </c>
      <c r="G90" s="552">
        <f t="shared" si="34"/>
        <v>0</v>
      </c>
      <c r="H90" s="551">
        <f t="shared" si="35"/>
        <v>0</v>
      </c>
      <c r="J90" s="552">
        <f t="shared" si="36"/>
        <v>0</v>
      </c>
      <c r="K90" s="552">
        <f t="shared" si="36"/>
        <v>0</v>
      </c>
      <c r="L90" s="552">
        <f t="shared" si="36"/>
        <v>0</v>
      </c>
      <c r="M90" s="552">
        <f t="shared" si="36"/>
        <v>0</v>
      </c>
      <c r="N90" s="551">
        <f t="shared" si="37"/>
        <v>0</v>
      </c>
    </row>
    <row r="91" spans="2:14" hidden="1">
      <c r="B91" s="531" t="str">
        <f t="shared" si="33"/>
        <v>Gases</v>
      </c>
      <c r="C91" s="531"/>
      <c r="D91" s="552">
        <f t="shared" si="34"/>
        <v>0</v>
      </c>
      <c r="E91" s="552">
        <f t="shared" si="34"/>
        <v>0</v>
      </c>
      <c r="F91" s="552">
        <f t="shared" si="34"/>
        <v>0</v>
      </c>
      <c r="G91" s="552">
        <f t="shared" si="34"/>
        <v>0</v>
      </c>
      <c r="H91" s="551">
        <f t="shared" si="35"/>
        <v>0</v>
      </c>
      <c r="J91" s="552">
        <f t="shared" si="36"/>
        <v>0</v>
      </c>
      <c r="K91" s="552">
        <f t="shared" si="36"/>
        <v>0</v>
      </c>
      <c r="L91" s="552">
        <f t="shared" si="36"/>
        <v>0</v>
      </c>
      <c r="M91" s="552">
        <f t="shared" si="36"/>
        <v>0</v>
      </c>
      <c r="N91" s="551">
        <f t="shared" si="37"/>
        <v>0</v>
      </c>
    </row>
    <row r="92" spans="2:14" hidden="1">
      <c r="B92" s="531" t="str">
        <f t="shared" si="33"/>
        <v>Personal Expat en Bolivia por DCO</v>
      </c>
      <c r="C92" s="531"/>
      <c r="D92" s="552">
        <f t="shared" si="34"/>
        <v>0</v>
      </c>
      <c r="E92" s="552">
        <f t="shared" si="34"/>
        <v>0</v>
      </c>
      <c r="F92" s="552">
        <f t="shared" si="34"/>
        <v>0</v>
      </c>
      <c r="G92" s="552">
        <f t="shared" si="34"/>
        <v>0</v>
      </c>
      <c r="H92" s="551">
        <f t="shared" si="35"/>
        <v>0</v>
      </c>
      <c r="J92" s="552">
        <f t="shared" si="36"/>
        <v>0</v>
      </c>
      <c r="K92" s="552">
        <f t="shared" si="36"/>
        <v>0</v>
      </c>
      <c r="L92" s="552">
        <f t="shared" si="36"/>
        <v>0</v>
      </c>
      <c r="M92" s="552">
        <f t="shared" si="36"/>
        <v>0</v>
      </c>
      <c r="N92" s="551">
        <f t="shared" si="37"/>
        <v>0</v>
      </c>
    </row>
    <row r="93" spans="2:14" hidden="1">
      <c r="B93" s="531" t="str">
        <f t="shared" si="33"/>
        <v>Entrenamiento personal</v>
      </c>
      <c r="C93" s="531"/>
      <c r="D93" s="552">
        <f t="shared" si="34"/>
        <v>0</v>
      </c>
      <c r="E93" s="552">
        <f t="shared" si="34"/>
        <v>0</v>
      </c>
      <c r="F93" s="552">
        <f t="shared" si="34"/>
        <v>0</v>
      </c>
      <c r="G93" s="552">
        <f t="shared" si="34"/>
        <v>0</v>
      </c>
      <c r="H93" s="551">
        <f t="shared" si="35"/>
        <v>0</v>
      </c>
      <c r="J93" s="552">
        <f t="shared" si="36"/>
        <v>0</v>
      </c>
      <c r="K93" s="552">
        <f t="shared" si="36"/>
        <v>0</v>
      </c>
      <c r="L93" s="552">
        <f t="shared" si="36"/>
        <v>0</v>
      </c>
      <c r="M93" s="552">
        <f t="shared" si="36"/>
        <v>0</v>
      </c>
      <c r="N93" s="551">
        <f t="shared" si="37"/>
        <v>0</v>
      </c>
    </row>
    <row r="94" spans="2:14" ht="13.5" hidden="1" thickBot="1">
      <c r="B94" s="531" t="str">
        <f t="shared" si="33"/>
        <v>Licencia Software</v>
      </c>
      <c r="C94" s="531"/>
      <c r="D94" s="545"/>
      <c r="E94" s="545"/>
      <c r="F94" s="552">
        <f t="shared" si="34"/>
        <v>0</v>
      </c>
      <c r="G94" s="552">
        <f t="shared" si="34"/>
        <v>0</v>
      </c>
      <c r="H94" s="551">
        <f t="shared" si="35"/>
        <v>0</v>
      </c>
      <c r="J94" s="552">
        <f t="shared" si="36"/>
        <v>0</v>
      </c>
      <c r="K94" s="552">
        <f t="shared" si="36"/>
        <v>0</v>
      </c>
      <c r="L94" s="552">
        <f t="shared" si="36"/>
        <v>0</v>
      </c>
      <c r="M94" s="552">
        <f t="shared" si="36"/>
        <v>0</v>
      </c>
      <c r="N94" s="551">
        <f t="shared" si="37"/>
        <v>0</v>
      </c>
    </row>
    <row r="95" spans="2:14" ht="13.5" hidden="1" thickBot="1">
      <c r="B95" s="553" t="s">
        <v>553</v>
      </c>
      <c r="C95" s="553"/>
      <c r="D95" s="548">
        <f>SUM(D89:D94)</f>
        <v>0</v>
      </c>
      <c r="E95" s="548">
        <f>SUM(E89:E94)</f>
        <v>0</v>
      </c>
      <c r="F95" s="549">
        <f ca="1">SUM(F89:F94)</f>
        <v>1144</v>
      </c>
      <c r="G95" s="548">
        <f ca="1">SUM(G89:G94)</f>
        <v>8184</v>
      </c>
      <c r="H95" s="550">
        <f t="shared" ca="1" si="35"/>
        <v>9328</v>
      </c>
      <c r="J95" s="548">
        <f ca="1">SUM(J89:J94)</f>
        <v>8184</v>
      </c>
      <c r="K95" s="548">
        <f ca="1">SUM(K89:K94)</f>
        <v>8184</v>
      </c>
      <c r="L95" s="549" t="e">
        <f ca="1">SUM(L89:L94)</f>
        <v>#REF!</v>
      </c>
      <c r="M95" s="548" t="e">
        <f>SUM(M89:M94)</f>
        <v>#REF!</v>
      </c>
      <c r="N95" s="550" t="e">
        <f t="shared" ca="1" si="37"/>
        <v>#REF!</v>
      </c>
    </row>
    <row r="96" spans="2:14" hidden="1">
      <c r="B96" s="531"/>
      <c r="C96" s="531"/>
      <c r="D96" s="545"/>
      <c r="E96" s="545"/>
      <c r="G96" s="545"/>
      <c r="H96" s="546"/>
      <c r="J96" s="545"/>
      <c r="K96" s="545"/>
      <c r="M96" s="545"/>
      <c r="N96" s="546"/>
    </row>
    <row r="97" spans="2:14" hidden="1">
      <c r="B97" s="307" t="s">
        <v>554</v>
      </c>
      <c r="C97" s="307"/>
      <c r="D97" s="545"/>
      <c r="E97" s="545"/>
      <c r="G97" s="545"/>
      <c r="H97" s="546"/>
      <c r="J97" s="545"/>
      <c r="K97" s="545"/>
      <c r="M97" s="545"/>
      <c r="N97" s="546"/>
    </row>
    <row r="98" spans="2:14" hidden="1">
      <c r="B98" s="531" t="s">
        <v>576</v>
      </c>
      <c r="C98" s="531"/>
      <c r="D98" s="552">
        <f>+D58+D63+D66+D59</f>
        <v>90</v>
      </c>
      <c r="E98" s="552">
        <f>+E58+E63+E66+E59</f>
        <v>90</v>
      </c>
      <c r="F98" s="552">
        <f>+F58+F63+F66+F59</f>
        <v>90</v>
      </c>
      <c r="G98" s="552">
        <f>+G58+G63+G66+G59</f>
        <v>42</v>
      </c>
      <c r="H98" s="551">
        <f t="shared" ref="H98:H105" si="38">SUM(D98:G98)</f>
        <v>312</v>
      </c>
      <c r="J98" s="552">
        <f>+J58+J63+J66+J59</f>
        <v>90</v>
      </c>
      <c r="K98" s="552">
        <f>+K58+K63+K66+K59</f>
        <v>42</v>
      </c>
      <c r="L98" s="552">
        <f>+L58+L63+L66+L59</f>
        <v>0</v>
      </c>
      <c r="M98" s="552">
        <f>+M58+M63+M66+M59</f>
        <v>0</v>
      </c>
      <c r="N98" s="551">
        <f t="shared" ref="N98:N105" si="39">SUM(J98:M98)</f>
        <v>132</v>
      </c>
    </row>
    <row r="99" spans="2:14" hidden="1">
      <c r="B99" s="531" t="s">
        <v>577</v>
      </c>
      <c r="C99" s="531"/>
      <c r="D99" s="552">
        <f>+D60+D61+D62</f>
        <v>0</v>
      </c>
      <c r="E99" s="552">
        <f>+E60+E61+E62</f>
        <v>0</v>
      </c>
      <c r="F99" s="552">
        <f>+F60+F61+F62</f>
        <v>0</v>
      </c>
      <c r="G99" s="552">
        <f>+G60+G61+G62</f>
        <v>0</v>
      </c>
      <c r="H99" s="551">
        <f t="shared" si="38"/>
        <v>0</v>
      </c>
      <c r="J99" s="552">
        <f>+J60+J61+J62</f>
        <v>0</v>
      </c>
      <c r="K99" s="552">
        <f>+K60+K61+K62</f>
        <v>0</v>
      </c>
      <c r="L99" s="552">
        <f>+L60+L61+L62</f>
        <v>0</v>
      </c>
      <c r="M99" s="552">
        <f>+M60+M61+M62</f>
        <v>0</v>
      </c>
      <c r="N99" s="551">
        <f t="shared" si="39"/>
        <v>0</v>
      </c>
    </row>
    <row r="100" spans="2:14" hidden="1">
      <c r="B100" s="531" t="s">
        <v>578</v>
      </c>
      <c r="C100" s="531"/>
      <c r="D100" s="552">
        <f>+D73+D64</f>
        <v>0</v>
      </c>
      <c r="E100" s="552">
        <f>+E73+E64</f>
        <v>0</v>
      </c>
      <c r="F100" s="552">
        <f>+F73+F64</f>
        <v>0</v>
      </c>
      <c r="G100" s="552">
        <f>+G73+G64</f>
        <v>0</v>
      </c>
      <c r="H100" s="551">
        <f t="shared" si="38"/>
        <v>0</v>
      </c>
      <c r="J100" s="552">
        <f>+J73+J64</f>
        <v>0</v>
      </c>
      <c r="K100" s="552">
        <f>+K73+K64</f>
        <v>0</v>
      </c>
      <c r="L100" s="552">
        <f>+L73+L64</f>
        <v>0</v>
      </c>
      <c r="M100" s="552">
        <f>+M73+M64</f>
        <v>0</v>
      </c>
      <c r="N100" s="551">
        <f t="shared" si="39"/>
        <v>0</v>
      </c>
    </row>
    <row r="101" spans="2:14" hidden="1">
      <c r="B101" s="531" t="s">
        <v>579</v>
      </c>
      <c r="C101" s="531"/>
      <c r="D101" s="552">
        <f>+D71</f>
        <v>0</v>
      </c>
      <c r="E101" s="552">
        <f>+E71</f>
        <v>0</v>
      </c>
      <c r="F101" s="552">
        <f>+F71</f>
        <v>0</v>
      </c>
      <c r="G101" s="552">
        <f>+G71</f>
        <v>0</v>
      </c>
      <c r="H101" s="551">
        <f t="shared" si="38"/>
        <v>0</v>
      </c>
      <c r="J101" s="552">
        <f>+J71</f>
        <v>0</v>
      </c>
      <c r="K101" s="552">
        <f>+K71</f>
        <v>0</v>
      </c>
      <c r="L101" s="552">
        <f>+L71</f>
        <v>0</v>
      </c>
      <c r="M101" s="552">
        <f>+M71</f>
        <v>0</v>
      </c>
      <c r="N101" s="551">
        <f t="shared" si="39"/>
        <v>0</v>
      </c>
    </row>
    <row r="102" spans="2:14" hidden="1">
      <c r="B102" s="531" t="s">
        <v>580</v>
      </c>
      <c r="C102" s="531"/>
      <c r="D102" s="552">
        <f>+D70</f>
        <v>0</v>
      </c>
      <c r="E102" s="552">
        <f>+E70</f>
        <v>0</v>
      </c>
      <c r="F102" s="552">
        <f>+F70</f>
        <v>0</v>
      </c>
      <c r="G102" s="552">
        <f>+G70</f>
        <v>0</v>
      </c>
      <c r="H102" s="551">
        <f t="shared" si="38"/>
        <v>0</v>
      </c>
      <c r="J102" s="552">
        <f>+J70</f>
        <v>0</v>
      </c>
      <c r="K102" s="552">
        <f>+K70</f>
        <v>0</v>
      </c>
      <c r="L102" s="552">
        <f>+L70</f>
        <v>0</v>
      </c>
      <c r="M102" s="552">
        <f>+M70</f>
        <v>0</v>
      </c>
      <c r="N102" s="551">
        <f t="shared" si="39"/>
        <v>0</v>
      </c>
    </row>
    <row r="103" spans="2:14" hidden="1">
      <c r="B103" s="531" t="s">
        <v>581</v>
      </c>
      <c r="C103" s="531"/>
      <c r="D103" s="552">
        <f>+D65</f>
        <v>0</v>
      </c>
      <c r="E103" s="552">
        <f>+E65</f>
        <v>0</v>
      </c>
      <c r="F103" s="552">
        <f>+F65</f>
        <v>0</v>
      </c>
      <c r="G103" s="552">
        <f>+G65</f>
        <v>0</v>
      </c>
      <c r="H103" s="551">
        <f t="shared" si="38"/>
        <v>0</v>
      </c>
      <c r="J103" s="552">
        <f>+J65</f>
        <v>0</v>
      </c>
      <c r="K103" s="552">
        <f>+K65</f>
        <v>0</v>
      </c>
      <c r="L103" s="552">
        <f>+L65</f>
        <v>0</v>
      </c>
      <c r="M103" s="552">
        <f>+M65</f>
        <v>0</v>
      </c>
      <c r="N103" s="551">
        <f t="shared" si="39"/>
        <v>0</v>
      </c>
    </row>
    <row r="104" spans="2:14" hidden="1">
      <c r="B104" s="531" t="s">
        <v>582</v>
      </c>
      <c r="C104" s="531"/>
      <c r="D104" s="552">
        <v>0</v>
      </c>
      <c r="E104" s="552">
        <v>0</v>
      </c>
      <c r="F104" s="552">
        <v>0</v>
      </c>
      <c r="G104" s="552">
        <v>0</v>
      </c>
      <c r="H104" s="551">
        <f t="shared" si="38"/>
        <v>0</v>
      </c>
      <c r="J104" s="552">
        <v>0</v>
      </c>
      <c r="K104" s="552">
        <v>0</v>
      </c>
      <c r="L104" s="552">
        <v>0</v>
      </c>
      <c r="M104" s="552">
        <v>0</v>
      </c>
      <c r="N104" s="551">
        <f t="shared" si="39"/>
        <v>0</v>
      </c>
    </row>
    <row r="105" spans="2:14" ht="13.5" hidden="1" thickBot="1">
      <c r="B105" s="531" t="s">
        <v>583</v>
      </c>
      <c r="C105" s="531"/>
      <c r="D105" s="552">
        <v>0</v>
      </c>
      <c r="E105" s="552">
        <v>0</v>
      </c>
      <c r="F105" s="552">
        <v>0</v>
      </c>
      <c r="G105" s="552">
        <v>0</v>
      </c>
      <c r="H105" s="551">
        <f t="shared" si="38"/>
        <v>0</v>
      </c>
      <c r="J105" s="552">
        <v>0</v>
      </c>
      <c r="K105" s="552">
        <v>0</v>
      </c>
      <c r="L105" s="552">
        <v>0</v>
      </c>
      <c r="M105" s="552">
        <v>0</v>
      </c>
      <c r="N105" s="551">
        <f t="shared" si="39"/>
        <v>0</v>
      </c>
    </row>
    <row r="106" spans="2:14" ht="13.5" hidden="1" thickBot="1">
      <c r="B106" s="553" t="s">
        <v>566</v>
      </c>
      <c r="C106" s="553"/>
      <c r="D106" s="548">
        <f>SUM(D98:D105)</f>
        <v>90</v>
      </c>
      <c r="E106" s="548">
        <f>SUM(E98:E105)</f>
        <v>90</v>
      </c>
      <c r="F106" s="549">
        <f>SUM(F98:F105)</f>
        <v>90</v>
      </c>
      <c r="G106" s="548">
        <f>SUM(G98:G105)</f>
        <v>42</v>
      </c>
      <c r="H106" s="554">
        <f>SUM(H98:H105)</f>
        <v>312</v>
      </c>
      <c r="J106" s="548">
        <f>SUM(J98:J105)</f>
        <v>90</v>
      </c>
      <c r="K106" s="548">
        <f>SUM(K98:K105)</f>
        <v>42</v>
      </c>
      <c r="L106" s="549">
        <f>SUM(L98:L105)</f>
        <v>0</v>
      </c>
      <c r="M106" s="548">
        <f>SUM(M98:M105)</f>
        <v>0</v>
      </c>
      <c r="N106" s="554">
        <f>SUM(N98:N105)</f>
        <v>132</v>
      </c>
    </row>
    <row r="107" spans="2:14" hidden="1">
      <c r="B107" s="531"/>
      <c r="C107" s="531"/>
      <c r="D107" s="552"/>
      <c r="E107" s="552"/>
      <c r="F107" s="528"/>
      <c r="G107" s="552"/>
      <c r="H107" s="546"/>
      <c r="J107" s="552"/>
      <c r="K107" s="552"/>
      <c r="L107" s="528"/>
      <c r="M107" s="552"/>
      <c r="N107" s="546"/>
    </row>
    <row r="108" spans="2:14" ht="13.5" hidden="1" thickBot="1">
      <c r="B108" s="531"/>
      <c r="C108" s="531"/>
      <c r="D108" s="552">
        <v>0</v>
      </c>
      <c r="E108" s="552">
        <v>0</v>
      </c>
      <c r="F108" s="528">
        <f>+F73</f>
        <v>0</v>
      </c>
      <c r="G108" s="552">
        <f>+G73</f>
        <v>0</v>
      </c>
      <c r="H108" s="551">
        <f>SUM(D108:G108)</f>
        <v>0</v>
      </c>
      <c r="J108" s="552">
        <v>0</v>
      </c>
      <c r="K108" s="552">
        <v>0</v>
      </c>
      <c r="L108" s="528">
        <f>+L73</f>
        <v>0</v>
      </c>
      <c r="M108" s="552">
        <f>+M73</f>
        <v>0</v>
      </c>
      <c r="N108" s="551">
        <f>SUM(J108:M108)</f>
        <v>0</v>
      </c>
    </row>
    <row r="109" spans="2:14" ht="13.5" hidden="1" thickBot="1">
      <c r="B109" s="547" t="s">
        <v>568</v>
      </c>
      <c r="C109" s="547"/>
      <c r="D109" s="548">
        <f>D87+D95-D106+D108</f>
        <v>-1270</v>
      </c>
      <c r="E109" s="548">
        <f>E87+E95-E106+E108</f>
        <v>-1360</v>
      </c>
      <c r="F109" s="549">
        <f ca="1">F87+F95-F106+F108</f>
        <v>-306</v>
      </c>
      <c r="G109" s="548">
        <f ca="1">G87+G95-G106+G108</f>
        <v>7836</v>
      </c>
      <c r="H109" s="554">
        <f ca="1">H87+H95-H106+H108</f>
        <v>7836</v>
      </c>
      <c r="J109" s="548" t="e">
        <f ca="1">J87+J95-J106+J108</f>
        <v>#REF!</v>
      </c>
      <c r="K109" s="548" t="e">
        <f ca="1">K87+K95-K106+K108</f>
        <v>#REF!</v>
      </c>
      <c r="L109" s="549" t="e">
        <f ca="1">L87+L95-L106+L108</f>
        <v>#REF!</v>
      </c>
      <c r="M109" s="548" t="e">
        <f ca="1">M87+M95-M106+M108</f>
        <v>#REF!</v>
      </c>
      <c r="N109" s="554" t="e">
        <f ca="1">N87+N95-N106+N108</f>
        <v>#REF!</v>
      </c>
    </row>
    <row r="110" spans="2:14" hidden="1">
      <c r="B110" s="1"/>
      <c r="C110" s="1"/>
    </row>
    <row r="111" spans="2:14" hidden="1">
      <c r="B111" s="1"/>
      <c r="C111" s="1"/>
    </row>
    <row r="112" spans="2:14">
      <c r="G112" s="493" t="s">
        <v>584</v>
      </c>
    </row>
    <row r="113" spans="2:8">
      <c r="B113" s="612" t="s">
        <v>569</v>
      </c>
      <c r="C113" s="605">
        <v>0.08</v>
      </c>
      <c r="D113" s="493" t="s">
        <v>151</v>
      </c>
      <c r="E113" s="493" t="s">
        <v>585</v>
      </c>
      <c r="F113" s="613">
        <v>0.11</v>
      </c>
      <c r="G113" s="613">
        <v>0.08</v>
      </c>
    </row>
    <row r="114" spans="2:8">
      <c r="C114" s="606">
        <f>+(((1+C113)^(1/12))-1)</f>
        <v>6.4000000000000003E-3</v>
      </c>
      <c r="D114" s="493" t="s">
        <v>150</v>
      </c>
      <c r="E114" s="493" t="s">
        <v>586</v>
      </c>
      <c r="F114" s="614">
        <v>0.05</v>
      </c>
      <c r="G114" s="614">
        <v>3.5000000000000003E-2</v>
      </c>
      <c r="H114" s="615">
        <v>1.7999999999999999E-2</v>
      </c>
    </row>
    <row r="116" spans="2:8">
      <c r="C116" s="493" t="s">
        <v>587</v>
      </c>
    </row>
  </sheetData>
  <mergeCells count="9">
    <mergeCell ref="B82:H82"/>
    <mergeCell ref="J82:N82"/>
    <mergeCell ref="D1:O1"/>
    <mergeCell ref="B43:H43"/>
    <mergeCell ref="J43:N43"/>
    <mergeCell ref="B80:H80"/>
    <mergeCell ref="J80:N80"/>
    <mergeCell ref="B81:H81"/>
    <mergeCell ref="J81:N8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EF82D-7221-4446-86EF-96A3E8BFCFF7}">
  <sheetPr codeName="Hoja12"/>
  <dimension ref="B1:HP892"/>
  <sheetViews>
    <sheetView workbookViewId="0"/>
  </sheetViews>
  <sheetFormatPr baseColWidth="10" defaultColWidth="11.42578125" defaultRowHeight="12.75"/>
  <cols>
    <col min="1" max="1" width="3.140625" customWidth="1"/>
    <col min="2" max="2" width="55.140625" customWidth="1"/>
    <col min="3" max="3" width="10.85546875" customWidth="1"/>
    <col min="4" max="4" width="7.42578125" customWidth="1"/>
    <col min="5" max="5" width="10.85546875" customWidth="1"/>
    <col min="6" max="6" width="8.42578125" customWidth="1"/>
    <col min="7" max="7" width="10.85546875" customWidth="1"/>
    <col min="8" max="8" width="8.42578125" customWidth="1"/>
    <col min="9" max="9" width="12" customWidth="1"/>
    <col min="10" max="10" width="6.85546875" customWidth="1"/>
    <col min="11" max="11" width="13.42578125" customWidth="1"/>
    <col min="12" max="12" width="7" customWidth="1"/>
    <col min="13" max="13" width="16.140625" customWidth="1"/>
    <col min="14" max="14" width="8.42578125" customWidth="1"/>
    <col min="15" max="15" width="10.42578125" customWidth="1"/>
    <col min="16" max="16" width="5.85546875" customWidth="1"/>
    <col min="17" max="17" width="9.85546875" style="187" customWidth="1"/>
    <col min="18" max="18" width="5.42578125" customWidth="1"/>
    <col min="19" max="19" width="10.85546875" customWidth="1"/>
    <col min="20" max="20" width="6.5703125" customWidth="1"/>
    <col min="21" max="21" width="10.85546875" customWidth="1"/>
    <col min="22" max="22" width="6.42578125" customWidth="1"/>
    <col min="23" max="23" width="10.85546875" customWidth="1"/>
    <col min="24" max="24" width="6.85546875" customWidth="1"/>
    <col min="25" max="25" width="10.85546875" customWidth="1"/>
    <col min="26" max="26" width="6.85546875" customWidth="1"/>
    <col min="27" max="27" width="10.85546875" customWidth="1"/>
    <col min="28" max="28" width="6.140625" customWidth="1"/>
    <col min="29" max="29" width="12.5703125" customWidth="1"/>
    <col min="30" max="30" width="5.42578125" customWidth="1"/>
    <col min="31" max="31" width="10.85546875" customWidth="1"/>
    <col min="32" max="32" width="5.85546875" customWidth="1"/>
    <col min="33" max="33" width="13.42578125" style="187" customWidth="1"/>
    <col min="34" max="34" width="7.85546875" customWidth="1"/>
    <col min="35" max="35" width="12.42578125" style="187" customWidth="1"/>
    <col min="36" max="36" width="8.85546875" customWidth="1"/>
    <col min="37" max="37" width="10.85546875" customWidth="1"/>
  </cols>
  <sheetData>
    <row r="1" spans="2:37">
      <c r="Q1"/>
      <c r="AG1"/>
      <c r="AI1"/>
    </row>
    <row r="2" spans="2:37">
      <c r="Q2"/>
      <c r="AG2"/>
      <c r="AI2"/>
    </row>
    <row r="3" spans="2:37">
      <c r="B3" s="21" t="s">
        <v>265</v>
      </c>
      <c r="C3" s="1041">
        <v>2025</v>
      </c>
      <c r="D3" s="1041"/>
      <c r="E3" s="1041"/>
      <c r="F3" s="1041"/>
      <c r="G3" s="1041"/>
      <c r="H3" s="1041"/>
      <c r="I3" s="1041"/>
      <c r="J3" s="1041"/>
      <c r="K3" s="1041"/>
      <c r="L3" s="1041"/>
      <c r="M3" s="1041"/>
      <c r="N3" s="1041"/>
      <c r="O3" s="1041"/>
      <c r="P3" s="1041"/>
      <c r="Q3" s="1041"/>
      <c r="R3" s="1041"/>
      <c r="S3" s="1041"/>
      <c r="T3" s="1041"/>
      <c r="U3" s="1041"/>
      <c r="V3" s="1041"/>
      <c r="W3" s="1041"/>
      <c r="X3" s="1041"/>
      <c r="Y3" s="1041"/>
      <c r="Z3" s="1041"/>
      <c r="AA3" s="1041"/>
      <c r="AB3" s="1041"/>
      <c r="AC3" s="1041"/>
      <c r="AD3" s="1041"/>
      <c r="AE3" s="1041"/>
      <c r="AF3" s="1041"/>
      <c r="AG3" s="1041"/>
      <c r="AH3" s="1041"/>
      <c r="AI3" s="1041"/>
    </row>
    <row r="4" spans="2:37">
      <c r="B4" s="1" t="str">
        <f>+'SPL 25 USD'!A1</f>
        <v>2025 Performance</v>
      </c>
      <c r="Q4"/>
      <c r="AG4"/>
      <c r="AI4"/>
    </row>
    <row r="5" spans="2:37">
      <c r="B5" s="1" t="s">
        <v>49</v>
      </c>
      <c r="Q5"/>
      <c r="AG5"/>
      <c r="AI5"/>
    </row>
    <row r="6" spans="2:37">
      <c r="Q6"/>
      <c r="AG6"/>
      <c r="AI6"/>
    </row>
    <row r="7" spans="2:37">
      <c r="Q7"/>
      <c r="AG7"/>
      <c r="AI7"/>
    </row>
    <row r="8" spans="2:37">
      <c r="Q8"/>
      <c r="AG8"/>
      <c r="AI8"/>
    </row>
    <row r="9" spans="2:37">
      <c r="Q9"/>
      <c r="AG9"/>
      <c r="AI9"/>
    </row>
    <row r="10" spans="2:37" ht="13.5" thickBot="1">
      <c r="B10" s="6" t="s">
        <v>381</v>
      </c>
      <c r="C10" s="38">
        <f ca="1">+'DPL25 Summary USD'!B13</f>
        <v>2728</v>
      </c>
      <c r="D10" s="258">
        <f ca="1">+C10/$C$10</f>
        <v>1</v>
      </c>
      <c r="E10" s="38">
        <f ca="1">+'DPL25 Summary USD'!D13</f>
        <v>2728</v>
      </c>
      <c r="F10" s="258">
        <f ca="1">+E10/$E$10</f>
        <v>1</v>
      </c>
      <c r="G10" s="38">
        <f ca="1">+'DPL25 Summary USD'!F13</f>
        <v>2728</v>
      </c>
      <c r="H10" s="258">
        <f ca="1">+G10/$G$10</f>
        <v>1</v>
      </c>
      <c r="I10" s="203">
        <f ca="1">+C10+E10+G10</f>
        <v>8184</v>
      </c>
      <c r="J10" s="397">
        <f ca="1">+I10/$I$10</f>
        <v>1</v>
      </c>
      <c r="K10" s="38">
        <f ca="1">+'DPL25 Summary USD'!H13</f>
        <v>2728</v>
      </c>
      <c r="L10" s="258">
        <f ca="1">+K10/$K$10</f>
        <v>1</v>
      </c>
      <c r="M10" s="38" t="e">
        <f>+'DPL25 Summary USD'!J13</f>
        <v>#REF!</v>
      </c>
      <c r="N10" s="258" t="e">
        <f>+M10/$M$10</f>
        <v>#REF!</v>
      </c>
      <c r="O10" s="38" t="e">
        <f>+'DPL25 Summary USD'!L13</f>
        <v>#REF!</v>
      </c>
      <c r="P10" s="258" t="e">
        <f>+O10/$O$10</f>
        <v>#REF!</v>
      </c>
      <c r="Q10" s="203" t="e">
        <f ca="1">+K10+M10+O10</f>
        <v>#REF!</v>
      </c>
      <c r="R10" s="258" t="e">
        <f ca="1">+Q10/$Q$10</f>
        <v>#REF!</v>
      </c>
      <c r="S10" s="38" t="e">
        <f>+'DPL25 Summary USD'!N13</f>
        <v>#REF!</v>
      </c>
      <c r="T10" s="258" t="e">
        <f>+S10/$S$10</f>
        <v>#REF!</v>
      </c>
      <c r="U10" s="38" t="e">
        <f>+'DPL25 Summary USD'!P13</f>
        <v>#REF!</v>
      </c>
      <c r="V10" s="258" t="e">
        <f>+U10/$U$10</f>
        <v>#REF!</v>
      </c>
      <c r="W10" s="38" t="e">
        <f>+'DPL25 Summary USD'!R13</f>
        <v>#REF!</v>
      </c>
      <c r="X10" s="258" t="e">
        <f>+W10/$W$10</f>
        <v>#REF!</v>
      </c>
      <c r="Y10" s="203" t="e">
        <f>+S10+U10+W10</f>
        <v>#REF!</v>
      </c>
      <c r="Z10" s="258" t="e">
        <f>+Y10/$Y$10</f>
        <v>#REF!</v>
      </c>
      <c r="AA10" s="38" t="e">
        <f>+'DPL25 Summary USD'!T13</f>
        <v>#REF!</v>
      </c>
      <c r="AB10" s="258" t="e">
        <f>+AA10/$AA$10</f>
        <v>#REF!</v>
      </c>
      <c r="AC10" s="38" t="e">
        <f>+'DPL25 Summary USD'!V13</f>
        <v>#REF!</v>
      </c>
      <c r="AD10" s="258" t="e">
        <f>+AC10/$AC$10</f>
        <v>#REF!</v>
      </c>
      <c r="AE10" s="38" t="e">
        <f>+'DPL25 Summary USD'!X13</f>
        <v>#REF!</v>
      </c>
      <c r="AF10" s="258" t="e">
        <f>+AE10/$AE$10</f>
        <v>#REF!</v>
      </c>
      <c r="AG10" s="203" t="e">
        <f>+AA10+AC10+AE10</f>
        <v>#REF!</v>
      </c>
      <c r="AH10" s="258" t="e">
        <f>+AG10/$AG$10</f>
        <v>#REF!</v>
      </c>
      <c r="AI10" s="203" t="e">
        <f ca="1">+I10+Q10+Y10+AG10</f>
        <v>#REF!</v>
      </c>
      <c r="AJ10" s="258" t="e">
        <f ca="1">+AI10/$AI$10</f>
        <v>#REF!</v>
      </c>
    </row>
    <row r="11" spans="2:37" ht="13.5" thickTop="1">
      <c r="C11" s="21">
        <v>2025</v>
      </c>
      <c r="E11" s="21">
        <f>+C11</f>
        <v>2025</v>
      </c>
      <c r="G11" s="21">
        <f>+E11</f>
        <v>2025</v>
      </c>
      <c r="I11" s="21">
        <f>+G11</f>
        <v>2025</v>
      </c>
      <c r="K11" s="21">
        <f>+I11</f>
        <v>2025</v>
      </c>
      <c r="M11" s="21">
        <f>+K11</f>
        <v>2025</v>
      </c>
      <c r="O11" s="21">
        <f>+M11</f>
        <v>2025</v>
      </c>
      <c r="Q11" s="21">
        <f>+O11</f>
        <v>2025</v>
      </c>
      <c r="S11" s="21">
        <f>+Q11</f>
        <v>2025</v>
      </c>
      <c r="U11" s="21">
        <f>+S11</f>
        <v>2025</v>
      </c>
      <c r="W11" s="21">
        <f>+U11</f>
        <v>2025</v>
      </c>
      <c r="Y11" s="21">
        <f>+W11</f>
        <v>2025</v>
      </c>
      <c r="AA11" s="21">
        <f>+Y11</f>
        <v>2025</v>
      </c>
      <c r="AC11" s="21">
        <f>+AA11</f>
        <v>2025</v>
      </c>
      <c r="AD11" s="258" t="e">
        <f t="shared" ref="AD11:AD18" si="0">+AC11/$AC$10</f>
        <v>#REF!</v>
      </c>
      <c r="AE11" s="21">
        <f>+AC11</f>
        <v>2025</v>
      </c>
      <c r="AG11" s="21">
        <f>+AE11</f>
        <v>2025</v>
      </c>
      <c r="AI11" s="21">
        <f>+AG11</f>
        <v>2025</v>
      </c>
    </row>
    <row r="12" spans="2:37">
      <c r="B12" s="21" t="s">
        <v>418</v>
      </c>
      <c r="C12" s="21" t="s">
        <v>3</v>
      </c>
      <c r="D12" s="21"/>
      <c r="E12" s="21" t="s">
        <v>4</v>
      </c>
      <c r="F12" s="21"/>
      <c r="G12" s="21" t="s">
        <v>5</v>
      </c>
      <c r="H12" s="21"/>
      <c r="I12" s="204" t="s">
        <v>419</v>
      </c>
      <c r="J12" s="21"/>
      <c r="K12" s="21" t="s">
        <v>6</v>
      </c>
      <c r="L12" s="21"/>
      <c r="M12" s="21" t="s">
        <v>7</v>
      </c>
      <c r="N12" s="21"/>
      <c r="O12" s="21" t="s">
        <v>8</v>
      </c>
      <c r="P12" s="21"/>
      <c r="Q12" s="204" t="s">
        <v>420</v>
      </c>
      <c r="R12" s="21"/>
      <c r="S12" s="21" t="s">
        <v>9</v>
      </c>
      <c r="T12" s="21"/>
      <c r="U12" s="21" t="s">
        <v>10</v>
      </c>
      <c r="V12" s="21"/>
      <c r="W12" s="21" t="s">
        <v>11</v>
      </c>
      <c r="X12" s="21"/>
      <c r="Y12" s="204" t="s">
        <v>421</v>
      </c>
      <c r="Z12" s="21"/>
      <c r="AA12" s="21" t="s">
        <v>12</v>
      </c>
      <c r="AB12" s="21"/>
      <c r="AC12" s="21" t="s">
        <v>13</v>
      </c>
      <c r="AD12" s="258"/>
      <c r="AE12" s="21" t="s">
        <v>14</v>
      </c>
      <c r="AF12" s="21"/>
      <c r="AG12" s="204" t="s">
        <v>422</v>
      </c>
      <c r="AH12" s="21"/>
      <c r="AI12" s="204" t="s">
        <v>423</v>
      </c>
      <c r="AJ12" s="21"/>
    </row>
    <row r="13" spans="2:37">
      <c r="B13" s="172" t="s">
        <v>424</v>
      </c>
      <c r="C13" s="20">
        <f>+'DPL25 Summary USD'!B101</f>
        <v>30</v>
      </c>
      <c r="D13" s="260">
        <f t="shared" ref="D13:D18" ca="1" si="1">+C13/$C$10</f>
        <v>1.0999999999999999E-2</v>
      </c>
      <c r="E13" s="20">
        <f>+'DPL25 Summary USD'!D101</f>
        <v>30</v>
      </c>
      <c r="F13" s="260">
        <f t="shared" ref="F13:F18" ca="1" si="2">+E13/$E$10</f>
        <v>1.0999999999999999E-2</v>
      </c>
      <c r="G13" s="20">
        <f>+'DPL25 Summary USD'!F101</f>
        <v>30</v>
      </c>
      <c r="H13" s="260">
        <f t="shared" ref="H13:H18" ca="1" si="3">+G13/$G$10</f>
        <v>1.0999999999999999E-2</v>
      </c>
      <c r="I13" s="179">
        <f>+C13+E13+G13</f>
        <v>90</v>
      </c>
      <c r="J13" s="397">
        <f t="shared" ref="J13:J18" ca="1" si="4">+I13/$I$10</f>
        <v>0.01</v>
      </c>
      <c r="K13" s="20">
        <f>+'DPL25 Summary USD'!H101</f>
        <v>12</v>
      </c>
      <c r="L13" s="258">
        <f t="shared" ref="L13:L18" ca="1" si="5">+K13/$K$10</f>
        <v>0</v>
      </c>
      <c r="M13" s="20">
        <f>+'DPL25 Summary USD'!J101</f>
        <v>0</v>
      </c>
      <c r="N13" s="258" t="e">
        <f t="shared" ref="N13:N18" si="6">+M13/$M$10</f>
        <v>#REF!</v>
      </c>
      <c r="O13" s="20">
        <f>+'DPL25 Summary USD'!L101</f>
        <v>0</v>
      </c>
      <c r="P13" s="258" t="e">
        <f t="shared" ref="P13:P18" si="7">+O13/$O$10</f>
        <v>#REF!</v>
      </c>
      <c r="Q13" s="179">
        <f>+K13+M13+O13</f>
        <v>12</v>
      </c>
      <c r="R13" s="258" t="e">
        <f t="shared" ref="R13:R18" ca="1" si="8">+Q13/$Q$10</f>
        <v>#REF!</v>
      </c>
      <c r="S13" s="20">
        <f>+'DPL25 Summary USD'!N101</f>
        <v>0</v>
      </c>
      <c r="T13" s="258" t="e">
        <f t="shared" ref="T13:T18" si="9">+S13/$S$10</f>
        <v>#REF!</v>
      </c>
      <c r="U13" s="20">
        <f>+'DPL25 Summary USD'!P101</f>
        <v>0</v>
      </c>
      <c r="V13" s="258" t="e">
        <f t="shared" ref="V13:V18" si="10">+U13/$U$10</f>
        <v>#REF!</v>
      </c>
      <c r="W13" s="20">
        <f>+'DPL25 Summary USD'!R101</f>
        <v>0</v>
      </c>
      <c r="X13" s="258" t="e">
        <f t="shared" ref="X13:X18" si="11">+W13/$W$10</f>
        <v>#REF!</v>
      </c>
      <c r="Y13" s="179">
        <f>+S13+U13+W13</f>
        <v>0</v>
      </c>
      <c r="Z13" s="258" t="e">
        <f t="shared" ref="Z13:Z18" si="12">+Y13/$Y$10</f>
        <v>#REF!</v>
      </c>
      <c r="AA13" s="20">
        <f>+'DPL25 Summary USD'!T101</f>
        <v>0</v>
      </c>
      <c r="AB13" s="258" t="e">
        <f t="shared" ref="AB13:AB18" si="13">+AA13/$AA$10</f>
        <v>#REF!</v>
      </c>
      <c r="AC13" s="20">
        <f>+'DPL25 Summary USD'!V101</f>
        <v>0</v>
      </c>
      <c r="AD13" s="258" t="e">
        <f t="shared" si="0"/>
        <v>#REF!</v>
      </c>
      <c r="AE13" s="20">
        <f>+'DPL25 Summary USD'!X101</f>
        <v>0</v>
      </c>
      <c r="AF13" s="258" t="e">
        <f t="shared" ref="AF13:AF18" si="14">+AE13/$AE$10</f>
        <v>#REF!</v>
      </c>
      <c r="AG13" s="179">
        <f>+AA13+AC13+AE13</f>
        <v>0</v>
      </c>
      <c r="AH13" s="258" t="e">
        <f t="shared" ref="AH13:AH18" si="15">+AG13/$AG$10</f>
        <v>#REF!</v>
      </c>
      <c r="AI13" s="179">
        <f>+I13+Q13+Y13+AG13</f>
        <v>102</v>
      </c>
      <c r="AJ13" s="258" t="e">
        <f t="shared" ref="AJ13:AJ18" ca="1" si="16">+AI13/$AI$10</f>
        <v>#REF!</v>
      </c>
      <c r="AK13" s="20"/>
    </row>
    <row r="14" spans="2:37">
      <c r="B14" s="172" t="s">
        <v>425</v>
      </c>
      <c r="C14" s="20">
        <f ca="1">+'DPL25 Summary USD'!B102</f>
        <v>381</v>
      </c>
      <c r="D14" s="260">
        <f t="shared" ca="1" si="1"/>
        <v>0.13969999999999999</v>
      </c>
      <c r="E14" s="20">
        <f ca="1">+'DPL25 Summary USD'!D102</f>
        <v>67</v>
      </c>
      <c r="F14" s="260">
        <f t="shared" ca="1" si="2"/>
        <v>2.46E-2</v>
      </c>
      <c r="G14" s="20">
        <f ca="1">+'DPL25 Summary USD'!F102</f>
        <v>67</v>
      </c>
      <c r="H14" s="260">
        <f t="shared" ca="1" si="3"/>
        <v>2.46E-2</v>
      </c>
      <c r="I14" s="179">
        <f ca="1">+C14+E14+G14</f>
        <v>515</v>
      </c>
      <c r="J14" s="397">
        <f t="shared" ca="1" si="4"/>
        <v>0.06</v>
      </c>
      <c r="K14" s="20">
        <f ca="1">+'DPL25 Summary USD'!H102</f>
        <v>1844</v>
      </c>
      <c r="L14" s="258">
        <f t="shared" ca="1" si="5"/>
        <v>0.68</v>
      </c>
      <c r="M14" s="20">
        <f>+'DPL25 Summary USD'!J102</f>
        <v>0</v>
      </c>
      <c r="N14" s="258" t="e">
        <f t="shared" si="6"/>
        <v>#REF!</v>
      </c>
      <c r="O14" s="20">
        <f>+'DPL25 Summary USD'!L102</f>
        <v>0</v>
      </c>
      <c r="P14" s="258" t="e">
        <f t="shared" si="7"/>
        <v>#REF!</v>
      </c>
      <c r="Q14" s="179">
        <f ca="1">+K14+M14+O14</f>
        <v>1844</v>
      </c>
      <c r="R14" s="258" t="e">
        <f t="shared" ca="1" si="8"/>
        <v>#REF!</v>
      </c>
      <c r="S14" s="20">
        <f>+'DPL25 Summary USD'!N102</f>
        <v>0</v>
      </c>
      <c r="T14" s="258" t="e">
        <f t="shared" si="9"/>
        <v>#REF!</v>
      </c>
      <c r="U14" s="20">
        <f>+'DPL25 Summary USD'!P102</f>
        <v>0</v>
      </c>
      <c r="V14" s="258" t="e">
        <f t="shared" si="10"/>
        <v>#REF!</v>
      </c>
      <c r="W14" s="20">
        <f>+'DPL25 Summary USD'!R102</f>
        <v>0</v>
      </c>
      <c r="X14" s="258" t="e">
        <f t="shared" si="11"/>
        <v>#REF!</v>
      </c>
      <c r="Y14" s="179">
        <f>+S14+U14+W14</f>
        <v>0</v>
      </c>
      <c r="Z14" s="258" t="e">
        <f t="shared" si="12"/>
        <v>#REF!</v>
      </c>
      <c r="AA14" s="20">
        <f>+'DPL25 Summary USD'!T102</f>
        <v>0</v>
      </c>
      <c r="AB14" s="258" t="e">
        <f t="shared" si="13"/>
        <v>#REF!</v>
      </c>
      <c r="AC14" s="20">
        <f>+'DPL25 Summary USD'!V102</f>
        <v>0</v>
      </c>
      <c r="AD14" s="258" t="e">
        <f t="shared" si="0"/>
        <v>#REF!</v>
      </c>
      <c r="AE14" s="20">
        <f>+'DPL25 Summary USD'!X102</f>
        <v>0</v>
      </c>
      <c r="AF14" s="258" t="e">
        <f t="shared" si="14"/>
        <v>#REF!</v>
      </c>
      <c r="AG14" s="179">
        <f>+AA14+AC14+AE14</f>
        <v>0</v>
      </c>
      <c r="AH14" s="258" t="e">
        <f t="shared" si="15"/>
        <v>#REF!</v>
      </c>
      <c r="AI14" s="179">
        <f ca="1">+I14+Q14+Y14+AG14</f>
        <v>2359</v>
      </c>
      <c r="AJ14" s="258" t="e">
        <f t="shared" ca="1" si="16"/>
        <v>#REF!</v>
      </c>
      <c r="AK14" s="20"/>
    </row>
    <row r="15" spans="2:37">
      <c r="B15" s="172" t="s">
        <v>426</v>
      </c>
      <c r="C15" s="20">
        <f>+'DPL25 Summary USD'!B103</f>
        <v>0</v>
      </c>
      <c r="D15" s="260">
        <f t="shared" ca="1" si="1"/>
        <v>0</v>
      </c>
      <c r="E15" s="20">
        <f>+'DPL25 Summary USD'!D103</f>
        <v>0</v>
      </c>
      <c r="F15" s="260">
        <f t="shared" ca="1" si="2"/>
        <v>0</v>
      </c>
      <c r="G15" s="20">
        <f>+'DPL25 Summary USD'!F103</f>
        <v>0</v>
      </c>
      <c r="H15" s="260">
        <f t="shared" ca="1" si="3"/>
        <v>0</v>
      </c>
      <c r="I15" s="179">
        <f>+C15+E15+G15</f>
        <v>0</v>
      </c>
      <c r="J15" s="397">
        <f t="shared" ca="1" si="4"/>
        <v>0</v>
      </c>
      <c r="K15" s="20">
        <f>+'DPL25 Summary USD'!H103</f>
        <v>0</v>
      </c>
      <c r="L15" s="258">
        <f t="shared" ca="1" si="5"/>
        <v>0</v>
      </c>
      <c r="M15" s="20">
        <f>+'DPL25 Summary USD'!J103</f>
        <v>0</v>
      </c>
      <c r="N15" s="258" t="e">
        <f t="shared" si="6"/>
        <v>#REF!</v>
      </c>
      <c r="O15" s="20">
        <f>+'DPL25 Summary USD'!L103</f>
        <v>0</v>
      </c>
      <c r="P15" s="258" t="e">
        <f t="shared" si="7"/>
        <v>#REF!</v>
      </c>
      <c r="Q15" s="179">
        <f>+K15+M15+O15</f>
        <v>0</v>
      </c>
      <c r="R15" s="258" t="e">
        <f t="shared" ca="1" si="8"/>
        <v>#REF!</v>
      </c>
      <c r="S15" s="20">
        <f>+'DPL25 Summary USD'!N103</f>
        <v>0</v>
      </c>
      <c r="T15" s="258" t="e">
        <f t="shared" si="9"/>
        <v>#REF!</v>
      </c>
      <c r="U15" s="20">
        <f>+'DPL25 Summary USD'!P103</f>
        <v>0</v>
      </c>
      <c r="V15" s="258" t="e">
        <f t="shared" si="10"/>
        <v>#REF!</v>
      </c>
      <c r="W15" s="20">
        <f>+'DPL25 Summary USD'!R103</f>
        <v>0</v>
      </c>
      <c r="X15" s="258" t="e">
        <f t="shared" si="11"/>
        <v>#REF!</v>
      </c>
      <c r="Y15" s="179">
        <f>+S15+U15+W15</f>
        <v>0</v>
      </c>
      <c r="Z15" s="258" t="e">
        <f t="shared" si="12"/>
        <v>#REF!</v>
      </c>
      <c r="AA15" s="20">
        <f>+'DPL25 Summary USD'!T103</f>
        <v>0</v>
      </c>
      <c r="AB15" s="258" t="e">
        <f t="shared" si="13"/>
        <v>#REF!</v>
      </c>
      <c r="AC15" s="20">
        <f>+'DPL25 Summary USD'!V103</f>
        <v>0</v>
      </c>
      <c r="AD15" s="258" t="e">
        <f t="shared" si="0"/>
        <v>#REF!</v>
      </c>
      <c r="AE15" s="20">
        <f>+'DPL25 Summary USD'!X103</f>
        <v>0</v>
      </c>
      <c r="AF15" s="258" t="e">
        <f t="shared" si="14"/>
        <v>#REF!</v>
      </c>
      <c r="AG15" s="179">
        <f>+AA15+AC15+AE15</f>
        <v>0</v>
      </c>
      <c r="AH15" s="258" t="e">
        <f t="shared" si="15"/>
        <v>#REF!</v>
      </c>
      <c r="AI15" s="179">
        <f>+I15+Q15+Y15+AG15</f>
        <v>0</v>
      </c>
      <c r="AJ15" s="258" t="e">
        <f t="shared" ca="1" si="16"/>
        <v>#REF!</v>
      </c>
    </row>
    <row r="16" spans="2:37">
      <c r="B16" s="172" t="s">
        <v>427</v>
      </c>
      <c r="C16" s="20">
        <f>+'DPL25 Summary USD'!B104</f>
        <v>0</v>
      </c>
      <c r="D16" s="260">
        <f t="shared" ca="1" si="1"/>
        <v>0</v>
      </c>
      <c r="E16" s="20">
        <f>+'DPL25 Summary USD'!D104</f>
        <v>0</v>
      </c>
      <c r="F16" s="260">
        <f t="shared" ca="1" si="2"/>
        <v>0</v>
      </c>
      <c r="G16" s="20">
        <f>+'DPL25 Summary USD'!F104</f>
        <v>0</v>
      </c>
      <c r="H16" s="260">
        <f t="shared" ca="1" si="3"/>
        <v>0</v>
      </c>
      <c r="I16" s="179">
        <f>+C16+E16+G16</f>
        <v>0</v>
      </c>
      <c r="J16" s="397">
        <f t="shared" ca="1" si="4"/>
        <v>0</v>
      </c>
      <c r="K16" s="20">
        <f>+'DPL25 Summary USD'!H104</f>
        <v>0</v>
      </c>
      <c r="L16" s="258">
        <f t="shared" ca="1" si="5"/>
        <v>0</v>
      </c>
      <c r="M16" s="20">
        <f>+'DPL25 Summary USD'!J104</f>
        <v>0</v>
      </c>
      <c r="N16" s="258" t="e">
        <f t="shared" si="6"/>
        <v>#REF!</v>
      </c>
      <c r="O16" s="20">
        <f>+'DPL25 Summary USD'!L104</f>
        <v>0</v>
      </c>
      <c r="P16" s="258" t="e">
        <f t="shared" si="7"/>
        <v>#REF!</v>
      </c>
      <c r="Q16" s="179">
        <f>+K16+M16+O16</f>
        <v>0</v>
      </c>
      <c r="R16" s="258" t="e">
        <f t="shared" ca="1" si="8"/>
        <v>#REF!</v>
      </c>
      <c r="S16" s="20">
        <f>+'DPL25 Summary USD'!N104</f>
        <v>0</v>
      </c>
      <c r="T16" s="258" t="e">
        <f t="shared" si="9"/>
        <v>#REF!</v>
      </c>
      <c r="U16" s="20">
        <f>+'DPL25 Summary USD'!P104</f>
        <v>0</v>
      </c>
      <c r="V16" s="258" t="e">
        <f t="shared" si="10"/>
        <v>#REF!</v>
      </c>
      <c r="W16" s="20">
        <f>+'DPL25 Summary USD'!R104</f>
        <v>0</v>
      </c>
      <c r="X16" s="258" t="e">
        <f t="shared" si="11"/>
        <v>#REF!</v>
      </c>
      <c r="Y16" s="179">
        <f>+S16+U16+W16</f>
        <v>0</v>
      </c>
      <c r="Z16" s="258" t="e">
        <f t="shared" si="12"/>
        <v>#REF!</v>
      </c>
      <c r="AA16" s="20">
        <f>+'DPL25 Summary USD'!T104</f>
        <v>0</v>
      </c>
      <c r="AB16" s="258" t="e">
        <f t="shared" si="13"/>
        <v>#REF!</v>
      </c>
      <c r="AC16" s="20">
        <f>+'DPL25 Summary USD'!V104</f>
        <v>0</v>
      </c>
      <c r="AD16" s="258" t="e">
        <f t="shared" si="0"/>
        <v>#REF!</v>
      </c>
      <c r="AE16" s="20">
        <f>+'DPL25 Summary USD'!X104</f>
        <v>0</v>
      </c>
      <c r="AF16" s="258" t="e">
        <f t="shared" si="14"/>
        <v>#REF!</v>
      </c>
      <c r="AG16" s="179">
        <f>+AA16+AC16+AE16</f>
        <v>0</v>
      </c>
      <c r="AH16" s="258" t="e">
        <f t="shared" si="15"/>
        <v>#REF!</v>
      </c>
      <c r="AI16" s="179">
        <f>+I16+Q16+Y16+AG16</f>
        <v>0</v>
      </c>
      <c r="AJ16" s="258" t="e">
        <f t="shared" ca="1" si="16"/>
        <v>#REF!</v>
      </c>
    </row>
    <row r="17" spans="2:224">
      <c r="B17" s="1" t="s">
        <v>428</v>
      </c>
      <c r="C17" s="20">
        <f ca="1">+'DPL25 Summary USD'!B105</f>
        <v>64</v>
      </c>
      <c r="D17" s="260">
        <f t="shared" ca="1" si="1"/>
        <v>2.35E-2</v>
      </c>
      <c r="E17" s="20">
        <f ca="1">+'DPL25 Summary USD'!D105</f>
        <v>29</v>
      </c>
      <c r="F17" s="260">
        <f t="shared" ca="1" si="2"/>
        <v>1.06E-2</v>
      </c>
      <c r="G17" s="20">
        <f ca="1">+'DPL25 Summary USD'!F105</f>
        <v>29</v>
      </c>
      <c r="H17" s="260">
        <f t="shared" ca="1" si="3"/>
        <v>1.06E-2</v>
      </c>
      <c r="I17" s="179">
        <f ca="1">+C17+E17+G17</f>
        <v>122</v>
      </c>
      <c r="J17" s="397">
        <f t="shared" ca="1" si="4"/>
        <v>0.01</v>
      </c>
      <c r="K17" s="20">
        <f ca="1">+'DPL25 Summary USD'!H105</f>
        <v>204</v>
      </c>
      <c r="L17" s="258">
        <f t="shared" ca="1" si="5"/>
        <v>7.0000000000000007E-2</v>
      </c>
      <c r="M17" s="20">
        <f>+'DPL25 Summary USD'!J105</f>
        <v>0</v>
      </c>
      <c r="N17" s="258" t="e">
        <f t="shared" si="6"/>
        <v>#REF!</v>
      </c>
      <c r="O17" s="20">
        <f>+'DPL25 Summary USD'!L105</f>
        <v>0</v>
      </c>
      <c r="P17" s="258" t="e">
        <f t="shared" si="7"/>
        <v>#REF!</v>
      </c>
      <c r="Q17" s="179">
        <f ca="1">+K17+M17+O17</f>
        <v>204</v>
      </c>
      <c r="R17" s="258" t="e">
        <f t="shared" ca="1" si="8"/>
        <v>#REF!</v>
      </c>
      <c r="S17" s="20">
        <f>+'DPL25 Summary USD'!N105</f>
        <v>0</v>
      </c>
      <c r="T17" s="258" t="e">
        <f t="shared" si="9"/>
        <v>#REF!</v>
      </c>
      <c r="U17" s="20">
        <f>+'DPL25 Summary USD'!P105</f>
        <v>0</v>
      </c>
      <c r="V17" s="258" t="e">
        <f t="shared" si="10"/>
        <v>#REF!</v>
      </c>
      <c r="W17" s="20">
        <f>+'DPL25 Summary USD'!R105</f>
        <v>0</v>
      </c>
      <c r="X17" s="258" t="e">
        <f t="shared" si="11"/>
        <v>#REF!</v>
      </c>
      <c r="Y17" s="179">
        <f>+S17+U17+W17</f>
        <v>0</v>
      </c>
      <c r="Z17" s="258" t="e">
        <f t="shared" si="12"/>
        <v>#REF!</v>
      </c>
      <c r="AA17" s="20">
        <f>+'DPL25 Summary USD'!T105</f>
        <v>0</v>
      </c>
      <c r="AB17" s="258" t="e">
        <f t="shared" si="13"/>
        <v>#REF!</v>
      </c>
      <c r="AC17" s="20">
        <f>+'DPL25 Summary USD'!V105</f>
        <v>0</v>
      </c>
      <c r="AD17" s="258" t="e">
        <f t="shared" si="0"/>
        <v>#REF!</v>
      </c>
      <c r="AE17" s="20">
        <f>+'DPL25 Summary USD'!X105</f>
        <v>0</v>
      </c>
      <c r="AF17" s="258" t="e">
        <f t="shared" si="14"/>
        <v>#REF!</v>
      </c>
      <c r="AG17" s="179">
        <f>+AA17+AC17+AE17</f>
        <v>0</v>
      </c>
      <c r="AH17" s="258" t="e">
        <f t="shared" si="15"/>
        <v>#REF!</v>
      </c>
      <c r="AI17" s="179">
        <f ca="1">+I17+Q17+Y17+AG17</f>
        <v>326</v>
      </c>
      <c r="AJ17" s="258" t="e">
        <f t="shared" ca="1" si="16"/>
        <v>#REF!</v>
      </c>
    </row>
    <row r="18" spans="2:224" ht="13.5" thickBot="1">
      <c r="C18" s="173">
        <f ca="1">SUM(C13:C17)</f>
        <v>475</v>
      </c>
      <c r="D18" s="258">
        <f t="shared" ca="1" si="1"/>
        <v>0.17</v>
      </c>
      <c r="E18" s="173">
        <f t="shared" ref="E18:AI18" ca="1" si="17">SUM(E13:E17)</f>
        <v>126</v>
      </c>
      <c r="F18" s="258">
        <f t="shared" ca="1" si="2"/>
        <v>0.05</v>
      </c>
      <c r="G18" s="173">
        <f t="shared" ca="1" si="17"/>
        <v>126</v>
      </c>
      <c r="H18" s="258">
        <f t="shared" ca="1" si="3"/>
        <v>0.05</v>
      </c>
      <c r="I18" s="205">
        <f t="shared" ca="1" si="17"/>
        <v>727</v>
      </c>
      <c r="J18" s="397">
        <f t="shared" ca="1" si="4"/>
        <v>0.09</v>
      </c>
      <c r="K18" s="173">
        <f t="shared" ca="1" si="17"/>
        <v>2060</v>
      </c>
      <c r="L18" s="258">
        <f t="shared" ca="1" si="5"/>
        <v>0.76</v>
      </c>
      <c r="M18" s="173">
        <f t="shared" si="17"/>
        <v>0</v>
      </c>
      <c r="N18" s="258" t="e">
        <f t="shared" si="6"/>
        <v>#REF!</v>
      </c>
      <c r="O18" s="173">
        <f t="shared" si="17"/>
        <v>0</v>
      </c>
      <c r="P18" s="258" t="e">
        <f t="shared" si="7"/>
        <v>#REF!</v>
      </c>
      <c r="Q18" s="205">
        <f t="shared" ca="1" si="17"/>
        <v>2060</v>
      </c>
      <c r="R18" s="258" t="e">
        <f t="shared" ca="1" si="8"/>
        <v>#REF!</v>
      </c>
      <c r="S18" s="173">
        <f t="shared" si="17"/>
        <v>0</v>
      </c>
      <c r="T18" s="258" t="e">
        <f t="shared" si="9"/>
        <v>#REF!</v>
      </c>
      <c r="U18" s="173">
        <f t="shared" si="17"/>
        <v>0</v>
      </c>
      <c r="V18" s="258" t="e">
        <f t="shared" si="10"/>
        <v>#REF!</v>
      </c>
      <c r="W18" s="173">
        <f t="shared" si="17"/>
        <v>0</v>
      </c>
      <c r="X18" s="258" t="e">
        <f t="shared" si="11"/>
        <v>#REF!</v>
      </c>
      <c r="Y18" s="205">
        <f t="shared" si="17"/>
        <v>0</v>
      </c>
      <c r="Z18" s="258" t="e">
        <f t="shared" si="12"/>
        <v>#REF!</v>
      </c>
      <c r="AA18" s="173">
        <f t="shared" si="17"/>
        <v>0</v>
      </c>
      <c r="AB18" s="258" t="e">
        <f t="shared" si="13"/>
        <v>#REF!</v>
      </c>
      <c r="AC18" s="173">
        <f t="shared" si="17"/>
        <v>0</v>
      </c>
      <c r="AD18" s="258" t="e">
        <f t="shared" si="0"/>
        <v>#REF!</v>
      </c>
      <c r="AE18" s="173">
        <f t="shared" si="17"/>
        <v>0</v>
      </c>
      <c r="AF18" s="258" t="e">
        <f t="shared" si="14"/>
        <v>#REF!</v>
      </c>
      <c r="AG18" s="205">
        <f t="shared" si="17"/>
        <v>0</v>
      </c>
      <c r="AH18" s="258" t="e">
        <f t="shared" si="15"/>
        <v>#REF!</v>
      </c>
      <c r="AI18" s="205">
        <f t="shared" ca="1" si="17"/>
        <v>2787</v>
      </c>
      <c r="AJ18" s="258" t="e">
        <f t="shared" ca="1" si="16"/>
        <v>#REF!</v>
      </c>
    </row>
    <row r="19" spans="2:224" ht="20.100000000000001" customHeight="1">
      <c r="B19" s="49" t="s">
        <v>58</v>
      </c>
      <c r="C19" s="50">
        <f ca="1">IF(C$10=0,0,(C10-C18)/C$10)</f>
        <v>0.83</v>
      </c>
      <c r="D19" s="50"/>
      <c r="E19" s="50">
        <f ca="1">IF(E$10=0,0,(E10-E18)/E$10)</f>
        <v>0.95</v>
      </c>
      <c r="F19" s="214"/>
      <c r="G19" s="50">
        <f ca="1">IF(G$10=0,0,(G10-G18)/G$10)</f>
        <v>0.95</v>
      </c>
      <c r="H19" s="214"/>
      <c r="I19" s="206">
        <f ca="1">IF(I$10=0,0,(I10-I18)/I$10)</f>
        <v>0.91</v>
      </c>
      <c r="J19" s="214"/>
      <c r="K19" s="50">
        <f t="shared" ref="K19:AI19" ca="1" si="18">IF(K$10=0,0,(K10-K18)/K$10)</f>
        <v>0.24</v>
      </c>
      <c r="L19" s="50"/>
      <c r="M19" s="50" t="e">
        <f t="shared" si="18"/>
        <v>#REF!</v>
      </c>
      <c r="N19" s="50"/>
      <c r="O19" s="50" t="e">
        <f t="shared" si="18"/>
        <v>#REF!</v>
      </c>
      <c r="P19" s="50"/>
      <c r="Q19" s="206" t="e">
        <f t="shared" ca="1" si="18"/>
        <v>#REF!</v>
      </c>
      <c r="R19" s="214"/>
      <c r="S19" s="50" t="e">
        <f t="shared" si="18"/>
        <v>#REF!</v>
      </c>
      <c r="T19" s="214"/>
      <c r="U19" s="50" t="e">
        <f t="shared" si="18"/>
        <v>#REF!</v>
      </c>
      <c r="V19" s="214"/>
      <c r="W19" s="50" t="e">
        <f t="shared" si="18"/>
        <v>#REF!</v>
      </c>
      <c r="X19" s="50"/>
      <c r="Y19" s="359" t="e">
        <f t="shared" si="18"/>
        <v>#REF!</v>
      </c>
      <c r="Z19" s="398"/>
      <c r="AA19" s="50" t="e">
        <f t="shared" si="18"/>
        <v>#REF!</v>
      </c>
      <c r="AB19" s="50"/>
      <c r="AC19" s="50" t="e">
        <f t="shared" si="18"/>
        <v>#REF!</v>
      </c>
      <c r="AD19" s="50"/>
      <c r="AE19" s="50" t="e">
        <f t="shared" si="18"/>
        <v>#REF!</v>
      </c>
      <c r="AF19" s="50"/>
      <c r="AG19" s="206" t="e">
        <f t="shared" si="18"/>
        <v>#REF!</v>
      </c>
      <c r="AH19" s="214"/>
      <c r="AI19" s="206" t="e">
        <f t="shared" ca="1" si="18"/>
        <v>#REF!</v>
      </c>
      <c r="AJ19" s="20"/>
    </row>
    <row r="20" spans="2:224">
      <c r="B20" s="21" t="s">
        <v>429</v>
      </c>
      <c r="I20" s="187"/>
      <c r="Y20" s="187"/>
      <c r="AJ20" s="8"/>
    </row>
    <row r="21" spans="2:224">
      <c r="B21" s="172" t="s">
        <v>424</v>
      </c>
      <c r="C21" s="20">
        <f>+'DPL25 Summary USD'!B111</f>
        <v>1000</v>
      </c>
      <c r="D21" s="260">
        <f t="shared" ref="D21:D27" ca="1" si="19">+C21/$C$10</f>
        <v>0.36659999999999998</v>
      </c>
      <c r="E21" s="20">
        <f>+'DPL25 Summary USD'!D111</f>
        <v>1000</v>
      </c>
      <c r="F21" s="260">
        <f t="shared" ref="F21:F27" ca="1" si="20">+E21/$E$10</f>
        <v>0.36659999999999998</v>
      </c>
      <c r="G21" s="20">
        <f>+'DPL25 Summary USD'!F111</f>
        <v>1000</v>
      </c>
      <c r="H21" s="260">
        <f t="shared" ref="H21:H27" ca="1" si="21">+G21/$G$10</f>
        <v>0.36659999999999998</v>
      </c>
      <c r="I21" s="179">
        <f t="shared" ref="I21:I26" si="22">+C21+E21+G21</f>
        <v>3000</v>
      </c>
      <c r="J21" s="397">
        <f t="shared" ref="J21:J27" ca="1" si="23">+I21/$I$10</f>
        <v>0.37</v>
      </c>
      <c r="K21" s="20">
        <f>+'DPL25 Summary USD'!H111</f>
        <v>1000</v>
      </c>
      <c r="L21" s="258">
        <f t="shared" ref="L21:L27" ca="1" si="24">+K21/$K$10</f>
        <v>0.37</v>
      </c>
      <c r="M21" s="20">
        <f>+'DPL25 Summary USD'!J111</f>
        <v>1000</v>
      </c>
      <c r="N21" s="258" t="e">
        <f t="shared" ref="N21:N27" si="25">+M21/$M$10</f>
        <v>#REF!</v>
      </c>
      <c r="O21" s="20">
        <f>+'DPL25 Summary USD'!L111</f>
        <v>1000</v>
      </c>
      <c r="P21" s="258" t="e">
        <f t="shared" ref="P21:P27" si="26">+O21/$O$10</f>
        <v>#REF!</v>
      </c>
      <c r="Q21" s="179">
        <f t="shared" ref="Q21:Q26" si="27">+K21+M21+O21</f>
        <v>3000</v>
      </c>
      <c r="R21" s="258" t="e">
        <f t="shared" ref="R21:R27" ca="1" si="28">+Q21/$Q$10</f>
        <v>#REF!</v>
      </c>
      <c r="S21" s="20">
        <f>+'DPL25 Summary USD'!N111</f>
        <v>1000</v>
      </c>
      <c r="T21" s="258" t="e">
        <f t="shared" ref="T21:T27" si="29">+S21/$S$10</f>
        <v>#REF!</v>
      </c>
      <c r="U21" s="20">
        <f>+'DPL25 Summary USD'!P111</f>
        <v>1000</v>
      </c>
      <c r="V21" s="258" t="e">
        <f t="shared" ref="V21:V27" si="30">+U21/$U$10</f>
        <v>#REF!</v>
      </c>
      <c r="W21" s="20">
        <f>+'DPL25 Summary USD'!R111</f>
        <v>1000</v>
      </c>
      <c r="X21" s="258" t="e">
        <f t="shared" ref="X21:X27" si="31">+W21/$W$10</f>
        <v>#REF!</v>
      </c>
      <c r="Y21" s="179">
        <f t="shared" ref="Y21:Y26" si="32">+S21+U21+W21</f>
        <v>3000</v>
      </c>
      <c r="Z21" s="258" t="e">
        <f t="shared" ref="Z21:Z27" si="33">+Y21/$Y$10</f>
        <v>#REF!</v>
      </c>
      <c r="AA21" s="20">
        <f>+'DPL25 Summary USD'!T111</f>
        <v>1000</v>
      </c>
      <c r="AB21" s="258" t="e">
        <f t="shared" ref="AB21:AB27" si="34">+AA21/$AA$10</f>
        <v>#REF!</v>
      </c>
      <c r="AC21" s="20">
        <f>+'DPL25 Summary USD'!V111</f>
        <v>1000</v>
      </c>
      <c r="AD21" s="258" t="e">
        <f t="shared" ref="AD21:AD27" si="35">+AC21/$AC$10</f>
        <v>#REF!</v>
      </c>
      <c r="AE21" s="20">
        <f>+'DPL25 Summary USD'!X111</f>
        <v>1000</v>
      </c>
      <c r="AF21" s="258" t="e">
        <f t="shared" ref="AF21:AF27" si="36">+AE21/$AE$10</f>
        <v>#REF!</v>
      </c>
      <c r="AG21" s="179">
        <f t="shared" ref="AG21:AG26" si="37">+AA21+AC21+AE21</f>
        <v>3000</v>
      </c>
      <c r="AH21" s="258" t="e">
        <f t="shared" ref="AH21:AH27" si="38">+AG21/$AG$10</f>
        <v>#REF!</v>
      </c>
      <c r="AI21" s="179">
        <f t="shared" ref="AI21:AI26" si="39">+I21+Q21+Y21+AG21</f>
        <v>12000</v>
      </c>
      <c r="AJ21" s="258" t="e">
        <f t="shared" ref="AJ21:AJ27" ca="1" si="40">+AI21/$AI$10</f>
        <v>#REF!</v>
      </c>
    </row>
    <row r="22" spans="2:224">
      <c r="B22" s="172" t="s">
        <v>64</v>
      </c>
      <c r="C22" s="20">
        <f>+'DPL25 Summary USD'!B112</f>
        <v>0</v>
      </c>
      <c r="D22" s="260">
        <f t="shared" ca="1" si="19"/>
        <v>0</v>
      </c>
      <c r="E22" s="20">
        <f>+'DPL25 Summary USD'!D112</f>
        <v>0</v>
      </c>
      <c r="F22" s="260">
        <f t="shared" ca="1" si="20"/>
        <v>0</v>
      </c>
      <c r="G22" s="20">
        <f>+'DPL25 Summary USD'!F112</f>
        <v>0</v>
      </c>
      <c r="H22" s="260">
        <f t="shared" ca="1" si="21"/>
        <v>0</v>
      </c>
      <c r="I22" s="179">
        <f t="shared" si="22"/>
        <v>0</v>
      </c>
      <c r="J22" s="397">
        <f t="shared" ca="1" si="23"/>
        <v>0</v>
      </c>
      <c r="K22" s="20">
        <f>+'DPL25 Summary USD'!H112</f>
        <v>0</v>
      </c>
      <c r="L22" s="258">
        <f t="shared" ca="1" si="24"/>
        <v>0</v>
      </c>
      <c r="M22" s="20">
        <f>+'DPL25 Summary USD'!J112</f>
        <v>0</v>
      </c>
      <c r="N22" s="258" t="e">
        <f t="shared" si="25"/>
        <v>#REF!</v>
      </c>
      <c r="O22" s="20">
        <f>+'DPL25 Summary USD'!L112</f>
        <v>0</v>
      </c>
      <c r="P22" s="258" t="e">
        <f t="shared" si="26"/>
        <v>#REF!</v>
      </c>
      <c r="Q22" s="179">
        <f t="shared" si="27"/>
        <v>0</v>
      </c>
      <c r="R22" s="258" t="e">
        <f t="shared" ca="1" si="28"/>
        <v>#REF!</v>
      </c>
      <c r="S22" s="20">
        <f>+'DPL25 Summary USD'!N112</f>
        <v>0</v>
      </c>
      <c r="T22" s="258" t="e">
        <f t="shared" si="29"/>
        <v>#REF!</v>
      </c>
      <c r="U22" s="20">
        <f>+'DPL25 Summary USD'!P112</f>
        <v>0</v>
      </c>
      <c r="V22" s="258" t="e">
        <f t="shared" si="30"/>
        <v>#REF!</v>
      </c>
      <c r="W22" s="20">
        <f>+'DPL25 Summary USD'!R112</f>
        <v>0</v>
      </c>
      <c r="X22" s="258" t="e">
        <f t="shared" si="31"/>
        <v>#REF!</v>
      </c>
      <c r="Y22" s="179">
        <f t="shared" si="32"/>
        <v>0</v>
      </c>
      <c r="Z22" s="258" t="e">
        <f t="shared" si="33"/>
        <v>#REF!</v>
      </c>
      <c r="AA22" s="20">
        <f>+'DPL25 Summary USD'!T112</f>
        <v>0</v>
      </c>
      <c r="AB22" s="258" t="e">
        <f t="shared" si="34"/>
        <v>#REF!</v>
      </c>
      <c r="AC22" s="20">
        <f>+'DPL25 Summary USD'!V112</f>
        <v>0</v>
      </c>
      <c r="AD22" s="258" t="e">
        <f t="shared" si="35"/>
        <v>#REF!</v>
      </c>
      <c r="AE22" s="20">
        <f>+'DPL25 Summary USD'!X112</f>
        <v>0</v>
      </c>
      <c r="AF22" s="258" t="e">
        <f t="shared" si="36"/>
        <v>#REF!</v>
      </c>
      <c r="AG22" s="179">
        <f t="shared" si="37"/>
        <v>0</v>
      </c>
      <c r="AH22" s="258" t="e">
        <f t="shared" si="38"/>
        <v>#REF!</v>
      </c>
      <c r="AI22" s="179">
        <f t="shared" si="39"/>
        <v>0</v>
      </c>
      <c r="AJ22" s="258" t="e">
        <f t="shared" ca="1" si="40"/>
        <v>#REF!</v>
      </c>
    </row>
    <row r="23" spans="2:224">
      <c r="B23" s="172" t="s">
        <v>430</v>
      </c>
      <c r="C23" s="20">
        <f>+'DPL25 Summary USD'!B113</f>
        <v>0</v>
      </c>
      <c r="D23" s="260">
        <f t="shared" ca="1" si="19"/>
        <v>0</v>
      </c>
      <c r="E23" s="20">
        <f>+'DPL25 Summary USD'!D113</f>
        <v>0</v>
      </c>
      <c r="F23" s="260">
        <f t="shared" ca="1" si="20"/>
        <v>0</v>
      </c>
      <c r="G23" s="20">
        <f>+'DPL25 Summary USD'!F113</f>
        <v>0</v>
      </c>
      <c r="H23" s="260">
        <f t="shared" ca="1" si="21"/>
        <v>0</v>
      </c>
      <c r="I23" s="179">
        <f t="shared" si="22"/>
        <v>0</v>
      </c>
      <c r="J23" s="397">
        <f t="shared" ca="1" si="23"/>
        <v>0</v>
      </c>
      <c r="K23" s="20">
        <f>+'DPL25 Summary USD'!H113</f>
        <v>0</v>
      </c>
      <c r="L23" s="258">
        <f t="shared" ca="1" si="24"/>
        <v>0</v>
      </c>
      <c r="M23" s="20">
        <f>+'DPL25 Summary USD'!J113</f>
        <v>0</v>
      </c>
      <c r="N23" s="258" t="e">
        <f t="shared" si="25"/>
        <v>#REF!</v>
      </c>
      <c r="O23" s="20">
        <f>+'DPL25 Summary USD'!L113</f>
        <v>0</v>
      </c>
      <c r="P23" s="258" t="e">
        <f t="shared" si="26"/>
        <v>#REF!</v>
      </c>
      <c r="Q23" s="179">
        <f t="shared" si="27"/>
        <v>0</v>
      </c>
      <c r="R23" s="258" t="e">
        <f t="shared" ca="1" si="28"/>
        <v>#REF!</v>
      </c>
      <c r="S23" s="20">
        <f>+'DPL25 Summary USD'!N113</f>
        <v>0</v>
      </c>
      <c r="T23" s="258" t="e">
        <f t="shared" si="29"/>
        <v>#REF!</v>
      </c>
      <c r="U23" s="20">
        <f>+'DPL25 Summary USD'!P113</f>
        <v>0</v>
      </c>
      <c r="V23" s="258" t="e">
        <f t="shared" si="30"/>
        <v>#REF!</v>
      </c>
      <c r="W23" s="20">
        <f>+'DPL25 Summary USD'!R113</f>
        <v>0</v>
      </c>
      <c r="X23" s="258" t="e">
        <f t="shared" si="31"/>
        <v>#REF!</v>
      </c>
      <c r="Y23" s="179">
        <f t="shared" si="32"/>
        <v>0</v>
      </c>
      <c r="Z23" s="258" t="e">
        <f t="shared" si="33"/>
        <v>#REF!</v>
      </c>
      <c r="AA23" s="20">
        <f>+'DPL25 Summary USD'!T113</f>
        <v>0</v>
      </c>
      <c r="AB23" s="258" t="e">
        <f t="shared" si="34"/>
        <v>#REF!</v>
      </c>
      <c r="AC23" s="20">
        <f>+'DPL25 Summary USD'!V113</f>
        <v>0</v>
      </c>
      <c r="AD23" s="258" t="e">
        <f t="shared" si="35"/>
        <v>#REF!</v>
      </c>
      <c r="AE23" s="20">
        <f>+'DPL25 Summary USD'!X113</f>
        <v>0</v>
      </c>
      <c r="AF23" s="258" t="e">
        <f t="shared" si="36"/>
        <v>#REF!</v>
      </c>
      <c r="AG23" s="179">
        <f t="shared" si="37"/>
        <v>0</v>
      </c>
      <c r="AH23" s="258" t="e">
        <f t="shared" si="38"/>
        <v>#REF!</v>
      </c>
      <c r="AI23" s="179">
        <f t="shared" si="39"/>
        <v>0</v>
      </c>
      <c r="AJ23" s="258" t="e">
        <f t="shared" ca="1" si="40"/>
        <v>#REF!</v>
      </c>
    </row>
    <row r="24" spans="2:224">
      <c r="B24" s="172" t="s">
        <v>63</v>
      </c>
      <c r="C24" s="20">
        <f>+'DPL25 Summary USD'!B114</f>
        <v>50</v>
      </c>
      <c r="D24" s="260">
        <f t="shared" ca="1" si="19"/>
        <v>1.83E-2</v>
      </c>
      <c r="E24" s="20">
        <f>+'DPL25 Summary USD'!D114</f>
        <v>50</v>
      </c>
      <c r="F24" s="260">
        <f t="shared" ca="1" si="20"/>
        <v>1.83E-2</v>
      </c>
      <c r="G24" s="20">
        <f>+'DPL25 Summary USD'!F114</f>
        <v>50</v>
      </c>
      <c r="H24" s="260">
        <f t="shared" ca="1" si="21"/>
        <v>1.83E-2</v>
      </c>
      <c r="I24" s="179">
        <f t="shared" si="22"/>
        <v>150</v>
      </c>
      <c r="J24" s="397">
        <f t="shared" ca="1" si="23"/>
        <v>0.02</v>
      </c>
      <c r="K24" s="20">
        <f>+'DPL25 Summary USD'!H114</f>
        <v>50</v>
      </c>
      <c r="L24" s="258">
        <f t="shared" ca="1" si="24"/>
        <v>0.02</v>
      </c>
      <c r="M24" s="20">
        <f>+'DPL25 Summary USD'!J114</f>
        <v>50</v>
      </c>
      <c r="N24" s="258" t="e">
        <f t="shared" si="25"/>
        <v>#REF!</v>
      </c>
      <c r="O24" s="20">
        <f>+'DPL25 Summary USD'!L114</f>
        <v>50</v>
      </c>
      <c r="P24" s="258" t="e">
        <f t="shared" si="26"/>
        <v>#REF!</v>
      </c>
      <c r="Q24" s="179">
        <f t="shared" si="27"/>
        <v>150</v>
      </c>
      <c r="R24" s="258" t="e">
        <f t="shared" ca="1" si="28"/>
        <v>#REF!</v>
      </c>
      <c r="S24" s="20">
        <f>+'DPL25 Summary USD'!N114</f>
        <v>50</v>
      </c>
      <c r="T24" s="258" t="e">
        <f t="shared" si="29"/>
        <v>#REF!</v>
      </c>
      <c r="U24" s="20">
        <f>+'DPL25 Summary USD'!P114</f>
        <v>50</v>
      </c>
      <c r="V24" s="258" t="e">
        <f t="shared" si="30"/>
        <v>#REF!</v>
      </c>
      <c r="W24" s="20">
        <f>+'DPL25 Summary USD'!R114</f>
        <v>50</v>
      </c>
      <c r="X24" s="258" t="e">
        <f t="shared" si="31"/>
        <v>#REF!</v>
      </c>
      <c r="Y24" s="179">
        <f t="shared" si="32"/>
        <v>150</v>
      </c>
      <c r="Z24" s="258" t="e">
        <f t="shared" si="33"/>
        <v>#REF!</v>
      </c>
      <c r="AA24" s="20">
        <f>+'DPL25 Summary USD'!T114</f>
        <v>50</v>
      </c>
      <c r="AB24" s="258" t="e">
        <f t="shared" si="34"/>
        <v>#REF!</v>
      </c>
      <c r="AC24" s="20">
        <f>+'DPL25 Summary USD'!V114</f>
        <v>50</v>
      </c>
      <c r="AD24" s="258" t="e">
        <f t="shared" si="35"/>
        <v>#REF!</v>
      </c>
      <c r="AE24" s="20">
        <f>+'DPL25 Summary USD'!X114</f>
        <v>50</v>
      </c>
      <c r="AF24" s="258" t="e">
        <f t="shared" si="36"/>
        <v>#REF!</v>
      </c>
      <c r="AG24" s="179">
        <f t="shared" si="37"/>
        <v>150</v>
      </c>
      <c r="AH24" s="258" t="e">
        <f t="shared" si="38"/>
        <v>#REF!</v>
      </c>
      <c r="AI24" s="179">
        <f t="shared" si="39"/>
        <v>600</v>
      </c>
      <c r="AJ24" s="258" t="e">
        <f t="shared" ca="1" si="40"/>
        <v>#REF!</v>
      </c>
    </row>
    <row r="25" spans="2:224">
      <c r="B25" s="172" t="s">
        <v>431</v>
      </c>
      <c r="C25" s="20">
        <f>+'DPL25 Summary USD'!B115</f>
        <v>0</v>
      </c>
      <c r="D25" s="260">
        <f t="shared" ca="1" si="19"/>
        <v>0</v>
      </c>
      <c r="E25" s="20">
        <f>+'DPL25 Summary USD'!D115</f>
        <v>0</v>
      </c>
      <c r="F25" s="260">
        <f t="shared" ca="1" si="20"/>
        <v>0</v>
      </c>
      <c r="G25" s="20">
        <f>+'DPL25 Summary USD'!F115</f>
        <v>0</v>
      </c>
      <c r="H25" s="260">
        <f t="shared" ca="1" si="21"/>
        <v>0</v>
      </c>
      <c r="I25" s="179">
        <f t="shared" si="22"/>
        <v>0</v>
      </c>
      <c r="J25" s="397">
        <f t="shared" ca="1" si="23"/>
        <v>0</v>
      </c>
      <c r="K25" s="20">
        <f>+'DPL25 Summary USD'!H115</f>
        <v>0</v>
      </c>
      <c r="L25" s="258">
        <f t="shared" ca="1" si="24"/>
        <v>0</v>
      </c>
      <c r="M25" s="20">
        <f>+'DPL25 Summary USD'!J115</f>
        <v>0</v>
      </c>
      <c r="N25" s="258" t="e">
        <f t="shared" si="25"/>
        <v>#REF!</v>
      </c>
      <c r="O25" s="20">
        <f>+'DPL25 Summary USD'!L115</f>
        <v>0</v>
      </c>
      <c r="P25" s="258" t="e">
        <f t="shared" si="26"/>
        <v>#REF!</v>
      </c>
      <c r="Q25" s="179">
        <f t="shared" si="27"/>
        <v>0</v>
      </c>
      <c r="R25" s="258" t="e">
        <f t="shared" ca="1" si="28"/>
        <v>#REF!</v>
      </c>
      <c r="S25" s="20">
        <f>+'DPL25 Summary USD'!N115</f>
        <v>0</v>
      </c>
      <c r="T25" s="258" t="e">
        <f t="shared" si="29"/>
        <v>#REF!</v>
      </c>
      <c r="U25" s="20">
        <f>+'DPL25 Summary USD'!P115</f>
        <v>0</v>
      </c>
      <c r="V25" s="258" t="e">
        <f t="shared" si="30"/>
        <v>#REF!</v>
      </c>
      <c r="W25" s="20">
        <f>+'DPL25 Summary USD'!R115</f>
        <v>0</v>
      </c>
      <c r="X25" s="258" t="e">
        <f t="shared" si="31"/>
        <v>#REF!</v>
      </c>
      <c r="Y25" s="179">
        <f t="shared" si="32"/>
        <v>0</v>
      </c>
      <c r="Z25" s="258" t="e">
        <f t="shared" si="33"/>
        <v>#REF!</v>
      </c>
      <c r="AA25" s="20">
        <f>+'DPL25 Summary USD'!T115</f>
        <v>0</v>
      </c>
      <c r="AB25" s="258" t="e">
        <f t="shared" si="34"/>
        <v>#REF!</v>
      </c>
      <c r="AC25" s="20">
        <f>+'DPL25 Summary USD'!V115</f>
        <v>0</v>
      </c>
      <c r="AD25" s="258" t="e">
        <f t="shared" si="35"/>
        <v>#REF!</v>
      </c>
      <c r="AE25" s="20">
        <f>+'DPL25 Summary USD'!X115</f>
        <v>0</v>
      </c>
      <c r="AF25" s="258" t="e">
        <f t="shared" si="36"/>
        <v>#REF!</v>
      </c>
      <c r="AG25" s="179">
        <f t="shared" si="37"/>
        <v>0</v>
      </c>
      <c r="AH25" s="258" t="e">
        <f t="shared" si="38"/>
        <v>#REF!</v>
      </c>
      <c r="AI25" s="179">
        <f t="shared" si="39"/>
        <v>0</v>
      </c>
      <c r="AJ25" s="258" t="e">
        <f t="shared" ca="1" si="40"/>
        <v>#REF!</v>
      </c>
    </row>
    <row r="26" spans="2:224">
      <c r="B26" s="172" t="s">
        <v>427</v>
      </c>
      <c r="C26" s="20">
        <f>+'DPL25 Summary USD'!B116</f>
        <v>0</v>
      </c>
      <c r="D26" s="260">
        <f t="shared" ca="1" si="19"/>
        <v>0</v>
      </c>
      <c r="E26" s="20">
        <f>+'DPL25 Summary USD'!D116</f>
        <v>0</v>
      </c>
      <c r="F26" s="260">
        <f t="shared" ca="1" si="20"/>
        <v>0</v>
      </c>
      <c r="G26" s="20">
        <f>+'DPL25 Summary USD'!F116</f>
        <v>0</v>
      </c>
      <c r="H26" s="260">
        <f t="shared" ca="1" si="21"/>
        <v>0</v>
      </c>
      <c r="I26" s="179">
        <f t="shared" si="22"/>
        <v>0</v>
      </c>
      <c r="J26" s="397">
        <f t="shared" ca="1" si="23"/>
        <v>0</v>
      </c>
      <c r="K26" s="20">
        <f>+'DPL25 Summary USD'!H116</f>
        <v>0</v>
      </c>
      <c r="L26" s="258">
        <f t="shared" ca="1" si="24"/>
        <v>0</v>
      </c>
      <c r="M26" s="20">
        <f>+'DPL25 Summary USD'!J116</f>
        <v>0</v>
      </c>
      <c r="N26" s="258" t="e">
        <f t="shared" si="25"/>
        <v>#REF!</v>
      </c>
      <c r="O26" s="20">
        <f>+'DPL25 Summary USD'!L116</f>
        <v>0</v>
      </c>
      <c r="P26" s="258" t="e">
        <f t="shared" si="26"/>
        <v>#REF!</v>
      </c>
      <c r="Q26" s="179">
        <f t="shared" si="27"/>
        <v>0</v>
      </c>
      <c r="R26" s="258" t="e">
        <f t="shared" ca="1" si="28"/>
        <v>#REF!</v>
      </c>
      <c r="S26" s="20">
        <f>+'DPL25 Summary USD'!N116</f>
        <v>0</v>
      </c>
      <c r="T26" s="258" t="e">
        <f t="shared" si="29"/>
        <v>#REF!</v>
      </c>
      <c r="U26" s="20">
        <f>+'DPL25 Summary USD'!P116</f>
        <v>0</v>
      </c>
      <c r="V26" s="258" t="e">
        <f t="shared" si="30"/>
        <v>#REF!</v>
      </c>
      <c r="W26" s="20">
        <f>+'DPL25 Summary USD'!R116</f>
        <v>0</v>
      </c>
      <c r="X26" s="258" t="e">
        <f t="shared" si="31"/>
        <v>#REF!</v>
      </c>
      <c r="Y26" s="179">
        <f t="shared" si="32"/>
        <v>0</v>
      </c>
      <c r="Z26" s="258" t="e">
        <f t="shared" si="33"/>
        <v>#REF!</v>
      </c>
      <c r="AA26" s="20">
        <f>+'DPL25 Summary USD'!T116</f>
        <v>0</v>
      </c>
      <c r="AB26" s="258" t="e">
        <f t="shared" si="34"/>
        <v>#REF!</v>
      </c>
      <c r="AC26" s="20">
        <f>+'DPL25 Summary USD'!V116</f>
        <v>0</v>
      </c>
      <c r="AD26" s="258" t="e">
        <f t="shared" si="35"/>
        <v>#REF!</v>
      </c>
      <c r="AE26" s="20">
        <f>+'DPL25 Summary USD'!X116</f>
        <v>0</v>
      </c>
      <c r="AF26" s="258" t="e">
        <f t="shared" si="36"/>
        <v>#REF!</v>
      </c>
      <c r="AG26" s="179">
        <f t="shared" si="37"/>
        <v>0</v>
      </c>
      <c r="AH26" s="258" t="e">
        <f t="shared" si="38"/>
        <v>#REF!</v>
      </c>
      <c r="AI26" s="179">
        <f t="shared" si="39"/>
        <v>0</v>
      </c>
      <c r="AJ26" s="258" t="e">
        <f t="shared" ca="1" si="40"/>
        <v>#REF!</v>
      </c>
    </row>
    <row r="27" spans="2:224" ht="13.5" thickBot="1">
      <c r="C27" s="173">
        <f>SUM(C21:C26)</f>
        <v>1050</v>
      </c>
      <c r="D27" s="259">
        <f t="shared" ca="1" si="19"/>
        <v>0.38500000000000001</v>
      </c>
      <c r="E27" s="173">
        <f>SUM(E21:E26)</f>
        <v>1050</v>
      </c>
      <c r="F27" s="258">
        <f t="shared" ca="1" si="20"/>
        <v>0.38</v>
      </c>
      <c r="G27" s="173">
        <f>SUM(G21:G26)</f>
        <v>1050</v>
      </c>
      <c r="H27" s="258">
        <f t="shared" ca="1" si="21"/>
        <v>0.38</v>
      </c>
      <c r="I27" s="205">
        <f>SUM(I21:I26)</f>
        <v>3150</v>
      </c>
      <c r="J27" s="397">
        <f t="shared" ca="1" si="23"/>
        <v>0.38</v>
      </c>
      <c r="K27" s="173">
        <f>SUM(K21:K26)</f>
        <v>1050</v>
      </c>
      <c r="L27" s="258">
        <f t="shared" ca="1" si="24"/>
        <v>0.38</v>
      </c>
      <c r="M27" s="173">
        <f>SUM(M21:M26)</f>
        <v>1050</v>
      </c>
      <c r="N27" s="258" t="e">
        <f t="shared" si="25"/>
        <v>#REF!</v>
      </c>
      <c r="O27" s="173">
        <f>SUM(O21:O26)</f>
        <v>1050</v>
      </c>
      <c r="P27" s="258" t="e">
        <f t="shared" si="26"/>
        <v>#REF!</v>
      </c>
      <c r="Q27" s="205">
        <f>SUM(Q21:Q26)</f>
        <v>3150</v>
      </c>
      <c r="R27" s="258" t="e">
        <f t="shared" ca="1" si="28"/>
        <v>#REF!</v>
      </c>
      <c r="S27" s="173">
        <f>SUM(S21:S26)</f>
        <v>1050</v>
      </c>
      <c r="T27" s="258" t="e">
        <f t="shared" si="29"/>
        <v>#REF!</v>
      </c>
      <c r="U27" s="173">
        <f>SUM(U21:U26)</f>
        <v>1050</v>
      </c>
      <c r="V27" s="258" t="e">
        <f t="shared" si="30"/>
        <v>#REF!</v>
      </c>
      <c r="W27" s="173">
        <f>SUM(W21:W26)</f>
        <v>1050</v>
      </c>
      <c r="X27" s="258" t="e">
        <f t="shared" si="31"/>
        <v>#REF!</v>
      </c>
      <c r="Y27" s="205">
        <f>SUM(Y21:Y26)</f>
        <v>3150</v>
      </c>
      <c r="Z27" s="258" t="e">
        <f t="shared" si="33"/>
        <v>#REF!</v>
      </c>
      <c r="AA27" s="173">
        <f>SUM(AA21:AA26)</f>
        <v>1050</v>
      </c>
      <c r="AB27" s="258" t="e">
        <f t="shared" si="34"/>
        <v>#REF!</v>
      </c>
      <c r="AC27" s="173">
        <f>SUM(AC21:AC26)</f>
        <v>1050</v>
      </c>
      <c r="AD27" s="258" t="e">
        <f t="shared" si="35"/>
        <v>#REF!</v>
      </c>
      <c r="AE27" s="173">
        <f>SUM(AE21:AE26)</f>
        <v>1050</v>
      </c>
      <c r="AF27" s="258" t="e">
        <f t="shared" si="36"/>
        <v>#REF!</v>
      </c>
      <c r="AG27" s="205">
        <f>SUM(AG21:AG26)</f>
        <v>3150</v>
      </c>
      <c r="AH27" s="258" t="e">
        <f t="shared" si="38"/>
        <v>#REF!</v>
      </c>
      <c r="AI27" s="205">
        <f>SUM(AI21:AI26)</f>
        <v>12600</v>
      </c>
      <c r="AJ27" s="258" t="e">
        <f t="shared" ca="1" si="40"/>
        <v>#REF!</v>
      </c>
    </row>
    <row r="28" spans="2:224">
      <c r="C28" s="20"/>
      <c r="D28" s="20"/>
      <c r="I28" s="187"/>
      <c r="Y28" s="187"/>
    </row>
    <row r="29" spans="2:224">
      <c r="B29" s="6" t="s">
        <v>432</v>
      </c>
      <c r="C29" s="207">
        <f ca="1">C10-C18-C27</f>
        <v>1203</v>
      </c>
      <c r="D29" s="15"/>
      <c r="E29" s="207">
        <f ca="1">E10-E18-E27</f>
        <v>1552</v>
      </c>
      <c r="F29" s="15"/>
      <c r="G29" s="207">
        <f ca="1">G10-G18-G27</f>
        <v>1552</v>
      </c>
      <c r="H29" s="207"/>
      <c r="I29" s="208">
        <f ca="1">I10-I18-I27</f>
        <v>4307</v>
      </c>
      <c r="J29" s="207"/>
      <c r="K29" s="207">
        <f t="shared" ref="K29:AI29" ca="1" si="41">K10-K18-K27</f>
        <v>-382</v>
      </c>
      <c r="L29" s="207"/>
      <c r="M29" s="207" t="e">
        <f t="shared" si="41"/>
        <v>#REF!</v>
      </c>
      <c r="N29" s="207"/>
      <c r="O29" s="207" t="e">
        <f t="shared" si="41"/>
        <v>#REF!</v>
      </c>
      <c r="P29" s="207"/>
      <c r="Q29" s="208" t="e">
        <f t="shared" ca="1" si="41"/>
        <v>#REF!</v>
      </c>
      <c r="R29" s="207"/>
      <c r="S29" s="207" t="e">
        <f t="shared" si="41"/>
        <v>#REF!</v>
      </c>
      <c r="T29" s="15"/>
      <c r="U29" s="207" t="e">
        <f t="shared" si="41"/>
        <v>#REF!</v>
      </c>
      <c r="V29" s="15"/>
      <c r="W29" s="207" t="e">
        <f t="shared" si="41"/>
        <v>#REF!</v>
      </c>
      <c r="X29" s="207"/>
      <c r="Y29" s="208" t="e">
        <f t="shared" si="41"/>
        <v>#REF!</v>
      </c>
      <c r="Z29" s="207"/>
      <c r="AA29" s="207" t="e">
        <f t="shared" si="41"/>
        <v>#REF!</v>
      </c>
      <c r="AB29" s="207"/>
      <c r="AC29" s="207" t="e">
        <f t="shared" si="41"/>
        <v>#REF!</v>
      </c>
      <c r="AD29" s="207"/>
      <c r="AE29" s="207" t="e">
        <f t="shared" si="41"/>
        <v>#REF!</v>
      </c>
      <c r="AF29" s="207"/>
      <c r="AG29" s="208" t="e">
        <f t="shared" si="41"/>
        <v>#REF!</v>
      </c>
      <c r="AH29" s="207"/>
      <c r="AI29" s="208" t="e">
        <f t="shared" ca="1" si="41"/>
        <v>#REF!</v>
      </c>
      <c r="AJ29" s="15"/>
    </row>
    <row r="30" spans="2:224">
      <c r="B30" s="6" t="s">
        <v>433</v>
      </c>
      <c r="C30" s="209">
        <f ca="1">+IF(C10=0,0,C29/C10)</f>
        <v>0.44</v>
      </c>
      <c r="D30" s="254"/>
      <c r="E30" s="209">
        <f ca="1">+IF(E10=0,0,E29/E10)</f>
        <v>0.56999999999999995</v>
      </c>
      <c r="F30" s="256"/>
      <c r="G30" s="209">
        <f ca="1">+IF(G10=0,0,G29/G10)</f>
        <v>0.56999999999999995</v>
      </c>
      <c r="H30" s="215"/>
      <c r="I30" s="210">
        <f ca="1">+IF(I10=0,0,I29/I10)</f>
        <v>0.53</v>
      </c>
      <c r="J30" s="215"/>
      <c r="K30" s="209">
        <f t="shared" ref="K30:AG30" ca="1" si="42">+IF(K10=0,0,K29/K10)</f>
        <v>-0.14000000000000001</v>
      </c>
      <c r="L30" s="209"/>
      <c r="M30" s="209" t="e">
        <f t="shared" si="42"/>
        <v>#REF!</v>
      </c>
      <c r="N30" s="209"/>
      <c r="O30" s="209" t="e">
        <f t="shared" si="42"/>
        <v>#REF!</v>
      </c>
      <c r="P30" s="209"/>
      <c r="Q30" s="210" t="e">
        <f t="shared" ca="1" si="42"/>
        <v>#REF!</v>
      </c>
      <c r="R30" s="215"/>
      <c r="S30" s="209" t="e">
        <f t="shared" si="42"/>
        <v>#REF!</v>
      </c>
      <c r="T30" s="256"/>
      <c r="U30" s="209" t="e">
        <f t="shared" si="42"/>
        <v>#REF!</v>
      </c>
      <c r="V30" s="256"/>
      <c r="W30" s="209" t="e">
        <f t="shared" si="42"/>
        <v>#REF!</v>
      </c>
      <c r="X30" s="209"/>
      <c r="Y30" s="210" t="e">
        <f t="shared" si="42"/>
        <v>#REF!</v>
      </c>
      <c r="Z30" s="215"/>
      <c r="AA30" s="209" t="e">
        <f t="shared" si="42"/>
        <v>#REF!</v>
      </c>
      <c r="AB30" s="209"/>
      <c r="AC30" s="209" t="e">
        <f t="shared" si="42"/>
        <v>#REF!</v>
      </c>
      <c r="AD30" s="209"/>
      <c r="AE30" s="209" t="e">
        <f t="shared" si="42"/>
        <v>#REF!</v>
      </c>
      <c r="AF30" s="209"/>
      <c r="AG30" s="210" t="e">
        <f t="shared" si="42"/>
        <v>#REF!</v>
      </c>
      <c r="AH30" s="215"/>
      <c r="AI30" s="210" t="e">
        <f ca="1">+IF(AI10=0,0,AI29/AI10)</f>
        <v>#REF!</v>
      </c>
      <c r="AJ30" s="256"/>
    </row>
    <row r="31" spans="2:224">
      <c r="B31" s="6"/>
      <c r="C31" s="6"/>
      <c r="D31" s="6"/>
      <c r="E31" s="6"/>
      <c r="F31" s="6"/>
      <c r="G31" s="6"/>
      <c r="H31" s="6"/>
      <c r="I31" s="211"/>
      <c r="J31" s="6"/>
      <c r="K31" s="6"/>
      <c r="L31" s="6"/>
      <c r="M31" s="6"/>
      <c r="N31" s="6"/>
      <c r="O31" s="6"/>
      <c r="P31" s="6"/>
      <c r="Q31" s="211"/>
      <c r="R31" s="6"/>
      <c r="S31" s="6"/>
      <c r="T31" s="6"/>
      <c r="U31" s="6"/>
      <c r="V31" s="6"/>
      <c r="W31" s="6"/>
      <c r="X31" s="6"/>
      <c r="Y31" s="211"/>
      <c r="Z31" s="6"/>
      <c r="AA31" s="6"/>
      <c r="AB31" s="6"/>
      <c r="AC31" s="6"/>
      <c r="AD31" s="6"/>
      <c r="AE31" s="6"/>
      <c r="AF31" s="6"/>
      <c r="AG31" s="211"/>
      <c r="AH31" s="6"/>
      <c r="AI31" s="211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</row>
    <row r="32" spans="2:224">
      <c r="I32" s="187"/>
      <c r="Y32" s="187"/>
    </row>
    <row r="33" spans="2:36" ht="13.5" thickBot="1">
      <c r="B33" s="6" t="s">
        <v>412</v>
      </c>
      <c r="C33" s="173">
        <f ca="1">+'DPL25 Summary USD'!B83</f>
        <v>1134</v>
      </c>
      <c r="D33" s="258">
        <f ca="1">+C33/$C$10</f>
        <v>0.42</v>
      </c>
      <c r="E33" s="173">
        <f ca="1">+'DPL25 Summary USD'!D83</f>
        <v>1112</v>
      </c>
      <c r="F33" s="258">
        <f ca="1">+E33/$E$10</f>
        <v>0.41</v>
      </c>
      <c r="G33" s="173">
        <f ca="1">+'DPL25 Summary USD'!F83</f>
        <v>1112</v>
      </c>
      <c r="H33" s="258">
        <f ca="1">+G33/$G$10</f>
        <v>0.41</v>
      </c>
      <c r="I33" s="205">
        <f ca="1">+C33+E33+G33</f>
        <v>3358</v>
      </c>
      <c r="J33" s="397">
        <f ca="1">+I33/$I$10</f>
        <v>0.41</v>
      </c>
      <c r="K33" s="173">
        <f ca="1">+'DPL25 Summary USD'!H83</f>
        <v>302</v>
      </c>
      <c r="L33" s="258">
        <f ca="1">+K33/$K$10</f>
        <v>0.11</v>
      </c>
      <c r="M33" s="173" t="e">
        <f>+'DPL25 Summary USD'!J83</f>
        <v>#REF!</v>
      </c>
      <c r="N33" s="258" t="e">
        <f>+M33/$M$10</f>
        <v>#REF!</v>
      </c>
      <c r="O33" s="173" t="e">
        <f>+'DPL25 Summary USD'!L83</f>
        <v>#REF!</v>
      </c>
      <c r="P33" s="258" t="e">
        <f>+O33/$O$10</f>
        <v>#REF!</v>
      </c>
      <c r="Q33" s="205" t="e">
        <f ca="1">+K33+M33+O33</f>
        <v>#REF!</v>
      </c>
      <c r="R33" s="258" t="e">
        <f ca="1">+Q33/$Q$10</f>
        <v>#REF!</v>
      </c>
      <c r="S33" s="173" t="e">
        <f>+'DPL25 Summary USD'!N83</f>
        <v>#REF!</v>
      </c>
      <c r="T33" s="258" t="e">
        <f>+S33/$S$10</f>
        <v>#REF!</v>
      </c>
      <c r="U33" s="173" t="e">
        <f>+'DPL25 Summary USD'!P83</f>
        <v>#REF!</v>
      </c>
      <c r="V33" s="258" t="e">
        <f>+U33/$U$10</f>
        <v>#REF!</v>
      </c>
      <c r="W33" s="173" t="e">
        <f>+'DPL25 Summary USD'!R83</f>
        <v>#REF!</v>
      </c>
      <c r="X33" s="258" t="e">
        <f>+W33/$W$10</f>
        <v>#REF!</v>
      </c>
      <c r="Y33" s="205" t="e">
        <f>+S33+U33+W33</f>
        <v>#REF!</v>
      </c>
      <c r="Z33" s="258" t="e">
        <f>+Y33/$Y$10</f>
        <v>#REF!</v>
      </c>
      <c r="AA33" s="173" t="e">
        <f>+'DPL25 Summary USD'!T83</f>
        <v>#REF!</v>
      </c>
      <c r="AB33" s="258" t="e">
        <f>+AA33/$AA$10</f>
        <v>#REF!</v>
      </c>
      <c r="AC33" s="173" t="e">
        <f>+'DPL25 Summary USD'!V83</f>
        <v>#REF!</v>
      </c>
      <c r="AD33" s="258" t="e">
        <f>+AC33/$AC$10</f>
        <v>#REF!</v>
      </c>
      <c r="AE33" s="173" t="e">
        <f>+'DPL25 Summary USD'!X83</f>
        <v>#REF!</v>
      </c>
      <c r="AF33" s="258" t="e">
        <f>+AE33/$AE$10</f>
        <v>#REF!</v>
      </c>
      <c r="AG33" s="205" t="e">
        <f>+AA33+AC33+AE33</f>
        <v>#REF!</v>
      </c>
      <c r="AH33" s="258" t="e">
        <f>+AG33/$AG$10</f>
        <v>#REF!</v>
      </c>
      <c r="AI33" s="205" t="e">
        <f ca="1">+I33+Q33+Y33+AG33</f>
        <v>#REF!</v>
      </c>
      <c r="AJ33" s="258" t="e">
        <f ca="1">+AI33/$AI$10</f>
        <v>#REF!</v>
      </c>
    </row>
    <row r="34" spans="2:36">
      <c r="B34" s="6"/>
      <c r="C34" s="20"/>
      <c r="D34" s="20"/>
      <c r="E34" s="20"/>
      <c r="F34" s="20"/>
      <c r="G34" s="20"/>
      <c r="H34" s="20"/>
      <c r="I34" s="179"/>
      <c r="J34" s="20"/>
      <c r="K34" s="20"/>
      <c r="L34" s="20"/>
      <c r="M34" s="20"/>
      <c r="N34" s="20"/>
      <c r="O34" s="20"/>
      <c r="P34" s="20"/>
      <c r="Q34" s="179"/>
      <c r="R34" s="20"/>
      <c r="S34" s="20"/>
      <c r="T34" s="20"/>
      <c r="U34" s="20"/>
      <c r="V34" s="20"/>
      <c r="W34" s="20"/>
      <c r="X34" s="20"/>
      <c r="Y34" s="179"/>
      <c r="Z34" s="20"/>
      <c r="AA34" s="20"/>
      <c r="AB34" s="20"/>
      <c r="AC34" s="20"/>
      <c r="AD34" s="20"/>
      <c r="AE34" s="20"/>
      <c r="AF34" s="20"/>
      <c r="AG34" s="179"/>
      <c r="AH34" s="20"/>
      <c r="AI34" s="179"/>
      <c r="AJ34" s="20"/>
    </row>
    <row r="35" spans="2:36">
      <c r="B35" s="6" t="s">
        <v>434</v>
      </c>
      <c r="C35" s="179">
        <f ca="1">+C29-C33</f>
        <v>69</v>
      </c>
      <c r="D35" s="258">
        <f ca="1">+C35/$C$10</f>
        <v>0.03</v>
      </c>
      <c r="E35" s="179">
        <f ca="1">+E29-E33</f>
        <v>440</v>
      </c>
      <c r="F35" s="258">
        <f ca="1">+E35/$E$10</f>
        <v>0.16</v>
      </c>
      <c r="G35" s="179">
        <f ca="1">+G29-G33</f>
        <v>440</v>
      </c>
      <c r="H35" s="258">
        <f ca="1">+G35/$G$10</f>
        <v>0.16</v>
      </c>
      <c r="I35" s="179">
        <f ca="1">+I29-I33</f>
        <v>949</v>
      </c>
      <c r="J35" s="397">
        <f ca="1">+I35/$I$10</f>
        <v>0.12</v>
      </c>
      <c r="K35" s="20">
        <f ca="1">+K29-K33</f>
        <v>-684</v>
      </c>
      <c r="L35" s="258">
        <f ca="1">+K35/$K$10</f>
        <v>-0.25</v>
      </c>
      <c r="M35" s="20" t="e">
        <f>+M29-M33</f>
        <v>#REF!</v>
      </c>
      <c r="N35" s="258" t="e">
        <f>+M35/$M$10</f>
        <v>#REF!</v>
      </c>
      <c r="O35" s="20" t="e">
        <f>+O29-O33</f>
        <v>#REF!</v>
      </c>
      <c r="P35" s="258" t="e">
        <f>+O35/$O$10</f>
        <v>#REF!</v>
      </c>
      <c r="Q35" s="179" t="e">
        <f ca="1">+Q29-Q33</f>
        <v>#REF!</v>
      </c>
      <c r="R35" s="258" t="e">
        <f ca="1">+Q35/$Q$10</f>
        <v>#REF!</v>
      </c>
      <c r="S35" s="20" t="e">
        <f t="shared" ref="S35:AI35" si="43">+S29-S33</f>
        <v>#REF!</v>
      </c>
      <c r="T35" s="258" t="e">
        <f>+S35/$S$10</f>
        <v>#REF!</v>
      </c>
      <c r="U35" s="20" t="e">
        <f t="shared" si="43"/>
        <v>#REF!</v>
      </c>
      <c r="V35" s="258" t="e">
        <f>+U35/$U$10</f>
        <v>#REF!</v>
      </c>
      <c r="W35" s="20" t="e">
        <f t="shared" si="43"/>
        <v>#REF!</v>
      </c>
      <c r="X35" s="258" t="e">
        <f>+W35/$W$10</f>
        <v>#REF!</v>
      </c>
      <c r="Y35" s="20" t="e">
        <f t="shared" si="43"/>
        <v>#REF!</v>
      </c>
      <c r="Z35" s="258" t="e">
        <f>+Y35/$Y$10</f>
        <v>#REF!</v>
      </c>
      <c r="AA35" s="20" t="e">
        <f t="shared" si="43"/>
        <v>#REF!</v>
      </c>
      <c r="AB35" s="258" t="e">
        <f>+AA35/$AA$10</f>
        <v>#REF!</v>
      </c>
      <c r="AC35" s="20" t="e">
        <f t="shared" si="43"/>
        <v>#REF!</v>
      </c>
      <c r="AD35" s="258" t="e">
        <f>+AC35/$AC$10</f>
        <v>#REF!</v>
      </c>
      <c r="AE35" s="20" t="e">
        <f t="shared" si="43"/>
        <v>#REF!</v>
      </c>
      <c r="AF35" s="20"/>
      <c r="AG35" s="20" t="e">
        <f t="shared" si="43"/>
        <v>#REF!</v>
      </c>
      <c r="AH35" s="258" t="e">
        <f>+AG35/$AG$10</f>
        <v>#REF!</v>
      </c>
      <c r="AI35" s="20" t="e">
        <f t="shared" ca="1" si="43"/>
        <v>#REF!</v>
      </c>
      <c r="AJ35" s="258" t="e">
        <f ca="1">+AI35/$AI$10</f>
        <v>#REF!</v>
      </c>
    </row>
    <row r="36" spans="2:36">
      <c r="B36" s="6" t="s">
        <v>435</v>
      </c>
      <c r="C36" s="210">
        <f ca="1">+IF(C10=0,0,C35/C10)</f>
        <v>0.03</v>
      </c>
      <c r="D36" s="255"/>
      <c r="E36" s="210">
        <f ca="1">+IF(E10=0,0,E35/E10)</f>
        <v>0.16</v>
      </c>
      <c r="F36" s="215"/>
      <c r="G36" s="210">
        <f ca="1">+IF(G10=0,0,G35/G10)</f>
        <v>0.16</v>
      </c>
      <c r="H36" s="256"/>
      <c r="I36" s="210">
        <f ca="1">+IF(I10=0,0,I35/I10)</f>
        <v>0.12</v>
      </c>
      <c r="J36" s="215"/>
      <c r="K36" s="209">
        <f t="shared" ref="K36:AI36" ca="1" si="44">+IF(K10=0,0,K35/K10)</f>
        <v>-0.25</v>
      </c>
      <c r="L36" s="209"/>
      <c r="M36" s="209" t="e">
        <f t="shared" si="44"/>
        <v>#REF!</v>
      </c>
      <c r="N36" s="209"/>
      <c r="O36" s="209" t="e">
        <f t="shared" si="44"/>
        <v>#REF!</v>
      </c>
      <c r="P36" s="209"/>
      <c r="Q36" s="210" t="e">
        <f t="shared" ca="1" si="44"/>
        <v>#REF!</v>
      </c>
      <c r="R36" s="215"/>
      <c r="S36" s="209" t="e">
        <f t="shared" si="44"/>
        <v>#REF!</v>
      </c>
      <c r="T36" s="256"/>
      <c r="U36" s="209" t="e">
        <f t="shared" si="44"/>
        <v>#REF!</v>
      </c>
      <c r="V36" s="256"/>
      <c r="W36" s="209" t="e">
        <f t="shared" si="44"/>
        <v>#REF!</v>
      </c>
      <c r="X36" s="209"/>
      <c r="Y36" s="210" t="e">
        <f t="shared" si="44"/>
        <v>#REF!</v>
      </c>
      <c r="Z36" s="215"/>
      <c r="AA36" s="209" t="e">
        <f t="shared" si="44"/>
        <v>#REF!</v>
      </c>
      <c r="AB36" s="209"/>
      <c r="AC36" s="209" t="e">
        <f t="shared" si="44"/>
        <v>#REF!</v>
      </c>
      <c r="AD36" s="209"/>
      <c r="AE36" s="209" t="e">
        <f t="shared" si="44"/>
        <v>#REF!</v>
      </c>
      <c r="AF36" s="209"/>
      <c r="AG36" s="210" t="e">
        <f t="shared" si="44"/>
        <v>#REF!</v>
      </c>
      <c r="AH36" s="215"/>
      <c r="AI36" s="210" t="e">
        <f t="shared" ca="1" si="44"/>
        <v>#REF!</v>
      </c>
    </row>
    <row r="37" spans="2:36" ht="13.5" thickBot="1">
      <c r="B37" s="6" t="s">
        <v>415</v>
      </c>
      <c r="C37" s="173">
        <f>+'DPL25 Summary USD'!B87</f>
        <v>0</v>
      </c>
      <c r="D37" s="258">
        <f ca="1">+C37/$C$10</f>
        <v>0</v>
      </c>
      <c r="E37" s="173">
        <f>+'DPL25 Summary USD'!D87</f>
        <v>0</v>
      </c>
      <c r="F37" s="258">
        <f ca="1">+E37/$E$10</f>
        <v>0</v>
      </c>
      <c r="G37" s="173">
        <f>+'DPL25 Summary USD'!F87</f>
        <v>0</v>
      </c>
      <c r="H37" s="258">
        <f ca="1">+G37/$G$10</f>
        <v>0</v>
      </c>
      <c r="I37" s="205">
        <f>+C37+E37+G37</f>
        <v>0</v>
      </c>
      <c r="J37" s="173"/>
      <c r="K37" s="173">
        <f>+'DPL25 Summary USD'!H87</f>
        <v>0</v>
      </c>
      <c r="L37" s="258">
        <f ca="1">+K37/$K$10</f>
        <v>0</v>
      </c>
      <c r="M37" s="173">
        <f>+'DPL25 Summary USD'!J87</f>
        <v>0</v>
      </c>
      <c r="N37" s="258" t="e">
        <f>+M37/$M$10</f>
        <v>#REF!</v>
      </c>
      <c r="O37" s="173">
        <f>+'DPL25 Summary USD'!L87</f>
        <v>0</v>
      </c>
      <c r="P37" s="258" t="e">
        <f>+O37/$O$10</f>
        <v>#REF!</v>
      </c>
      <c r="Q37" s="205">
        <f>+K37+M37+O37</f>
        <v>0</v>
      </c>
      <c r="R37" s="258" t="e">
        <f ca="1">+Q37/$Q$10</f>
        <v>#REF!</v>
      </c>
      <c r="S37" s="173">
        <f>+'DPL25 Summary USD'!N87</f>
        <v>0</v>
      </c>
      <c r="T37" s="258" t="e">
        <f>+S37/$S$10</f>
        <v>#REF!</v>
      </c>
      <c r="U37" s="173">
        <f>+'DPL25 Summary USD'!P87</f>
        <v>0</v>
      </c>
      <c r="V37" s="258" t="e">
        <f>+U37/$U$10</f>
        <v>#REF!</v>
      </c>
      <c r="W37" s="173">
        <f>+'DPL25 Summary USD'!R87</f>
        <v>0</v>
      </c>
      <c r="X37" s="258" t="e">
        <f>+W37/$W$10</f>
        <v>#REF!</v>
      </c>
      <c r="Y37" s="205">
        <f>+S37+U37+W37</f>
        <v>0</v>
      </c>
      <c r="Z37" s="258" t="e">
        <f>+Y37/$Y$10</f>
        <v>#REF!</v>
      </c>
      <c r="AA37" s="173">
        <f>+'DPL25 Summary USD'!T87</f>
        <v>0</v>
      </c>
      <c r="AB37" s="258" t="e">
        <f>+AA37/$AA$10</f>
        <v>#REF!</v>
      </c>
      <c r="AC37" s="173">
        <f>+'DPL25 Summary USD'!V87</f>
        <v>0</v>
      </c>
      <c r="AD37" s="258" t="e">
        <f>+AC37/$AC$10</f>
        <v>#REF!</v>
      </c>
      <c r="AE37" s="173">
        <f>+'DPL25 Summary USD'!X87</f>
        <v>0</v>
      </c>
      <c r="AF37" s="258" t="e">
        <f>+AE37/$AE$10</f>
        <v>#REF!</v>
      </c>
      <c r="AG37" s="205">
        <f>+AA37+AC37+AE37</f>
        <v>0</v>
      </c>
      <c r="AH37" s="258" t="e">
        <f>+AG37/$AG$10</f>
        <v>#REF!</v>
      </c>
      <c r="AI37" s="205">
        <f>+I37+Q37+Y37+AG37</f>
        <v>0</v>
      </c>
      <c r="AJ37" s="258" t="e">
        <f ca="1">+AI37/$AI$10</f>
        <v>#REF!</v>
      </c>
    </row>
    <row r="38" spans="2:36">
      <c r="B38" s="6" t="s">
        <v>436</v>
      </c>
      <c r="I38" s="210">
        <f ca="1">+IF(I10=0,0,I37/I10)</f>
        <v>0</v>
      </c>
      <c r="J38" s="215"/>
      <c r="K38" s="209">
        <f t="shared" ref="K38:AI38" ca="1" si="45">+IF(K10=0,0,K37/K10)</f>
        <v>0</v>
      </c>
      <c r="L38" s="209"/>
      <c r="M38" s="209" t="e">
        <f t="shared" si="45"/>
        <v>#REF!</v>
      </c>
      <c r="N38" s="209"/>
      <c r="O38" s="209" t="e">
        <f t="shared" si="45"/>
        <v>#REF!</v>
      </c>
      <c r="P38" s="209"/>
      <c r="Q38" s="210" t="e">
        <f t="shared" ca="1" si="45"/>
        <v>#REF!</v>
      </c>
      <c r="R38" s="215"/>
      <c r="S38" s="209" t="e">
        <f t="shared" si="45"/>
        <v>#REF!</v>
      </c>
      <c r="T38" s="256"/>
      <c r="U38" s="209" t="e">
        <f t="shared" si="45"/>
        <v>#REF!</v>
      </c>
      <c r="V38" s="256"/>
      <c r="W38" s="209" t="e">
        <f t="shared" si="45"/>
        <v>#REF!</v>
      </c>
      <c r="X38" s="209"/>
      <c r="Y38" s="210" t="e">
        <f t="shared" si="45"/>
        <v>#REF!</v>
      </c>
      <c r="Z38" s="215"/>
      <c r="AA38" s="209" t="e">
        <f t="shared" si="45"/>
        <v>#REF!</v>
      </c>
      <c r="AB38" s="209"/>
      <c r="AC38" s="209" t="e">
        <f t="shared" si="45"/>
        <v>#REF!</v>
      </c>
      <c r="AD38" s="209"/>
      <c r="AE38" s="209" t="e">
        <f t="shared" si="45"/>
        <v>#REF!</v>
      </c>
      <c r="AF38" s="209"/>
      <c r="AG38" s="210" t="e">
        <f t="shared" si="45"/>
        <v>#REF!</v>
      </c>
      <c r="AH38" s="258"/>
      <c r="AI38" s="210" t="e">
        <f t="shared" ca="1" si="45"/>
        <v>#REF!</v>
      </c>
    </row>
    <row r="39" spans="2:36" ht="13.5" thickBot="1">
      <c r="B39" s="6" t="s">
        <v>416</v>
      </c>
      <c r="C39" s="212">
        <f t="shared" ref="C39:AI39" ca="1" si="46">+C10-C18-C27-C33-C37</f>
        <v>69</v>
      </c>
      <c r="D39" s="258">
        <f ca="1">+C39/$C$10</f>
        <v>0.03</v>
      </c>
      <c r="E39" s="212">
        <f t="shared" ca="1" si="46"/>
        <v>440</v>
      </c>
      <c r="F39" s="258">
        <f ca="1">+E39/$E$10</f>
        <v>0.16</v>
      </c>
      <c r="G39" s="212">
        <f t="shared" ca="1" si="46"/>
        <v>440</v>
      </c>
      <c r="H39" s="258">
        <f ca="1">+G39/$G$10</f>
        <v>0.16</v>
      </c>
      <c r="I39" s="213">
        <f t="shared" ca="1" si="46"/>
        <v>949</v>
      </c>
      <c r="J39" s="397">
        <f ca="1">+I39/$I$10</f>
        <v>0.12</v>
      </c>
      <c r="K39" s="212">
        <f t="shared" ca="1" si="46"/>
        <v>-684</v>
      </c>
      <c r="L39" s="258">
        <f ca="1">+K39/$K$10</f>
        <v>-0.25</v>
      </c>
      <c r="M39" s="212" t="e">
        <f t="shared" si="46"/>
        <v>#REF!</v>
      </c>
      <c r="N39" s="258" t="e">
        <f>+M39/$M$10</f>
        <v>#REF!</v>
      </c>
      <c r="O39" s="212" t="e">
        <f t="shared" si="46"/>
        <v>#REF!</v>
      </c>
      <c r="P39" s="258" t="e">
        <f>+O39/$O$10</f>
        <v>#REF!</v>
      </c>
      <c r="Q39" s="213" t="e">
        <f t="shared" ca="1" si="46"/>
        <v>#REF!</v>
      </c>
      <c r="R39" s="258" t="e">
        <f ca="1">+Q39/$Q$10</f>
        <v>#REF!</v>
      </c>
      <c r="S39" s="212" t="e">
        <f t="shared" si="46"/>
        <v>#REF!</v>
      </c>
      <c r="T39" s="258" t="e">
        <f>+S39/$S$10</f>
        <v>#REF!</v>
      </c>
      <c r="U39" s="212" t="e">
        <f t="shared" si="46"/>
        <v>#REF!</v>
      </c>
      <c r="V39" s="258" t="e">
        <f>+U39/$U$10</f>
        <v>#REF!</v>
      </c>
      <c r="W39" s="212" t="e">
        <f t="shared" si="46"/>
        <v>#REF!</v>
      </c>
      <c r="X39" s="258" t="e">
        <f>+W39/$W$10</f>
        <v>#REF!</v>
      </c>
      <c r="Y39" s="213" t="e">
        <f t="shared" si="46"/>
        <v>#REF!</v>
      </c>
      <c r="Z39" s="258" t="e">
        <f>+Y39/$Y$10</f>
        <v>#REF!</v>
      </c>
      <c r="AA39" s="212" t="e">
        <f t="shared" si="46"/>
        <v>#REF!</v>
      </c>
      <c r="AB39" s="258" t="e">
        <f>+AA39/$AA$10</f>
        <v>#REF!</v>
      </c>
      <c r="AC39" s="212" t="e">
        <f t="shared" si="46"/>
        <v>#REF!</v>
      </c>
      <c r="AD39" s="258" t="e">
        <f>+AC39/$AC$10</f>
        <v>#REF!</v>
      </c>
      <c r="AE39" s="212" t="e">
        <f t="shared" si="46"/>
        <v>#REF!</v>
      </c>
      <c r="AF39" s="258" t="e">
        <f>+AE39/$AE$10</f>
        <v>#REF!</v>
      </c>
      <c r="AG39" s="213" t="e">
        <f t="shared" si="46"/>
        <v>#REF!</v>
      </c>
      <c r="AH39" s="258" t="e">
        <f>+AG39/$AG$10</f>
        <v>#REF!</v>
      </c>
      <c r="AI39" s="213" t="e">
        <f t="shared" ca="1" si="46"/>
        <v>#REF!</v>
      </c>
      <c r="AJ39" s="258" t="e">
        <f ca="1">+AI39/$AI$10</f>
        <v>#REF!</v>
      </c>
    </row>
    <row r="40" spans="2:36" ht="13.5" thickTop="1">
      <c r="C40" s="210">
        <f ca="1">+IF(C10=0,0,C39/C10)</f>
        <v>0.03</v>
      </c>
      <c r="D40" s="255"/>
      <c r="E40" s="210">
        <f ca="1">+IF(E10=0,0,E39/E10)</f>
        <v>0.16</v>
      </c>
      <c r="F40" s="256"/>
      <c r="G40" s="210">
        <f ca="1">+IF(G10=0,0,G39/G10)</f>
        <v>0.16</v>
      </c>
      <c r="H40" s="215"/>
      <c r="I40" s="210">
        <f ca="1">+IF(I10=0,0,I39/I10)</f>
        <v>0.12</v>
      </c>
      <c r="J40" s="215"/>
      <c r="K40" s="209">
        <f t="shared" ref="K40:AI40" ca="1" si="47">+IF(K10=0,0,K39/K10)</f>
        <v>-0.25</v>
      </c>
      <c r="L40" s="209"/>
      <c r="M40" s="209" t="e">
        <f t="shared" si="47"/>
        <v>#REF!</v>
      </c>
      <c r="N40" s="209"/>
      <c r="O40" s="209" t="e">
        <f t="shared" si="47"/>
        <v>#REF!</v>
      </c>
      <c r="P40" s="209"/>
      <c r="Q40" s="210" t="e">
        <f t="shared" ca="1" si="47"/>
        <v>#REF!</v>
      </c>
      <c r="R40" s="215"/>
      <c r="S40" s="209" t="e">
        <f t="shared" si="47"/>
        <v>#REF!</v>
      </c>
      <c r="T40" s="256"/>
      <c r="U40" s="209" t="e">
        <f t="shared" si="47"/>
        <v>#REF!</v>
      </c>
      <c r="V40" s="256"/>
      <c r="W40" s="209" t="e">
        <f t="shared" si="47"/>
        <v>#REF!</v>
      </c>
      <c r="X40" s="209"/>
      <c r="Y40" s="210" t="e">
        <f t="shared" si="47"/>
        <v>#REF!</v>
      </c>
      <c r="Z40" s="215"/>
      <c r="AA40" s="209" t="e">
        <f t="shared" si="47"/>
        <v>#REF!</v>
      </c>
      <c r="AB40" s="209"/>
      <c r="AC40" s="209" t="e">
        <f t="shared" si="47"/>
        <v>#REF!</v>
      </c>
      <c r="AD40" s="209"/>
      <c r="AE40" s="209" t="e">
        <f t="shared" si="47"/>
        <v>#REF!</v>
      </c>
      <c r="AF40" s="209"/>
      <c r="AG40" s="210" t="e">
        <f t="shared" si="47"/>
        <v>#REF!</v>
      </c>
      <c r="AH40" s="215"/>
      <c r="AI40" s="210" t="e">
        <f t="shared" ca="1" si="47"/>
        <v>#REF!</v>
      </c>
    </row>
    <row r="41" spans="2:36">
      <c r="C41" s="256"/>
      <c r="D41" s="256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6"/>
      <c r="AC41" s="256"/>
      <c r="AD41" s="256"/>
      <c r="AE41" s="256"/>
      <c r="AF41" s="256"/>
      <c r="AG41" s="256"/>
      <c r="AH41" s="256"/>
      <c r="AI41" s="256"/>
    </row>
    <row r="42" spans="2:36">
      <c r="Q42"/>
      <c r="AG42"/>
      <c r="AI42"/>
    </row>
    <row r="43" spans="2:36">
      <c r="Q43"/>
      <c r="AG43"/>
      <c r="AI43"/>
    </row>
    <row r="44" spans="2:36">
      <c r="Q44"/>
      <c r="AG44"/>
      <c r="AI44"/>
    </row>
    <row r="45" spans="2:36">
      <c r="C45" s="21">
        <f>+C11</f>
        <v>2025</v>
      </c>
      <c r="E45" s="21">
        <f>+E11</f>
        <v>2025</v>
      </c>
      <c r="G45" s="21">
        <f>+G11</f>
        <v>2025</v>
      </c>
      <c r="K45" s="21">
        <f>+K11</f>
        <v>2025</v>
      </c>
      <c r="M45" s="21">
        <f>+M11</f>
        <v>2025</v>
      </c>
      <c r="O45" s="21">
        <f>+O11</f>
        <v>2025</v>
      </c>
      <c r="Q45"/>
      <c r="S45" s="21">
        <f>+S11</f>
        <v>2025</v>
      </c>
      <c r="U45" s="21">
        <f>+U11</f>
        <v>2025</v>
      </c>
      <c r="W45" s="21">
        <f>+W11</f>
        <v>2025</v>
      </c>
      <c r="AA45" s="21">
        <f>+AA11</f>
        <v>2025</v>
      </c>
      <c r="AC45" s="21">
        <f>+AC11</f>
        <v>2025</v>
      </c>
      <c r="AE45" s="21">
        <f>+AE11</f>
        <v>2025</v>
      </c>
      <c r="AG45" s="21">
        <f>+AG11</f>
        <v>2025</v>
      </c>
      <c r="AI45" s="21">
        <f>+AI11</f>
        <v>2025</v>
      </c>
    </row>
    <row r="46" spans="2:36">
      <c r="C46" s="21" t="str">
        <f>+C12</f>
        <v>Jan</v>
      </c>
      <c r="E46" s="21" t="str">
        <f>+E12</f>
        <v>Feb</v>
      </c>
      <c r="G46" s="21" t="str">
        <f>+G12</f>
        <v>Mar</v>
      </c>
      <c r="K46" s="21" t="str">
        <f>+K12</f>
        <v>Apr</v>
      </c>
      <c r="M46" s="21" t="str">
        <f>+M12</f>
        <v>May</v>
      </c>
      <c r="O46" s="21" t="str">
        <f>+O12</f>
        <v>Jun</v>
      </c>
      <c r="Q46"/>
      <c r="S46" s="21" t="str">
        <f>+S12</f>
        <v>Jul</v>
      </c>
      <c r="U46" s="21" t="str">
        <f>+U12</f>
        <v>Aug</v>
      </c>
      <c r="W46" s="21" t="str">
        <f>+W12</f>
        <v>Sep</v>
      </c>
      <c r="AA46" s="21" t="str">
        <f>+AA12</f>
        <v>Oct</v>
      </c>
      <c r="AC46" s="21" t="str">
        <f>+AC12</f>
        <v>Nov</v>
      </c>
      <c r="AE46" s="21" t="str">
        <f>+AE12</f>
        <v>Dec</v>
      </c>
      <c r="AG46" s="21" t="str">
        <f>+AG12</f>
        <v>Q4</v>
      </c>
      <c r="AI46" s="21" t="str">
        <f>+AI12</f>
        <v>Total YTD</v>
      </c>
    </row>
    <row r="47" spans="2:36">
      <c r="B47" s="1" t="s">
        <v>437</v>
      </c>
      <c r="C47" s="477">
        <f ca="1">+C10</f>
        <v>2728</v>
      </c>
      <c r="D47" s="21"/>
      <c r="E47" s="477">
        <f ca="1">+E10</f>
        <v>2728</v>
      </c>
      <c r="F47" s="21"/>
      <c r="G47" s="477">
        <f ca="1">+G10</f>
        <v>2728</v>
      </c>
      <c r="H47" s="21"/>
      <c r="I47" s="477">
        <f ca="1">+I10</f>
        <v>8184</v>
      </c>
      <c r="J47" s="21"/>
      <c r="K47" s="477">
        <f ca="1">+K10</f>
        <v>2728</v>
      </c>
      <c r="L47" s="21"/>
      <c r="M47" s="477" t="e">
        <f>+M10</f>
        <v>#REF!</v>
      </c>
      <c r="N47" s="21"/>
      <c r="O47" s="477" t="e">
        <f>+O10</f>
        <v>#REF!</v>
      </c>
      <c r="P47" s="21"/>
      <c r="Q47" s="477" t="e">
        <f ca="1">+Q10</f>
        <v>#REF!</v>
      </c>
      <c r="R47" s="21"/>
      <c r="S47" s="477" t="e">
        <f>+S10</f>
        <v>#REF!</v>
      </c>
      <c r="T47" s="21"/>
      <c r="U47" s="477" t="e">
        <f>+U10</f>
        <v>#REF!</v>
      </c>
      <c r="V47" s="21"/>
      <c r="W47" s="477" t="e">
        <f>+W10</f>
        <v>#REF!</v>
      </c>
      <c r="X47" s="21"/>
      <c r="Y47" s="477" t="e">
        <f>+Y10</f>
        <v>#REF!</v>
      </c>
      <c r="Z47" s="21"/>
      <c r="AA47" s="477" t="e">
        <f>+AA10</f>
        <v>#REF!</v>
      </c>
      <c r="AB47" s="21"/>
      <c r="AC47" s="477" t="e">
        <f>+AC10</f>
        <v>#REF!</v>
      </c>
      <c r="AD47" s="21"/>
      <c r="AE47" s="477" t="e">
        <f>+AE10</f>
        <v>#REF!</v>
      </c>
      <c r="AF47" s="21"/>
      <c r="AG47" s="477" t="e">
        <f>+AG10</f>
        <v>#REF!</v>
      </c>
      <c r="AH47" s="21"/>
      <c r="AI47" s="477" t="e">
        <f ca="1">+AI10</f>
        <v>#REF!</v>
      </c>
    </row>
    <row r="48" spans="2:36">
      <c r="Q48"/>
      <c r="AG48"/>
      <c r="AI48"/>
    </row>
    <row r="49" spans="2:37" hidden="1">
      <c r="C49" s="21" t="s">
        <v>3</v>
      </c>
      <c r="E49" s="21" t="s">
        <v>4</v>
      </c>
      <c r="G49" s="21" t="s">
        <v>438</v>
      </c>
      <c r="I49" s="21" t="s">
        <v>419</v>
      </c>
      <c r="J49" s="21"/>
      <c r="K49" s="21" t="s">
        <v>6</v>
      </c>
      <c r="L49" s="21"/>
      <c r="M49" s="21" t="s">
        <v>7</v>
      </c>
      <c r="N49" s="21"/>
      <c r="O49" s="21" t="s">
        <v>439</v>
      </c>
      <c r="P49" s="21"/>
      <c r="Q49" s="21" t="s">
        <v>420</v>
      </c>
      <c r="S49" s="21" t="s">
        <v>440</v>
      </c>
      <c r="T49" s="21"/>
      <c r="U49" s="21" t="s">
        <v>441</v>
      </c>
      <c r="V49" s="21"/>
      <c r="W49" s="21" t="s">
        <v>442</v>
      </c>
      <c r="X49" s="21"/>
      <c r="Y49" s="21" t="s">
        <v>421</v>
      </c>
      <c r="Z49" s="21"/>
      <c r="AA49" s="21" t="s">
        <v>12</v>
      </c>
      <c r="AB49" s="21"/>
      <c r="AC49" s="21" t="s">
        <v>13</v>
      </c>
      <c r="AE49" s="21" t="s">
        <v>443</v>
      </c>
      <c r="AG49" s="21" t="s">
        <v>422</v>
      </c>
      <c r="AI49" s="21" t="s">
        <v>444</v>
      </c>
    </row>
    <row r="50" spans="2:37" ht="15" hidden="1">
      <c r="B50" s="269" t="s">
        <v>445</v>
      </c>
      <c r="C50" s="273" t="e">
        <f>+#REF!</f>
        <v>#REF!</v>
      </c>
      <c r="D50" s="272"/>
      <c r="E50" s="273" t="e">
        <f>+#REF!</f>
        <v>#REF!</v>
      </c>
      <c r="F50" s="272"/>
      <c r="G50" s="273" t="e">
        <f>+#REF!</f>
        <v>#REF!</v>
      </c>
      <c r="H50" s="272"/>
      <c r="I50" s="274" t="e">
        <f>SUM(C50,E50,G50)</f>
        <v>#REF!</v>
      </c>
      <c r="J50" s="272"/>
      <c r="K50" s="273" t="e">
        <f>+#REF!</f>
        <v>#REF!</v>
      </c>
      <c r="L50" s="273"/>
      <c r="M50" s="273" t="e">
        <f>+#REF!</f>
        <v>#REF!</v>
      </c>
      <c r="N50" s="273"/>
      <c r="O50" s="273" t="e">
        <f>+#REF!</f>
        <v>#REF!</v>
      </c>
      <c r="P50" s="273"/>
      <c r="Q50" s="276" t="e">
        <f>SUM(K50:O50)</f>
        <v>#REF!</v>
      </c>
      <c r="S50" s="273" t="e">
        <f>+#REF!</f>
        <v>#REF!</v>
      </c>
      <c r="T50" s="273"/>
      <c r="U50" s="273" t="e">
        <f>+#REF!</f>
        <v>#REF!</v>
      </c>
      <c r="V50" s="273"/>
      <c r="W50" s="273" t="e">
        <f>+#REF!</f>
        <v>#REF!</v>
      </c>
      <c r="X50" s="273"/>
      <c r="Y50" s="276" t="e">
        <f>SUM(S50:W50)</f>
        <v>#REF!</v>
      </c>
      <c r="Z50" s="273"/>
      <c r="AA50" s="273" t="e">
        <f>+#REF!</f>
        <v>#REF!</v>
      </c>
      <c r="AB50" s="393"/>
      <c r="AC50" s="273" t="e">
        <f>+#REF!</f>
        <v>#REF!</v>
      </c>
      <c r="AE50" s="273" t="e">
        <f>+#REF!</f>
        <v>#REF!</v>
      </c>
      <c r="AG50" s="276" t="e">
        <f>SUM(AA50:AE50)</f>
        <v>#REF!</v>
      </c>
      <c r="AI50" s="276" t="e">
        <f>+I50+Q50+Y50+AG50</f>
        <v>#REF!</v>
      </c>
    </row>
    <row r="51" spans="2:37" ht="15" hidden="1">
      <c r="B51" s="269" t="s">
        <v>446</v>
      </c>
      <c r="C51" s="275">
        <f ca="1">+C18</f>
        <v>475</v>
      </c>
      <c r="D51" s="272"/>
      <c r="E51" s="275">
        <f ca="1">+E18</f>
        <v>126</v>
      </c>
      <c r="F51" s="272"/>
      <c r="G51" s="275">
        <f ca="1">+G18</f>
        <v>126</v>
      </c>
      <c r="H51" s="272"/>
      <c r="I51" s="309">
        <f ca="1">+I18</f>
        <v>727</v>
      </c>
      <c r="J51" s="275"/>
      <c r="K51" s="275">
        <f ca="1">+K18</f>
        <v>2060</v>
      </c>
      <c r="L51" s="275"/>
      <c r="M51" s="275">
        <f>+M18</f>
        <v>0</v>
      </c>
      <c r="N51" s="275"/>
      <c r="O51" s="275">
        <f>+O18</f>
        <v>0</v>
      </c>
      <c r="P51" s="275"/>
      <c r="Q51" s="309">
        <f ca="1">SUM(K51:O51)</f>
        <v>2060</v>
      </c>
      <c r="S51" s="275">
        <f>+S18</f>
        <v>0</v>
      </c>
      <c r="T51" s="275"/>
      <c r="U51" s="275">
        <f>+U18</f>
        <v>0</v>
      </c>
      <c r="V51" s="275"/>
      <c r="W51" s="275">
        <f>+W18</f>
        <v>0</v>
      </c>
      <c r="X51" s="275"/>
      <c r="Y51" s="276">
        <f>SUM(S51:W51)</f>
        <v>0</v>
      </c>
      <c r="Z51" s="273"/>
      <c r="AA51" s="275">
        <f>+AA18</f>
        <v>0</v>
      </c>
      <c r="AB51" s="394"/>
      <c r="AC51" s="275">
        <f>+AC18</f>
        <v>0</v>
      </c>
      <c r="AE51" s="275">
        <f>+AE18</f>
        <v>0</v>
      </c>
      <c r="AG51" s="276">
        <f>SUM(AA51:AE51)</f>
        <v>0</v>
      </c>
      <c r="AI51" s="309">
        <f ca="1">+AI18</f>
        <v>2787</v>
      </c>
    </row>
    <row r="52" spans="2:37" ht="15" hidden="1">
      <c r="B52" s="269" t="s">
        <v>447</v>
      </c>
      <c r="C52" s="271">
        <f ca="1">+C51/C10</f>
        <v>0.17</v>
      </c>
      <c r="D52" s="272"/>
      <c r="E52" s="271">
        <f ca="1">IFERROR(E51/E10,0)</f>
        <v>0.05</v>
      </c>
      <c r="F52" s="272"/>
      <c r="G52" s="271">
        <f ca="1">IFERROR(G51/G10,0)</f>
        <v>0.05</v>
      </c>
      <c r="H52" s="272"/>
      <c r="I52" s="918">
        <f ca="1">+I51/I10</f>
        <v>0.09</v>
      </c>
      <c r="J52" s="919"/>
      <c r="K52" s="271">
        <f ca="1">IFERROR(K51/K10,0)</f>
        <v>0.76</v>
      </c>
      <c r="L52" s="271"/>
      <c r="M52" s="271">
        <f>IFERROR(M51/M10,0)</f>
        <v>0</v>
      </c>
      <c r="N52" s="271"/>
      <c r="O52" s="271">
        <f>IFERROR(O51/O10,0)</f>
        <v>0</v>
      </c>
      <c r="P52" s="271"/>
      <c r="Q52" s="918">
        <f ca="1">IFERROR(Q51/Q10,0)</f>
        <v>0</v>
      </c>
      <c r="S52" s="271">
        <f>IFERROR(S51/S10,0)</f>
        <v>0</v>
      </c>
      <c r="T52" s="321"/>
      <c r="U52" s="271">
        <f>IFERROR(U51/U10,0)</f>
        <v>0</v>
      </c>
      <c r="V52" s="321"/>
      <c r="W52" s="271">
        <f>IFERROR(W51/W10,0)</f>
        <v>0</v>
      </c>
      <c r="X52" s="271"/>
      <c r="Y52" s="918">
        <f>IFERROR(Y51/Y10,0)</f>
        <v>0</v>
      </c>
      <c r="Z52" s="919"/>
      <c r="AA52" s="271">
        <f>IFERROR(AA51/AA10,0)</f>
        <v>0</v>
      </c>
      <c r="AB52" s="403"/>
      <c r="AC52" s="271">
        <f>IFERROR(AC51/AC10,0)</f>
        <v>0</v>
      </c>
      <c r="AE52" s="271">
        <f>IFERROR(AE51/AE10,0)</f>
        <v>0</v>
      </c>
      <c r="AG52" s="918">
        <f>IFERROR(AG51/AG10,0)</f>
        <v>0</v>
      </c>
      <c r="AI52" s="918" t="e">
        <f ca="1">+AI51/AI10</f>
        <v>#REF!</v>
      </c>
    </row>
    <row r="53" spans="2:37" ht="15" hidden="1">
      <c r="B53" s="269" t="s">
        <v>448</v>
      </c>
      <c r="C53" s="275">
        <f>+C13</f>
        <v>30</v>
      </c>
      <c r="D53" s="272"/>
      <c r="E53" s="275">
        <f>+E13</f>
        <v>30</v>
      </c>
      <c r="F53" s="272"/>
      <c r="G53" s="275">
        <f>+G13</f>
        <v>30</v>
      </c>
      <c r="H53" s="272"/>
      <c r="I53" s="309">
        <f>+I13</f>
        <v>90</v>
      </c>
      <c r="J53" s="275"/>
      <c r="K53" s="275">
        <f>+K13</f>
        <v>12</v>
      </c>
      <c r="L53" s="275"/>
      <c r="M53" s="275">
        <f>+M13</f>
        <v>0</v>
      </c>
      <c r="N53" s="275"/>
      <c r="O53" s="275">
        <f>+O13</f>
        <v>0</v>
      </c>
      <c r="P53" s="275"/>
      <c r="Q53" s="309">
        <f>SUM(K53:O53)</f>
        <v>12</v>
      </c>
      <c r="S53" s="275">
        <f>+S13</f>
        <v>0</v>
      </c>
      <c r="T53" s="275"/>
      <c r="U53" s="275">
        <f>+U13</f>
        <v>0</v>
      </c>
      <c r="V53" s="275"/>
      <c r="W53" s="275">
        <f>+W13</f>
        <v>0</v>
      </c>
      <c r="X53" s="275"/>
      <c r="Y53" s="309">
        <f>SUM(S53:W53)</f>
        <v>0</v>
      </c>
      <c r="Z53" s="273"/>
      <c r="AA53" s="275">
        <f>+AA13</f>
        <v>0</v>
      </c>
      <c r="AB53" s="394"/>
      <c r="AC53" s="275">
        <f>+AC13</f>
        <v>0</v>
      </c>
      <c r="AE53" s="275">
        <f>+AE13</f>
        <v>0</v>
      </c>
      <c r="AG53" s="309">
        <f>SUM(AA53:AE53)</f>
        <v>0</v>
      </c>
      <c r="AI53" s="309">
        <f>+AI13</f>
        <v>102</v>
      </c>
    </row>
    <row r="54" spans="2:37" ht="15" hidden="1">
      <c r="B54" s="269" t="s">
        <v>449</v>
      </c>
      <c r="C54" s="271">
        <f ca="1">+C53/C10</f>
        <v>0.01</v>
      </c>
      <c r="D54" s="272"/>
      <c r="E54" s="271">
        <f ca="1">IFERROR(E53/E10,0)</f>
        <v>0.01</v>
      </c>
      <c r="F54" s="272"/>
      <c r="G54" s="271">
        <f ca="1">IFERROR(G53/G10,0)</f>
        <v>0.01</v>
      </c>
      <c r="H54" s="272"/>
      <c r="I54" s="918">
        <f ca="1">+I53/I10</f>
        <v>0.01</v>
      </c>
      <c r="J54" s="919"/>
      <c r="K54" s="271">
        <f ca="1">IFERROR(K53/K10,0)</f>
        <v>0</v>
      </c>
      <c r="L54" s="271"/>
      <c r="M54" s="271">
        <f>IFERROR(M53/M10,0)</f>
        <v>0</v>
      </c>
      <c r="N54" s="271"/>
      <c r="O54" s="271">
        <f>IFERROR(O53/O10,0)</f>
        <v>0</v>
      </c>
      <c r="P54" s="271"/>
      <c r="Q54" s="918">
        <f ca="1">IFERROR(Q53/Q10,0)</f>
        <v>0</v>
      </c>
      <c r="S54" s="271">
        <f>IFERROR(S53/S10,0)</f>
        <v>0</v>
      </c>
      <c r="T54" s="321"/>
      <c r="U54" s="271">
        <f>IFERROR(U53/U10,0)</f>
        <v>0</v>
      </c>
      <c r="V54" s="321"/>
      <c r="W54" s="271">
        <f>IFERROR(W53/W10,0)</f>
        <v>0</v>
      </c>
      <c r="X54" s="271"/>
      <c r="Y54" s="918">
        <f>IFERROR(Y53/Y10,0)</f>
        <v>0</v>
      </c>
      <c r="Z54" s="919"/>
      <c r="AA54" s="271">
        <f>IFERROR(AA53/AA10,0)</f>
        <v>0</v>
      </c>
      <c r="AB54" s="403"/>
      <c r="AC54" s="271">
        <f>IFERROR(AC53/AC10,0)</f>
        <v>0</v>
      </c>
      <c r="AE54" s="271">
        <f>IFERROR(AE53/AE10,0)</f>
        <v>0</v>
      </c>
      <c r="AG54" s="918">
        <f>IFERROR(AG53/AG10,0)</f>
        <v>0</v>
      </c>
      <c r="AI54" s="918" t="e">
        <f ca="1">+AI53/AI10</f>
        <v>#REF!</v>
      </c>
    </row>
    <row r="55" spans="2:37" s="187" customFormat="1" ht="15" hidden="1">
      <c r="B55" s="269" t="s">
        <v>450</v>
      </c>
      <c r="C55" s="275">
        <f ca="1">+C18+C27</f>
        <v>1525</v>
      </c>
      <c r="D55" s="272"/>
      <c r="E55" s="275">
        <f ca="1">+E18+E27</f>
        <v>1176</v>
      </c>
      <c r="F55" s="272"/>
      <c r="G55" s="275">
        <f ca="1">+G18+G27</f>
        <v>1176</v>
      </c>
      <c r="H55" s="272"/>
      <c r="I55" s="309">
        <f ca="1">+I18+I27</f>
        <v>3877</v>
      </c>
      <c r="J55" s="275"/>
      <c r="K55" s="275">
        <f ca="1">+K18+K27</f>
        <v>3110</v>
      </c>
      <c r="L55" s="275"/>
      <c r="M55" s="275">
        <f>+M18+M27</f>
        <v>1050</v>
      </c>
      <c r="N55" s="275"/>
      <c r="O55" s="275">
        <f>+O18+O27</f>
        <v>1050</v>
      </c>
      <c r="P55" s="275"/>
      <c r="Q55" s="309">
        <f ca="1">SUM(K55:O55)</f>
        <v>5210</v>
      </c>
      <c r="R55"/>
      <c r="S55" s="275">
        <f>+S18+S27</f>
        <v>1050</v>
      </c>
      <c r="T55" s="275"/>
      <c r="U55" s="275">
        <f>+U18+U27</f>
        <v>1050</v>
      </c>
      <c r="V55" s="275"/>
      <c r="W55" s="275">
        <f>+W18+W27</f>
        <v>1050</v>
      </c>
      <c r="X55" s="275"/>
      <c r="Y55" s="309">
        <f>SUM(S55:W55)</f>
        <v>3150</v>
      </c>
      <c r="Z55" s="273"/>
      <c r="AA55" s="275">
        <f>+AA18+AA27</f>
        <v>1050</v>
      </c>
      <c r="AB55" s="394"/>
      <c r="AC55" s="275">
        <f>+AC18+AC27</f>
        <v>1050</v>
      </c>
      <c r="AD55"/>
      <c r="AE55" s="275">
        <f>+AE18+AE27</f>
        <v>1050</v>
      </c>
      <c r="AF55"/>
      <c r="AG55" s="309">
        <f>SUM(AA55:AE55)</f>
        <v>3150</v>
      </c>
      <c r="AH55"/>
      <c r="AI55" s="309">
        <f ca="1">+AI18+AI27</f>
        <v>15387</v>
      </c>
      <c r="AJ55"/>
      <c r="AK55"/>
    </row>
    <row r="56" spans="2:37" ht="15" hidden="1">
      <c r="B56" s="269" t="s">
        <v>451</v>
      </c>
      <c r="C56" s="271">
        <f ca="1">+C55/C10</f>
        <v>0.56000000000000005</v>
      </c>
      <c r="D56" s="272"/>
      <c r="E56" s="271">
        <f ca="1">IFERROR(E55/E10,0)</f>
        <v>0.43</v>
      </c>
      <c r="F56" s="272"/>
      <c r="G56" s="271">
        <f ca="1">IFERROR(G55/G10,0)</f>
        <v>0.43</v>
      </c>
      <c r="H56" s="272"/>
      <c r="I56" s="918">
        <f ca="1">+I55/I10</f>
        <v>0.47</v>
      </c>
      <c r="J56" s="919"/>
      <c r="K56" s="271">
        <f ca="1">IFERROR(K55/K10,0)</f>
        <v>1.1399999999999999</v>
      </c>
      <c r="L56" s="271"/>
      <c r="M56" s="271">
        <f>IFERROR(M55/M10,0)</f>
        <v>0</v>
      </c>
      <c r="N56" s="271"/>
      <c r="O56" s="271">
        <f>IFERROR(O55/O10,0)</f>
        <v>0</v>
      </c>
      <c r="P56" s="271"/>
      <c r="Q56" s="918">
        <f ca="1">IFERROR(Q55/Q10,0)</f>
        <v>0</v>
      </c>
      <c r="S56" s="271">
        <f>IFERROR(S55/S10,0)</f>
        <v>0</v>
      </c>
      <c r="T56" s="321"/>
      <c r="U56" s="271">
        <f>IFERROR(U55/U10,0)</f>
        <v>0</v>
      </c>
      <c r="V56" s="321"/>
      <c r="W56" s="271">
        <f>IFERROR(W55/W10,0)</f>
        <v>0</v>
      </c>
      <c r="X56" s="271"/>
      <c r="Y56" s="918">
        <f>IFERROR(Y55/Y10,0)</f>
        <v>0</v>
      </c>
      <c r="Z56" s="919"/>
      <c r="AA56" s="271">
        <f>IFERROR(AA55/AA10,0)</f>
        <v>0</v>
      </c>
      <c r="AB56" s="403"/>
      <c r="AC56" s="271">
        <f>IFERROR(AC55/AC10,0)</f>
        <v>0</v>
      </c>
      <c r="AE56" s="271">
        <f>IFERROR(AE55/AE10,0)</f>
        <v>0</v>
      </c>
      <c r="AG56" s="918">
        <f>IFERROR(AG55/AG10,0)</f>
        <v>0</v>
      </c>
      <c r="AI56" s="918" t="e">
        <f ca="1">+AI55/AI10</f>
        <v>#REF!</v>
      </c>
    </row>
    <row r="57" spans="2:37" ht="15" hidden="1">
      <c r="B57" s="269" t="s">
        <v>452</v>
      </c>
      <c r="C57" s="272">
        <f>+Personnel!B35</f>
        <v>0</v>
      </c>
      <c r="D57" s="272"/>
      <c r="E57" s="272">
        <f>+Personnel!D35</f>
        <v>0</v>
      </c>
      <c r="F57" s="272"/>
      <c r="G57" s="272">
        <f>+Personnel!F35</f>
        <v>0</v>
      </c>
      <c r="H57" s="272"/>
      <c r="I57" s="274">
        <f>SUM(C57,E57,G57)</f>
        <v>0</v>
      </c>
      <c r="J57" s="272"/>
      <c r="K57" s="272">
        <f>+Personnel!H35</f>
        <v>0</v>
      </c>
      <c r="L57" s="272"/>
      <c r="M57" s="272">
        <f>+Personnel!I35</f>
        <v>0</v>
      </c>
      <c r="N57" s="272"/>
      <c r="O57" s="272">
        <f>+Personnel!J35</f>
        <v>0</v>
      </c>
      <c r="P57" s="272"/>
      <c r="Q57" s="274">
        <f>SUM(K57:O57)</f>
        <v>0</v>
      </c>
      <c r="S57" s="272">
        <f>+Personnel!L35</f>
        <v>0</v>
      </c>
      <c r="T57" s="272"/>
      <c r="U57" s="272">
        <f>+Personnel!M35</f>
        <v>0</v>
      </c>
      <c r="V57" s="272"/>
      <c r="W57" s="272">
        <f>+Personnel!N35</f>
        <v>0</v>
      </c>
      <c r="X57" s="272"/>
      <c r="Y57" s="276">
        <f>SUM(S57:W57)</f>
        <v>0</v>
      </c>
      <c r="Z57" s="273"/>
      <c r="AA57" s="272">
        <f>+Personnel!P35</f>
        <v>0</v>
      </c>
      <c r="AB57" s="167"/>
      <c r="AC57" s="272">
        <f>+Personnel!Q35</f>
        <v>0</v>
      </c>
      <c r="AE57" s="272">
        <f>+Personnel!R35</f>
        <v>0</v>
      </c>
      <c r="AG57" s="276">
        <f>SUM(AA57:AE57)</f>
        <v>0</v>
      </c>
      <c r="AI57" s="309">
        <f>+I57+Q57+Y57+AG57</f>
        <v>0</v>
      </c>
    </row>
    <row r="58" spans="2:37" ht="15" hidden="1">
      <c r="B58" s="269" t="s">
        <v>453</v>
      </c>
      <c r="C58" s="272">
        <f>+Personnel!B36</f>
        <v>0</v>
      </c>
      <c r="D58" s="272"/>
      <c r="E58" s="272">
        <f>+Personnel!D36</f>
        <v>0</v>
      </c>
      <c r="F58" s="272"/>
      <c r="G58" s="272">
        <f>+Personnel!F36</f>
        <v>0</v>
      </c>
      <c r="H58" s="272"/>
      <c r="I58" s="274">
        <f>SUM(C58,E58,G58)</f>
        <v>0</v>
      </c>
      <c r="J58" s="272"/>
      <c r="K58" s="272">
        <f>+Personnel!H36</f>
        <v>0</v>
      </c>
      <c r="L58" s="272"/>
      <c r="M58" s="272">
        <f>+Personnel!I36</f>
        <v>0</v>
      </c>
      <c r="N58" s="272"/>
      <c r="O58" s="272">
        <f>+Personnel!J36</f>
        <v>0</v>
      </c>
      <c r="P58" s="272"/>
      <c r="Q58" s="274">
        <f>SUM(K58:O58)</f>
        <v>0</v>
      </c>
      <c r="S58" s="272">
        <f>+Personnel!L36</f>
        <v>0</v>
      </c>
      <c r="T58" s="272"/>
      <c r="U58" s="272">
        <f>+Personnel!M36</f>
        <v>0</v>
      </c>
      <c r="V58" s="272"/>
      <c r="W58" s="272">
        <f>+Personnel!N36</f>
        <v>0</v>
      </c>
      <c r="X58" s="272"/>
      <c r="Y58" s="276">
        <f>SUM(S58:W58)</f>
        <v>0</v>
      </c>
      <c r="Z58" s="273"/>
      <c r="AA58" s="272">
        <f>+Personnel!P36</f>
        <v>0</v>
      </c>
      <c r="AB58" s="167"/>
      <c r="AC58" s="272">
        <f>+Personnel!Q36</f>
        <v>0</v>
      </c>
      <c r="AE58" s="272">
        <f>+Personnel!R36</f>
        <v>0</v>
      </c>
      <c r="AG58" s="276">
        <f>SUM(AA58:AE58)</f>
        <v>0</v>
      </c>
      <c r="AI58" s="309">
        <f>+I58+Q58+Y58+AG58</f>
        <v>0</v>
      </c>
    </row>
    <row r="59" spans="2:37" ht="15" hidden="1">
      <c r="B59" s="269" t="s">
        <v>454</v>
      </c>
      <c r="C59" s="273">
        <f>+Personnel!B42-C60</f>
        <v>-484</v>
      </c>
      <c r="D59" s="272"/>
      <c r="E59" s="273">
        <f>+Personnel!D42-E60</f>
        <v>-270</v>
      </c>
      <c r="F59" s="272"/>
      <c r="G59" s="273">
        <f>+Personnel!F42-G60</f>
        <v>-270</v>
      </c>
      <c r="H59" s="272"/>
      <c r="I59" s="276">
        <f>SUM(C59,E59,G59)</f>
        <v>-1024</v>
      </c>
      <c r="J59" s="273"/>
      <c r="K59" s="273">
        <f>+Personnel!H42-K60</f>
        <v>-267</v>
      </c>
      <c r="L59" s="273"/>
      <c r="M59" s="273">
        <f>+Personnel!I42-M60</f>
        <v>-237</v>
      </c>
      <c r="N59" s="273"/>
      <c r="O59" s="273">
        <f>+Personnel!J42-O60</f>
        <v>-276</v>
      </c>
      <c r="P59" s="273"/>
      <c r="Q59" s="276">
        <f>SUM(K59:O59)</f>
        <v>-780</v>
      </c>
      <c r="S59" s="273">
        <f>+Personnel!L42-S60</f>
        <v>-299</v>
      </c>
      <c r="T59" s="273"/>
      <c r="U59" s="277">
        <f>+Personnel!M42-U60</f>
        <v>-415</v>
      </c>
      <c r="V59" s="277"/>
      <c r="W59" s="277">
        <f>+Personnel!N42-W60</f>
        <v>-432</v>
      </c>
      <c r="X59" s="277"/>
      <c r="Y59" s="276">
        <f>SUM(S59:W59)</f>
        <v>-1146</v>
      </c>
      <c r="Z59" s="273"/>
      <c r="AA59" s="277">
        <f>+Personnel!P42-AA60</f>
        <v>-325</v>
      </c>
      <c r="AB59" s="395"/>
      <c r="AC59" s="277">
        <f>+Personnel!Q42-AC60</f>
        <v>-220</v>
      </c>
      <c r="AE59" s="277">
        <f>+Personnel!R42-AE60</f>
        <v>-199</v>
      </c>
      <c r="AG59" s="276">
        <f>SUM(AA59:AE59)</f>
        <v>-744</v>
      </c>
      <c r="AI59" s="309">
        <f>+I59+Q59+Y59+AG59</f>
        <v>-3694</v>
      </c>
    </row>
    <row r="60" spans="2:37" ht="15" hidden="1">
      <c r="B60" s="269" t="s">
        <v>455</v>
      </c>
      <c r="C60" s="273">
        <f>+C77</f>
        <v>484</v>
      </c>
      <c r="D60" s="272"/>
      <c r="E60" s="273">
        <v>270</v>
      </c>
      <c r="F60" s="272"/>
      <c r="G60" s="273">
        <f>+G77</f>
        <v>270</v>
      </c>
      <c r="H60" s="272"/>
      <c r="I60" s="276">
        <f>SUM(C60,E60,G60)</f>
        <v>1024</v>
      </c>
      <c r="J60" s="273"/>
      <c r="K60" s="273">
        <f>+K77</f>
        <v>267</v>
      </c>
      <c r="L60" s="273"/>
      <c r="M60" s="273">
        <f>+M77</f>
        <v>237</v>
      </c>
      <c r="N60" s="273"/>
      <c r="O60" s="273">
        <f>+O77</f>
        <v>276</v>
      </c>
      <c r="P60" s="273"/>
      <c r="Q60" s="276">
        <f>SUM(K60:O60)</f>
        <v>780</v>
      </c>
      <c r="S60" s="273">
        <f>+S77</f>
        <v>299</v>
      </c>
      <c r="T60" s="273"/>
      <c r="U60" s="273">
        <f>+U77</f>
        <v>415</v>
      </c>
      <c r="V60" s="277"/>
      <c r="W60" s="273">
        <f>+W77</f>
        <v>432</v>
      </c>
      <c r="X60" s="277"/>
      <c r="Y60" s="276">
        <f>SUM(S60:W60)</f>
        <v>1146</v>
      </c>
      <c r="Z60" s="273"/>
      <c r="AA60" s="273">
        <f>+AA77</f>
        <v>325</v>
      </c>
      <c r="AB60" s="395"/>
      <c r="AC60" s="273">
        <f>+AC77</f>
        <v>220</v>
      </c>
      <c r="AE60" s="273">
        <f>+AE77</f>
        <v>199</v>
      </c>
      <c r="AG60" s="276">
        <f>SUM(AA60:AE60)</f>
        <v>744</v>
      </c>
      <c r="AI60" s="309">
        <f>+I60+Q60+Y60+AG60</f>
        <v>3694</v>
      </c>
    </row>
    <row r="61" spans="2:37" ht="15" hidden="1">
      <c r="B61" s="269" t="s">
        <v>456</v>
      </c>
      <c r="C61" s="277" t="e">
        <f>+C59/C57</f>
        <v>#DIV/0!</v>
      </c>
      <c r="D61" s="272"/>
      <c r="E61" s="277">
        <f>IFERROR(E59/E57,0)</f>
        <v>0</v>
      </c>
      <c r="F61" s="272"/>
      <c r="G61" s="277">
        <f>IFERROR(G59/G57,0)</f>
        <v>0</v>
      </c>
      <c r="H61" s="272"/>
      <c r="I61" s="276">
        <f>IFERROR(I59/I57,0)</f>
        <v>0</v>
      </c>
      <c r="J61" s="277"/>
      <c r="K61" s="277">
        <f>IFERROR(K59/K57,0)</f>
        <v>0</v>
      </c>
      <c r="L61" s="277"/>
      <c r="M61" s="277">
        <f>IFERROR(M59/M57,0)</f>
        <v>0</v>
      </c>
      <c r="N61" s="277"/>
      <c r="O61" s="277">
        <f>IFERROR(O59/O57,0)</f>
        <v>0</v>
      </c>
      <c r="P61" s="277"/>
      <c r="Q61" s="276">
        <f>IFERROR(Q59/Q57,0)</f>
        <v>0</v>
      </c>
      <c r="S61" s="277">
        <f>IFERROR(S59/S57,0)</f>
        <v>0</v>
      </c>
      <c r="T61" s="277"/>
      <c r="U61" s="277">
        <f>IFERROR(U59/U57,0)</f>
        <v>0</v>
      </c>
      <c r="V61" s="277"/>
      <c r="W61" s="277">
        <f>IFERROR(W59/W57,0)</f>
        <v>0</v>
      </c>
      <c r="X61" s="277"/>
      <c r="Y61" s="276">
        <f>IFERROR(Y59/Y57,0)</f>
        <v>0</v>
      </c>
      <c r="Z61" s="277"/>
      <c r="AA61" s="277">
        <f>IFERROR(AA59/AA57,0)</f>
        <v>0</v>
      </c>
      <c r="AB61" s="395"/>
      <c r="AC61" s="277">
        <f>IFERROR(AC59/AC57,0)</f>
        <v>0</v>
      </c>
      <c r="AE61" s="277">
        <f>IFERROR(AE59/AE57,0)</f>
        <v>0</v>
      </c>
      <c r="AG61" s="276">
        <f>IFERROR(AG59/AG57,0)</f>
        <v>0</v>
      </c>
      <c r="AI61" s="276">
        <f>IFERROR(AI59/AI57,0)</f>
        <v>0</v>
      </c>
    </row>
    <row r="62" spans="2:37" ht="15" hidden="1">
      <c r="B62" s="290" t="s">
        <v>457</v>
      </c>
      <c r="C62" s="291" t="e">
        <f>+C57/C50</f>
        <v>#REF!</v>
      </c>
      <c r="D62" s="292"/>
      <c r="E62" s="291">
        <f>IFERROR(E57/E50,0)</f>
        <v>0</v>
      </c>
      <c r="F62" s="292"/>
      <c r="G62" s="291">
        <f>IFERROR(G57/G50,0)</f>
        <v>0</v>
      </c>
      <c r="H62" s="292"/>
      <c r="I62" s="310">
        <f>IFERROR(I57/I50,0)</f>
        <v>0</v>
      </c>
      <c r="J62" s="278"/>
      <c r="K62" s="291">
        <f>IFERROR(K57/K50,0)</f>
        <v>0</v>
      </c>
      <c r="L62" s="291"/>
      <c r="M62" s="291">
        <f>IFERROR(M57/M50,0)</f>
        <v>0</v>
      </c>
      <c r="N62" s="291"/>
      <c r="O62" s="291">
        <f>IFERROR(O57/O50,0)</f>
        <v>0</v>
      </c>
      <c r="P62" s="291"/>
      <c r="Q62" s="310">
        <f>IFERROR(Q57/Q50,0)</f>
        <v>0</v>
      </c>
      <c r="R62" s="168"/>
      <c r="S62" s="291">
        <f>IFERROR(S57/S50,0)</f>
        <v>0</v>
      </c>
      <c r="T62" s="278"/>
      <c r="U62" s="291">
        <f>IFERROR(U57/U50,0)</f>
        <v>0</v>
      </c>
      <c r="V62" s="278"/>
      <c r="W62" s="291">
        <f>IFERROR(W57/W50,0)</f>
        <v>0</v>
      </c>
      <c r="X62" s="291"/>
      <c r="Y62" s="310">
        <f>IFERROR(Y57/Y50,0)</f>
        <v>0</v>
      </c>
      <c r="Z62" s="278"/>
      <c r="AA62" s="291">
        <f>IFERROR(AA57/AA50,0)</f>
        <v>0</v>
      </c>
      <c r="AB62" s="404"/>
      <c r="AC62" s="291">
        <f>IFERROR(AC57/AC50,0)</f>
        <v>0</v>
      </c>
      <c r="AD62" s="463"/>
      <c r="AE62" s="291">
        <f>IFERROR(AE57/AE50,0)</f>
        <v>0</v>
      </c>
      <c r="AF62" s="463"/>
      <c r="AG62" s="310">
        <f>IFERROR(AG57/AG50,0)</f>
        <v>0</v>
      </c>
      <c r="AH62" s="168"/>
      <c r="AI62" s="310">
        <f>IFERROR(AI57/AI50,0)</f>
        <v>0</v>
      </c>
    </row>
    <row r="63" spans="2:37" ht="15" hidden="1">
      <c r="B63" s="269" t="s">
        <v>458</v>
      </c>
      <c r="C63" s="278" t="e">
        <f>C53/(C57+C58)</f>
        <v>#DIV/0!</v>
      </c>
      <c r="D63" s="278"/>
      <c r="E63" s="278">
        <f>IFERROR(E53/(E57+E58),0)</f>
        <v>0</v>
      </c>
      <c r="F63" s="278"/>
      <c r="G63" s="278">
        <f>IFERROR(G53/(G57+G58),0)</f>
        <v>0</v>
      </c>
      <c r="H63" s="278"/>
      <c r="I63" s="276">
        <f>IFERROR(I53/(I57+I58),0)</f>
        <v>0</v>
      </c>
      <c r="J63" s="278"/>
      <c r="K63" s="278">
        <f>IFERROR(K53/(K57+K58),0)</f>
        <v>0</v>
      </c>
      <c r="L63" s="278"/>
      <c r="M63" s="278">
        <f>IFERROR(M53/(M57+M58),0)</f>
        <v>0</v>
      </c>
      <c r="N63" s="278"/>
      <c r="O63" s="278">
        <f>IFERROR(O53/(O57+O58),0)</f>
        <v>0</v>
      </c>
      <c r="P63" s="278"/>
      <c r="Q63" s="276">
        <f>IFERROR(Q53/(Q57+Q58),0)</f>
        <v>0</v>
      </c>
      <c r="S63" s="278">
        <f>IFERROR(S53/(S57+S58),0)</f>
        <v>0</v>
      </c>
      <c r="T63" s="278"/>
      <c r="U63" s="278">
        <f>IFERROR(U53/(U57+U58),0)</f>
        <v>0</v>
      </c>
      <c r="V63" s="278"/>
      <c r="W63" s="278">
        <f>IFERROR(W53/(W57+W58),0)</f>
        <v>0</v>
      </c>
      <c r="X63" s="278"/>
      <c r="Y63" s="276">
        <f>IFERROR(Y53/(Y57+Y58),0)</f>
        <v>0</v>
      </c>
      <c r="Z63" s="278"/>
      <c r="AA63" s="278">
        <f>IFERROR(AA53/(AA57+AA58),0)</f>
        <v>0</v>
      </c>
      <c r="AB63" s="396"/>
      <c r="AC63" s="278">
        <f>IFERROR(AC53/(AC57+AC58),0)</f>
        <v>0</v>
      </c>
      <c r="AE63" s="278">
        <f>IFERROR(AE53/(AE57+AE58),0)</f>
        <v>0</v>
      </c>
      <c r="AG63" s="276">
        <f>IFERROR(AG53/(AG57+AG58),0)</f>
        <v>0</v>
      </c>
      <c r="AI63" s="276">
        <f>IFERROR(AI53/(AI57+AI58),0)</f>
        <v>0</v>
      </c>
    </row>
    <row r="64" spans="2:37" ht="15" hidden="1">
      <c r="B64" s="269" t="s">
        <v>459</v>
      </c>
      <c r="C64" s="278" t="e">
        <f ca="1">C51/C50</f>
        <v>#REF!</v>
      </c>
      <c r="D64" s="272"/>
      <c r="E64" s="278">
        <f ca="1">IFERROR(E51/E50,0)</f>
        <v>0</v>
      </c>
      <c r="F64" s="272"/>
      <c r="G64" s="278">
        <f ca="1">IFERROR(G51/G50,0)</f>
        <v>0</v>
      </c>
      <c r="H64" s="272"/>
      <c r="I64" s="276">
        <f ca="1">IFERROR(I51/I50,0)</f>
        <v>0</v>
      </c>
      <c r="J64" s="278"/>
      <c r="K64" s="278">
        <f ca="1">IFERROR(K51/K50,0)</f>
        <v>0</v>
      </c>
      <c r="L64" s="278"/>
      <c r="M64" s="278">
        <f>IFERROR(M51/M50,0)</f>
        <v>0</v>
      </c>
      <c r="N64" s="278"/>
      <c r="O64" s="278">
        <f>IFERROR(O51/O50,0)</f>
        <v>0</v>
      </c>
      <c r="P64" s="278"/>
      <c r="Q64" s="276">
        <f ca="1">IFERROR(Q51/Q50,0)</f>
        <v>0</v>
      </c>
      <c r="S64" s="278">
        <f>IFERROR(S51/S50,0)</f>
        <v>0</v>
      </c>
      <c r="T64" s="278"/>
      <c r="U64" s="278">
        <f>IFERROR(U51/U50,0)</f>
        <v>0</v>
      </c>
      <c r="V64" s="278"/>
      <c r="W64" s="278">
        <f>IFERROR(W51/W50,0)</f>
        <v>0</v>
      </c>
      <c r="X64" s="278"/>
      <c r="Y64" s="276">
        <f>IFERROR(Y51/Y50,0)</f>
        <v>0</v>
      </c>
      <c r="Z64" s="278"/>
      <c r="AA64" s="278">
        <f>IFERROR(AA51/AA50,0)</f>
        <v>0</v>
      </c>
      <c r="AB64" s="396"/>
      <c r="AC64" s="278">
        <f>IFERROR(AC51/AC50,0)</f>
        <v>0</v>
      </c>
      <c r="AE64" s="278">
        <f>IFERROR(AE51/AE50,0)</f>
        <v>0</v>
      </c>
      <c r="AG64" s="276">
        <f>IFERROR(AG51/AG50,0)</f>
        <v>0</v>
      </c>
      <c r="AI64" s="276">
        <f ca="1">IFERROR(AI51/AI50,0)</f>
        <v>0</v>
      </c>
    </row>
    <row r="65" spans="2:35" ht="15.75" hidden="1" thickBot="1">
      <c r="B65" s="270" t="s">
        <v>460</v>
      </c>
      <c r="C65" s="278" t="e">
        <f ca="1">C55/C50</f>
        <v>#REF!</v>
      </c>
      <c r="D65" s="272"/>
      <c r="E65" s="278">
        <f ca="1">IFERROR(E55/E50,0)</f>
        <v>0</v>
      </c>
      <c r="F65" s="272"/>
      <c r="G65" s="278">
        <f ca="1">IFERROR(G55/G50,0)</f>
        <v>0</v>
      </c>
      <c r="H65" s="272"/>
      <c r="I65" s="276">
        <f ca="1">IFERROR(I55/I50,0)</f>
        <v>0</v>
      </c>
      <c r="J65" s="278"/>
      <c r="K65" s="278">
        <f ca="1">IFERROR(K55/K50,0)</f>
        <v>0</v>
      </c>
      <c r="L65" s="278"/>
      <c r="M65" s="278">
        <f>IFERROR(M55/M50,0)</f>
        <v>0</v>
      </c>
      <c r="N65" s="278"/>
      <c r="O65" s="278">
        <f>IFERROR(O55/O50,0)</f>
        <v>0</v>
      </c>
      <c r="P65" s="278"/>
      <c r="Q65" s="276">
        <f ca="1">IFERROR(Q55/Q50,0)</f>
        <v>0</v>
      </c>
      <c r="S65" s="278">
        <f>IFERROR(S55/S50,0)</f>
        <v>0</v>
      </c>
      <c r="T65" s="278"/>
      <c r="U65" s="278">
        <f>IFERROR(U55/U50,0)</f>
        <v>0</v>
      </c>
      <c r="V65" s="278"/>
      <c r="W65" s="278">
        <f>IFERROR(W55/W50,0)</f>
        <v>0</v>
      </c>
      <c r="X65" s="278"/>
      <c r="Y65" s="276">
        <f>IFERROR(Y55/Y50,0)</f>
        <v>0</v>
      </c>
      <c r="Z65" s="278"/>
      <c r="AA65" s="278">
        <f>IFERROR(AA55/AA50,0)</f>
        <v>0</v>
      </c>
      <c r="AB65" s="396"/>
      <c r="AC65" s="278">
        <f>IFERROR(AC55/AC50,0)</f>
        <v>0</v>
      </c>
      <c r="AE65" s="278">
        <f>IFERROR(AE55/AE50,0)</f>
        <v>0</v>
      </c>
      <c r="AG65" s="276">
        <f>IFERROR(AG55/AG50,0)</f>
        <v>0</v>
      </c>
      <c r="AI65" s="276">
        <f ca="1">IFERROR(AI55/AI50,0)</f>
        <v>0</v>
      </c>
    </row>
    <row r="66" spans="2:35" hidden="1">
      <c r="Q66"/>
      <c r="AG66"/>
      <c r="AI66"/>
    </row>
    <row r="67" spans="2:35" hidden="1">
      <c r="Q67"/>
      <c r="AG67"/>
      <c r="AI67"/>
    </row>
    <row r="68" spans="2:35" ht="15.75" hidden="1">
      <c r="Q68"/>
      <c r="Y68" s="61"/>
      <c r="Z68" s="61"/>
      <c r="AG68"/>
      <c r="AI68"/>
    </row>
    <row r="69" spans="2:35" ht="15.75" hidden="1">
      <c r="Q69"/>
      <c r="Y69" s="61"/>
      <c r="Z69" s="61"/>
      <c r="AG69"/>
      <c r="AI69"/>
    </row>
    <row r="70" spans="2:35" ht="15.75" hidden="1">
      <c r="C70" s="21" t="s">
        <v>3</v>
      </c>
      <c r="E70" s="21" t="s">
        <v>4</v>
      </c>
      <c r="G70" s="21" t="s">
        <v>438</v>
      </c>
      <c r="I70" s="21" t="s">
        <v>419</v>
      </c>
      <c r="K70" s="21" t="s">
        <v>6</v>
      </c>
      <c r="L70" s="21"/>
      <c r="M70" s="21" t="s">
        <v>7</v>
      </c>
      <c r="N70" s="21"/>
      <c r="O70" s="21" t="s">
        <v>439</v>
      </c>
      <c r="P70" s="21"/>
      <c r="Q70" s="21" t="s">
        <v>420</v>
      </c>
      <c r="S70" s="21" t="s">
        <v>440</v>
      </c>
      <c r="T70" s="21"/>
      <c r="U70" s="21" t="s">
        <v>441</v>
      </c>
      <c r="V70" s="21"/>
      <c r="W70" s="21" t="s">
        <v>442</v>
      </c>
      <c r="X70" s="21"/>
      <c r="Y70" s="21" t="s">
        <v>421</v>
      </c>
      <c r="Z70" s="257"/>
      <c r="AA70" s="21" t="s">
        <v>12</v>
      </c>
      <c r="AB70" s="21"/>
      <c r="AC70" s="21" t="s">
        <v>13</v>
      </c>
      <c r="AE70" s="21" t="s">
        <v>443</v>
      </c>
      <c r="AG70" s="21" t="s">
        <v>422</v>
      </c>
      <c r="AI70" s="21" t="s">
        <v>444</v>
      </c>
    </row>
    <row r="71" spans="2:35" ht="15" hidden="1">
      <c r="B71" s="269" t="s">
        <v>461</v>
      </c>
      <c r="C71" s="273">
        <v>96</v>
      </c>
      <c r="D71" s="272"/>
      <c r="E71" s="273">
        <v>38</v>
      </c>
      <c r="F71" s="272"/>
      <c r="G71" s="273">
        <v>16</v>
      </c>
      <c r="H71" s="272"/>
      <c r="I71" s="276">
        <f t="shared" ref="I71:I76" si="48">SUM(C71,E71,G71)</f>
        <v>150</v>
      </c>
      <c r="K71" s="273">
        <v>26</v>
      </c>
      <c r="L71" s="273"/>
      <c r="M71" s="273">
        <v>12</v>
      </c>
      <c r="N71" s="273"/>
      <c r="O71" s="273">
        <v>40</v>
      </c>
      <c r="P71" s="273"/>
      <c r="Q71" s="276">
        <f t="shared" ref="Q71:Q76" si="49">SUM(K71:O71)</f>
        <v>78</v>
      </c>
      <c r="S71" s="273">
        <v>32</v>
      </c>
      <c r="T71" s="273"/>
      <c r="U71" s="273">
        <v>32</v>
      </c>
      <c r="V71" s="277"/>
      <c r="W71" s="273">
        <v>58</v>
      </c>
      <c r="X71" s="277"/>
      <c r="Y71" s="276">
        <f t="shared" ref="Y71:Y76" si="50">SUM(S71:X71)</f>
        <v>122</v>
      </c>
      <c r="AA71" s="273">
        <v>32</v>
      </c>
      <c r="AB71" s="395"/>
      <c r="AC71" s="401">
        <v>44</v>
      </c>
      <c r="AE71" s="401">
        <v>20</v>
      </c>
      <c r="AG71" s="276">
        <f t="shared" ref="AG71:AG76" si="51">SUM(AA71:AF71)</f>
        <v>96</v>
      </c>
      <c r="AI71" s="276">
        <f t="shared" ref="AI71:AI76" si="52">+I71+Q71+Y71+AG71</f>
        <v>446</v>
      </c>
    </row>
    <row r="72" spans="2:35" ht="15" hidden="1">
      <c r="B72" s="269" t="s">
        <v>462</v>
      </c>
      <c r="C72" s="273">
        <v>285</v>
      </c>
      <c r="D72" s="272"/>
      <c r="E72" s="273">
        <v>180</v>
      </c>
      <c r="F72" s="272"/>
      <c r="G72" s="273">
        <v>193</v>
      </c>
      <c r="H72" s="272"/>
      <c r="I72" s="276">
        <f t="shared" si="48"/>
        <v>658</v>
      </c>
      <c r="K72" s="273">
        <v>178</v>
      </c>
      <c r="L72" s="273"/>
      <c r="M72" s="273">
        <v>192</v>
      </c>
      <c r="N72" s="273"/>
      <c r="O72" s="273">
        <v>208</v>
      </c>
      <c r="P72" s="273"/>
      <c r="Q72" s="276">
        <f t="shared" si="49"/>
        <v>578</v>
      </c>
      <c r="S72" s="273">
        <v>221</v>
      </c>
      <c r="T72" s="273"/>
      <c r="U72" s="273">
        <v>303</v>
      </c>
      <c r="V72" s="277"/>
      <c r="W72" s="273">
        <v>324</v>
      </c>
      <c r="X72" s="277"/>
      <c r="Y72" s="276">
        <f t="shared" si="50"/>
        <v>848</v>
      </c>
      <c r="AA72" s="273">
        <v>258</v>
      </c>
      <c r="AB72" s="395"/>
      <c r="AC72" s="401">
        <v>152</v>
      </c>
      <c r="AE72" s="401">
        <v>148</v>
      </c>
      <c r="AG72" s="276">
        <f>SUM(AA72:AF72)</f>
        <v>558</v>
      </c>
      <c r="AI72" s="276">
        <f t="shared" si="52"/>
        <v>2642</v>
      </c>
    </row>
    <row r="73" spans="2:35" ht="15" hidden="1">
      <c r="B73" s="269" t="s">
        <v>463</v>
      </c>
      <c r="C73" s="273">
        <v>66</v>
      </c>
      <c r="D73" s="272"/>
      <c r="E73" s="273">
        <v>3</v>
      </c>
      <c r="F73" s="272"/>
      <c r="G73" s="273">
        <v>5</v>
      </c>
      <c r="H73" s="272"/>
      <c r="I73" s="276">
        <f t="shared" si="48"/>
        <v>74</v>
      </c>
      <c r="K73" s="273">
        <v>0</v>
      </c>
      <c r="L73" s="273"/>
      <c r="M73" s="273">
        <v>1</v>
      </c>
      <c r="N73" s="273"/>
      <c r="O73" s="273">
        <v>12</v>
      </c>
      <c r="P73" s="273"/>
      <c r="Q73" s="276">
        <f t="shared" si="49"/>
        <v>13</v>
      </c>
      <c r="S73" s="273">
        <v>16</v>
      </c>
      <c r="T73" s="273"/>
      <c r="U73" s="273">
        <v>19</v>
      </c>
      <c r="V73" s="277"/>
      <c r="W73" s="273">
        <v>10</v>
      </c>
      <c r="X73" s="277"/>
      <c r="Y73" s="276">
        <f t="shared" si="50"/>
        <v>45</v>
      </c>
      <c r="AA73" s="273">
        <v>3</v>
      </c>
      <c r="AB73" s="395"/>
      <c r="AC73" s="401"/>
      <c r="AE73" s="401"/>
      <c r="AG73" s="276">
        <f t="shared" si="51"/>
        <v>3</v>
      </c>
      <c r="AI73" s="276">
        <f t="shared" si="52"/>
        <v>135</v>
      </c>
    </row>
    <row r="74" spans="2:35" ht="15" hidden="1">
      <c r="B74" s="269" t="s">
        <v>464</v>
      </c>
      <c r="C74" s="273">
        <v>0</v>
      </c>
      <c r="D74" s="272"/>
      <c r="E74" s="273"/>
      <c r="F74" s="272"/>
      <c r="G74" s="273"/>
      <c r="H74" s="272"/>
      <c r="I74" s="276">
        <f t="shared" si="48"/>
        <v>0</v>
      </c>
      <c r="K74" s="273"/>
      <c r="L74" s="273"/>
      <c r="M74" s="273"/>
      <c r="N74" s="273"/>
      <c r="O74" s="273"/>
      <c r="P74" s="273"/>
      <c r="Q74" s="276">
        <f t="shared" si="49"/>
        <v>0</v>
      </c>
      <c r="S74" s="273"/>
      <c r="T74" s="273"/>
      <c r="U74" s="273"/>
      <c r="V74" s="277"/>
      <c r="W74" s="273"/>
      <c r="X74" s="277"/>
      <c r="Y74" s="276">
        <f t="shared" si="50"/>
        <v>0</v>
      </c>
      <c r="AA74" s="273"/>
      <c r="AB74" s="395"/>
      <c r="AC74" s="401"/>
      <c r="AE74" s="401"/>
      <c r="AG74" s="276">
        <f t="shared" si="51"/>
        <v>0</v>
      </c>
      <c r="AI74" s="276">
        <f t="shared" si="52"/>
        <v>0</v>
      </c>
    </row>
    <row r="75" spans="2:35" ht="15" hidden="1">
      <c r="B75" s="269" t="s">
        <v>465</v>
      </c>
      <c r="C75" s="273">
        <v>37</v>
      </c>
      <c r="D75" s="272"/>
      <c r="E75" s="273">
        <v>49</v>
      </c>
      <c r="F75" s="272"/>
      <c r="G75" s="273">
        <v>56</v>
      </c>
      <c r="H75" s="272"/>
      <c r="I75" s="276">
        <f t="shared" si="48"/>
        <v>142</v>
      </c>
      <c r="K75" s="273">
        <v>63</v>
      </c>
      <c r="L75" s="273"/>
      <c r="M75" s="273">
        <v>32</v>
      </c>
      <c r="N75" s="273"/>
      <c r="O75" s="273">
        <v>16</v>
      </c>
      <c r="P75" s="273"/>
      <c r="Q75" s="276">
        <f t="shared" si="49"/>
        <v>111</v>
      </c>
      <c r="S75" s="273">
        <v>30</v>
      </c>
      <c r="T75" s="273"/>
      <c r="U75" s="273">
        <v>61</v>
      </c>
      <c r="V75" s="277"/>
      <c r="W75" s="273">
        <v>40</v>
      </c>
      <c r="X75" s="277"/>
      <c r="Y75" s="276">
        <f t="shared" si="50"/>
        <v>131</v>
      </c>
      <c r="AA75" s="322">
        <v>32</v>
      </c>
      <c r="AB75" s="395"/>
      <c r="AC75" s="402">
        <v>24</v>
      </c>
      <c r="AE75" s="402">
        <v>31</v>
      </c>
      <c r="AG75" s="276">
        <f t="shared" si="51"/>
        <v>87</v>
      </c>
      <c r="AI75" s="276">
        <f t="shared" si="52"/>
        <v>471</v>
      </c>
    </row>
    <row r="76" spans="2:35" ht="15" hidden="1">
      <c r="B76" s="269"/>
      <c r="C76" s="273">
        <v>0</v>
      </c>
      <c r="D76" s="272"/>
      <c r="E76" s="273"/>
      <c r="F76" s="272"/>
      <c r="G76" s="273"/>
      <c r="H76" s="272"/>
      <c r="I76" s="276">
        <f t="shared" si="48"/>
        <v>0</v>
      </c>
      <c r="K76" s="273"/>
      <c r="L76" s="273"/>
      <c r="M76" s="273"/>
      <c r="N76" s="273"/>
      <c r="O76" s="273"/>
      <c r="P76" s="273"/>
      <c r="Q76" s="276">
        <f t="shared" si="49"/>
        <v>0</v>
      </c>
      <c r="S76" s="273"/>
      <c r="T76" s="273"/>
      <c r="U76" s="273"/>
      <c r="V76" s="277"/>
      <c r="W76" s="277"/>
      <c r="X76" s="277"/>
      <c r="Y76" s="276">
        <f t="shared" si="50"/>
        <v>0</v>
      </c>
      <c r="AA76" s="277"/>
      <c r="AB76" s="395"/>
      <c r="AC76" s="401"/>
      <c r="AE76" s="401"/>
      <c r="AG76" s="276">
        <f t="shared" si="51"/>
        <v>0</v>
      </c>
      <c r="AI76" s="276">
        <f t="shared" si="52"/>
        <v>0</v>
      </c>
    </row>
    <row r="77" spans="2:35" hidden="1">
      <c r="C77" s="149">
        <f>SUM(C71:C76)</f>
        <v>484</v>
      </c>
      <c r="E77" s="149">
        <f>SUM(E71:E76)</f>
        <v>270</v>
      </c>
      <c r="G77" s="149">
        <f>SUM(G71:G76)</f>
        <v>270</v>
      </c>
      <c r="I77" s="149">
        <f>SUM(I71:I76)</f>
        <v>1024</v>
      </c>
      <c r="K77" s="149">
        <f>SUM(K71:K76)</f>
        <v>267</v>
      </c>
      <c r="M77" s="149">
        <f>SUM(M71:M76)</f>
        <v>237</v>
      </c>
      <c r="O77" s="149">
        <f>SUM(O71:O76)</f>
        <v>276</v>
      </c>
      <c r="Q77" s="149">
        <f>SUM(Q71:Q76)</f>
        <v>780</v>
      </c>
      <c r="S77" s="149">
        <f>SUM(S71:S76)</f>
        <v>299</v>
      </c>
      <c r="U77" s="149">
        <f>SUM(U71:U76)</f>
        <v>415</v>
      </c>
      <c r="W77" s="149">
        <f>SUM(W71:W76)</f>
        <v>432</v>
      </c>
      <c r="Y77" s="149">
        <f>SUM(Y71:Y76)</f>
        <v>1146</v>
      </c>
      <c r="AA77" s="149">
        <f>SUM(AA71:AA76)</f>
        <v>325</v>
      </c>
      <c r="AB77" s="149"/>
      <c r="AC77" s="149">
        <f>SUM(AC71:AC76)</f>
        <v>220</v>
      </c>
      <c r="AE77" s="149">
        <f>SUM(AE71:AE76)</f>
        <v>199</v>
      </c>
      <c r="AG77" s="149">
        <f>SUM(AG71:AG76)</f>
        <v>744</v>
      </c>
      <c r="AI77" s="149">
        <f>SUM(AI71:AI76)</f>
        <v>3694</v>
      </c>
    </row>
    <row r="78" spans="2:35" hidden="1">
      <c r="Q78"/>
      <c r="AG78"/>
      <c r="AI78"/>
    </row>
    <row r="79" spans="2:35" hidden="1">
      <c r="Q79"/>
      <c r="AG79"/>
      <c r="AI79"/>
    </row>
    <row r="80" spans="2:35" hidden="1">
      <c r="Q80"/>
      <c r="AG80"/>
      <c r="AI80"/>
    </row>
    <row r="81" spans="17:35" hidden="1">
      <c r="Q81"/>
      <c r="AG81"/>
      <c r="AI81"/>
    </row>
    <row r="82" spans="17:35" hidden="1">
      <c r="Q82"/>
      <c r="AG82"/>
      <c r="AI82"/>
    </row>
    <row r="83" spans="17:35" hidden="1">
      <c r="AG83"/>
      <c r="AI83"/>
    </row>
    <row r="84" spans="17:35" hidden="1">
      <c r="AG84"/>
      <c r="AI84"/>
    </row>
    <row r="85" spans="17:35" hidden="1">
      <c r="AG85"/>
      <c r="AI85"/>
    </row>
    <row r="86" spans="17:35" hidden="1">
      <c r="AG86"/>
      <c r="AI86"/>
    </row>
    <row r="87" spans="17:35" hidden="1">
      <c r="AG87"/>
      <c r="AI87"/>
    </row>
    <row r="88" spans="17:35" hidden="1">
      <c r="AG88"/>
      <c r="AI88"/>
    </row>
    <row r="89" spans="17:35" hidden="1">
      <c r="AG89"/>
      <c r="AI89"/>
    </row>
    <row r="90" spans="17:35" hidden="1">
      <c r="AG90"/>
      <c r="AI90"/>
    </row>
    <row r="91" spans="17:35" hidden="1">
      <c r="AG91"/>
      <c r="AI91"/>
    </row>
    <row r="92" spans="17:35" hidden="1">
      <c r="AG92"/>
      <c r="AI92"/>
    </row>
    <row r="93" spans="17:35" hidden="1">
      <c r="AG93"/>
      <c r="AI93"/>
    </row>
    <row r="94" spans="17:35" hidden="1">
      <c r="AG94"/>
      <c r="AI94"/>
    </row>
    <row r="95" spans="17:35" hidden="1">
      <c r="AG95"/>
      <c r="AI95"/>
    </row>
    <row r="96" spans="17:35" hidden="1">
      <c r="AG96"/>
      <c r="AI96"/>
    </row>
    <row r="97" spans="33:35" hidden="1">
      <c r="AG97"/>
      <c r="AI97"/>
    </row>
    <row r="98" spans="33:35" hidden="1">
      <c r="AG98"/>
      <c r="AI98"/>
    </row>
    <row r="99" spans="33:35" hidden="1">
      <c r="AG99"/>
      <c r="AI99"/>
    </row>
    <row r="100" spans="33:35" hidden="1">
      <c r="AG100"/>
      <c r="AI100"/>
    </row>
    <row r="101" spans="33:35" hidden="1">
      <c r="AG101"/>
      <c r="AI101"/>
    </row>
    <row r="102" spans="33:35" hidden="1">
      <c r="AG102"/>
      <c r="AI102"/>
    </row>
    <row r="103" spans="33:35" hidden="1">
      <c r="AG103"/>
      <c r="AI103"/>
    </row>
    <row r="104" spans="33:35" hidden="1">
      <c r="AG104"/>
      <c r="AI104"/>
    </row>
    <row r="105" spans="33:35" hidden="1">
      <c r="AG105"/>
      <c r="AI105"/>
    </row>
    <row r="106" spans="33:35" hidden="1">
      <c r="AG106"/>
      <c r="AI106"/>
    </row>
    <row r="107" spans="33:35" hidden="1">
      <c r="AG107"/>
      <c r="AI107"/>
    </row>
    <row r="108" spans="33:35" hidden="1">
      <c r="AG108"/>
      <c r="AI108"/>
    </row>
    <row r="109" spans="33:35" hidden="1">
      <c r="AG109"/>
      <c r="AI109"/>
    </row>
    <row r="110" spans="33:35" hidden="1">
      <c r="AG110"/>
      <c r="AI110"/>
    </row>
    <row r="111" spans="33:35" hidden="1">
      <c r="AG111"/>
      <c r="AI111"/>
    </row>
    <row r="112" spans="33:35" hidden="1">
      <c r="AG112"/>
      <c r="AI112"/>
    </row>
    <row r="113" spans="33:35" hidden="1">
      <c r="AG113"/>
      <c r="AI113"/>
    </row>
    <row r="114" spans="33:35" hidden="1">
      <c r="AG114"/>
      <c r="AI114"/>
    </row>
    <row r="115" spans="33:35" hidden="1">
      <c r="AG115"/>
      <c r="AI115"/>
    </row>
    <row r="116" spans="33:35" hidden="1">
      <c r="AG116"/>
      <c r="AI116"/>
    </row>
    <row r="117" spans="33:35" hidden="1">
      <c r="AG117"/>
      <c r="AI117"/>
    </row>
    <row r="118" spans="33:35" hidden="1">
      <c r="AG118"/>
      <c r="AI118"/>
    </row>
    <row r="119" spans="33:35" hidden="1">
      <c r="AG119"/>
      <c r="AI119"/>
    </row>
    <row r="120" spans="33:35" hidden="1">
      <c r="AG120"/>
      <c r="AI120"/>
    </row>
    <row r="121" spans="33:35" hidden="1">
      <c r="AG121"/>
      <c r="AI121"/>
    </row>
    <row r="122" spans="33:35" hidden="1">
      <c r="AG122"/>
      <c r="AI122"/>
    </row>
    <row r="123" spans="33:35" hidden="1">
      <c r="AG123"/>
      <c r="AI123"/>
    </row>
    <row r="124" spans="33:35" hidden="1">
      <c r="AG124"/>
      <c r="AI124"/>
    </row>
    <row r="125" spans="33:35" hidden="1">
      <c r="AG125"/>
      <c r="AI125"/>
    </row>
    <row r="126" spans="33:35" hidden="1">
      <c r="AG126"/>
      <c r="AI126"/>
    </row>
    <row r="127" spans="33:35" hidden="1">
      <c r="AG127"/>
      <c r="AI127"/>
    </row>
    <row r="128" spans="33:35" hidden="1">
      <c r="AG128"/>
      <c r="AI128"/>
    </row>
    <row r="129" spans="10:35" hidden="1">
      <c r="AG129"/>
      <c r="AI129"/>
    </row>
    <row r="130" spans="10:35" hidden="1">
      <c r="AG130"/>
      <c r="AI130"/>
    </row>
    <row r="131" spans="10:35" s="187" customFormat="1" hidden="1">
      <c r="J131"/>
      <c r="R131"/>
      <c r="T131"/>
      <c r="V131"/>
      <c r="Z131"/>
      <c r="AH131"/>
    </row>
    <row r="132" spans="10:35" hidden="1">
      <c r="AG132"/>
      <c r="AI132"/>
    </row>
    <row r="133" spans="10:35" hidden="1">
      <c r="AG133"/>
      <c r="AI133"/>
    </row>
    <row r="134" spans="10:35" hidden="1">
      <c r="AG134"/>
      <c r="AI134"/>
    </row>
    <row r="135" spans="10:35" hidden="1">
      <c r="AG135"/>
      <c r="AI135"/>
    </row>
    <row r="136" spans="10:35" hidden="1">
      <c r="AG136"/>
      <c r="AI136"/>
    </row>
    <row r="137" spans="10:35" hidden="1">
      <c r="AG137"/>
      <c r="AI137"/>
    </row>
    <row r="138" spans="10:35" hidden="1">
      <c r="AG138"/>
      <c r="AI138"/>
    </row>
    <row r="139" spans="10:35" hidden="1">
      <c r="AG139"/>
      <c r="AI139"/>
    </row>
    <row r="140" spans="10:35" hidden="1">
      <c r="AG140"/>
      <c r="AI140"/>
    </row>
    <row r="141" spans="10:35" hidden="1">
      <c r="AG141"/>
      <c r="AI141"/>
    </row>
    <row r="142" spans="10:35" hidden="1">
      <c r="AG142"/>
      <c r="AI142"/>
    </row>
    <row r="143" spans="10:35" hidden="1">
      <c r="AG143"/>
      <c r="AI143"/>
    </row>
    <row r="144" spans="10:35" hidden="1">
      <c r="AG144"/>
      <c r="AI144"/>
    </row>
    <row r="145" spans="33:35" hidden="1">
      <c r="AG145"/>
      <c r="AI145"/>
    </row>
    <row r="146" spans="33:35" hidden="1">
      <c r="AG146"/>
      <c r="AI146"/>
    </row>
    <row r="147" spans="33:35" hidden="1">
      <c r="AG147"/>
      <c r="AI147"/>
    </row>
    <row r="148" spans="33:35" hidden="1">
      <c r="AG148"/>
      <c r="AI148"/>
    </row>
    <row r="149" spans="33:35" hidden="1">
      <c r="AG149"/>
      <c r="AI149"/>
    </row>
    <row r="150" spans="33:35" hidden="1">
      <c r="AG150"/>
      <c r="AI150"/>
    </row>
    <row r="151" spans="33:35" hidden="1">
      <c r="AG151"/>
      <c r="AI151"/>
    </row>
    <row r="152" spans="33:35" hidden="1">
      <c r="AG152"/>
      <c r="AI152"/>
    </row>
    <row r="153" spans="33:35" hidden="1">
      <c r="AG153"/>
      <c r="AI153"/>
    </row>
    <row r="154" spans="33:35" hidden="1">
      <c r="AG154"/>
      <c r="AI154"/>
    </row>
    <row r="155" spans="33:35" hidden="1">
      <c r="AG155"/>
      <c r="AI155"/>
    </row>
    <row r="156" spans="33:35" hidden="1">
      <c r="AG156"/>
      <c r="AI156"/>
    </row>
    <row r="157" spans="33:35" hidden="1">
      <c r="AG157"/>
      <c r="AI157"/>
    </row>
    <row r="158" spans="33:35" hidden="1">
      <c r="AG158"/>
      <c r="AI158"/>
    </row>
    <row r="159" spans="33:35" hidden="1">
      <c r="AG159"/>
      <c r="AI159"/>
    </row>
    <row r="160" spans="33:35" hidden="1">
      <c r="AG160"/>
      <c r="AI160"/>
    </row>
    <row r="161" spans="33:35" hidden="1">
      <c r="AG161"/>
      <c r="AI161"/>
    </row>
    <row r="162" spans="33:35" hidden="1">
      <c r="AG162"/>
      <c r="AI162"/>
    </row>
    <row r="163" spans="33:35" hidden="1">
      <c r="AG163"/>
      <c r="AI163"/>
    </row>
    <row r="164" spans="33:35" hidden="1">
      <c r="AG164"/>
      <c r="AI164"/>
    </row>
    <row r="165" spans="33:35" hidden="1">
      <c r="AG165"/>
      <c r="AI165"/>
    </row>
    <row r="166" spans="33:35" hidden="1">
      <c r="AG166"/>
      <c r="AI166"/>
    </row>
    <row r="167" spans="33:35" hidden="1">
      <c r="AG167"/>
      <c r="AI167"/>
    </row>
    <row r="168" spans="33:35" hidden="1">
      <c r="AG168"/>
      <c r="AI168"/>
    </row>
    <row r="169" spans="33:35" hidden="1">
      <c r="AG169"/>
      <c r="AI169"/>
    </row>
    <row r="170" spans="33:35" hidden="1">
      <c r="AG170"/>
      <c r="AI170"/>
    </row>
    <row r="171" spans="33:35" hidden="1">
      <c r="AG171"/>
      <c r="AI171"/>
    </row>
    <row r="172" spans="33:35" hidden="1">
      <c r="AG172"/>
      <c r="AI172"/>
    </row>
    <row r="173" spans="33:35" hidden="1">
      <c r="AG173"/>
      <c r="AI173"/>
    </row>
    <row r="174" spans="33:35" hidden="1">
      <c r="AG174"/>
      <c r="AI174"/>
    </row>
    <row r="175" spans="33:35" hidden="1">
      <c r="AG175"/>
      <c r="AI175"/>
    </row>
    <row r="176" spans="33:35" hidden="1">
      <c r="AG176"/>
      <c r="AI176"/>
    </row>
    <row r="177" spans="17:35" hidden="1">
      <c r="AG177"/>
      <c r="AI177"/>
    </row>
    <row r="178" spans="17:35" hidden="1">
      <c r="AG178"/>
      <c r="AI178"/>
    </row>
    <row r="179" spans="17:35" hidden="1">
      <c r="AG179"/>
      <c r="AI179"/>
    </row>
    <row r="180" spans="17:35" hidden="1">
      <c r="AG180"/>
      <c r="AI180"/>
    </row>
    <row r="181" spans="17:35" hidden="1">
      <c r="AG181"/>
      <c r="AI181"/>
    </row>
    <row r="182" spans="17:35" hidden="1">
      <c r="AG182"/>
      <c r="AI182"/>
    </row>
    <row r="183" spans="17:35" hidden="1">
      <c r="AG183"/>
      <c r="AI183"/>
    </row>
    <row r="184" spans="17:35" hidden="1">
      <c r="AG184"/>
      <c r="AI184"/>
    </row>
    <row r="185" spans="17:35" hidden="1">
      <c r="AG185"/>
      <c r="AI185"/>
    </row>
    <row r="186" spans="17:35" hidden="1">
      <c r="AG186"/>
      <c r="AI186"/>
    </row>
    <row r="187" spans="17:35" hidden="1">
      <c r="AG187"/>
      <c r="AI187"/>
    </row>
    <row r="188" spans="17:35" hidden="1">
      <c r="AG188"/>
      <c r="AI188"/>
    </row>
    <row r="189" spans="17:35" hidden="1">
      <c r="AG189"/>
      <c r="AI189"/>
    </row>
    <row r="190" spans="17:35" hidden="1">
      <c r="AG190"/>
      <c r="AI190"/>
    </row>
    <row r="191" spans="17:35" hidden="1">
      <c r="AG191"/>
      <c r="AI191"/>
    </row>
    <row r="192" spans="17:35" hidden="1">
      <c r="Q192"/>
      <c r="AG192"/>
      <c r="AI192"/>
    </row>
    <row r="193" customFormat="1" hidden="1"/>
    <row r="194" customFormat="1" hidden="1"/>
    <row r="195" customFormat="1" hidden="1"/>
    <row r="196" customFormat="1" hidden="1"/>
    <row r="197" customFormat="1" hidden="1"/>
    <row r="198" customFormat="1" hidden="1"/>
    <row r="199" customFormat="1" hidden="1"/>
    <row r="200" customFormat="1" hidden="1"/>
    <row r="201" customFormat="1" hidden="1"/>
    <row r="202" customFormat="1" hidden="1"/>
    <row r="203" customFormat="1" hidden="1"/>
    <row r="204" customFormat="1" hidden="1"/>
    <row r="205" customFormat="1" hidden="1"/>
    <row r="206" customFormat="1" hidden="1"/>
    <row r="207" customFormat="1" hidden="1"/>
    <row r="208" customFormat="1" hidden="1"/>
    <row r="209" customFormat="1" hidden="1"/>
    <row r="210" customFormat="1" hidden="1"/>
    <row r="211" customFormat="1" hidden="1"/>
    <row r="212" customFormat="1" hidden="1"/>
    <row r="213" customFormat="1" hidden="1"/>
    <row r="214" customFormat="1" hidden="1"/>
    <row r="215" customFormat="1" hidden="1"/>
    <row r="216" customFormat="1" hidden="1"/>
    <row r="217" customFormat="1" hidden="1"/>
    <row r="218" customFormat="1" hidden="1"/>
    <row r="219" customFormat="1" hidden="1"/>
    <row r="220" customFormat="1" hidden="1"/>
    <row r="221" customFormat="1" hidden="1"/>
    <row r="222" customFormat="1" hidden="1"/>
    <row r="223" customFormat="1" hidden="1"/>
    <row r="224" customFormat="1" hidden="1"/>
    <row r="225" customFormat="1" hidden="1"/>
    <row r="226" customFormat="1" hidden="1"/>
    <row r="227" customFormat="1" hidden="1"/>
    <row r="228" customFormat="1" hidden="1"/>
    <row r="229" customFormat="1" hidden="1"/>
    <row r="230" customFormat="1" hidden="1"/>
    <row r="231" customFormat="1" hidden="1"/>
    <row r="232" customFormat="1" hidden="1"/>
    <row r="233" customFormat="1" hidden="1"/>
    <row r="234" customFormat="1" hidden="1"/>
    <row r="235" customFormat="1" hidden="1"/>
    <row r="236" customFormat="1" hidden="1"/>
    <row r="237" customFormat="1" hidden="1"/>
    <row r="238" customFormat="1" hidden="1"/>
    <row r="239" customFormat="1" hidden="1"/>
    <row r="240" customFormat="1" hidden="1"/>
    <row r="241" customFormat="1" hidden="1"/>
    <row r="242" customFormat="1" hidden="1"/>
    <row r="243" customFormat="1" hidden="1"/>
    <row r="244" customFormat="1" hidden="1"/>
    <row r="245" customFormat="1" hidden="1"/>
    <row r="246" customFormat="1" hidden="1"/>
    <row r="247" customFormat="1" hidden="1"/>
    <row r="248" customFormat="1" hidden="1"/>
    <row r="249" customFormat="1" hidden="1"/>
    <row r="250" customFormat="1" hidden="1"/>
    <row r="251" customFormat="1" hidden="1"/>
    <row r="252" customFormat="1" hidden="1"/>
    <row r="253" customFormat="1" hidden="1"/>
    <row r="254" customFormat="1" hidden="1"/>
    <row r="255" customFormat="1" hidden="1"/>
    <row r="256" customFormat="1"/>
    <row r="257" spans="2:35">
      <c r="Q257"/>
      <c r="AG257"/>
      <c r="AI257"/>
    </row>
    <row r="258" spans="2:35">
      <c r="B258" s="64" t="s">
        <v>466</v>
      </c>
      <c r="C258" s="149">
        <f ca="1">IF(C47&gt;=60000,60000*4%,0)</f>
        <v>0</v>
      </c>
      <c r="E258" s="149">
        <f ca="1">IF(E47&gt;=60000,60000*4%,0)</f>
        <v>0</v>
      </c>
      <c r="G258" s="149">
        <f ca="1">IF(G47&gt;=60000,60000*4%,0)</f>
        <v>0</v>
      </c>
      <c r="I258" s="149"/>
      <c r="K258" s="149">
        <f ca="1">+K47*4%</f>
        <v>109</v>
      </c>
      <c r="M258" s="149" t="e">
        <f>+M47*4%</f>
        <v>#REF!</v>
      </c>
      <c r="O258" s="149" t="e">
        <f>+O47*4%</f>
        <v>#REF!</v>
      </c>
      <c r="Q258" s="149"/>
      <c r="S258" s="149" t="e">
        <f>IF(S47&gt;=60000,60000*4%,0)</f>
        <v>#REF!</v>
      </c>
      <c r="U258" s="149" t="e">
        <f>IF(U47&gt;=60000,60000*4%,0)</f>
        <v>#REF!</v>
      </c>
      <c r="W258" s="149" t="e">
        <f>+W47*4%</f>
        <v>#REF!</v>
      </c>
      <c r="AA258" s="149" t="e">
        <f>+AA47*4%</f>
        <v>#REF!</v>
      </c>
      <c r="AC258" s="149" t="e">
        <f>+AC47*4%</f>
        <v>#REF!</v>
      </c>
      <c r="AE258" s="149" t="e">
        <f>+AE47*4%</f>
        <v>#REF!</v>
      </c>
      <c r="AG258"/>
      <c r="AI258" s="223" t="e">
        <f ca="1">+C258+E258+G258+K258+M258+O258+S258+U258+W258+AA258+AC258+AE258</f>
        <v>#REF!</v>
      </c>
    </row>
    <row r="259" spans="2:35">
      <c r="B259" s="64" t="s">
        <v>588</v>
      </c>
      <c r="C259" s="149">
        <f ca="1">+DPL25Summary!B104</f>
        <v>34</v>
      </c>
      <c r="E259" s="149">
        <f ca="1">+DPL25Summary!D104</f>
        <v>12</v>
      </c>
      <c r="G259" s="149">
        <f ca="1">+DPL25Summary!F104</f>
        <v>12</v>
      </c>
      <c r="I259" s="149"/>
      <c r="K259" s="149">
        <f ca="1">+DPL25Summary!H104</f>
        <v>193</v>
      </c>
      <c r="M259" s="149">
        <f>+DPL25Summary!J104</f>
        <v>0</v>
      </c>
      <c r="O259" s="149">
        <f>+DPL25Summary!L104</f>
        <v>0</v>
      </c>
      <c r="Q259" s="149"/>
      <c r="S259" s="149">
        <f>+DPL25Summary!N104</f>
        <v>0</v>
      </c>
      <c r="U259" s="149">
        <f>+DPL25Summary!P104</f>
        <v>0</v>
      </c>
      <c r="W259" s="149">
        <f>+DPL25Summary!R104</f>
        <v>0</v>
      </c>
      <c r="AA259" s="149">
        <f>+DPL25Summary!T104</f>
        <v>0</v>
      </c>
      <c r="AC259" s="149">
        <f>+DPL25Summary!V104</f>
        <v>0</v>
      </c>
      <c r="AE259" s="149">
        <f>+DPL25Summary!X104</f>
        <v>0</v>
      </c>
      <c r="AG259"/>
      <c r="AI259" s="223">
        <f ca="1">+C259+E259+G259+K259+M259+O259+S259+U259+W259+AA259+AC259+AE259</f>
        <v>251</v>
      </c>
    </row>
    <row r="260" spans="2:35">
      <c r="B260" s="64" t="s">
        <v>468</v>
      </c>
      <c r="C260" s="149">
        <f ca="1">IF(C47&gt;=80000,(C47-80000)*7%,0)</f>
        <v>0</v>
      </c>
      <c r="E260" s="149">
        <f ca="1">IF(E47&gt;=80000,(E47-80000)*7%,0)</f>
        <v>0</v>
      </c>
      <c r="G260" s="149">
        <f ca="1">IF(G47&gt;=80000,(G47-80000)*7%,0)</f>
        <v>0</v>
      </c>
      <c r="I260" s="149"/>
      <c r="K260" s="149">
        <f ca="1">IF(K47&gt;=80000,(K47-80000)*7%,0)</f>
        <v>0</v>
      </c>
      <c r="M260" s="149" t="e">
        <f>IF(M47&gt;=80000,(M47-80000)*7%,0)</f>
        <v>#REF!</v>
      </c>
      <c r="O260" s="149" t="e">
        <f>IF(O47&gt;=80000,(O47-80000)*7%,0)</f>
        <v>#REF!</v>
      </c>
      <c r="Q260" s="149"/>
      <c r="S260" s="149" t="e">
        <f>IF(S47&gt;=80000,(S47-80000)*7%,0)</f>
        <v>#REF!</v>
      </c>
      <c r="U260" s="149" t="e">
        <f>IF(U47&gt;=80000,(U47-80000)*7%,0)</f>
        <v>#REF!</v>
      </c>
      <c r="W260" s="149" t="e">
        <f>IF(W47&gt;=80000,(W47-80000)*7%,0)</f>
        <v>#REF!</v>
      </c>
      <c r="AA260" s="149" t="e">
        <f>IF(AA47&gt;=80000,(AA47-80000)*7%,0)</f>
        <v>#REF!</v>
      </c>
      <c r="AC260" s="149" t="e">
        <f>IF(AC47&gt;=80000,(AC47-80000)*7%,0)</f>
        <v>#REF!</v>
      </c>
      <c r="AE260" s="149" t="e">
        <f>IF(AE47&gt;=80000,(AE47-80000)*7%,0)</f>
        <v>#REF!</v>
      </c>
      <c r="AG260"/>
      <c r="AI260" s="223" t="e">
        <f ca="1">+C260+E260+G260+K260+M260+O260+S260+U260+W260+AA260+AC260+AE260</f>
        <v>#REF!</v>
      </c>
    </row>
    <row r="261" spans="2:35">
      <c r="B261" s="64" t="s">
        <v>469</v>
      </c>
      <c r="C261" s="149">
        <f>(80000-60000)*5.5%</f>
        <v>1100</v>
      </c>
      <c r="E261" s="149">
        <f>(80000-60000)*5.5%</f>
        <v>1100</v>
      </c>
      <c r="G261" s="149">
        <f>(80000-60000)*5.5%</f>
        <v>1100</v>
      </c>
      <c r="I261" s="149"/>
      <c r="K261" s="149">
        <v>0</v>
      </c>
      <c r="M261" s="149">
        <v>0</v>
      </c>
      <c r="O261" s="149">
        <v>0</v>
      </c>
      <c r="Q261"/>
      <c r="S261" s="149">
        <f>(80000-60000)*5.5%</f>
        <v>1100</v>
      </c>
      <c r="U261" s="149">
        <f>(80000-60000)*5.5%</f>
        <v>1100</v>
      </c>
      <c r="W261" s="149">
        <v>0</v>
      </c>
      <c r="AA261" s="149">
        <v>0</v>
      </c>
      <c r="AC261" s="149">
        <v>0</v>
      </c>
      <c r="AE261" s="223">
        <v>0</v>
      </c>
      <c r="AG261"/>
      <c r="AI261" s="223">
        <f>+C261+E261+G261+K261+M261+O261+S261+U261+W261+AA261+AC261+AE261</f>
        <v>5500</v>
      </c>
    </row>
    <row r="262" spans="2:35">
      <c r="B262" s="1" t="s">
        <v>470</v>
      </c>
      <c r="C262" s="154">
        <f ca="1">SUM(C258:C261)</f>
        <v>1134</v>
      </c>
      <c r="E262" s="154">
        <f ca="1">SUM(E258:E261)</f>
        <v>1112</v>
      </c>
      <c r="G262" s="154">
        <f ca="1">SUM(G258:G261)</f>
        <v>1112</v>
      </c>
      <c r="K262" s="154">
        <f ca="1">SUM(K258:K261)</f>
        <v>302</v>
      </c>
      <c r="M262" s="154" t="e">
        <f>SUM(M258:M261)</f>
        <v>#REF!</v>
      </c>
      <c r="O262" s="154" t="e">
        <f>SUM(O258:O261)</f>
        <v>#REF!</v>
      </c>
      <c r="P262" s="1"/>
      <c r="Q262" s="1"/>
      <c r="R262" s="1"/>
      <c r="S262" s="154" t="e">
        <f>SUM(S258:S261)</f>
        <v>#REF!</v>
      </c>
      <c r="T262" s="1"/>
      <c r="U262" s="154" t="e">
        <f>SUM(U258:U261)</f>
        <v>#REF!</v>
      </c>
      <c r="V262" s="1"/>
      <c r="W262" s="154" t="e">
        <f>SUM(W258:W261)</f>
        <v>#REF!</v>
      </c>
      <c r="X262" s="1"/>
      <c r="Y262" s="1"/>
      <c r="Z262" s="1"/>
      <c r="AA262" s="154" t="e">
        <f>SUM(AA258:AA261)</f>
        <v>#REF!</v>
      </c>
      <c r="AB262" s="1"/>
      <c r="AC262" s="154" t="e">
        <f>SUM(AC258:AC261)</f>
        <v>#REF!</v>
      </c>
      <c r="AD262" s="1"/>
      <c r="AE262" s="154" t="e">
        <f>SUM(AE258:AE261)</f>
        <v>#REF!</v>
      </c>
      <c r="AG262"/>
      <c r="AI262" s="317" t="e">
        <f ca="1">SUM(AI258:AI261)</f>
        <v>#REF!</v>
      </c>
    </row>
    <row r="263" spans="2:35">
      <c r="Q263"/>
      <c r="AG263"/>
      <c r="AI263"/>
    </row>
    <row r="264" spans="2:35">
      <c r="Q264"/>
      <c r="AG264"/>
      <c r="AI264"/>
    </row>
    <row r="265" spans="2:35">
      <c r="Q265"/>
      <c r="AG265"/>
      <c r="AI265"/>
    </row>
    <row r="266" spans="2:35">
      <c r="Q266"/>
      <c r="AG266"/>
      <c r="AI266"/>
    </row>
    <row r="267" spans="2:35">
      <c r="Q267"/>
      <c r="AG267"/>
      <c r="AI267"/>
    </row>
    <row r="268" spans="2:35">
      <c r="Q268"/>
      <c r="AG268"/>
      <c r="AI268"/>
    </row>
    <row r="269" spans="2:35">
      <c r="Q269"/>
      <c r="AG269"/>
      <c r="AI269"/>
    </row>
    <row r="270" spans="2:35">
      <c r="Q270"/>
      <c r="AG270"/>
      <c r="AI270"/>
    </row>
    <row r="271" spans="2:35">
      <c r="Q271"/>
      <c r="AG271"/>
      <c r="AI271"/>
    </row>
    <row r="272" spans="2:35">
      <c r="Q272"/>
      <c r="AG272"/>
      <c r="AI272"/>
    </row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</sheetData>
  <mergeCells count="1">
    <mergeCell ref="C3:AI3"/>
  </mergeCells>
  <pageMargins left="0.7" right="0.7" top="0.75" bottom="0.75" header="0.3" footer="0.3"/>
  <pageSetup orientation="portrait" horizontalDpi="1200" verticalDpi="1200"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3">
    <tabColor rgb="FF66FF99"/>
    <pageSetUpPr fitToPage="1"/>
  </sheetPr>
  <dimension ref="A1:AG121"/>
  <sheetViews>
    <sheetView workbookViewId="0"/>
  </sheetViews>
  <sheetFormatPr baseColWidth="10" defaultColWidth="11.42578125" defaultRowHeight="12.75"/>
  <cols>
    <col min="1" max="1" width="39.140625" bestFit="1" customWidth="1"/>
    <col min="2" max="2" width="13.42578125" customWidth="1"/>
    <col min="3" max="3" width="8.140625" style="230" customWidth="1"/>
    <col min="4" max="4" width="13.42578125" customWidth="1"/>
    <col min="5" max="5" width="8.140625" style="230" customWidth="1"/>
    <col min="6" max="6" width="14.42578125" customWidth="1"/>
    <col min="7" max="7" width="10.42578125" style="230" customWidth="1"/>
    <col min="8" max="8" width="12.85546875" customWidth="1"/>
    <col min="9" max="9" width="9.42578125" customWidth="1"/>
    <col min="10" max="10" width="13.140625" customWidth="1"/>
    <col min="11" max="11" width="6.140625" customWidth="1"/>
    <col min="12" max="12" width="13.42578125" customWidth="1"/>
    <col min="13" max="13" width="7.42578125" customWidth="1"/>
    <col min="14" max="14" width="13.42578125" customWidth="1"/>
    <col min="15" max="15" width="7.42578125" customWidth="1"/>
    <col min="16" max="16" width="15.140625" customWidth="1"/>
    <col min="17" max="17" width="8.42578125" customWidth="1"/>
    <col min="18" max="18" width="13.85546875" customWidth="1"/>
    <col min="19" max="19" width="7.85546875" customWidth="1"/>
    <col min="20" max="20" width="15.140625" hidden="1" customWidth="1"/>
    <col min="21" max="21" width="6.85546875" hidden="1" customWidth="1"/>
    <col min="22" max="22" width="13.85546875" hidden="1" customWidth="1"/>
    <col min="23" max="23" width="7.85546875" hidden="1" customWidth="1"/>
    <col min="24" max="24" width="12.5703125" customWidth="1"/>
    <col min="25" max="25" width="8.42578125" customWidth="1"/>
    <col min="26" max="26" width="13.42578125" style="8" customWidth="1"/>
    <col min="27" max="27" width="8" style="240" customWidth="1"/>
    <col min="28" max="29" width="12.42578125" style="100" customWidth="1"/>
    <col min="30" max="30" width="13.140625" customWidth="1"/>
    <col min="31" max="31" width="9.42578125" bestFit="1" customWidth="1"/>
    <col min="32" max="32" width="11.85546875" bestFit="1" customWidth="1"/>
  </cols>
  <sheetData>
    <row r="1" spans="1:33" ht="15.75">
      <c r="A1" s="11" t="str">
        <f>'SPL 25 USD'!A1</f>
        <v>2025 Performance</v>
      </c>
      <c r="C1" s="494"/>
      <c r="E1" s="494"/>
      <c r="G1" s="494"/>
    </row>
    <row r="2" spans="1:33" s="4" customFormat="1" ht="15.75">
      <c r="A2" s="11">
        <f>+'SPL 25 USD'!A2</f>
        <v>0</v>
      </c>
      <c r="B2"/>
      <c r="C2" s="494"/>
      <c r="D2"/>
      <c r="E2" s="494"/>
      <c r="F2"/>
      <c r="G2" s="494"/>
      <c r="H2"/>
      <c r="I2"/>
      <c r="J2"/>
      <c r="K2"/>
      <c r="L2"/>
      <c r="M2"/>
      <c r="N2"/>
      <c r="O2"/>
      <c r="P2"/>
      <c r="Q2"/>
      <c r="R2" s="20"/>
      <c r="S2" s="20"/>
      <c r="T2"/>
      <c r="U2"/>
      <c r="V2"/>
      <c r="W2"/>
      <c r="X2"/>
      <c r="Y2"/>
      <c r="Z2" s="8"/>
      <c r="AA2" s="245"/>
      <c r="AB2" s="101"/>
      <c r="AC2" s="101"/>
    </row>
    <row r="3" spans="1:33" ht="15.75">
      <c r="A3" s="18" t="s">
        <v>589</v>
      </c>
      <c r="B3" s="60">
        <f>'FX Rates'!B3</f>
        <v>1</v>
      </c>
      <c r="C3" s="235"/>
      <c r="D3" s="60">
        <f>'FX Rates'!C3</f>
        <v>1</v>
      </c>
      <c r="E3" s="235"/>
      <c r="F3" s="60">
        <f>'FX Rates'!D3</f>
        <v>1</v>
      </c>
      <c r="G3" s="235"/>
      <c r="H3" s="60">
        <f>'FX Rates'!E3</f>
        <v>1</v>
      </c>
      <c r="I3" s="60"/>
      <c r="J3" s="60">
        <f>'FX Rates'!F3</f>
        <v>1</v>
      </c>
      <c r="K3" s="60"/>
      <c r="L3" s="60">
        <f>'FX Rates'!G3</f>
        <v>1</v>
      </c>
      <c r="M3" s="60"/>
      <c r="N3" s="60">
        <f>'FX Rates'!H3</f>
        <v>1</v>
      </c>
      <c r="O3" s="60"/>
      <c r="P3" s="60">
        <f>'FX Rates'!I3</f>
        <v>1</v>
      </c>
      <c r="Q3" s="60"/>
      <c r="R3" s="60">
        <f>'FX Rates'!J3</f>
        <v>1</v>
      </c>
      <c r="S3" s="60"/>
      <c r="T3" s="60">
        <f>'FX Rates'!K3</f>
        <v>1</v>
      </c>
      <c r="U3" s="60"/>
      <c r="V3" s="60">
        <f>'FX Rates'!L3</f>
        <v>1</v>
      </c>
      <c r="W3" s="60"/>
      <c r="X3" s="60">
        <f>'FX Rates'!M3</f>
        <v>1</v>
      </c>
      <c r="Y3" s="60"/>
      <c r="Z3" s="9"/>
    </row>
    <row r="4" spans="1:33">
      <c r="B4" s="21">
        <f>'SPL 25 USD'!B4</f>
        <v>2025</v>
      </c>
      <c r="C4" s="21"/>
      <c r="D4" s="21">
        <f>B4</f>
        <v>2025</v>
      </c>
      <c r="E4" s="21"/>
      <c r="F4" s="21">
        <f>D4</f>
        <v>2025</v>
      </c>
      <c r="G4" s="21"/>
      <c r="H4" s="21">
        <f>F4</f>
        <v>2025</v>
      </c>
      <c r="I4" s="21"/>
      <c r="J4" s="21">
        <f>H4</f>
        <v>2025</v>
      </c>
      <c r="K4" s="21"/>
      <c r="L4" s="21">
        <f>J4</f>
        <v>2025</v>
      </c>
      <c r="M4" s="21"/>
      <c r="N4" s="21">
        <f>L4</f>
        <v>2025</v>
      </c>
      <c r="O4" s="21"/>
      <c r="P4" s="21">
        <f>N4</f>
        <v>2025</v>
      </c>
      <c r="Q4" s="21"/>
      <c r="R4" s="21">
        <f>P4</f>
        <v>2025</v>
      </c>
      <c r="S4" s="21"/>
      <c r="T4" s="21">
        <f>R4</f>
        <v>2025</v>
      </c>
      <c r="U4" s="21"/>
      <c r="V4" s="21">
        <f>T4</f>
        <v>2025</v>
      </c>
      <c r="W4" s="21"/>
      <c r="X4" s="21">
        <f>V4</f>
        <v>2025</v>
      </c>
      <c r="Y4" s="21"/>
      <c r="Z4" s="21">
        <f>X4</f>
        <v>2025</v>
      </c>
      <c r="AB4" s="927" t="str">
        <f>'SPL 25 USD'!AC4</f>
        <v>2024YTD</v>
      </c>
      <c r="AC4" s="927"/>
    </row>
    <row r="5" spans="1:33" ht="15.75">
      <c r="A5" s="18" t="s">
        <v>2</v>
      </c>
      <c r="B5" s="21" t="s">
        <v>3</v>
      </c>
      <c r="C5" s="21"/>
      <c r="D5" s="21" t="s">
        <v>4</v>
      </c>
      <c r="E5" s="21"/>
      <c r="F5" s="21" t="s">
        <v>5</v>
      </c>
      <c r="G5" s="21"/>
      <c r="H5" s="21" t="s">
        <v>6</v>
      </c>
      <c r="I5" s="21"/>
      <c r="J5" s="21" t="s">
        <v>7</v>
      </c>
      <c r="K5" s="21"/>
      <c r="L5" s="21" t="s">
        <v>8</v>
      </c>
      <c r="M5" s="21"/>
      <c r="N5" s="21" t="s">
        <v>9</v>
      </c>
      <c r="O5" s="21"/>
      <c r="P5" s="21" t="s">
        <v>10</v>
      </c>
      <c r="Q5" s="21"/>
      <c r="R5" s="21" t="s">
        <v>11</v>
      </c>
      <c r="S5" s="21"/>
      <c r="T5" s="21" t="s">
        <v>12</v>
      </c>
      <c r="U5" s="21"/>
      <c r="V5" s="21" t="s">
        <v>13</v>
      </c>
      <c r="W5" s="21"/>
      <c r="X5" s="21" t="s">
        <v>14</v>
      </c>
      <c r="Y5" s="21"/>
      <c r="Z5" s="21" t="s">
        <v>51</v>
      </c>
      <c r="AB5" s="927" t="s">
        <v>52</v>
      </c>
      <c r="AC5" s="927"/>
    </row>
    <row r="6" spans="1:33">
      <c r="A6" s="6" t="s">
        <v>376</v>
      </c>
      <c r="C6" s="494"/>
      <c r="E6" s="494"/>
      <c r="G6" s="494"/>
      <c r="AA6" s="167"/>
      <c r="AB6" s="96"/>
      <c r="AC6" s="96"/>
    </row>
    <row r="7" spans="1:33">
      <c r="A7" s="757" t="s">
        <v>590</v>
      </c>
      <c r="B7" s="122">
        <f ca="1">IF(B$3=0,DPL25Summary!B7,DPL25Summary!B7/B$3)</f>
        <v>2728</v>
      </c>
      <c r="C7" s="907">
        <f ca="1">+B7/$B$13</f>
        <v>1</v>
      </c>
      <c r="D7" s="122">
        <f ca="1">IF(D$3=0,DPL25Summary!D7,DPL25Summary!D7/D$3)</f>
        <v>2728</v>
      </c>
      <c r="E7" s="907">
        <f ca="1">IFERROR(D7/D13,0)</f>
        <v>1</v>
      </c>
      <c r="F7" s="122">
        <f ca="1">IF(F$3=0,DPL25Summary!F7,DPL25Summary!F7/F$3)</f>
        <v>2728</v>
      </c>
      <c r="G7" s="907">
        <f ca="1">IFERROR(F7/F13,0)</f>
        <v>1</v>
      </c>
      <c r="H7" s="122">
        <f ca="1">IF(H$3=0,DPL25Summary!H7,DPL25Summary!H7/H$3)</f>
        <v>2728</v>
      </c>
      <c r="I7" s="907">
        <f ca="1">IFERROR(H7/H13,0)</f>
        <v>1</v>
      </c>
      <c r="J7" s="122" t="e">
        <f>IF(J$3=0,DPL25Summary!J7,DPL25Summary!J7/J$3)</f>
        <v>#REF!</v>
      </c>
      <c r="K7" s="907">
        <f>IFERROR(J7/J13,0)</f>
        <v>0</v>
      </c>
      <c r="L7" s="122" t="e">
        <f>IF(L$3=0,DPL25Summary!L7,DPL25Summary!L7/L$3)</f>
        <v>#REF!</v>
      </c>
      <c r="M7" s="907">
        <f>IFERROR(L7/L13,0)</f>
        <v>0</v>
      </c>
      <c r="N7" s="122" t="e">
        <f>IF(N$3=0,DPL25Summary!N7,DPL25Summary!N7/N$3)</f>
        <v>#REF!</v>
      </c>
      <c r="O7" s="907">
        <f>IFERROR(N7/N13,0)</f>
        <v>0</v>
      </c>
      <c r="P7" s="122" t="e">
        <f>IF(P$3=0,DPL25Summary!P7,DPL25Summary!P7/P$3)</f>
        <v>#REF!</v>
      </c>
      <c r="Q7" s="907">
        <f>IFERROR(P7/P13,0)</f>
        <v>0</v>
      </c>
      <c r="R7" s="122" t="e">
        <f>IF(R$3=0,DPL25Summary!R7,DPL25Summary!R7/R$3)</f>
        <v>#REF!</v>
      </c>
      <c r="S7" s="907">
        <f>IFERROR(R7/R13,0)</f>
        <v>0</v>
      </c>
      <c r="T7" s="122" t="e">
        <f>IF(T$3=0,DPL25Summary!T7,DPL25Summary!T7/T$3)</f>
        <v>#REF!</v>
      </c>
      <c r="U7" s="907">
        <f>IFERROR(T7/T13,0)</f>
        <v>0</v>
      </c>
      <c r="V7" s="122" t="e">
        <f>IF(V$3=0,DPL25Summary!V7,DPL25Summary!V7/V$3)</f>
        <v>#REF!</v>
      </c>
      <c r="W7" s="907">
        <f>IFERROR(V7/V13,0)</f>
        <v>0</v>
      </c>
      <c r="X7" s="122" t="e">
        <f>IF(X$3=0,DPL25Summary!X7,DPL25Summary!X7/X$3)</f>
        <v>#REF!</v>
      </c>
      <c r="Y7" s="907">
        <f>IFERROR(X7/X13,0)</f>
        <v>0</v>
      </c>
      <c r="Z7" s="123" t="e">
        <f ca="1">+B7+D7+F7+H7+J7+L7+N7+P7+R7+T7+V7+X7</f>
        <v>#REF!</v>
      </c>
      <c r="AA7" s="241" t="e">
        <f ca="1">+Z7/$Z$13</f>
        <v>#REF!</v>
      </c>
      <c r="AB7" s="104">
        <f>SUM('DPL24-Budget'!B7:$M7)</f>
        <v>9962378</v>
      </c>
      <c r="AC7" s="928">
        <f>+AB7/$AB$13</f>
        <v>1</v>
      </c>
      <c r="AD7" s="169" t="e">
        <f t="shared" ref="AD7:AD49" ca="1" si="0">+Z7-AB7</f>
        <v>#REF!</v>
      </c>
      <c r="AE7" s="149"/>
      <c r="AF7" s="149">
        <f>(1205352+1352048+1440979+1467601+1577997+1891004+1544190+1244352)/8</f>
        <v>1465440</v>
      </c>
      <c r="AG7">
        <v>240</v>
      </c>
    </row>
    <row r="8" spans="1:33">
      <c r="A8" s="757" t="s">
        <v>591</v>
      </c>
      <c r="B8" s="122">
        <f>IF(B$3=0,DPL25Summary!B8,DPL25Summary!B8/B$3)</f>
        <v>0</v>
      </c>
      <c r="C8" s="907">
        <f ca="1">+B8/$B$13</f>
        <v>0</v>
      </c>
      <c r="D8" s="122">
        <f>IF(D$3=0,DPL25Summary!D8,DPL25Summary!D8/D$3)</f>
        <v>0</v>
      </c>
      <c r="E8" s="907">
        <f t="shared" ref="E8:G11" si="1">IFERROR(D8/D14,0)</f>
        <v>0</v>
      </c>
      <c r="F8" s="122">
        <f>IF(F$3=0,DPL25Summary!F8,DPL25Summary!F8/F$3)</f>
        <v>0</v>
      </c>
      <c r="G8" s="907">
        <f t="shared" si="1"/>
        <v>0</v>
      </c>
      <c r="H8" s="122">
        <f>IF(H$3=0,DPL25Summary!H8,DPL25Summary!H8/H$3)</f>
        <v>0</v>
      </c>
      <c r="I8" s="907">
        <f>IFERROR(H8/H14,0)</f>
        <v>0</v>
      </c>
      <c r="J8" s="122">
        <f>IF(J$3=0,DPL25Summary!J8,DPL25Summary!J8/J$3)</f>
        <v>0</v>
      </c>
      <c r="K8" s="907">
        <f>IFERROR(J8/J14,0)</f>
        <v>0</v>
      </c>
      <c r="L8" s="122">
        <f>IF(L$3=0,DPL25Summary!L8,DPL25Summary!L8/L$3)</f>
        <v>0</v>
      </c>
      <c r="M8" s="907">
        <f>IFERROR(L8/L14,0)</f>
        <v>0</v>
      </c>
      <c r="N8" s="122">
        <f>IF(N$3=0,DPL25Summary!N8,DPL25Summary!N8/N$3)</f>
        <v>0</v>
      </c>
      <c r="O8" s="907">
        <f>IFERROR(N8/N14,0)</f>
        <v>0</v>
      </c>
      <c r="P8" s="122">
        <f>IF(P$3=0,DPL25Summary!P8,DPL25Summary!P8/P$3)</f>
        <v>0</v>
      </c>
      <c r="Q8" s="907">
        <f>IFERROR(P8/P14,0)</f>
        <v>0</v>
      </c>
      <c r="R8" s="122">
        <f>IF(R$3=0,DPL25Summary!R8,DPL25Summary!R8/R$3)</f>
        <v>0</v>
      </c>
      <c r="S8" s="907">
        <f>IFERROR(R8/R14,0)</f>
        <v>0</v>
      </c>
      <c r="T8" s="122">
        <f>IF(T$3=0,DPL25Summary!T8,DPL25Summary!T8/T$3)</f>
        <v>0</v>
      </c>
      <c r="U8" s="907">
        <f>IFERROR(T8/T14,0)</f>
        <v>0</v>
      </c>
      <c r="V8" s="122">
        <f>IF(V$3=0,DPL25Summary!V8,DPL25Summary!V8/V$3)</f>
        <v>0</v>
      </c>
      <c r="W8" s="907">
        <f>IFERROR(V8/V14,0)</f>
        <v>0</v>
      </c>
      <c r="X8" s="122">
        <f>IF(X$3=0,DPL25Summary!X8,DPL25Summary!X8/X$3)</f>
        <v>0</v>
      </c>
      <c r="Y8" s="907">
        <f>IFERROR(X8/X14,0)</f>
        <v>0</v>
      </c>
      <c r="Z8" s="123">
        <f>+B8+D8+F8+H8+J8+L8+N8+P8+R8+T8+V8+X8</f>
        <v>0</v>
      </c>
      <c r="AA8" s="241" t="e">
        <f ca="1">+Z8/$Z$13</f>
        <v>#REF!</v>
      </c>
      <c r="AB8" s="104">
        <f>SUM('DPL24-Budget'!B8:$M8)</f>
        <v>0</v>
      </c>
      <c r="AC8" s="104"/>
      <c r="AD8" s="169">
        <f t="shared" si="0"/>
        <v>0</v>
      </c>
      <c r="AE8" s="149"/>
    </row>
    <row r="9" spans="1:33">
      <c r="A9" s="757" t="s">
        <v>378</v>
      </c>
      <c r="B9" s="122">
        <f>IF(B$3=0,DPL25Summary!B9,DPL25Summary!B9/B$3)</f>
        <v>0</v>
      </c>
      <c r="C9" s="907">
        <f ca="1">+B9/$B$13</f>
        <v>0</v>
      </c>
      <c r="D9" s="122">
        <f>IF(D$3=0,DPL25Summary!D9,DPL25Summary!D9/D$3)</f>
        <v>0</v>
      </c>
      <c r="E9" s="907">
        <f t="shared" si="1"/>
        <v>0</v>
      </c>
      <c r="F9" s="122">
        <f>IF(F$3=0,DPL25Summary!F9,DPL25Summary!F9/F$3)</f>
        <v>0</v>
      </c>
      <c r="G9" s="907">
        <f t="shared" si="1"/>
        <v>0</v>
      </c>
      <c r="H9" s="122">
        <f>IF(H$3=0,DPL25Summary!H9,DPL25Summary!H9/H$3)</f>
        <v>0</v>
      </c>
      <c r="I9" s="907">
        <f>IFERROR(H9/H15,0)</f>
        <v>0</v>
      </c>
      <c r="J9" s="122">
        <f>IF(J$3=0,DPL25Summary!J9,DPL25Summary!J9/J$3)</f>
        <v>0</v>
      </c>
      <c r="K9" s="907">
        <f>IFERROR(J9/J15,0)</f>
        <v>0</v>
      </c>
      <c r="L9" s="122">
        <f>IF(L$3=0,DPL25Summary!L9,DPL25Summary!L9/L$3)</f>
        <v>0</v>
      </c>
      <c r="M9" s="907">
        <f>IFERROR(L9/L15,0)</f>
        <v>0</v>
      </c>
      <c r="N9" s="122">
        <f>IF(N$3=0,DPL25Summary!N9,DPL25Summary!N9/N$3)</f>
        <v>0</v>
      </c>
      <c r="O9" s="907">
        <f>IFERROR(N9/N15,0)</f>
        <v>0</v>
      </c>
      <c r="P9" s="122">
        <f>IF(P$3=0,DPL25Summary!P9,DPL25Summary!P9/P$3)</f>
        <v>0</v>
      </c>
      <c r="Q9" s="907">
        <f>IFERROR(P9/P15,0)</f>
        <v>0</v>
      </c>
      <c r="R9" s="122">
        <f>IF(R$3=0,DPL25Summary!R9,DPL25Summary!R9/R$3)</f>
        <v>0</v>
      </c>
      <c r="S9" s="907">
        <f>IFERROR(R9/R15,0)</f>
        <v>0</v>
      </c>
      <c r="T9" s="122">
        <f>IF(T$3=0,DPL25Summary!T9,DPL25Summary!T9/T$3)</f>
        <v>0</v>
      </c>
      <c r="U9" s="907">
        <f>IFERROR(T9/T15,0)</f>
        <v>0</v>
      </c>
      <c r="V9" s="122">
        <f>IF(V$3=0,DPL25Summary!V9,DPL25Summary!V9/V$3)</f>
        <v>0</v>
      </c>
      <c r="W9" s="907">
        <f>IFERROR(V9/V15,0)</f>
        <v>0</v>
      </c>
      <c r="X9" s="122">
        <f>IF(X$3=0,DPL25Summary!X9,DPL25Summary!X9/X$3)</f>
        <v>0</v>
      </c>
      <c r="Y9" s="907">
        <f>IFERROR(X9/X15,0)</f>
        <v>0</v>
      </c>
      <c r="Z9" s="123">
        <f>+B9+D9+F9+H9+J9+L9+N9+P9+R9+T9+V9+X9</f>
        <v>0</v>
      </c>
      <c r="AA9" s="241" t="e">
        <f ca="1">+Z9/$Z$13</f>
        <v>#REF!</v>
      </c>
      <c r="AB9" s="104">
        <f>SUM('DPL24-Budget'!B9:$M9)</f>
        <v>0</v>
      </c>
      <c r="AC9" s="929">
        <f>+AB9/$AB$13</f>
        <v>0</v>
      </c>
      <c r="AD9" s="169">
        <f t="shared" si="0"/>
        <v>0</v>
      </c>
      <c r="AE9" s="149"/>
      <c r="AF9" s="178" t="e">
        <f ca="1">(AF7*AG7)/Z7</f>
        <v>#REF!</v>
      </c>
    </row>
    <row r="10" spans="1:33">
      <c r="A10" s="757" t="s">
        <v>592</v>
      </c>
      <c r="B10" s="122">
        <f>IF(B$3=0,DPL25Summary!B10,DPL25Summary!B10/B$3)</f>
        <v>0</v>
      </c>
      <c r="C10" s="907">
        <f ca="1">+B10/$B$13</f>
        <v>0</v>
      </c>
      <c r="D10" s="122">
        <f>IF(D$3=0,DPL25Summary!D10,DPL25Summary!D10/D$3)</f>
        <v>0</v>
      </c>
      <c r="E10" s="907">
        <f t="shared" si="1"/>
        <v>0</v>
      </c>
      <c r="F10" s="122">
        <f>IF(F$3=0,DPL25Summary!F10,DPL25Summary!F10/F$3)</f>
        <v>0</v>
      </c>
      <c r="G10" s="907">
        <f t="shared" si="1"/>
        <v>0</v>
      </c>
      <c r="H10" s="122">
        <f>IF(H$3=0,DPL25Summary!H10,DPL25Summary!H10/H$3)</f>
        <v>0</v>
      </c>
      <c r="I10" s="907">
        <f>IFERROR(H10/H16,0)</f>
        <v>0</v>
      </c>
      <c r="J10" s="122">
        <f>IF(J$3=0,DPL25Summary!J10,DPL25Summary!J10/J$3)</f>
        <v>0</v>
      </c>
      <c r="K10" s="907">
        <f>IFERROR(J10/J16,0)</f>
        <v>0</v>
      </c>
      <c r="L10" s="122">
        <f>IF(L$3=0,DPL25Summary!L10,DPL25Summary!L10/L$3)</f>
        <v>0</v>
      </c>
      <c r="M10" s="907">
        <f>IFERROR(L10/L16,0)</f>
        <v>0</v>
      </c>
      <c r="N10" s="122">
        <f>IF(N$3=0,DPL25Summary!N10,DPL25Summary!N10/N$3)</f>
        <v>0</v>
      </c>
      <c r="O10" s="907">
        <f>IFERROR(N10/N16,0)</f>
        <v>0</v>
      </c>
      <c r="P10" s="122">
        <f>IF(P$3=0,DPL25Summary!P10,DPL25Summary!P10/P$3)</f>
        <v>0</v>
      </c>
      <c r="Q10" s="907">
        <f>IFERROR(P10/P16,0)</f>
        <v>0</v>
      </c>
      <c r="R10" s="122">
        <f>IF(R$3=0,DPL25Summary!R10,DPL25Summary!R10/R$3)</f>
        <v>0</v>
      </c>
      <c r="S10" s="907">
        <f>IFERROR(R10/R16,0)</f>
        <v>0</v>
      </c>
      <c r="T10" s="122">
        <f>IF(T$3=0,DPL25Summary!T10,DPL25Summary!T10/T$3)</f>
        <v>0</v>
      </c>
      <c r="U10" s="907">
        <f>IFERROR(T10/T16,0)</f>
        <v>0</v>
      </c>
      <c r="V10" s="122">
        <f>IF(V$3=0,DPL25Summary!V10,DPL25Summary!V10/V$3)</f>
        <v>0</v>
      </c>
      <c r="W10" s="907">
        <f>IFERROR(V10/V16,0)</f>
        <v>0</v>
      </c>
      <c r="X10" s="122">
        <f>IF(X$3=0,DPL25Summary!X10,DPL25Summary!X10/X$3)</f>
        <v>0</v>
      </c>
      <c r="Y10" s="907">
        <f>IFERROR(X10/X16,0)</f>
        <v>0</v>
      </c>
      <c r="Z10" s="123">
        <f>+B10+D10+F10+H10+J10+L10+N10+P10+R10+T10+V10+X10</f>
        <v>0</v>
      </c>
      <c r="AA10" s="241" t="e">
        <f ca="1">+Z10/$Z$13</f>
        <v>#REF!</v>
      </c>
      <c r="AB10" s="104">
        <f>SUM('DPL24-Budget'!B10:$M10)</f>
        <v>0</v>
      </c>
      <c r="AC10" s="104"/>
      <c r="AD10" s="169">
        <f t="shared" si="0"/>
        <v>0</v>
      </c>
      <c r="AE10" s="149"/>
    </row>
    <row r="11" spans="1:33" s="35" customFormat="1">
      <c r="A11" s="32" t="s">
        <v>380</v>
      </c>
      <c r="B11" s="122">
        <f>IF(B$3=0,DPL25Summary!B11,DPL25Summary!B11/B$3)</f>
        <v>0</v>
      </c>
      <c r="C11" s="907">
        <f ca="1">+B11/$B$13</f>
        <v>0</v>
      </c>
      <c r="D11" s="122">
        <f>IF(D$3=0,DPL25Summary!D11,DPL25Summary!D11/D$3)</f>
        <v>0</v>
      </c>
      <c r="E11" s="907">
        <f t="shared" si="1"/>
        <v>0</v>
      </c>
      <c r="F11" s="122">
        <f>IF(F$3=0,DPL25Summary!F11,DPL25Summary!F11/F$3)</f>
        <v>0</v>
      </c>
      <c r="G11" s="907">
        <f t="shared" si="1"/>
        <v>0</v>
      </c>
      <c r="H11" s="122">
        <f>IF(H$3=0,DPL25Summary!H11,DPL25Summary!H11/H$3)</f>
        <v>0</v>
      </c>
      <c r="I11" s="907">
        <f>IFERROR(H11/H17,0)</f>
        <v>0</v>
      </c>
      <c r="J11" s="122">
        <f>IF(J$3=0,DPL25Summary!J11,DPL25Summary!J11/J$3)</f>
        <v>0</v>
      </c>
      <c r="K11" s="907">
        <f>IFERROR(J11/J17,0)</f>
        <v>0</v>
      </c>
      <c r="L11" s="122">
        <f>IF(L$3=0,DPL25Summary!L11,DPL25Summary!L11/L$3)</f>
        <v>0</v>
      </c>
      <c r="M11" s="907">
        <f>IFERROR(L11/L17,0)</f>
        <v>0</v>
      </c>
      <c r="N11" s="122">
        <f>IF(N$3=0,DPL25Summary!N11,DPL25Summary!N11/N$3)</f>
        <v>0</v>
      </c>
      <c r="O11" s="907">
        <f>IFERROR(N11/N17,0)</f>
        <v>0</v>
      </c>
      <c r="P11" s="122">
        <f>IF(P$3=0,DPL25Summary!P11,DPL25Summary!P11/P$3)</f>
        <v>0</v>
      </c>
      <c r="Q11" s="907">
        <f>IFERROR(P11/P17,0)</f>
        <v>0</v>
      </c>
      <c r="R11" s="122">
        <f>IF(R$3=0,DPL25Summary!R11,DPL25Summary!R11/R$3)</f>
        <v>0</v>
      </c>
      <c r="S11" s="907">
        <f>IFERROR(R11/R17,0)</f>
        <v>0</v>
      </c>
      <c r="T11" s="122">
        <f>IF(T$3=0,DPL25Summary!T11,DPL25Summary!T11/T$3)</f>
        <v>0</v>
      </c>
      <c r="U11" s="907">
        <f>IFERROR(T11/T17,0)</f>
        <v>0</v>
      </c>
      <c r="V11" s="122">
        <f>IF(V$3=0,DPL25Summary!V11,DPL25Summary!V11/V$3)</f>
        <v>0</v>
      </c>
      <c r="W11" s="907">
        <f>IFERROR(V11/V17,0)</f>
        <v>0</v>
      </c>
      <c r="X11" s="122">
        <f>IF(X$3=0,DPL25Summary!X11,DPL25Summary!X11/X$3)</f>
        <v>0</v>
      </c>
      <c r="Y11" s="907">
        <f>IFERROR(X11/X17,0)</f>
        <v>0</v>
      </c>
      <c r="Z11" s="123">
        <f>+B11+D11+F11+H11+J11+L11+N11+P11+R11+T11+V11+X11</f>
        <v>0</v>
      </c>
      <c r="AA11" s="241" t="e">
        <f ca="1">+Z11/$Z$13</f>
        <v>#REF!</v>
      </c>
      <c r="AB11" s="104">
        <f>SUM('DPL24-Budget'!B11:$M11)</f>
        <v>41855</v>
      </c>
      <c r="AC11" s="104"/>
      <c r="AD11" s="169">
        <f t="shared" si="0"/>
        <v>-41855</v>
      </c>
      <c r="AE11" s="153"/>
    </row>
    <row r="12" spans="1:33">
      <c r="A12" s="757" t="s">
        <v>59</v>
      </c>
      <c r="B12" s="20"/>
      <c r="C12" s="902"/>
      <c r="D12" s="20"/>
      <c r="E12" s="902"/>
      <c r="F12" s="20"/>
      <c r="G12" s="902"/>
      <c r="H12" s="20"/>
      <c r="I12" s="902"/>
      <c r="J12" s="20"/>
      <c r="K12" s="902"/>
      <c r="L12" s="20"/>
      <c r="M12" s="902"/>
      <c r="N12" s="20"/>
      <c r="O12" s="902"/>
      <c r="P12" s="20"/>
      <c r="Q12" s="902"/>
      <c r="R12" s="20"/>
      <c r="S12" s="902"/>
      <c r="T12" s="20"/>
      <c r="U12" s="902"/>
      <c r="V12" s="20"/>
      <c r="W12" s="902"/>
      <c r="X12" s="20"/>
      <c r="Y12" s="902"/>
      <c r="Z12" s="15"/>
      <c r="AA12" s="167"/>
      <c r="AB12" s="104"/>
      <c r="AC12" s="104"/>
      <c r="AD12" s="169">
        <f t="shared" si="0"/>
        <v>0</v>
      </c>
      <c r="AE12" s="149"/>
    </row>
    <row r="13" spans="1:33" s="1" customFormat="1" ht="13.5" thickBot="1">
      <c r="A13" s="6" t="s">
        <v>381</v>
      </c>
      <c r="B13" s="38">
        <f ca="1">SUM(B7:B12)</f>
        <v>2728</v>
      </c>
      <c r="C13" s="907">
        <f ca="1">B13/B13</f>
        <v>1</v>
      </c>
      <c r="D13" s="38">
        <f t="shared" ref="D13:Z13" ca="1" si="2">SUM(D7:D12)</f>
        <v>2728</v>
      </c>
      <c r="E13" s="907">
        <f ca="1">IFERROR(D13/D13,0)</f>
        <v>1</v>
      </c>
      <c r="F13" s="38">
        <f t="shared" ca="1" si="2"/>
        <v>2728</v>
      </c>
      <c r="G13" s="907">
        <f ca="1">IFERROR(F13/F13,0)</f>
        <v>1</v>
      </c>
      <c r="H13" s="38">
        <f t="shared" ca="1" si="2"/>
        <v>2728</v>
      </c>
      <c r="I13" s="907">
        <f ca="1">IFERROR(H13/H13,0)</f>
        <v>1</v>
      </c>
      <c r="J13" s="38" t="e">
        <f t="shared" si="2"/>
        <v>#REF!</v>
      </c>
      <c r="K13" s="907">
        <f>IFERROR(J13/J13,0)</f>
        <v>0</v>
      </c>
      <c r="L13" s="38" t="e">
        <f t="shared" si="2"/>
        <v>#REF!</v>
      </c>
      <c r="M13" s="907">
        <f>IFERROR(L13/L13,0)</f>
        <v>0</v>
      </c>
      <c r="N13" s="38" t="e">
        <f t="shared" si="2"/>
        <v>#REF!</v>
      </c>
      <c r="O13" s="907">
        <f>IFERROR(N13/N13,0)</f>
        <v>0</v>
      </c>
      <c r="P13" s="38" t="e">
        <f t="shared" si="2"/>
        <v>#REF!</v>
      </c>
      <c r="Q13" s="907">
        <f>IFERROR(P13/P13,0)</f>
        <v>0</v>
      </c>
      <c r="R13" s="38" t="e">
        <f t="shared" si="2"/>
        <v>#REF!</v>
      </c>
      <c r="S13" s="907">
        <f>IFERROR(R13/R13,0)</f>
        <v>0</v>
      </c>
      <c r="T13" s="38" t="e">
        <f t="shared" si="2"/>
        <v>#REF!</v>
      </c>
      <c r="U13" s="907">
        <f>IFERROR(T13/T13,0)</f>
        <v>0</v>
      </c>
      <c r="V13" s="38" t="e">
        <f t="shared" si="2"/>
        <v>#REF!</v>
      </c>
      <c r="W13" s="907">
        <f>IFERROR(V13/V13,0)</f>
        <v>0</v>
      </c>
      <c r="X13" s="38" t="e">
        <f t="shared" si="2"/>
        <v>#REF!</v>
      </c>
      <c r="Y13" s="907">
        <f>IFERROR(X13/X13,0)</f>
        <v>0</v>
      </c>
      <c r="Z13" s="16" t="e">
        <f t="shared" ca="1" si="2"/>
        <v>#REF!</v>
      </c>
      <c r="AA13" s="241" t="e">
        <f ca="1">+Z13/$Z$13</f>
        <v>#REF!</v>
      </c>
      <c r="AB13" s="107">
        <f>SUM(AB7:AB12)</f>
        <v>10004233</v>
      </c>
      <c r="AC13" s="248"/>
      <c r="AD13" s="169" t="e">
        <f t="shared" ca="1" si="0"/>
        <v>#REF!</v>
      </c>
      <c r="AE13" s="154"/>
    </row>
    <row r="14" spans="1:33" ht="13.5" thickTop="1">
      <c r="A14" s="757"/>
      <c r="B14" s="20"/>
      <c r="C14" s="902"/>
      <c r="D14" s="20"/>
      <c r="E14" s="902"/>
      <c r="F14" s="20"/>
      <c r="G14" s="902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15"/>
      <c r="AA14" s="167"/>
      <c r="AB14" s="104"/>
      <c r="AC14" s="104"/>
      <c r="AD14" s="169">
        <f t="shared" si="0"/>
        <v>0</v>
      </c>
      <c r="AE14" s="149"/>
    </row>
    <row r="15" spans="1:33">
      <c r="A15" s="6" t="s">
        <v>382</v>
      </c>
      <c r="B15" s="20"/>
      <c r="C15" s="902"/>
      <c r="D15" s="20"/>
      <c r="E15" s="902"/>
      <c r="F15" s="20"/>
      <c r="G15" s="902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15"/>
      <c r="AA15" s="167"/>
      <c r="AB15" s="104"/>
      <c r="AC15" s="104"/>
      <c r="AD15" s="169">
        <f t="shared" si="0"/>
        <v>0</v>
      </c>
      <c r="AE15" s="149"/>
    </row>
    <row r="16" spans="1:33">
      <c r="A16" s="757" t="s">
        <v>266</v>
      </c>
      <c r="B16" s="122">
        <f>IF(B$3=0,DPL25Summary!B16,DPL25Summary!B16/B$3)</f>
        <v>0</v>
      </c>
      <c r="C16" s="910">
        <f ca="1">+B16/$B$13</f>
        <v>0</v>
      </c>
      <c r="D16" s="122">
        <f>IF(D$3=0,DPL25Summary!D16,DPL25Summary!D16/D$3)</f>
        <v>0</v>
      </c>
      <c r="E16" s="909">
        <f ca="1">IFERROR(D16/$D$13,0)</f>
        <v>0</v>
      </c>
      <c r="F16" s="122">
        <f>IF(F$3=0,DPL25Summary!F16,DPL25Summary!F16/F$3)</f>
        <v>0</v>
      </c>
      <c r="G16" s="909">
        <f ca="1">IFERROR(F16/$F$13,0)</f>
        <v>0</v>
      </c>
      <c r="H16" s="122">
        <f>IF(H$3=0,DPL25Summary!H16,DPL25Summary!H16/H$3)</f>
        <v>0</v>
      </c>
      <c r="I16" s="910">
        <f ca="1">IFERROR(H16/$H$13,0)</f>
        <v>0</v>
      </c>
      <c r="J16" s="122">
        <f>IF(J$3=0,DPL25Summary!J16,DPL25Summary!J16/J$3)</f>
        <v>0</v>
      </c>
      <c r="K16" s="907">
        <f>IFERROR(J16/$J$13,0)</f>
        <v>0</v>
      </c>
      <c r="L16" s="122">
        <f>IF(L$3=0,DPL25Summary!L16,DPL25Summary!L16/L$3)</f>
        <v>0</v>
      </c>
      <c r="M16" s="907">
        <f>IFERROR(L16/$L$13,0)</f>
        <v>0</v>
      </c>
      <c r="N16" s="122">
        <f>IF(N$3=0,DPL25Summary!N16,DPL25Summary!N16/N$3)</f>
        <v>0</v>
      </c>
      <c r="O16" s="907">
        <f>IFERROR(N16/$N$13,0)</f>
        <v>0</v>
      </c>
      <c r="P16" s="122">
        <f>IF(P$3=0,DPL25Summary!P16,DPL25Summary!P16/P$3)</f>
        <v>0</v>
      </c>
      <c r="Q16" s="907">
        <f>IFERROR(P16/$P$13,0)</f>
        <v>0</v>
      </c>
      <c r="R16" s="122">
        <f>IF(R$3=0,DPL25Summary!R16,DPL25Summary!R16/R$3)</f>
        <v>0</v>
      </c>
      <c r="S16" s="910">
        <f>IFERROR(R16/$R$13,0)</f>
        <v>0</v>
      </c>
      <c r="T16" s="122">
        <f>IF(T$3=0,DPL25Summary!T16,DPL25Summary!T16/T$3)</f>
        <v>0</v>
      </c>
      <c r="U16" s="910">
        <f>IFERROR(T16/$T$13,0)</f>
        <v>0</v>
      </c>
      <c r="V16" s="122">
        <f>IF(V$3=0,DPL25Summary!V16,DPL25Summary!V16/V$3)</f>
        <v>0</v>
      </c>
      <c r="W16" s="910">
        <f>IFERROR(V16/$V$13,0)</f>
        <v>0</v>
      </c>
      <c r="X16" s="122">
        <f>IF(X$3=0,DPL25Summary!X16,DPL25Summary!X16/X$3)</f>
        <v>0</v>
      </c>
      <c r="Y16" s="910">
        <f>IFERROR(X16/$X$13,0)</f>
        <v>0</v>
      </c>
      <c r="Z16" s="123">
        <f>+B16+D16+F16+H16+J16+L16+N16+P16+R16+T16+V16+X16</f>
        <v>0</v>
      </c>
      <c r="AA16" s="930" t="e">
        <f t="shared" ref="AA16:AA47" ca="1" si="3">+Z16/$Z$13</f>
        <v>#REF!</v>
      </c>
      <c r="AB16" s="104">
        <f>SUM('DPL24-Budget'!B16:$M16)</f>
        <v>1818588</v>
      </c>
      <c r="AC16" s="929">
        <f t="shared" ref="AC16:AC49" si="4">+AB16/$AB$13</f>
        <v>0.18179999999999999</v>
      </c>
      <c r="AD16" s="169">
        <f t="shared" si="0"/>
        <v>-1818588</v>
      </c>
      <c r="AE16" s="931">
        <f>+AB16/$AB$13</f>
        <v>0.182</v>
      </c>
    </row>
    <row r="17" spans="1:31">
      <c r="A17" s="757" t="s">
        <v>268</v>
      </c>
      <c r="B17" s="122">
        <f>IF(B$3=0,DPL25Summary!B17,DPL25Summary!B17/B$3)</f>
        <v>0</v>
      </c>
      <c r="C17" s="910">
        <f t="shared" ref="C17:C47" ca="1" si="5">+B17/$B$13</f>
        <v>0</v>
      </c>
      <c r="D17" s="122">
        <f>IF(D$3=0,DPL25Summary!D17,DPL25Summary!D17/D$3)</f>
        <v>0</v>
      </c>
      <c r="E17" s="909">
        <f t="shared" ref="E17:E80" ca="1" si="6">IFERROR(D17/$D$13,0)</f>
        <v>0</v>
      </c>
      <c r="F17" s="122">
        <f>IF(F$3=0,DPL25Summary!F17,DPL25Summary!F17/F$3)</f>
        <v>0</v>
      </c>
      <c r="G17" s="909">
        <f t="shared" ref="G17:G80" ca="1" si="7">IFERROR(F17/$F$13,0)</f>
        <v>0</v>
      </c>
      <c r="H17" s="122">
        <f>IF(H$3=0,DPL25Summary!H17,DPL25Summary!H17/H$3)</f>
        <v>0</v>
      </c>
      <c r="I17" s="910">
        <f t="shared" ref="I17:I80" ca="1" si="8">IFERROR(H17/$H$13,0)</f>
        <v>0</v>
      </c>
      <c r="J17" s="122">
        <f>IF(J$3=0,DPL25Summary!J17,DPL25Summary!J17/J$3)</f>
        <v>0</v>
      </c>
      <c r="K17" s="907">
        <f t="shared" ref="K17:K80" si="9">IFERROR(J17/$J$13,0)</f>
        <v>0</v>
      </c>
      <c r="L17" s="122">
        <f>IF(L$3=0,DPL25Summary!L17,DPL25Summary!L17/L$3)</f>
        <v>0</v>
      </c>
      <c r="M17" s="907">
        <f t="shared" ref="M17:M80" si="10">IFERROR(L17/$L$13,0)</f>
        <v>0</v>
      </c>
      <c r="N17" s="122">
        <f>IF(N$3=0,DPL25Summary!N17,DPL25Summary!N17/N$3)</f>
        <v>0</v>
      </c>
      <c r="O17" s="907">
        <f t="shared" ref="O17:O80" si="11">IFERROR(N17/$N$13,0)</f>
        <v>0</v>
      </c>
      <c r="P17" s="122">
        <f>IF(P$3=0,DPL25Summary!P17,DPL25Summary!P17/P$3)</f>
        <v>0</v>
      </c>
      <c r="Q17" s="907">
        <f t="shared" ref="Q17:Q80" si="12">IFERROR(P17/$P$13,0)</f>
        <v>0</v>
      </c>
      <c r="R17" s="122">
        <f>IF(R$3=0,DPL25Summary!R17,DPL25Summary!R17/R$3)</f>
        <v>0</v>
      </c>
      <c r="S17" s="910">
        <f t="shared" ref="S17:S80" si="13">IFERROR(R17/$R$13,0)</f>
        <v>0</v>
      </c>
      <c r="T17" s="122">
        <f>IF(T$3=0,DPL25Summary!T17,DPL25Summary!T17/T$3)</f>
        <v>0</v>
      </c>
      <c r="U17" s="910">
        <f t="shared" ref="U17:U80" si="14">IFERROR(T17/$T$13,0)</f>
        <v>0</v>
      </c>
      <c r="V17" s="122">
        <f>IF(V$3=0,DPL25Summary!V17,DPL25Summary!V17/V$3)</f>
        <v>0</v>
      </c>
      <c r="W17" s="910">
        <f t="shared" ref="W17:W80" si="15">IFERROR(V17/$V$13,0)</f>
        <v>0</v>
      </c>
      <c r="X17" s="122">
        <f>IF(X$3=0,DPL25Summary!X17,DPL25Summary!X17/X$3)</f>
        <v>0</v>
      </c>
      <c r="Y17" s="910">
        <f t="shared" ref="Y17:Y80" si="16">IFERROR(X17/$X$13,0)</f>
        <v>0</v>
      </c>
      <c r="Z17" s="123">
        <f t="shared" ref="Z17:Z47" si="17">+B17+D17+F17+H17+J17+L17+N17+P17+R17+T17+V17+X17</f>
        <v>0</v>
      </c>
      <c r="AA17" s="930" t="e">
        <f t="shared" ca="1" si="3"/>
        <v>#REF!</v>
      </c>
      <c r="AB17" s="104">
        <f>SUM('DPL24-Budget'!B17:$M17)</f>
        <v>1226986</v>
      </c>
      <c r="AC17" s="929">
        <f t="shared" si="4"/>
        <v>0.1226</v>
      </c>
      <c r="AD17" s="169">
        <f t="shared" si="0"/>
        <v>-1226986</v>
      </c>
      <c r="AE17" s="931">
        <f t="shared" ref="AE17:AE49" si="18">+AB17/$AB$13</f>
        <v>0.123</v>
      </c>
    </row>
    <row r="18" spans="1:31">
      <c r="A18" s="932" t="s">
        <v>383</v>
      </c>
      <c r="B18" s="122">
        <f>IF(B$3=0,DPL25Summary!B18,DPL25Summary!B18/B$3)</f>
        <v>0</v>
      </c>
      <c r="C18" s="910">
        <f t="shared" ca="1" si="5"/>
        <v>0</v>
      </c>
      <c r="D18" s="122">
        <f>IF(D$3=0,DPL25Summary!D18,DPL25Summary!D18/D$3)</f>
        <v>0</v>
      </c>
      <c r="E18" s="909">
        <f t="shared" ca="1" si="6"/>
        <v>0</v>
      </c>
      <c r="F18" s="122">
        <f>IF(F$3=0,DPL25Summary!F18,DPL25Summary!F18/F$3)</f>
        <v>0</v>
      </c>
      <c r="G18" s="909">
        <f t="shared" ca="1" si="7"/>
        <v>0</v>
      </c>
      <c r="H18" s="122">
        <f>IF(H$3=0,DPL25Summary!H18,DPL25Summary!H18/H$3)</f>
        <v>0</v>
      </c>
      <c r="I18" s="910">
        <f t="shared" ca="1" si="8"/>
        <v>0</v>
      </c>
      <c r="J18" s="122">
        <f>IF(J$3=0,DPL25Summary!J18,DPL25Summary!J18/J$3)</f>
        <v>0</v>
      </c>
      <c r="K18" s="907">
        <f t="shared" si="9"/>
        <v>0</v>
      </c>
      <c r="L18" s="122">
        <f>IF(L$3=0,DPL25Summary!L18,DPL25Summary!L18/L$3)</f>
        <v>0</v>
      </c>
      <c r="M18" s="907">
        <f t="shared" si="10"/>
        <v>0</v>
      </c>
      <c r="N18" s="122">
        <f>IF(N$3=0,DPL25Summary!N18,DPL25Summary!N18/N$3)</f>
        <v>0</v>
      </c>
      <c r="O18" s="907">
        <f t="shared" si="11"/>
        <v>0</v>
      </c>
      <c r="P18" s="122">
        <f>IF(P$3=0,DPL25Summary!P18,DPL25Summary!P18/P$3)</f>
        <v>0</v>
      </c>
      <c r="Q18" s="907">
        <f t="shared" si="12"/>
        <v>0</v>
      </c>
      <c r="R18" s="122">
        <f>IF(R$3=0,DPL25Summary!R18,DPL25Summary!R18/R$3)</f>
        <v>0</v>
      </c>
      <c r="S18" s="910">
        <f t="shared" si="13"/>
        <v>0</v>
      </c>
      <c r="T18" s="122">
        <f>IF(T$3=0,DPL25Summary!T18,DPL25Summary!T18/T$3)</f>
        <v>0</v>
      </c>
      <c r="U18" s="910">
        <f t="shared" si="14"/>
        <v>0</v>
      </c>
      <c r="V18" s="122">
        <f>IF(V$3=0,DPL25Summary!V18,DPL25Summary!V18/V$3)</f>
        <v>0</v>
      </c>
      <c r="W18" s="910">
        <f t="shared" si="15"/>
        <v>0</v>
      </c>
      <c r="X18" s="122">
        <f>IF(X$3=0,DPL25Summary!X18,DPL25Summary!X18/X$3)</f>
        <v>0</v>
      </c>
      <c r="Y18" s="910">
        <f t="shared" si="16"/>
        <v>0</v>
      </c>
      <c r="Z18" s="123">
        <f t="shared" si="17"/>
        <v>0</v>
      </c>
      <c r="AA18" s="930" t="e">
        <f t="shared" ca="1" si="3"/>
        <v>#REF!</v>
      </c>
      <c r="AB18" s="104">
        <f>SUM('DPL24-Budget'!B18:$M18)</f>
        <v>50425</v>
      </c>
      <c r="AC18" s="929">
        <f t="shared" si="4"/>
        <v>5.0000000000000001E-3</v>
      </c>
      <c r="AD18" s="169">
        <f t="shared" si="0"/>
        <v>-50425</v>
      </c>
      <c r="AE18" s="931">
        <f t="shared" si="18"/>
        <v>5.0000000000000001E-3</v>
      </c>
    </row>
    <row r="19" spans="1:31">
      <c r="A19" s="757" t="s">
        <v>269</v>
      </c>
      <c r="B19" s="122">
        <f>IF(B$3=0,DPL25Summary!B19,DPL25Summary!B19/B$3)</f>
        <v>0</v>
      </c>
      <c r="C19" s="910">
        <f t="shared" ca="1" si="5"/>
        <v>0</v>
      </c>
      <c r="D19" s="122">
        <f>IF(D$3=0,DPL25Summary!D19,DPL25Summary!D19/D$3)</f>
        <v>0</v>
      </c>
      <c r="E19" s="909">
        <f t="shared" ca="1" si="6"/>
        <v>0</v>
      </c>
      <c r="F19" s="122">
        <f>IF(F$3=0,DPL25Summary!F19,DPL25Summary!F19/F$3)</f>
        <v>0</v>
      </c>
      <c r="G19" s="909">
        <f t="shared" ca="1" si="7"/>
        <v>0</v>
      </c>
      <c r="H19" s="122">
        <f>IF(H$3=0,DPL25Summary!H19,DPL25Summary!H19/H$3)</f>
        <v>0</v>
      </c>
      <c r="I19" s="910">
        <f t="shared" ca="1" si="8"/>
        <v>0</v>
      </c>
      <c r="J19" s="122">
        <f>IF(J$3=0,DPL25Summary!J19,DPL25Summary!J19/J$3)</f>
        <v>0</v>
      </c>
      <c r="K19" s="907">
        <f t="shared" si="9"/>
        <v>0</v>
      </c>
      <c r="L19" s="122">
        <f>IF(L$3=0,DPL25Summary!L19,DPL25Summary!L19/L$3)</f>
        <v>0</v>
      </c>
      <c r="M19" s="907">
        <f t="shared" si="10"/>
        <v>0</v>
      </c>
      <c r="N19" s="122">
        <f>IF(N$3=0,DPL25Summary!N19,DPL25Summary!N19/N$3)</f>
        <v>0</v>
      </c>
      <c r="O19" s="907">
        <f t="shared" si="11"/>
        <v>0</v>
      </c>
      <c r="P19" s="122">
        <f>IF(P$3=0,DPL25Summary!P19,DPL25Summary!P19/P$3)</f>
        <v>0</v>
      </c>
      <c r="Q19" s="907">
        <f t="shared" si="12"/>
        <v>0</v>
      </c>
      <c r="R19" s="122">
        <f>IF(R$3=0,DPL25Summary!R19,DPL25Summary!R19/R$3)</f>
        <v>0</v>
      </c>
      <c r="S19" s="910">
        <f t="shared" si="13"/>
        <v>0</v>
      </c>
      <c r="T19" s="122">
        <f>IF(T$3=0,DPL25Summary!T19,DPL25Summary!T19/T$3)</f>
        <v>0</v>
      </c>
      <c r="U19" s="910">
        <f t="shared" si="14"/>
        <v>0</v>
      </c>
      <c r="V19" s="122">
        <f>IF(V$3=0,DPL25Summary!V19,DPL25Summary!V19/V$3)</f>
        <v>0</v>
      </c>
      <c r="W19" s="910">
        <f t="shared" si="15"/>
        <v>0</v>
      </c>
      <c r="X19" s="122">
        <f>IF(X$3=0,DPL25Summary!X19,DPL25Summary!X19/X$3)</f>
        <v>0</v>
      </c>
      <c r="Y19" s="910">
        <f t="shared" si="16"/>
        <v>0</v>
      </c>
      <c r="Z19" s="123">
        <f t="shared" si="17"/>
        <v>0</v>
      </c>
      <c r="AA19" s="930" t="e">
        <f t="shared" ca="1" si="3"/>
        <v>#REF!</v>
      </c>
      <c r="AB19" s="104">
        <f>SUM('DPL24-Budget'!B19:$M19)</f>
        <v>157890</v>
      </c>
      <c r="AC19" s="929">
        <f t="shared" si="4"/>
        <v>1.5800000000000002E-2</v>
      </c>
      <c r="AD19" s="169">
        <f t="shared" si="0"/>
        <v>-157890</v>
      </c>
      <c r="AE19" s="931">
        <f t="shared" si="18"/>
        <v>1.6E-2</v>
      </c>
    </row>
    <row r="20" spans="1:31">
      <c r="A20" s="757" t="s">
        <v>384</v>
      </c>
      <c r="B20" s="122">
        <f>IF(B$3=0,DPL25Summary!B20,DPL25Summary!B20/B$3)</f>
        <v>0</v>
      </c>
      <c r="C20" s="910">
        <f t="shared" ca="1" si="5"/>
        <v>0</v>
      </c>
      <c r="D20" s="122">
        <f>IF(D$3=0,DPL25Summary!D20,DPL25Summary!D20/D$3)</f>
        <v>0</v>
      </c>
      <c r="E20" s="909">
        <f t="shared" ca="1" si="6"/>
        <v>0</v>
      </c>
      <c r="F20" s="122">
        <f>IF(F$3=0,DPL25Summary!F20,DPL25Summary!F20/F$3)</f>
        <v>0</v>
      </c>
      <c r="G20" s="909">
        <f t="shared" ca="1" si="7"/>
        <v>0</v>
      </c>
      <c r="H20" s="122">
        <f>IF(H$3=0,DPL25Summary!H20,DPL25Summary!H20/H$3)</f>
        <v>0</v>
      </c>
      <c r="I20" s="910">
        <f t="shared" ca="1" si="8"/>
        <v>0</v>
      </c>
      <c r="J20" s="122">
        <f>IF(J$3=0,DPL25Summary!J20,DPL25Summary!J20/J$3)</f>
        <v>0</v>
      </c>
      <c r="K20" s="907">
        <f t="shared" si="9"/>
        <v>0</v>
      </c>
      <c r="L20" s="122">
        <f>IF(L$3=0,DPL25Summary!L20,DPL25Summary!L20/L$3)</f>
        <v>0</v>
      </c>
      <c r="M20" s="907">
        <f t="shared" si="10"/>
        <v>0</v>
      </c>
      <c r="N20" s="122">
        <f>IF(N$3=0,DPL25Summary!N20,DPL25Summary!N20/N$3)</f>
        <v>0</v>
      </c>
      <c r="O20" s="907">
        <f t="shared" si="11"/>
        <v>0</v>
      </c>
      <c r="P20" s="122">
        <f>IF(P$3=0,DPL25Summary!P20,DPL25Summary!P20/P$3)</f>
        <v>0</v>
      </c>
      <c r="Q20" s="907">
        <f t="shared" si="12"/>
        <v>0</v>
      </c>
      <c r="R20" s="122">
        <f>IF(R$3=0,DPL25Summary!R20,DPL25Summary!R20/R$3)</f>
        <v>0</v>
      </c>
      <c r="S20" s="910">
        <f t="shared" si="13"/>
        <v>0</v>
      </c>
      <c r="T20" s="122">
        <f>IF(T$3=0,DPL25Summary!T20,DPL25Summary!T20/T$3)</f>
        <v>0</v>
      </c>
      <c r="U20" s="910">
        <f t="shared" si="14"/>
        <v>0</v>
      </c>
      <c r="V20" s="122">
        <f>IF(V$3=0,DPL25Summary!V20,DPL25Summary!V20/V$3)</f>
        <v>0</v>
      </c>
      <c r="W20" s="910">
        <f t="shared" si="15"/>
        <v>0</v>
      </c>
      <c r="X20" s="122">
        <f>IF(X$3=0,DPL25Summary!X20,DPL25Summary!X20/X$3)</f>
        <v>0</v>
      </c>
      <c r="Y20" s="910">
        <f t="shared" si="16"/>
        <v>0</v>
      </c>
      <c r="Z20" s="123">
        <f t="shared" si="17"/>
        <v>0</v>
      </c>
      <c r="AA20" s="930" t="e">
        <f t="shared" ca="1" si="3"/>
        <v>#REF!</v>
      </c>
      <c r="AB20" s="104">
        <f>SUM('DPL24-Budget'!B20:$M20)</f>
        <v>55111</v>
      </c>
      <c r="AC20" s="929">
        <f t="shared" si="4"/>
        <v>5.4999999999999997E-3</v>
      </c>
      <c r="AD20" s="169">
        <f t="shared" si="0"/>
        <v>-55111</v>
      </c>
      <c r="AE20" s="931">
        <f t="shared" si="18"/>
        <v>6.0000000000000001E-3</v>
      </c>
    </row>
    <row r="21" spans="1:31">
      <c r="A21" s="757" t="s">
        <v>385</v>
      </c>
      <c r="B21" s="122">
        <f>IF(B$3=0,DPL25Summary!B21,DPL25Summary!B21/B$3)</f>
        <v>0</v>
      </c>
      <c r="C21" s="910">
        <f t="shared" ca="1" si="5"/>
        <v>0</v>
      </c>
      <c r="D21" s="122">
        <f>IF(D$3=0,DPL25Summary!D21,DPL25Summary!D21/D$3)</f>
        <v>0</v>
      </c>
      <c r="E21" s="909">
        <f t="shared" ca="1" si="6"/>
        <v>0</v>
      </c>
      <c r="F21" s="122">
        <f>IF(F$3=0,DPL25Summary!F21,DPL25Summary!F21/F$3)</f>
        <v>0</v>
      </c>
      <c r="G21" s="909">
        <f t="shared" ca="1" si="7"/>
        <v>0</v>
      </c>
      <c r="H21" s="122">
        <f>IF(H$3=0,DPL25Summary!H21,DPL25Summary!H21/H$3)</f>
        <v>0</v>
      </c>
      <c r="I21" s="910">
        <f t="shared" ca="1" si="8"/>
        <v>0</v>
      </c>
      <c r="J21" s="122">
        <f>IF(J$3=0,DPL25Summary!J21,DPL25Summary!J21/J$3)</f>
        <v>0</v>
      </c>
      <c r="K21" s="907">
        <f t="shared" si="9"/>
        <v>0</v>
      </c>
      <c r="L21" s="122">
        <f>IF(L$3=0,DPL25Summary!L21,DPL25Summary!L21/L$3)</f>
        <v>0</v>
      </c>
      <c r="M21" s="907">
        <f t="shared" si="10"/>
        <v>0</v>
      </c>
      <c r="N21" s="122">
        <f>IF(N$3=0,DPL25Summary!N21,DPL25Summary!N21/N$3)</f>
        <v>0</v>
      </c>
      <c r="O21" s="907">
        <f t="shared" si="11"/>
        <v>0</v>
      </c>
      <c r="P21" s="122">
        <f>IF(P$3=0,DPL25Summary!P21,DPL25Summary!P21/P$3)</f>
        <v>0</v>
      </c>
      <c r="Q21" s="907">
        <f t="shared" si="12"/>
        <v>0</v>
      </c>
      <c r="R21" s="122">
        <f>IF(R$3=0,DPL25Summary!R21,DPL25Summary!R21/R$3)</f>
        <v>0</v>
      </c>
      <c r="S21" s="910">
        <f t="shared" si="13"/>
        <v>0</v>
      </c>
      <c r="T21" s="122">
        <f>IF(T$3=0,DPL25Summary!T21,DPL25Summary!T21/T$3)</f>
        <v>0</v>
      </c>
      <c r="U21" s="910">
        <f t="shared" si="14"/>
        <v>0</v>
      </c>
      <c r="V21" s="122">
        <f>IF(V$3=0,DPL25Summary!V21,DPL25Summary!V21/V$3)</f>
        <v>0</v>
      </c>
      <c r="W21" s="910">
        <f t="shared" si="15"/>
        <v>0</v>
      </c>
      <c r="X21" s="122">
        <f>IF(X$3=0,DPL25Summary!X21,DPL25Summary!X21/X$3)</f>
        <v>0</v>
      </c>
      <c r="Y21" s="910">
        <f t="shared" si="16"/>
        <v>0</v>
      </c>
      <c r="Z21" s="123">
        <f t="shared" si="17"/>
        <v>0</v>
      </c>
      <c r="AA21" s="930" t="e">
        <f t="shared" ca="1" si="3"/>
        <v>#REF!</v>
      </c>
      <c r="AB21" s="104">
        <f>SUM('DPL24-Budget'!B21:$M21)</f>
        <v>82714</v>
      </c>
      <c r="AC21" s="929">
        <f t="shared" si="4"/>
        <v>8.3000000000000001E-3</v>
      </c>
      <c r="AD21" s="169">
        <f t="shared" si="0"/>
        <v>-82714</v>
      </c>
      <c r="AE21" s="931">
        <f t="shared" si="18"/>
        <v>8.0000000000000002E-3</v>
      </c>
    </row>
    <row r="22" spans="1:31">
      <c r="A22" s="757" t="s">
        <v>386</v>
      </c>
      <c r="B22" s="122">
        <f>IF(B$3=0,DPL25Summary!B22,DPL25Summary!B22/B$3)</f>
        <v>0</v>
      </c>
      <c r="C22" s="910">
        <f t="shared" ca="1" si="5"/>
        <v>0</v>
      </c>
      <c r="D22" s="122">
        <f>IF(D$3=0,DPL25Summary!D22,DPL25Summary!D22/D$3)</f>
        <v>0</v>
      </c>
      <c r="E22" s="909">
        <f t="shared" ca="1" si="6"/>
        <v>0</v>
      </c>
      <c r="F22" s="122">
        <f>IF(F$3=0,DPL25Summary!F22,DPL25Summary!F22/F$3)</f>
        <v>0</v>
      </c>
      <c r="G22" s="909">
        <f t="shared" ca="1" si="7"/>
        <v>0</v>
      </c>
      <c r="H22" s="122">
        <f>IF(H$3=0,DPL25Summary!H22,DPL25Summary!H22/H$3)</f>
        <v>0</v>
      </c>
      <c r="I22" s="910">
        <f t="shared" ca="1" si="8"/>
        <v>0</v>
      </c>
      <c r="J22" s="122">
        <f>IF(J$3=0,DPL25Summary!J22,DPL25Summary!J22/J$3)</f>
        <v>0</v>
      </c>
      <c r="K22" s="907">
        <f t="shared" si="9"/>
        <v>0</v>
      </c>
      <c r="L22" s="122">
        <f>IF(L$3=0,DPL25Summary!L22,DPL25Summary!L22/L$3)</f>
        <v>0</v>
      </c>
      <c r="M22" s="907">
        <f t="shared" si="10"/>
        <v>0</v>
      </c>
      <c r="N22" s="122">
        <f>IF(N$3=0,DPL25Summary!N22,DPL25Summary!N22/N$3)</f>
        <v>0</v>
      </c>
      <c r="O22" s="907">
        <f t="shared" si="11"/>
        <v>0</v>
      </c>
      <c r="P22" s="122">
        <f>IF(P$3=0,DPL25Summary!P22,DPL25Summary!P22/P$3)</f>
        <v>0</v>
      </c>
      <c r="Q22" s="907">
        <f t="shared" si="12"/>
        <v>0</v>
      </c>
      <c r="R22" s="122">
        <f>IF(R$3=0,DPL25Summary!R22,DPL25Summary!R22/R$3)</f>
        <v>0</v>
      </c>
      <c r="S22" s="910">
        <f t="shared" si="13"/>
        <v>0</v>
      </c>
      <c r="T22" s="122">
        <f>IF(T$3=0,DPL25Summary!T22,DPL25Summary!T22/T$3)</f>
        <v>0</v>
      </c>
      <c r="U22" s="910">
        <f t="shared" si="14"/>
        <v>0</v>
      </c>
      <c r="V22" s="122">
        <f>IF(V$3=0,DPL25Summary!V22,DPL25Summary!V22/V$3)</f>
        <v>0</v>
      </c>
      <c r="W22" s="910">
        <f t="shared" si="15"/>
        <v>0</v>
      </c>
      <c r="X22" s="122">
        <f>IF(X$3=0,DPL25Summary!X22,DPL25Summary!X22/X$3)</f>
        <v>0</v>
      </c>
      <c r="Y22" s="910">
        <f t="shared" si="16"/>
        <v>0</v>
      </c>
      <c r="Z22" s="123">
        <f t="shared" si="17"/>
        <v>0</v>
      </c>
      <c r="AA22" s="930" t="e">
        <f t="shared" ca="1" si="3"/>
        <v>#REF!</v>
      </c>
      <c r="AB22" s="104">
        <f>SUM('DPL24-Budget'!B22:$M22)</f>
        <v>38003</v>
      </c>
      <c r="AC22" s="929">
        <f t="shared" si="4"/>
        <v>3.8E-3</v>
      </c>
      <c r="AD22" s="169">
        <f t="shared" si="0"/>
        <v>-38003</v>
      </c>
      <c r="AE22" s="931">
        <f t="shared" si="18"/>
        <v>4.0000000000000001E-3</v>
      </c>
    </row>
    <row r="23" spans="1:31">
      <c r="A23" s="757" t="s">
        <v>387</v>
      </c>
      <c r="B23" s="122">
        <f>IF(B$3=0,DPL25Summary!B23,DPL25Summary!B23/B$3)</f>
        <v>0</v>
      </c>
      <c r="C23" s="910">
        <f t="shared" ca="1" si="5"/>
        <v>0</v>
      </c>
      <c r="D23" s="122">
        <f>IF(D$3=0,DPL25Summary!D23,DPL25Summary!D23/D$3)</f>
        <v>0</v>
      </c>
      <c r="E23" s="909">
        <f t="shared" ca="1" si="6"/>
        <v>0</v>
      </c>
      <c r="F23" s="122">
        <f>IF(F$3=0,DPL25Summary!F23,DPL25Summary!F23/F$3)</f>
        <v>0</v>
      </c>
      <c r="G23" s="909">
        <f t="shared" ca="1" si="7"/>
        <v>0</v>
      </c>
      <c r="H23" s="122">
        <f>IF(H$3=0,DPL25Summary!H23,DPL25Summary!H23/H$3)</f>
        <v>0</v>
      </c>
      <c r="I23" s="910">
        <f t="shared" ca="1" si="8"/>
        <v>0</v>
      </c>
      <c r="J23" s="122">
        <f>IF(J$3=0,DPL25Summary!J23,DPL25Summary!J23/J$3)</f>
        <v>0</v>
      </c>
      <c r="K23" s="907">
        <f t="shared" si="9"/>
        <v>0</v>
      </c>
      <c r="L23" s="122">
        <f>IF(L$3=0,DPL25Summary!L23,DPL25Summary!L23/L$3)</f>
        <v>0</v>
      </c>
      <c r="M23" s="907">
        <f t="shared" si="10"/>
        <v>0</v>
      </c>
      <c r="N23" s="122">
        <f>IF(N$3=0,DPL25Summary!N23,DPL25Summary!N23/N$3)</f>
        <v>0</v>
      </c>
      <c r="O23" s="907">
        <f t="shared" si="11"/>
        <v>0</v>
      </c>
      <c r="P23" s="122">
        <f>IF(P$3=0,DPL25Summary!P23,DPL25Summary!P23/P$3)</f>
        <v>0</v>
      </c>
      <c r="Q23" s="907">
        <f t="shared" si="12"/>
        <v>0</v>
      </c>
      <c r="R23" s="122">
        <f>IF(R$3=0,DPL25Summary!R23,DPL25Summary!R23/R$3)</f>
        <v>0</v>
      </c>
      <c r="S23" s="910">
        <f t="shared" si="13"/>
        <v>0</v>
      </c>
      <c r="T23" s="122">
        <f>IF(T$3=0,DPL25Summary!T23,DPL25Summary!T23/T$3)</f>
        <v>0</v>
      </c>
      <c r="U23" s="910">
        <f t="shared" si="14"/>
        <v>0</v>
      </c>
      <c r="V23" s="122">
        <f>IF(V$3=0,DPL25Summary!V23,DPL25Summary!V23/V$3)</f>
        <v>0</v>
      </c>
      <c r="W23" s="910">
        <f t="shared" si="15"/>
        <v>0</v>
      </c>
      <c r="X23" s="122">
        <f>IF(X$3=0,DPL25Summary!X23,DPL25Summary!X23/X$3)</f>
        <v>0</v>
      </c>
      <c r="Y23" s="910">
        <f t="shared" si="16"/>
        <v>0</v>
      </c>
      <c r="Z23" s="123">
        <f t="shared" si="17"/>
        <v>0</v>
      </c>
      <c r="AA23" s="930" t="e">
        <f t="shared" ca="1" si="3"/>
        <v>#REF!</v>
      </c>
      <c r="AB23" s="104">
        <f>SUM('DPL24-Budget'!B23:$M23)</f>
        <v>64062</v>
      </c>
      <c r="AC23" s="929">
        <f t="shared" si="4"/>
        <v>6.4000000000000003E-3</v>
      </c>
      <c r="AD23" s="169">
        <f t="shared" si="0"/>
        <v>-64062</v>
      </c>
      <c r="AE23" s="931">
        <f t="shared" si="18"/>
        <v>6.0000000000000001E-3</v>
      </c>
    </row>
    <row r="24" spans="1:31">
      <c r="A24" s="757" t="s">
        <v>388</v>
      </c>
      <c r="B24" s="122">
        <f>IF(B$3=0,DPL25Summary!B24,DPL25Summary!B24/B$3)</f>
        <v>0</v>
      </c>
      <c r="C24" s="910">
        <f t="shared" ca="1" si="5"/>
        <v>0</v>
      </c>
      <c r="D24" s="122">
        <f>IF(D$3=0,DPL25Summary!D24,DPL25Summary!D24/D$3)</f>
        <v>0</v>
      </c>
      <c r="E24" s="909">
        <f t="shared" ca="1" si="6"/>
        <v>0</v>
      </c>
      <c r="F24" s="122">
        <f>IF(F$3=0,DPL25Summary!F24,DPL25Summary!F24/F$3)</f>
        <v>0</v>
      </c>
      <c r="G24" s="909">
        <f t="shared" ca="1" si="7"/>
        <v>0</v>
      </c>
      <c r="H24" s="122">
        <f>IF(H$3=0,DPL25Summary!H24,DPL25Summary!H24/H$3)</f>
        <v>0</v>
      </c>
      <c r="I24" s="910">
        <f t="shared" ca="1" si="8"/>
        <v>0</v>
      </c>
      <c r="J24" s="122">
        <f>IF(J$3=0,DPL25Summary!J24,DPL25Summary!J24/J$3)</f>
        <v>0</v>
      </c>
      <c r="K24" s="907">
        <f t="shared" si="9"/>
        <v>0</v>
      </c>
      <c r="L24" s="122">
        <f>IF(L$3=0,DPL25Summary!L24,DPL25Summary!L24/L$3)</f>
        <v>0</v>
      </c>
      <c r="M24" s="907">
        <f t="shared" si="10"/>
        <v>0</v>
      </c>
      <c r="N24" s="122">
        <f>IF(N$3=0,DPL25Summary!N24,DPL25Summary!N24/N$3)</f>
        <v>0</v>
      </c>
      <c r="O24" s="907">
        <f t="shared" si="11"/>
        <v>0</v>
      </c>
      <c r="P24" s="122">
        <f>IF(P$3=0,DPL25Summary!P24,DPL25Summary!P24/P$3)</f>
        <v>0</v>
      </c>
      <c r="Q24" s="907">
        <f t="shared" si="12"/>
        <v>0</v>
      </c>
      <c r="R24" s="122">
        <f>IF(R$3=0,DPL25Summary!R24,DPL25Summary!R24/R$3)</f>
        <v>0</v>
      </c>
      <c r="S24" s="910">
        <f t="shared" si="13"/>
        <v>0</v>
      </c>
      <c r="T24" s="122">
        <f>IF(T$3=0,DPL25Summary!T24,DPL25Summary!T24/T$3)</f>
        <v>0</v>
      </c>
      <c r="U24" s="910">
        <f t="shared" si="14"/>
        <v>0</v>
      </c>
      <c r="V24" s="122">
        <f>IF(V$3=0,DPL25Summary!V24,DPL25Summary!V24/V$3)</f>
        <v>0</v>
      </c>
      <c r="W24" s="910">
        <f t="shared" si="15"/>
        <v>0</v>
      </c>
      <c r="X24" s="122">
        <f>IF(X$3=0,DPL25Summary!X24,DPL25Summary!X24/X$3)</f>
        <v>0</v>
      </c>
      <c r="Y24" s="910">
        <f t="shared" si="16"/>
        <v>0</v>
      </c>
      <c r="Z24" s="123">
        <f t="shared" si="17"/>
        <v>0</v>
      </c>
      <c r="AA24" s="930" t="e">
        <f t="shared" ca="1" si="3"/>
        <v>#REF!</v>
      </c>
      <c r="AB24" s="104">
        <f>SUM('DPL24-Budget'!B24:$M24)</f>
        <v>36773</v>
      </c>
      <c r="AC24" s="929">
        <f t="shared" si="4"/>
        <v>3.7000000000000002E-3</v>
      </c>
      <c r="AD24" s="169">
        <f t="shared" si="0"/>
        <v>-36773</v>
      </c>
      <c r="AE24" s="931">
        <f t="shared" si="18"/>
        <v>4.0000000000000001E-3</v>
      </c>
    </row>
    <row r="25" spans="1:31">
      <c r="A25" s="757" t="s">
        <v>389</v>
      </c>
      <c r="B25" s="122">
        <f>IF(B$3=0,DPL25Summary!B25,DPL25Summary!B25/B$3)</f>
        <v>0</v>
      </c>
      <c r="C25" s="910">
        <f t="shared" ca="1" si="5"/>
        <v>0</v>
      </c>
      <c r="D25" s="122">
        <f>IF(D$3=0,DPL25Summary!D25,DPL25Summary!D25/D$3)</f>
        <v>0</v>
      </c>
      <c r="E25" s="909">
        <f t="shared" ca="1" si="6"/>
        <v>0</v>
      </c>
      <c r="F25" s="122">
        <f>IF(F$3=0,DPL25Summary!F25,DPL25Summary!F25/F$3)</f>
        <v>0</v>
      </c>
      <c r="G25" s="909">
        <f t="shared" ca="1" si="7"/>
        <v>0</v>
      </c>
      <c r="H25" s="122">
        <f>IF(H$3=0,DPL25Summary!H25,DPL25Summary!H25/H$3)</f>
        <v>0</v>
      </c>
      <c r="I25" s="910">
        <f t="shared" ca="1" si="8"/>
        <v>0</v>
      </c>
      <c r="J25" s="122">
        <f>IF(J$3=0,DPL25Summary!J25,DPL25Summary!J25/J$3)</f>
        <v>0</v>
      </c>
      <c r="K25" s="907">
        <f t="shared" si="9"/>
        <v>0</v>
      </c>
      <c r="L25" s="122">
        <f>IF(L$3=0,DPL25Summary!L25,DPL25Summary!L25/L$3)</f>
        <v>0</v>
      </c>
      <c r="M25" s="907">
        <f t="shared" si="10"/>
        <v>0</v>
      </c>
      <c r="N25" s="122">
        <f>IF(N$3=0,DPL25Summary!N25,DPL25Summary!N25/N$3)</f>
        <v>0</v>
      </c>
      <c r="O25" s="907">
        <f t="shared" si="11"/>
        <v>0</v>
      </c>
      <c r="P25" s="122">
        <f>IF(P$3=0,DPL25Summary!P25,DPL25Summary!P25/P$3)</f>
        <v>0</v>
      </c>
      <c r="Q25" s="907">
        <f t="shared" si="12"/>
        <v>0</v>
      </c>
      <c r="R25" s="122">
        <f>IF(R$3=0,DPL25Summary!R25,DPL25Summary!R25/R$3)</f>
        <v>0</v>
      </c>
      <c r="S25" s="910">
        <f t="shared" si="13"/>
        <v>0</v>
      </c>
      <c r="T25" s="122">
        <f>IF(T$3=0,DPL25Summary!T25,DPL25Summary!T25/T$3)</f>
        <v>0</v>
      </c>
      <c r="U25" s="910">
        <f t="shared" si="14"/>
        <v>0</v>
      </c>
      <c r="V25" s="122">
        <f>IF(V$3=0,DPL25Summary!V25,DPL25Summary!V25/V$3)</f>
        <v>0</v>
      </c>
      <c r="W25" s="910">
        <f t="shared" si="15"/>
        <v>0</v>
      </c>
      <c r="X25" s="122">
        <f>IF(X$3=0,DPL25Summary!X25,DPL25Summary!X25/X$3)</f>
        <v>0</v>
      </c>
      <c r="Y25" s="910">
        <f t="shared" si="16"/>
        <v>0</v>
      </c>
      <c r="Z25" s="123">
        <f t="shared" si="17"/>
        <v>0</v>
      </c>
      <c r="AA25" s="930" t="e">
        <f t="shared" ca="1" si="3"/>
        <v>#REF!</v>
      </c>
      <c r="AB25" s="104">
        <f>SUM('DPL24-Budget'!B25:$M25)</f>
        <v>38206</v>
      </c>
      <c r="AC25" s="929">
        <f t="shared" si="4"/>
        <v>3.8E-3</v>
      </c>
      <c r="AD25" s="169">
        <f t="shared" si="0"/>
        <v>-38206</v>
      </c>
      <c r="AE25" s="931">
        <f t="shared" si="18"/>
        <v>4.0000000000000001E-3</v>
      </c>
    </row>
    <row r="26" spans="1:31" s="4" customFormat="1">
      <c r="A26" s="757" t="s">
        <v>390</v>
      </c>
      <c r="B26" s="122">
        <f>IF(B$3=0,DPL25Summary!B26,DPL25Summary!B26/B$3)</f>
        <v>30</v>
      </c>
      <c r="C26" s="910">
        <f t="shared" ca="1" si="5"/>
        <v>1.0999999999999999E-2</v>
      </c>
      <c r="D26" s="122">
        <f>IF(D$3=0,DPL25Summary!D26,DPL25Summary!D26/D$3)</f>
        <v>30</v>
      </c>
      <c r="E26" s="909">
        <f t="shared" ca="1" si="6"/>
        <v>1.0999999999999999E-2</v>
      </c>
      <c r="F26" s="122">
        <f>IF(F$3=0,DPL25Summary!F26,DPL25Summary!F26/F$3)</f>
        <v>30</v>
      </c>
      <c r="G26" s="909">
        <f t="shared" ca="1" si="7"/>
        <v>1.0999999999999999E-2</v>
      </c>
      <c r="H26" s="122">
        <f>IF(H$3=0,DPL25Summary!H26,DPL25Summary!H26/H$3)</f>
        <v>12</v>
      </c>
      <c r="I26" s="910">
        <f t="shared" ca="1" si="8"/>
        <v>4.0000000000000001E-3</v>
      </c>
      <c r="J26" s="122">
        <f>IF(J$3=0,DPL25Summary!J26,DPL25Summary!J26/J$3)</f>
        <v>0</v>
      </c>
      <c r="K26" s="907">
        <f t="shared" si="9"/>
        <v>0</v>
      </c>
      <c r="L26" s="122">
        <f>IF(L$3=0,DPL25Summary!L26,DPL25Summary!L26/L$3)</f>
        <v>0</v>
      </c>
      <c r="M26" s="907">
        <f t="shared" si="10"/>
        <v>0</v>
      </c>
      <c r="N26" s="122">
        <f>IF(N$3=0,DPL25Summary!N26,DPL25Summary!N26/N$3)</f>
        <v>0</v>
      </c>
      <c r="O26" s="907">
        <f t="shared" si="11"/>
        <v>0</v>
      </c>
      <c r="P26" s="122">
        <f>IF(P$3=0,DPL25Summary!P26,DPL25Summary!P26/P$3)</f>
        <v>0</v>
      </c>
      <c r="Q26" s="907">
        <f t="shared" si="12"/>
        <v>0</v>
      </c>
      <c r="R26" s="122">
        <f>IF(R$3=0,DPL25Summary!R26,DPL25Summary!R26/R$3)</f>
        <v>0</v>
      </c>
      <c r="S26" s="910">
        <f t="shared" si="13"/>
        <v>0</v>
      </c>
      <c r="T26" s="122">
        <f>IF(T$3=0,DPL25Summary!T26,DPL25Summary!T26/T$3)</f>
        <v>0</v>
      </c>
      <c r="U26" s="910">
        <f t="shared" si="14"/>
        <v>0</v>
      </c>
      <c r="V26" s="122">
        <f>IF(V$3=0,DPL25Summary!V26,DPL25Summary!V26/V$3)</f>
        <v>0</v>
      </c>
      <c r="W26" s="910">
        <f t="shared" si="15"/>
        <v>0</v>
      </c>
      <c r="X26" s="122">
        <f>IF(X$3=0,DPL25Summary!X26,DPL25Summary!X26/X$3)</f>
        <v>0</v>
      </c>
      <c r="Y26" s="910">
        <f t="shared" si="16"/>
        <v>0</v>
      </c>
      <c r="Z26" s="123">
        <f t="shared" si="17"/>
        <v>102</v>
      </c>
      <c r="AA26" s="241" t="e">
        <f t="shared" ca="1" si="3"/>
        <v>#REF!</v>
      </c>
      <c r="AB26" s="104">
        <f>SUM('DPL24-Budget'!B26:$M26)</f>
        <v>39008</v>
      </c>
      <c r="AC26" s="929">
        <f t="shared" si="4"/>
        <v>3.8999999999999998E-3</v>
      </c>
      <c r="AD26" s="169">
        <f t="shared" si="0"/>
        <v>-38906</v>
      </c>
      <c r="AE26" s="725">
        <f t="shared" si="18"/>
        <v>4.0000000000000001E-3</v>
      </c>
    </row>
    <row r="27" spans="1:31" s="4" customFormat="1">
      <c r="A27" s="757" t="s">
        <v>391</v>
      </c>
      <c r="B27" s="122">
        <f>IF(B$3=0,DPL25Summary!B27,DPL25Summary!B27/B$3)</f>
        <v>0</v>
      </c>
      <c r="C27" s="910">
        <f t="shared" ca="1" si="5"/>
        <v>0</v>
      </c>
      <c r="D27" s="122">
        <f>IF(D$3=0,DPL25Summary!D27,DPL25Summary!D27/D$3)</f>
        <v>0</v>
      </c>
      <c r="E27" s="909">
        <f t="shared" ca="1" si="6"/>
        <v>0</v>
      </c>
      <c r="F27" s="122">
        <f>IF(F$3=0,DPL25Summary!F27,DPL25Summary!F27/F$3)</f>
        <v>0</v>
      </c>
      <c r="G27" s="909">
        <f t="shared" ca="1" si="7"/>
        <v>0</v>
      </c>
      <c r="H27" s="122">
        <f>IF(H$3=0,DPL25Summary!H27,DPL25Summary!H27/H$3)</f>
        <v>0</v>
      </c>
      <c r="I27" s="910">
        <f t="shared" ca="1" si="8"/>
        <v>0</v>
      </c>
      <c r="J27" s="122">
        <f>IF(J$3=0,DPL25Summary!J27,DPL25Summary!J27/J$3)</f>
        <v>0</v>
      </c>
      <c r="K27" s="907">
        <f t="shared" si="9"/>
        <v>0</v>
      </c>
      <c r="L27" s="122">
        <f>IF(L$3=0,DPL25Summary!L27,DPL25Summary!L27/L$3)</f>
        <v>0</v>
      </c>
      <c r="M27" s="907">
        <f t="shared" si="10"/>
        <v>0</v>
      </c>
      <c r="N27" s="122">
        <f>IF(N$3=0,DPL25Summary!N27,DPL25Summary!N27/N$3)</f>
        <v>0</v>
      </c>
      <c r="O27" s="907">
        <f t="shared" si="11"/>
        <v>0</v>
      </c>
      <c r="P27" s="122">
        <f>IF(P$3=0,DPL25Summary!P27,DPL25Summary!P27/P$3)</f>
        <v>0</v>
      </c>
      <c r="Q27" s="907">
        <f t="shared" si="12"/>
        <v>0</v>
      </c>
      <c r="R27" s="122">
        <f>IF(R$3=0,DPL25Summary!R27,DPL25Summary!R27/R$3)</f>
        <v>0</v>
      </c>
      <c r="S27" s="910">
        <f t="shared" si="13"/>
        <v>0</v>
      </c>
      <c r="T27" s="122">
        <f>IF(T$3=0,DPL25Summary!T27,DPL25Summary!T27/T$3)</f>
        <v>0</v>
      </c>
      <c r="U27" s="910">
        <f t="shared" si="14"/>
        <v>0</v>
      </c>
      <c r="V27" s="122">
        <f>IF(V$3=0,DPL25Summary!V27,DPL25Summary!V27/V$3)</f>
        <v>0</v>
      </c>
      <c r="W27" s="910">
        <f t="shared" si="15"/>
        <v>0</v>
      </c>
      <c r="X27" s="122">
        <f>IF(X$3=0,DPL25Summary!X27,DPL25Summary!X27/X$3)</f>
        <v>0</v>
      </c>
      <c r="Y27" s="910">
        <f t="shared" si="16"/>
        <v>0</v>
      </c>
      <c r="Z27" s="123">
        <f t="shared" si="17"/>
        <v>0</v>
      </c>
      <c r="AA27" s="241" t="e">
        <f t="shared" ca="1" si="3"/>
        <v>#REF!</v>
      </c>
      <c r="AB27" s="104">
        <f>SUM('DPL24-Budget'!B27:$M27)</f>
        <v>0</v>
      </c>
      <c r="AC27" s="929">
        <f t="shared" si="4"/>
        <v>0</v>
      </c>
      <c r="AD27" s="169">
        <f t="shared" si="0"/>
        <v>0</v>
      </c>
      <c r="AE27" s="725">
        <f t="shared" si="18"/>
        <v>0</v>
      </c>
    </row>
    <row r="28" spans="1:31" s="4" customFormat="1">
      <c r="A28" s="933" t="s">
        <v>392</v>
      </c>
      <c r="B28" s="122">
        <f>IF(B$3=0,DPL25Summary!B28,DPL25Summary!B28/B$3)</f>
        <v>0</v>
      </c>
      <c r="C28" s="910">
        <f t="shared" ca="1" si="5"/>
        <v>0</v>
      </c>
      <c r="D28" s="122">
        <f>IF(D$3=0,DPL25Summary!D28,DPL25Summary!D28/D$3)</f>
        <v>0</v>
      </c>
      <c r="E28" s="909">
        <f t="shared" ca="1" si="6"/>
        <v>0</v>
      </c>
      <c r="F28" s="122">
        <f>IF(F$3=0,DPL25Summary!F28,DPL25Summary!F28/F$3)</f>
        <v>0</v>
      </c>
      <c r="G28" s="909">
        <f t="shared" ca="1" si="7"/>
        <v>0</v>
      </c>
      <c r="H28" s="122">
        <f>IF(H$3=0,DPL25Summary!H28,DPL25Summary!H28/H$3)</f>
        <v>0</v>
      </c>
      <c r="I28" s="910">
        <f t="shared" ca="1" si="8"/>
        <v>0</v>
      </c>
      <c r="J28" s="122">
        <f>IF(J$3=0,DPL25Summary!J28,DPL25Summary!J28/J$3)</f>
        <v>0</v>
      </c>
      <c r="K28" s="907">
        <f t="shared" si="9"/>
        <v>0</v>
      </c>
      <c r="L28" s="122">
        <f>IF(L$3=0,DPL25Summary!L28,DPL25Summary!L28/L$3)</f>
        <v>0</v>
      </c>
      <c r="M28" s="907">
        <f t="shared" si="10"/>
        <v>0</v>
      </c>
      <c r="N28" s="122">
        <f>IF(N$3=0,DPL25Summary!N28,DPL25Summary!N28/N$3)</f>
        <v>0</v>
      </c>
      <c r="O28" s="907">
        <f t="shared" si="11"/>
        <v>0</v>
      </c>
      <c r="P28" s="122">
        <f>IF(P$3=0,DPL25Summary!P28,DPL25Summary!P28/P$3)</f>
        <v>0</v>
      </c>
      <c r="Q28" s="907">
        <f t="shared" si="12"/>
        <v>0</v>
      </c>
      <c r="R28" s="122">
        <f>IF(R$3=0,DPL25Summary!R28,DPL25Summary!R28/R$3)</f>
        <v>0</v>
      </c>
      <c r="S28" s="910">
        <f t="shared" si="13"/>
        <v>0</v>
      </c>
      <c r="T28" s="122">
        <f>IF(T$3=0,DPL25Summary!T28,DPL25Summary!T28/T$3)</f>
        <v>0</v>
      </c>
      <c r="U28" s="910">
        <f t="shared" si="14"/>
        <v>0</v>
      </c>
      <c r="V28" s="122">
        <f>IF(V$3=0,DPL25Summary!V28,DPL25Summary!V28/V$3)</f>
        <v>0</v>
      </c>
      <c r="W28" s="910">
        <f t="shared" si="15"/>
        <v>0</v>
      </c>
      <c r="X28" s="122">
        <f>IF(X$3=0,DPL25Summary!X28,DPL25Summary!X28/X$3)</f>
        <v>0</v>
      </c>
      <c r="Y28" s="910">
        <f t="shared" si="16"/>
        <v>0</v>
      </c>
      <c r="Z28" s="123">
        <f t="shared" si="17"/>
        <v>0</v>
      </c>
      <c r="AA28" s="241" t="e">
        <f t="shared" ca="1" si="3"/>
        <v>#REF!</v>
      </c>
      <c r="AB28" s="104">
        <f>SUM('DPL24-Budget'!B28:$M28)</f>
        <v>61520</v>
      </c>
      <c r="AC28" s="929">
        <f t="shared" si="4"/>
        <v>6.1000000000000004E-3</v>
      </c>
      <c r="AD28" s="934">
        <f t="shared" si="0"/>
        <v>-61520</v>
      </c>
      <c r="AE28" s="725">
        <f t="shared" si="18"/>
        <v>6.0000000000000001E-3</v>
      </c>
    </row>
    <row r="29" spans="1:31" s="4" customFormat="1">
      <c r="A29" s="933" t="s">
        <v>501</v>
      </c>
      <c r="B29" s="122">
        <f>IF(B$3=0,DPL25Summary!B29,DPL25Summary!B29/B$3)</f>
        <v>192</v>
      </c>
      <c r="C29" s="910">
        <f t="shared" ca="1" si="5"/>
        <v>7.0000000000000007E-2</v>
      </c>
      <c r="D29" s="122">
        <f>IF(D$3=0,DPL25Summary!D29,DPL25Summary!D29/D$3)</f>
        <v>0</v>
      </c>
      <c r="E29" s="909">
        <f t="shared" ca="1" si="6"/>
        <v>0</v>
      </c>
      <c r="F29" s="122">
        <f>IF(F$3=0,DPL25Summary!F29,DPL25Summary!F29/F$3)</f>
        <v>0</v>
      </c>
      <c r="G29" s="909">
        <f t="shared" ca="1" si="7"/>
        <v>0</v>
      </c>
      <c r="H29" s="122">
        <f>IF(H$3=0,DPL25Summary!H29,DPL25Summary!H29/H$3)</f>
        <v>192</v>
      </c>
      <c r="I29" s="910">
        <f t="shared" ca="1" si="8"/>
        <v>7.0000000000000007E-2</v>
      </c>
      <c r="J29" s="122">
        <f>IF(J$3=0,DPL25Summary!J29,DPL25Summary!J29/J$3)</f>
        <v>0</v>
      </c>
      <c r="K29" s="907">
        <f t="shared" si="9"/>
        <v>0</v>
      </c>
      <c r="L29" s="122">
        <f>IF(L$3=0,DPL25Summary!L29,DPL25Summary!L29/L$3)</f>
        <v>0</v>
      </c>
      <c r="M29" s="907">
        <f t="shared" si="10"/>
        <v>0</v>
      </c>
      <c r="N29" s="122">
        <f>IF(N$3=0,DPL25Summary!N29,DPL25Summary!N29/N$3)</f>
        <v>0</v>
      </c>
      <c r="O29" s="907">
        <f t="shared" si="11"/>
        <v>0</v>
      </c>
      <c r="P29" s="122">
        <f>IF(P$3=0,DPL25Summary!P29,DPL25Summary!P29/P$3)</f>
        <v>0</v>
      </c>
      <c r="Q29" s="907">
        <f t="shared" si="12"/>
        <v>0</v>
      </c>
      <c r="R29" s="122">
        <f>IF(R$3=0,DPL25Summary!R29,DPL25Summary!R29/R$3)</f>
        <v>0</v>
      </c>
      <c r="S29" s="910">
        <f t="shared" si="13"/>
        <v>0</v>
      </c>
      <c r="T29" s="122">
        <f>IF(T$3=0,DPL25Summary!T29,DPL25Summary!T29/T$3)</f>
        <v>0</v>
      </c>
      <c r="U29" s="910">
        <f t="shared" si="14"/>
        <v>0</v>
      </c>
      <c r="V29" s="122">
        <f>IF(V$3=0,DPL25Summary!V29,DPL25Summary!V29/V$3)</f>
        <v>0</v>
      </c>
      <c r="W29" s="910">
        <f t="shared" si="15"/>
        <v>0</v>
      </c>
      <c r="X29" s="122">
        <f>IF(X$3=0,DPL25Summary!X29,DPL25Summary!X29/X$3)</f>
        <v>0</v>
      </c>
      <c r="Y29" s="910">
        <f t="shared" si="16"/>
        <v>0</v>
      </c>
      <c r="Z29" s="123">
        <f t="shared" si="17"/>
        <v>384</v>
      </c>
      <c r="AA29" s="241" t="e">
        <f t="shared" ca="1" si="3"/>
        <v>#REF!</v>
      </c>
      <c r="AB29" s="104">
        <f>SUM('DPL24-Budget'!B29:$M29)</f>
        <v>394438</v>
      </c>
      <c r="AC29" s="929">
        <f t="shared" si="4"/>
        <v>3.9399999999999998E-2</v>
      </c>
      <c r="AD29" s="934">
        <f t="shared" si="0"/>
        <v>-394054</v>
      </c>
      <c r="AE29" s="725">
        <f t="shared" si="18"/>
        <v>3.9E-2</v>
      </c>
    </row>
    <row r="30" spans="1:31" s="4" customFormat="1">
      <c r="A30" s="933" t="s">
        <v>393</v>
      </c>
      <c r="B30" s="122">
        <f>IF(B$3=0,DPL25Summary!B30,DPL25Summary!B30/B$3)</f>
        <v>0</v>
      </c>
      <c r="C30" s="910">
        <f t="shared" ca="1" si="5"/>
        <v>0</v>
      </c>
      <c r="D30" s="122">
        <f>IF(D$3=0,DPL25Summary!D30,DPL25Summary!D30/D$3)</f>
        <v>0</v>
      </c>
      <c r="E30" s="909">
        <f t="shared" ca="1" si="6"/>
        <v>0</v>
      </c>
      <c r="F30" s="122">
        <f>IF(F$3=0,DPL25Summary!F30,DPL25Summary!F30/F$3)</f>
        <v>0</v>
      </c>
      <c r="G30" s="909">
        <f t="shared" ca="1" si="7"/>
        <v>0</v>
      </c>
      <c r="H30" s="122">
        <f>IF(H$3=0,DPL25Summary!H30,DPL25Summary!H30/H$3)</f>
        <v>0</v>
      </c>
      <c r="I30" s="910">
        <f t="shared" ca="1" si="8"/>
        <v>0</v>
      </c>
      <c r="J30" s="122">
        <f>IF(J$3=0,DPL25Summary!J30,DPL25Summary!J30/J$3)</f>
        <v>0</v>
      </c>
      <c r="K30" s="907">
        <f t="shared" si="9"/>
        <v>0</v>
      </c>
      <c r="L30" s="122">
        <f>IF(L$3=0,DPL25Summary!L30,DPL25Summary!L30/L$3)</f>
        <v>0</v>
      </c>
      <c r="M30" s="907">
        <f t="shared" si="10"/>
        <v>0</v>
      </c>
      <c r="N30" s="122">
        <f>IF(N$3=0,DPL25Summary!N30,DPL25Summary!N30/N$3)</f>
        <v>0</v>
      </c>
      <c r="O30" s="907">
        <f t="shared" si="11"/>
        <v>0</v>
      </c>
      <c r="P30" s="122">
        <f>IF(P$3=0,DPL25Summary!P30,DPL25Summary!P30/P$3)</f>
        <v>0</v>
      </c>
      <c r="Q30" s="907">
        <f t="shared" si="12"/>
        <v>0</v>
      </c>
      <c r="R30" s="122">
        <f>IF(R$3=0,DPL25Summary!R30,DPL25Summary!R30/R$3)</f>
        <v>0</v>
      </c>
      <c r="S30" s="910">
        <f t="shared" si="13"/>
        <v>0</v>
      </c>
      <c r="T30" s="122">
        <f>IF(T$3=0,DPL25Summary!T30,DPL25Summary!T30/T$3)</f>
        <v>0</v>
      </c>
      <c r="U30" s="910">
        <f t="shared" si="14"/>
        <v>0</v>
      </c>
      <c r="V30" s="122">
        <f>IF(V$3=0,DPL25Summary!V30,DPL25Summary!V30/V$3)</f>
        <v>0</v>
      </c>
      <c r="W30" s="910">
        <f t="shared" si="15"/>
        <v>0</v>
      </c>
      <c r="X30" s="122">
        <f>IF(X$3=0,DPL25Summary!X30,DPL25Summary!X30/X$3)</f>
        <v>0</v>
      </c>
      <c r="Y30" s="910">
        <f t="shared" si="16"/>
        <v>0</v>
      </c>
      <c r="Z30" s="123">
        <f t="shared" si="17"/>
        <v>0</v>
      </c>
      <c r="AA30" s="241" t="e">
        <f t="shared" ca="1" si="3"/>
        <v>#REF!</v>
      </c>
      <c r="AB30" s="104">
        <f>SUM('DPL24-Budget'!B30:$M30)</f>
        <v>-9493</v>
      </c>
      <c r="AC30" s="929">
        <f t="shared" si="4"/>
        <v>-8.9999999999999998E-4</v>
      </c>
      <c r="AD30" s="934">
        <f t="shared" si="0"/>
        <v>9493</v>
      </c>
      <c r="AE30" s="725">
        <f t="shared" si="18"/>
        <v>-1E-3</v>
      </c>
    </row>
    <row r="31" spans="1:31" s="4" customFormat="1">
      <c r="A31" s="933" t="s">
        <v>394</v>
      </c>
      <c r="B31" s="122">
        <f>IF(B$3=0,DPL25Summary!B31,DPL25Summary!B31/B$3)</f>
        <v>67</v>
      </c>
      <c r="C31" s="910">
        <f t="shared" ca="1" si="5"/>
        <v>2.5000000000000001E-2</v>
      </c>
      <c r="D31" s="122">
        <f>IF(D$3=0,DPL25Summary!D31,DPL25Summary!D31/D$3)</f>
        <v>67</v>
      </c>
      <c r="E31" s="909">
        <f t="shared" ca="1" si="6"/>
        <v>2.46E-2</v>
      </c>
      <c r="F31" s="122">
        <f>IF(F$3=0,DPL25Summary!F31,DPL25Summary!F31/F$3)</f>
        <v>67</v>
      </c>
      <c r="G31" s="909">
        <f t="shared" ca="1" si="7"/>
        <v>2.46E-2</v>
      </c>
      <c r="H31" s="122">
        <f>IF(H$3=0,DPL25Summary!H31,DPL25Summary!H31/H$3)</f>
        <v>67</v>
      </c>
      <c r="I31" s="910">
        <f t="shared" ca="1" si="8"/>
        <v>2.5000000000000001E-2</v>
      </c>
      <c r="J31" s="122">
        <f>IF(J$3=0,DPL25Summary!J31,DPL25Summary!J31/J$3)</f>
        <v>0</v>
      </c>
      <c r="K31" s="907">
        <f t="shared" si="9"/>
        <v>0</v>
      </c>
      <c r="L31" s="122">
        <f>IF(L$3=0,DPL25Summary!L31,DPL25Summary!L31/L$3)</f>
        <v>0</v>
      </c>
      <c r="M31" s="907">
        <f t="shared" si="10"/>
        <v>0</v>
      </c>
      <c r="N31" s="122">
        <f>IF(N$3=0,DPL25Summary!N31,DPL25Summary!N31/N$3)</f>
        <v>0</v>
      </c>
      <c r="O31" s="907">
        <f t="shared" si="11"/>
        <v>0</v>
      </c>
      <c r="P31" s="122">
        <f>IF(P$3=0,DPL25Summary!P31,DPL25Summary!P31/P$3)</f>
        <v>0</v>
      </c>
      <c r="Q31" s="907">
        <f t="shared" si="12"/>
        <v>0</v>
      </c>
      <c r="R31" s="122">
        <f>IF(R$3=0,DPL25Summary!R31,DPL25Summary!R31/R$3)</f>
        <v>0</v>
      </c>
      <c r="S31" s="910">
        <f t="shared" si="13"/>
        <v>0</v>
      </c>
      <c r="T31" s="122">
        <f>IF(T$3=0,DPL25Summary!T31,DPL25Summary!T31/T$3)</f>
        <v>0</v>
      </c>
      <c r="U31" s="910">
        <f t="shared" si="14"/>
        <v>0</v>
      </c>
      <c r="V31" s="122">
        <f>IF(V$3=0,DPL25Summary!V31,DPL25Summary!V31/V$3)</f>
        <v>0</v>
      </c>
      <c r="W31" s="910">
        <f t="shared" si="15"/>
        <v>0</v>
      </c>
      <c r="X31" s="122">
        <f>IF(X$3=0,DPL25Summary!X31,DPL25Summary!X31/X$3)</f>
        <v>0</v>
      </c>
      <c r="Y31" s="910">
        <f t="shared" si="16"/>
        <v>0</v>
      </c>
      <c r="Z31" s="123">
        <f t="shared" si="17"/>
        <v>268</v>
      </c>
      <c r="AA31" s="241" t="e">
        <f t="shared" ca="1" si="3"/>
        <v>#REF!</v>
      </c>
      <c r="AB31" s="104">
        <f>SUM('DPL24-Budget'!B31:$M31)</f>
        <v>403367</v>
      </c>
      <c r="AC31" s="929">
        <f t="shared" si="4"/>
        <v>4.0300000000000002E-2</v>
      </c>
      <c r="AD31" s="934">
        <f t="shared" si="0"/>
        <v>-403099</v>
      </c>
      <c r="AE31" s="725">
        <f t="shared" si="18"/>
        <v>0.04</v>
      </c>
    </row>
    <row r="32" spans="1:31" s="4" customFormat="1">
      <c r="A32" s="933" t="s">
        <v>307</v>
      </c>
      <c r="B32" s="122">
        <f ca="1">IF(B$3=0,DPL25Summary!B32,DPL25Summary!B32/B$3)</f>
        <v>122</v>
      </c>
      <c r="C32" s="910">
        <f t="shared" ca="1" si="5"/>
        <v>4.4999999999999998E-2</v>
      </c>
      <c r="D32" s="122">
        <f ca="1">IF(D$3=0,DPL25Summary!D32,DPL25Summary!D32/D$3)</f>
        <v>0</v>
      </c>
      <c r="E32" s="909">
        <f t="shared" ca="1" si="6"/>
        <v>0</v>
      </c>
      <c r="F32" s="122">
        <f ca="1">IF(F$3=0,DPL25Summary!F32,DPL25Summary!F32/F$3)</f>
        <v>0</v>
      </c>
      <c r="G32" s="909">
        <f t="shared" ca="1" si="7"/>
        <v>0</v>
      </c>
      <c r="H32" s="122">
        <f ca="1">IF(H$3=0,DPL25Summary!H32,DPL25Summary!H32/H$3)</f>
        <v>122</v>
      </c>
      <c r="I32" s="910">
        <f t="shared" ca="1" si="8"/>
        <v>4.4999999999999998E-2</v>
      </c>
      <c r="J32" s="122">
        <f>IF(J$3=0,DPL25Summary!J32,DPL25Summary!J32/J$3)</f>
        <v>0</v>
      </c>
      <c r="K32" s="907">
        <f t="shared" si="9"/>
        <v>0</v>
      </c>
      <c r="L32" s="122">
        <f>IF(L$3=0,DPL25Summary!L32,DPL25Summary!L32/L$3)</f>
        <v>0</v>
      </c>
      <c r="M32" s="907">
        <f t="shared" si="10"/>
        <v>0</v>
      </c>
      <c r="N32" s="122">
        <f>IF(N$3=0,DPL25Summary!N32,DPL25Summary!N32/N$3)</f>
        <v>0</v>
      </c>
      <c r="O32" s="907">
        <f t="shared" si="11"/>
        <v>0</v>
      </c>
      <c r="P32" s="122">
        <f>IF(P$3=0,DPL25Summary!P32,DPL25Summary!P32/P$3)</f>
        <v>0</v>
      </c>
      <c r="Q32" s="907">
        <f t="shared" si="12"/>
        <v>0</v>
      </c>
      <c r="R32" s="122">
        <f>IF(R$3=0,DPL25Summary!R32,DPL25Summary!R32/R$3)</f>
        <v>0</v>
      </c>
      <c r="S32" s="910">
        <f t="shared" si="13"/>
        <v>0</v>
      </c>
      <c r="T32" s="122">
        <f>IF(T$3=0,DPL25Summary!T32,DPL25Summary!T32/T$3)</f>
        <v>0</v>
      </c>
      <c r="U32" s="910">
        <f t="shared" si="14"/>
        <v>0</v>
      </c>
      <c r="V32" s="122">
        <f>IF(V$3=0,DPL25Summary!V32,DPL25Summary!V32/V$3)</f>
        <v>0</v>
      </c>
      <c r="W32" s="910">
        <f t="shared" si="15"/>
        <v>0</v>
      </c>
      <c r="X32" s="122">
        <f>IF(X$3=0,DPL25Summary!X32,DPL25Summary!X32/X$3)</f>
        <v>0</v>
      </c>
      <c r="Y32" s="910">
        <f t="shared" si="16"/>
        <v>0</v>
      </c>
      <c r="Z32" s="123">
        <f t="shared" ca="1" si="17"/>
        <v>244</v>
      </c>
      <c r="AA32" s="241" t="e">
        <f t="shared" ca="1" si="3"/>
        <v>#REF!</v>
      </c>
      <c r="AB32" s="104">
        <f>SUM('DPL24-Budget'!B32:$M32)</f>
        <v>273097</v>
      </c>
      <c r="AC32" s="929">
        <f t="shared" si="4"/>
        <v>2.7300000000000001E-2</v>
      </c>
      <c r="AD32" s="169">
        <f t="shared" ca="1" si="0"/>
        <v>-272853</v>
      </c>
      <c r="AE32" s="725">
        <f t="shared" si="18"/>
        <v>2.7E-2</v>
      </c>
    </row>
    <row r="33" spans="1:31" s="4" customFormat="1">
      <c r="A33" s="933" t="s">
        <v>395</v>
      </c>
      <c r="B33" s="122">
        <f>IF(B$3=0,DPL25Summary!B33,DPL25Summary!B33/B$3)</f>
        <v>0</v>
      </c>
      <c r="C33" s="910">
        <f t="shared" ca="1" si="5"/>
        <v>0</v>
      </c>
      <c r="D33" s="122">
        <f>IF(D$3=0,DPL25Summary!D33,DPL25Summary!D33/D$3)</f>
        <v>0</v>
      </c>
      <c r="E33" s="909">
        <f t="shared" ca="1" si="6"/>
        <v>0</v>
      </c>
      <c r="F33" s="122">
        <f>IF(F$3=0,DPL25Summary!F33,DPL25Summary!F33/F$3)</f>
        <v>0</v>
      </c>
      <c r="G33" s="909">
        <f t="shared" ca="1" si="7"/>
        <v>0</v>
      </c>
      <c r="H33" s="122">
        <f>IF(H$3=0,DPL25Summary!H33,DPL25Summary!H33/H$3)</f>
        <v>0</v>
      </c>
      <c r="I33" s="910">
        <f t="shared" ca="1" si="8"/>
        <v>0</v>
      </c>
      <c r="J33" s="122">
        <f>IF(J$3=0,DPL25Summary!J33,DPL25Summary!J33/J$3)</f>
        <v>0</v>
      </c>
      <c r="K33" s="907">
        <f t="shared" si="9"/>
        <v>0</v>
      </c>
      <c r="L33" s="122">
        <f>IF(L$3=0,DPL25Summary!L33,DPL25Summary!L33/L$3)</f>
        <v>0</v>
      </c>
      <c r="M33" s="907">
        <f t="shared" si="10"/>
        <v>0</v>
      </c>
      <c r="N33" s="122">
        <f>IF(N$3=0,DPL25Summary!N33,DPL25Summary!N33/N$3)</f>
        <v>0</v>
      </c>
      <c r="O33" s="907">
        <f t="shared" si="11"/>
        <v>0</v>
      </c>
      <c r="P33" s="122">
        <f>IF(P$3=0,DPL25Summary!P33,DPL25Summary!P33/P$3)</f>
        <v>0</v>
      </c>
      <c r="Q33" s="907">
        <f t="shared" si="12"/>
        <v>0</v>
      </c>
      <c r="R33" s="122">
        <f>IF(R$3=0,DPL25Summary!R33,DPL25Summary!R33/R$3)</f>
        <v>0</v>
      </c>
      <c r="S33" s="910">
        <f t="shared" si="13"/>
        <v>0</v>
      </c>
      <c r="T33" s="122">
        <f>IF(T$3=0,DPL25Summary!T33,DPL25Summary!T33/T$3)</f>
        <v>0</v>
      </c>
      <c r="U33" s="910">
        <f t="shared" si="14"/>
        <v>0</v>
      </c>
      <c r="V33" s="122">
        <f>IF(V$3=0,DPL25Summary!V33,DPL25Summary!V33/V$3)</f>
        <v>0</v>
      </c>
      <c r="W33" s="910">
        <f t="shared" si="15"/>
        <v>0</v>
      </c>
      <c r="X33" s="122">
        <f>IF(X$3=0,DPL25Summary!X33,DPL25Summary!X33/X$3)</f>
        <v>0</v>
      </c>
      <c r="Y33" s="910">
        <f t="shared" si="16"/>
        <v>0</v>
      </c>
      <c r="Z33" s="123">
        <f t="shared" si="17"/>
        <v>0</v>
      </c>
      <c r="AA33" s="241" t="e">
        <f t="shared" ca="1" si="3"/>
        <v>#REF!</v>
      </c>
      <c r="AB33" s="104">
        <f>SUM('DPL24-Budget'!B33:$M33)</f>
        <v>397264</v>
      </c>
      <c r="AC33" s="929">
        <f t="shared" si="4"/>
        <v>3.9699999999999999E-2</v>
      </c>
      <c r="AD33" s="169">
        <f t="shared" si="0"/>
        <v>-397264</v>
      </c>
      <c r="AE33" s="725">
        <f t="shared" si="18"/>
        <v>0.04</v>
      </c>
    </row>
    <row r="34" spans="1:31" s="4" customFormat="1">
      <c r="A34" s="757" t="s">
        <v>396</v>
      </c>
      <c r="B34" s="122">
        <f>IF(B$3=0,DPL25Summary!B34,DPL25Summary!B34/B$3)</f>
        <v>0</v>
      </c>
      <c r="C34" s="910">
        <f t="shared" ca="1" si="5"/>
        <v>0</v>
      </c>
      <c r="D34" s="122">
        <f>IF(D$3=0,DPL25Summary!D34,DPL25Summary!D34/D$3)</f>
        <v>0</v>
      </c>
      <c r="E34" s="909">
        <f t="shared" ca="1" si="6"/>
        <v>0</v>
      </c>
      <c r="F34" s="122">
        <f>IF(F$3=0,DPL25Summary!F34,DPL25Summary!F34/F$3)</f>
        <v>0</v>
      </c>
      <c r="G34" s="909">
        <f t="shared" ca="1" si="7"/>
        <v>0</v>
      </c>
      <c r="H34" s="122">
        <f>IF(H$3=0,DPL25Summary!H34,DPL25Summary!H34/H$3)</f>
        <v>0</v>
      </c>
      <c r="I34" s="910">
        <f t="shared" ca="1" si="8"/>
        <v>0</v>
      </c>
      <c r="J34" s="122">
        <f>IF(J$3=0,DPL25Summary!J34,DPL25Summary!J34/J$3)</f>
        <v>0</v>
      </c>
      <c r="K34" s="907">
        <f t="shared" si="9"/>
        <v>0</v>
      </c>
      <c r="L34" s="122">
        <f>IF(L$3=0,DPL25Summary!L34,DPL25Summary!L34/L$3)</f>
        <v>0</v>
      </c>
      <c r="M34" s="907">
        <f t="shared" si="10"/>
        <v>0</v>
      </c>
      <c r="N34" s="122">
        <f>IF(N$3=0,DPL25Summary!N34,DPL25Summary!N34/N$3)</f>
        <v>0</v>
      </c>
      <c r="O34" s="907">
        <f t="shared" si="11"/>
        <v>0</v>
      </c>
      <c r="P34" s="122">
        <f>IF(P$3=0,DPL25Summary!P34,DPL25Summary!P34/P$3)</f>
        <v>0</v>
      </c>
      <c r="Q34" s="907">
        <f t="shared" si="12"/>
        <v>0</v>
      </c>
      <c r="R34" s="122">
        <f>IF(R$3=0,DPL25Summary!R34,DPL25Summary!R34/R$3)</f>
        <v>0</v>
      </c>
      <c r="S34" s="910">
        <f t="shared" si="13"/>
        <v>0</v>
      </c>
      <c r="T34" s="122">
        <f>IF(T$3=0,DPL25Summary!T34,DPL25Summary!T34/T$3)</f>
        <v>0</v>
      </c>
      <c r="U34" s="910">
        <f t="shared" si="14"/>
        <v>0</v>
      </c>
      <c r="V34" s="122">
        <f>IF(V$3=0,DPL25Summary!V34,DPL25Summary!V34/V$3)</f>
        <v>0</v>
      </c>
      <c r="W34" s="910">
        <f t="shared" si="15"/>
        <v>0</v>
      </c>
      <c r="X34" s="122">
        <f>IF(X$3=0,DPL25Summary!X34,DPL25Summary!X34/X$3)</f>
        <v>0</v>
      </c>
      <c r="Y34" s="910">
        <f t="shared" si="16"/>
        <v>0</v>
      </c>
      <c r="Z34" s="123">
        <f t="shared" si="17"/>
        <v>0</v>
      </c>
      <c r="AA34" s="241" t="e">
        <f t="shared" ca="1" si="3"/>
        <v>#REF!</v>
      </c>
      <c r="AB34" s="104">
        <f>SUM('DPL24-Budget'!B34:$M34)</f>
        <v>17747</v>
      </c>
      <c r="AC34" s="929">
        <f t="shared" si="4"/>
        <v>1.8E-3</v>
      </c>
      <c r="AD34" s="169">
        <f t="shared" si="0"/>
        <v>-17747</v>
      </c>
      <c r="AE34" s="725">
        <f t="shared" si="18"/>
        <v>2E-3</v>
      </c>
    </row>
    <row r="35" spans="1:31" s="4" customFormat="1">
      <c r="A35" s="933" t="s">
        <v>290</v>
      </c>
      <c r="B35" s="122">
        <f>IF(B$3=0,DPL25Summary!B35,DPL25Summary!B35/B$3)</f>
        <v>0</v>
      </c>
      <c r="C35" s="910">
        <f t="shared" ca="1" si="5"/>
        <v>0</v>
      </c>
      <c r="D35" s="122">
        <f>IF(D$3=0,DPL25Summary!D35,DPL25Summary!D35/D$3)</f>
        <v>0</v>
      </c>
      <c r="E35" s="909">
        <f t="shared" ca="1" si="6"/>
        <v>0</v>
      </c>
      <c r="F35" s="122">
        <f>IF(F$3=0,DPL25Summary!F35,DPL25Summary!F35/F$3)</f>
        <v>0</v>
      </c>
      <c r="G35" s="909">
        <f t="shared" ca="1" si="7"/>
        <v>0</v>
      </c>
      <c r="H35" s="122">
        <f>IF(H$3=0,DPL25Summary!H35,DPL25Summary!H35/H$3)</f>
        <v>1463</v>
      </c>
      <c r="I35" s="910">
        <f t="shared" ca="1" si="8"/>
        <v>0.53600000000000003</v>
      </c>
      <c r="J35" s="122">
        <f>IF(J$3=0,DPL25Summary!J35,DPL25Summary!J35/J$3)</f>
        <v>0</v>
      </c>
      <c r="K35" s="907">
        <f t="shared" si="9"/>
        <v>0</v>
      </c>
      <c r="L35" s="122">
        <f>IF(L$3=0,DPL25Summary!L35,DPL25Summary!L35/L$3)</f>
        <v>0</v>
      </c>
      <c r="M35" s="907">
        <f t="shared" si="10"/>
        <v>0</v>
      </c>
      <c r="N35" s="122">
        <f>IF(N$3=0,DPL25Summary!N35,DPL25Summary!N35/N$3)</f>
        <v>0</v>
      </c>
      <c r="O35" s="907">
        <f t="shared" si="11"/>
        <v>0</v>
      </c>
      <c r="P35" s="122">
        <f>IF(P$3=0,DPL25Summary!P35,DPL25Summary!P35/P$3)</f>
        <v>0</v>
      </c>
      <c r="Q35" s="907">
        <f t="shared" si="12"/>
        <v>0</v>
      </c>
      <c r="R35" s="122">
        <f>IF(R$3=0,DPL25Summary!R35,DPL25Summary!R35/R$3)</f>
        <v>0</v>
      </c>
      <c r="S35" s="910">
        <f t="shared" si="13"/>
        <v>0</v>
      </c>
      <c r="T35" s="122">
        <f>IF(T$3=0,DPL25Summary!T35,DPL25Summary!T35/T$3)</f>
        <v>0</v>
      </c>
      <c r="U35" s="910">
        <f t="shared" si="14"/>
        <v>0</v>
      </c>
      <c r="V35" s="122">
        <f>IF(V$3=0,DPL25Summary!V35,DPL25Summary!V35/V$3)</f>
        <v>0</v>
      </c>
      <c r="W35" s="910">
        <f t="shared" si="15"/>
        <v>0</v>
      </c>
      <c r="X35" s="122">
        <f>IF(X$3=0,DPL25Summary!X35,DPL25Summary!X35/X$3)</f>
        <v>0</v>
      </c>
      <c r="Y35" s="910">
        <f t="shared" si="16"/>
        <v>0</v>
      </c>
      <c r="Z35" s="123">
        <f t="shared" si="17"/>
        <v>1463</v>
      </c>
      <c r="AA35" s="241" t="e">
        <f t="shared" ca="1" si="3"/>
        <v>#REF!</v>
      </c>
      <c r="AB35" s="104">
        <f>SUM('DPL24-Budget'!B35:$M35)</f>
        <v>98350</v>
      </c>
      <c r="AC35" s="929">
        <f t="shared" si="4"/>
        <v>9.7999999999999997E-3</v>
      </c>
      <c r="AD35" s="934">
        <f t="shared" si="0"/>
        <v>-96887</v>
      </c>
      <c r="AE35" s="725">
        <f t="shared" si="18"/>
        <v>0.01</v>
      </c>
    </row>
    <row r="36" spans="1:31" s="4" customFormat="1">
      <c r="A36" s="933" t="s">
        <v>297</v>
      </c>
      <c r="B36" s="122">
        <f>IF(B$3=0,DPL25Summary!B36,DPL25Summary!B36/B$3)</f>
        <v>0</v>
      </c>
      <c r="C36" s="910">
        <f t="shared" ca="1" si="5"/>
        <v>0</v>
      </c>
      <c r="D36" s="122">
        <f>IF(D$3=0,DPL25Summary!D36,DPL25Summary!D36/D$3)</f>
        <v>0</v>
      </c>
      <c r="E36" s="909">
        <f t="shared" ca="1" si="6"/>
        <v>0</v>
      </c>
      <c r="F36" s="122">
        <f>IF(F$3=0,DPL25Summary!F36,DPL25Summary!F36/F$3)</f>
        <v>0</v>
      </c>
      <c r="G36" s="909">
        <f t="shared" ca="1" si="7"/>
        <v>0</v>
      </c>
      <c r="H36" s="122">
        <f>IF(H$3=0,DPL25Summary!H36,DPL25Summary!H36/H$3)</f>
        <v>0</v>
      </c>
      <c r="I36" s="910">
        <f t="shared" ca="1" si="8"/>
        <v>0</v>
      </c>
      <c r="J36" s="122">
        <f>IF(J$3=0,DPL25Summary!J36,DPL25Summary!J36/J$3)</f>
        <v>0</v>
      </c>
      <c r="K36" s="907">
        <f t="shared" si="9"/>
        <v>0</v>
      </c>
      <c r="L36" s="122">
        <f>IF(L$3=0,DPL25Summary!L36,DPL25Summary!L36/L$3)</f>
        <v>0</v>
      </c>
      <c r="M36" s="907">
        <f t="shared" si="10"/>
        <v>0</v>
      </c>
      <c r="N36" s="122">
        <f>IF(N$3=0,DPL25Summary!N36,DPL25Summary!N36/N$3)</f>
        <v>0</v>
      </c>
      <c r="O36" s="907">
        <f t="shared" si="11"/>
        <v>0</v>
      </c>
      <c r="P36" s="122">
        <f>IF(P$3=0,DPL25Summary!P36,DPL25Summary!P36/P$3)</f>
        <v>0</v>
      </c>
      <c r="Q36" s="907">
        <f t="shared" si="12"/>
        <v>0</v>
      </c>
      <c r="R36" s="122">
        <f>IF(R$3=0,DPL25Summary!R36,DPL25Summary!R36/R$3)</f>
        <v>0</v>
      </c>
      <c r="S36" s="910">
        <f t="shared" si="13"/>
        <v>0</v>
      </c>
      <c r="T36" s="122">
        <f>IF(T$3=0,DPL25Summary!T36,DPL25Summary!T36/T$3)</f>
        <v>0</v>
      </c>
      <c r="U36" s="910">
        <f t="shared" si="14"/>
        <v>0</v>
      </c>
      <c r="V36" s="122">
        <f>IF(V$3=0,DPL25Summary!V36,DPL25Summary!V36/V$3)</f>
        <v>0</v>
      </c>
      <c r="W36" s="910">
        <f t="shared" si="15"/>
        <v>0</v>
      </c>
      <c r="X36" s="122">
        <f>IF(X$3=0,DPL25Summary!X36,DPL25Summary!X36/X$3)</f>
        <v>0</v>
      </c>
      <c r="Y36" s="910">
        <f t="shared" si="16"/>
        <v>0</v>
      </c>
      <c r="Z36" s="123">
        <f t="shared" si="17"/>
        <v>0</v>
      </c>
      <c r="AA36" s="241" t="e">
        <f t="shared" ca="1" si="3"/>
        <v>#REF!</v>
      </c>
      <c r="AB36" s="104">
        <f>SUM('DPL24-Budget'!B36:$M36)</f>
        <v>95230</v>
      </c>
      <c r="AC36" s="929">
        <f t="shared" si="4"/>
        <v>9.4999999999999998E-3</v>
      </c>
      <c r="AD36" s="934">
        <f t="shared" si="0"/>
        <v>-95230</v>
      </c>
      <c r="AE36" s="725">
        <f t="shared" si="18"/>
        <v>0.01</v>
      </c>
    </row>
    <row r="37" spans="1:31" s="4" customFormat="1">
      <c r="A37" s="757" t="s">
        <v>299</v>
      </c>
      <c r="B37" s="122">
        <f>IF(B$3=0,DPL25Summary!B37,DPL25Summary!B37/B$3)</f>
        <v>0</v>
      </c>
      <c r="C37" s="910">
        <f t="shared" ca="1" si="5"/>
        <v>0</v>
      </c>
      <c r="D37" s="122">
        <f>IF(D$3=0,DPL25Summary!D37,DPL25Summary!D37/D$3)</f>
        <v>0</v>
      </c>
      <c r="E37" s="909">
        <f t="shared" ca="1" si="6"/>
        <v>0</v>
      </c>
      <c r="F37" s="122">
        <f>IF(F$3=0,DPL25Summary!F37,DPL25Summary!F37/F$3)</f>
        <v>0</v>
      </c>
      <c r="G37" s="909">
        <f t="shared" ca="1" si="7"/>
        <v>0</v>
      </c>
      <c r="H37" s="122">
        <f>IF(H$3=0,DPL25Summary!H37,DPL25Summary!H37/H$3)</f>
        <v>0</v>
      </c>
      <c r="I37" s="910">
        <f t="shared" ca="1" si="8"/>
        <v>0</v>
      </c>
      <c r="J37" s="122">
        <f>IF(J$3=0,DPL25Summary!J37,DPL25Summary!J37/J$3)</f>
        <v>0</v>
      </c>
      <c r="K37" s="907">
        <f t="shared" si="9"/>
        <v>0</v>
      </c>
      <c r="L37" s="122">
        <f>IF(L$3=0,DPL25Summary!L37,DPL25Summary!L37/L$3)</f>
        <v>0</v>
      </c>
      <c r="M37" s="907">
        <f t="shared" si="10"/>
        <v>0</v>
      </c>
      <c r="N37" s="122">
        <f>IF(N$3=0,DPL25Summary!N37,DPL25Summary!N37/N$3)</f>
        <v>0</v>
      </c>
      <c r="O37" s="907">
        <f t="shared" si="11"/>
        <v>0</v>
      </c>
      <c r="P37" s="122">
        <f>IF(P$3=0,DPL25Summary!P37,DPL25Summary!P37/P$3)</f>
        <v>0</v>
      </c>
      <c r="Q37" s="907">
        <f t="shared" si="12"/>
        <v>0</v>
      </c>
      <c r="R37" s="122">
        <f>IF(R$3=0,DPL25Summary!R37,DPL25Summary!R37/R$3)</f>
        <v>0</v>
      </c>
      <c r="S37" s="910">
        <f t="shared" si="13"/>
        <v>0</v>
      </c>
      <c r="T37" s="122">
        <f>IF(T$3=0,DPL25Summary!T37,DPL25Summary!T37/T$3)</f>
        <v>0</v>
      </c>
      <c r="U37" s="910">
        <f t="shared" si="14"/>
        <v>0</v>
      </c>
      <c r="V37" s="122">
        <f>IF(V$3=0,DPL25Summary!V37,DPL25Summary!V37/V$3)</f>
        <v>0</v>
      </c>
      <c r="W37" s="910">
        <f t="shared" si="15"/>
        <v>0</v>
      </c>
      <c r="X37" s="122">
        <f>IF(X$3=0,DPL25Summary!X37,DPL25Summary!X37/X$3)</f>
        <v>0</v>
      </c>
      <c r="Y37" s="910">
        <f t="shared" si="16"/>
        <v>0</v>
      </c>
      <c r="Z37" s="123">
        <f t="shared" si="17"/>
        <v>0</v>
      </c>
      <c r="AA37" s="241" t="e">
        <f t="shared" ca="1" si="3"/>
        <v>#REF!</v>
      </c>
      <c r="AB37" s="104">
        <f>SUM('DPL24-Budget'!B37:$M37)</f>
        <v>104506</v>
      </c>
      <c r="AC37" s="929">
        <f t="shared" si="4"/>
        <v>1.04E-2</v>
      </c>
      <c r="AD37" s="169">
        <f t="shared" si="0"/>
        <v>-104506</v>
      </c>
      <c r="AE37" s="725">
        <f t="shared" si="18"/>
        <v>0.01</v>
      </c>
    </row>
    <row r="38" spans="1:31" s="4" customFormat="1">
      <c r="A38" s="757" t="s">
        <v>397</v>
      </c>
      <c r="B38" s="122">
        <f>IF(B$3=0,DPL25Summary!B38,DPL25Summary!B38/B$3)</f>
        <v>0</v>
      </c>
      <c r="C38" s="910">
        <f t="shared" ca="1" si="5"/>
        <v>0</v>
      </c>
      <c r="D38" s="122">
        <f>IF(D$3=0,DPL25Summary!D38,DPL25Summary!D38/D$3)</f>
        <v>0</v>
      </c>
      <c r="E38" s="909">
        <f t="shared" ca="1" si="6"/>
        <v>0</v>
      </c>
      <c r="F38" s="122">
        <f>IF(F$3=0,DPL25Summary!F38,DPL25Summary!F38/F$3)</f>
        <v>0</v>
      </c>
      <c r="G38" s="909">
        <f t="shared" ca="1" si="7"/>
        <v>0</v>
      </c>
      <c r="H38" s="122">
        <f>IF(H$3=0,DPL25Summary!H38,DPL25Summary!H38/H$3)</f>
        <v>0</v>
      </c>
      <c r="I38" s="910">
        <f t="shared" ca="1" si="8"/>
        <v>0</v>
      </c>
      <c r="J38" s="122">
        <f>IF(J$3=0,DPL25Summary!J38,DPL25Summary!J38/J$3)</f>
        <v>0</v>
      </c>
      <c r="K38" s="907">
        <f t="shared" si="9"/>
        <v>0</v>
      </c>
      <c r="L38" s="122">
        <f>IF(L$3=0,DPL25Summary!L38,DPL25Summary!L38/L$3)</f>
        <v>0</v>
      </c>
      <c r="M38" s="907">
        <f t="shared" si="10"/>
        <v>0</v>
      </c>
      <c r="N38" s="122">
        <f>IF(N$3=0,DPL25Summary!N38,DPL25Summary!N38/N$3)</f>
        <v>0</v>
      </c>
      <c r="O38" s="907">
        <f t="shared" si="11"/>
        <v>0</v>
      </c>
      <c r="P38" s="122">
        <f>IF(P$3=0,DPL25Summary!P38,DPL25Summary!P38/P$3)</f>
        <v>0</v>
      </c>
      <c r="Q38" s="907">
        <f t="shared" si="12"/>
        <v>0</v>
      </c>
      <c r="R38" s="122">
        <f>IF(R$3=0,DPL25Summary!R38,DPL25Summary!R38/R$3)</f>
        <v>0</v>
      </c>
      <c r="S38" s="910">
        <f t="shared" si="13"/>
        <v>0</v>
      </c>
      <c r="T38" s="122">
        <f>IF(T$3=0,DPL25Summary!T38,DPL25Summary!T38/T$3)</f>
        <v>0</v>
      </c>
      <c r="U38" s="910">
        <f t="shared" si="14"/>
        <v>0</v>
      </c>
      <c r="V38" s="122">
        <f>IF(V$3=0,DPL25Summary!V38,DPL25Summary!V38/V$3)</f>
        <v>0</v>
      </c>
      <c r="W38" s="910">
        <f t="shared" si="15"/>
        <v>0</v>
      </c>
      <c r="X38" s="122">
        <f>IF(X$3=0,DPL25Summary!X38,DPL25Summary!X38/X$3)</f>
        <v>0</v>
      </c>
      <c r="Y38" s="910">
        <f t="shared" si="16"/>
        <v>0</v>
      </c>
      <c r="Z38" s="123">
        <f t="shared" si="17"/>
        <v>0</v>
      </c>
      <c r="AA38" s="241" t="e">
        <f t="shared" ca="1" si="3"/>
        <v>#REF!</v>
      </c>
      <c r="AB38" s="104">
        <f>SUM('DPL24-Budget'!B38:$M38)</f>
        <v>95799</v>
      </c>
      <c r="AC38" s="929">
        <f t="shared" si="4"/>
        <v>9.5999999999999992E-3</v>
      </c>
      <c r="AD38" s="934">
        <f t="shared" si="0"/>
        <v>-95799</v>
      </c>
      <c r="AE38" s="725">
        <f t="shared" si="18"/>
        <v>0.01</v>
      </c>
    </row>
    <row r="39" spans="1:31" s="4" customFormat="1">
      <c r="A39" s="757" t="s">
        <v>593</v>
      </c>
      <c r="B39" s="122">
        <f>IF(B$3=0,DPL25Summary!B39,DPL25Summary!B39/B$3)</f>
        <v>0</v>
      </c>
      <c r="C39" s="910">
        <f t="shared" ca="1" si="5"/>
        <v>0</v>
      </c>
      <c r="D39" s="122">
        <f>IF(D$3=0,DPL25Summary!D39,DPL25Summary!D39/D$3)</f>
        <v>0</v>
      </c>
      <c r="E39" s="909">
        <f t="shared" ca="1" si="6"/>
        <v>0</v>
      </c>
      <c r="F39" s="122">
        <f>IF(F$3=0,DPL25Summary!F39,DPL25Summary!F39/F$3)</f>
        <v>0</v>
      </c>
      <c r="G39" s="909">
        <f t="shared" ca="1" si="7"/>
        <v>0</v>
      </c>
      <c r="H39" s="122">
        <f>IF(H$3=0,DPL25Summary!H39,DPL25Summary!H39/H$3)</f>
        <v>0</v>
      </c>
      <c r="I39" s="910">
        <f t="shared" ca="1" si="8"/>
        <v>0</v>
      </c>
      <c r="J39" s="122">
        <f>IF(J$3=0,DPL25Summary!J39,DPL25Summary!J39/J$3)</f>
        <v>0</v>
      </c>
      <c r="K39" s="907">
        <f t="shared" si="9"/>
        <v>0</v>
      </c>
      <c r="L39" s="122">
        <f>IF(L$3=0,DPL25Summary!L39,DPL25Summary!L39/L$3)</f>
        <v>0</v>
      </c>
      <c r="M39" s="907">
        <f t="shared" si="10"/>
        <v>0</v>
      </c>
      <c r="N39" s="122">
        <f>IF(N$3=0,DPL25Summary!N39,DPL25Summary!N39/N$3)</f>
        <v>0</v>
      </c>
      <c r="O39" s="907">
        <f t="shared" si="11"/>
        <v>0</v>
      </c>
      <c r="P39" s="122">
        <f>IF(P$3=0,DPL25Summary!P39,DPL25Summary!P39/P$3)</f>
        <v>0</v>
      </c>
      <c r="Q39" s="907">
        <f t="shared" si="12"/>
        <v>0</v>
      </c>
      <c r="R39" s="122">
        <f>IF(R$3=0,DPL25Summary!R39,DPL25Summary!R39/R$3)</f>
        <v>0</v>
      </c>
      <c r="S39" s="910">
        <f t="shared" si="13"/>
        <v>0</v>
      </c>
      <c r="T39" s="122">
        <f>IF(T$3=0,DPL25Summary!T39,DPL25Summary!T39/T$3)</f>
        <v>0</v>
      </c>
      <c r="U39" s="910">
        <f t="shared" si="14"/>
        <v>0</v>
      </c>
      <c r="V39" s="122">
        <f>IF(V$3=0,DPL25Summary!V39,DPL25Summary!V39/V$3)</f>
        <v>0</v>
      </c>
      <c r="W39" s="910">
        <f t="shared" si="15"/>
        <v>0</v>
      </c>
      <c r="X39" s="122">
        <f>IF(X$3=0,DPL25Summary!X39,DPL25Summary!X39/X$3)</f>
        <v>0</v>
      </c>
      <c r="Y39" s="910">
        <f t="shared" si="16"/>
        <v>0</v>
      </c>
      <c r="Z39" s="123">
        <f t="shared" si="17"/>
        <v>0</v>
      </c>
      <c r="AA39" s="241" t="e">
        <f t="shared" ca="1" si="3"/>
        <v>#REF!</v>
      </c>
      <c r="AB39" s="104">
        <f>SUM('DPL24-Budget'!B39:$M39)</f>
        <v>-6</v>
      </c>
      <c r="AC39" s="929">
        <f t="shared" si="4"/>
        <v>0</v>
      </c>
      <c r="AD39" s="169">
        <f t="shared" si="0"/>
        <v>6</v>
      </c>
      <c r="AE39" s="725">
        <f t="shared" si="18"/>
        <v>0</v>
      </c>
    </row>
    <row r="40" spans="1:31" s="4" customFormat="1">
      <c r="A40" s="757" t="s">
        <v>399</v>
      </c>
      <c r="B40" s="122">
        <f>IF(B$3=0,DPL25Summary!B40,DPL25Summary!B40/B$3)</f>
        <v>0</v>
      </c>
      <c r="C40" s="910">
        <f t="shared" ca="1" si="5"/>
        <v>0</v>
      </c>
      <c r="D40" s="122">
        <f>IF(D$3=0,DPL25Summary!D40,DPL25Summary!D40/D$3)</f>
        <v>0</v>
      </c>
      <c r="E40" s="909">
        <f t="shared" ca="1" si="6"/>
        <v>0</v>
      </c>
      <c r="F40" s="122">
        <f>IF(F$3=0,DPL25Summary!F40,DPL25Summary!F40/F$3)</f>
        <v>0</v>
      </c>
      <c r="G40" s="909">
        <f t="shared" ca="1" si="7"/>
        <v>0</v>
      </c>
      <c r="H40" s="122">
        <f>IF(H$3=0,DPL25Summary!H40,DPL25Summary!H40/H$3)</f>
        <v>0</v>
      </c>
      <c r="I40" s="910">
        <f t="shared" ca="1" si="8"/>
        <v>0</v>
      </c>
      <c r="J40" s="122">
        <f>IF(J$3=0,DPL25Summary!J40,DPL25Summary!J40/J$3)</f>
        <v>0</v>
      </c>
      <c r="K40" s="907">
        <f t="shared" si="9"/>
        <v>0</v>
      </c>
      <c r="L40" s="122">
        <f>IF(L$3=0,DPL25Summary!L40,DPL25Summary!L40/L$3)</f>
        <v>0</v>
      </c>
      <c r="M40" s="907">
        <f t="shared" si="10"/>
        <v>0</v>
      </c>
      <c r="N40" s="122">
        <f>IF(N$3=0,DPL25Summary!N40,DPL25Summary!N40/N$3)</f>
        <v>0</v>
      </c>
      <c r="O40" s="907">
        <f t="shared" si="11"/>
        <v>0</v>
      </c>
      <c r="P40" s="122">
        <f>IF(P$3=0,DPL25Summary!P40,DPL25Summary!P40/P$3)</f>
        <v>0</v>
      </c>
      <c r="Q40" s="907">
        <f t="shared" si="12"/>
        <v>0</v>
      </c>
      <c r="R40" s="122">
        <f>IF(R$3=0,DPL25Summary!R40,DPL25Summary!R40/R$3)</f>
        <v>0</v>
      </c>
      <c r="S40" s="910">
        <f t="shared" si="13"/>
        <v>0</v>
      </c>
      <c r="T40" s="122">
        <f>IF(T$3=0,DPL25Summary!T40,DPL25Summary!T40/T$3)</f>
        <v>0</v>
      </c>
      <c r="U40" s="910">
        <f t="shared" si="14"/>
        <v>0</v>
      </c>
      <c r="V40" s="122">
        <f>IF(V$3=0,DPL25Summary!V40,DPL25Summary!V40/V$3)</f>
        <v>0</v>
      </c>
      <c r="W40" s="910">
        <f t="shared" si="15"/>
        <v>0</v>
      </c>
      <c r="X40" s="122">
        <f>IF(X$3=0,DPL25Summary!X40,DPL25Summary!X40/X$3)</f>
        <v>0</v>
      </c>
      <c r="Y40" s="910">
        <f t="shared" si="16"/>
        <v>0</v>
      </c>
      <c r="Z40" s="123">
        <f t="shared" si="17"/>
        <v>0</v>
      </c>
      <c r="AA40" s="241" t="e">
        <f t="shared" ca="1" si="3"/>
        <v>#REF!</v>
      </c>
      <c r="AB40" s="104">
        <f>SUM('DPL24-Budget'!B40:$M40)</f>
        <v>0</v>
      </c>
      <c r="AC40" s="929">
        <f t="shared" si="4"/>
        <v>0</v>
      </c>
      <c r="AD40" s="169">
        <f t="shared" si="0"/>
        <v>0</v>
      </c>
      <c r="AE40" s="725">
        <f t="shared" si="18"/>
        <v>0</v>
      </c>
    </row>
    <row r="41" spans="1:31" s="4" customFormat="1">
      <c r="A41" s="757" t="s">
        <v>400</v>
      </c>
      <c r="B41" s="122">
        <f>IF(B$3=0,DPL25Summary!B41,DPL25Summary!B41/B$3)</f>
        <v>0</v>
      </c>
      <c r="C41" s="910">
        <f t="shared" ca="1" si="5"/>
        <v>0</v>
      </c>
      <c r="D41" s="122">
        <f>IF(D$3=0,DPL25Summary!D41,DPL25Summary!D41/D$3)</f>
        <v>0</v>
      </c>
      <c r="E41" s="909">
        <f t="shared" ca="1" si="6"/>
        <v>0</v>
      </c>
      <c r="F41" s="122">
        <f>IF(F$3=0,DPL25Summary!F41,DPL25Summary!F41/F$3)</f>
        <v>0</v>
      </c>
      <c r="G41" s="909">
        <f t="shared" ca="1" si="7"/>
        <v>0</v>
      </c>
      <c r="H41" s="122">
        <f>IF(H$3=0,DPL25Summary!H41,DPL25Summary!H41/H$3)</f>
        <v>0</v>
      </c>
      <c r="I41" s="910">
        <f t="shared" ca="1" si="8"/>
        <v>0</v>
      </c>
      <c r="J41" s="122">
        <f>IF(J$3=0,DPL25Summary!J41,DPL25Summary!J41/J$3)</f>
        <v>0</v>
      </c>
      <c r="K41" s="907">
        <f t="shared" si="9"/>
        <v>0</v>
      </c>
      <c r="L41" s="122">
        <f>IF(L$3=0,DPL25Summary!L41,DPL25Summary!L41/L$3)</f>
        <v>0</v>
      </c>
      <c r="M41" s="907">
        <f t="shared" si="10"/>
        <v>0</v>
      </c>
      <c r="N41" s="122">
        <f>IF(N$3=0,DPL25Summary!N41,DPL25Summary!N41/N$3)</f>
        <v>0</v>
      </c>
      <c r="O41" s="907">
        <f t="shared" si="11"/>
        <v>0</v>
      </c>
      <c r="P41" s="122">
        <f>IF(P$3=0,DPL25Summary!P41,DPL25Summary!P41/P$3)</f>
        <v>0</v>
      </c>
      <c r="Q41" s="907">
        <f t="shared" si="12"/>
        <v>0</v>
      </c>
      <c r="R41" s="122">
        <f>IF(R$3=0,DPL25Summary!R41,DPL25Summary!R41/R$3)</f>
        <v>0</v>
      </c>
      <c r="S41" s="910">
        <f t="shared" si="13"/>
        <v>0</v>
      </c>
      <c r="T41" s="122">
        <f>IF(T$3=0,DPL25Summary!T41,DPL25Summary!T41/T$3)</f>
        <v>0</v>
      </c>
      <c r="U41" s="910">
        <f t="shared" si="14"/>
        <v>0</v>
      </c>
      <c r="V41" s="122">
        <f>IF(V$3=0,DPL25Summary!V41,DPL25Summary!V41/V$3)</f>
        <v>0</v>
      </c>
      <c r="W41" s="910">
        <f t="shared" si="15"/>
        <v>0</v>
      </c>
      <c r="X41" s="122">
        <f>IF(X$3=0,DPL25Summary!X41,DPL25Summary!X41/X$3)</f>
        <v>0</v>
      </c>
      <c r="Y41" s="910">
        <f t="shared" si="16"/>
        <v>0</v>
      </c>
      <c r="Z41" s="123">
        <f t="shared" si="17"/>
        <v>0</v>
      </c>
      <c r="AA41" s="241" t="e">
        <f t="shared" ca="1" si="3"/>
        <v>#REF!</v>
      </c>
      <c r="AB41" s="104">
        <f>SUM('DPL24-Budget'!B41:$M41)</f>
        <v>0</v>
      </c>
      <c r="AC41" s="929">
        <f t="shared" si="4"/>
        <v>0</v>
      </c>
      <c r="AD41" s="169">
        <f t="shared" si="0"/>
        <v>0</v>
      </c>
      <c r="AE41" s="725">
        <f t="shared" si="18"/>
        <v>0</v>
      </c>
    </row>
    <row r="42" spans="1:31" s="4" customFormat="1">
      <c r="A42" s="757" t="s">
        <v>66</v>
      </c>
      <c r="B42" s="122">
        <f>IF(B$3=0,DPL25Summary!B42,DPL25Summary!B42/B$3)</f>
        <v>0</v>
      </c>
      <c r="C42" s="910">
        <f t="shared" ca="1" si="5"/>
        <v>0</v>
      </c>
      <c r="D42" s="122">
        <f>IF(D$3=0,DPL25Summary!D42,DPL25Summary!D42/D$3)</f>
        <v>0</v>
      </c>
      <c r="E42" s="909">
        <f t="shared" ca="1" si="6"/>
        <v>0</v>
      </c>
      <c r="F42" s="122">
        <f>IF(F$3=0,DPL25Summary!F42,DPL25Summary!F42/F$3)</f>
        <v>0</v>
      </c>
      <c r="G42" s="909">
        <f t="shared" ca="1" si="7"/>
        <v>0</v>
      </c>
      <c r="H42" s="122">
        <f>IF(H$3=0,DPL25Summary!H42,DPL25Summary!H42/H$3)</f>
        <v>0</v>
      </c>
      <c r="I42" s="910">
        <f t="shared" ca="1" si="8"/>
        <v>0</v>
      </c>
      <c r="J42" s="122">
        <f>IF(J$3=0,DPL25Summary!J42,DPL25Summary!J42/J$3)</f>
        <v>0</v>
      </c>
      <c r="K42" s="907">
        <f t="shared" si="9"/>
        <v>0</v>
      </c>
      <c r="L42" s="122">
        <f>IF(L$3=0,DPL25Summary!L42,DPL25Summary!L42/L$3)</f>
        <v>0</v>
      </c>
      <c r="M42" s="907">
        <f t="shared" si="10"/>
        <v>0</v>
      </c>
      <c r="N42" s="122">
        <f>IF(N$3=0,DPL25Summary!N42,DPL25Summary!N42/N$3)</f>
        <v>0</v>
      </c>
      <c r="O42" s="907">
        <f t="shared" si="11"/>
        <v>0</v>
      </c>
      <c r="P42" s="122">
        <f>IF(P$3=0,DPL25Summary!P42,DPL25Summary!P42/P$3)</f>
        <v>0</v>
      </c>
      <c r="Q42" s="907">
        <f t="shared" si="12"/>
        <v>0</v>
      </c>
      <c r="R42" s="122">
        <f>IF(R$3=0,DPL25Summary!R42,DPL25Summary!R42/R$3)</f>
        <v>0</v>
      </c>
      <c r="S42" s="910">
        <f t="shared" si="13"/>
        <v>0</v>
      </c>
      <c r="T42" s="122">
        <f>IF(T$3=0,DPL25Summary!T42,DPL25Summary!T42/T$3)</f>
        <v>0</v>
      </c>
      <c r="U42" s="910">
        <f t="shared" si="14"/>
        <v>0</v>
      </c>
      <c r="V42" s="122">
        <f>IF(V$3=0,DPL25Summary!V42,DPL25Summary!V42/V$3)</f>
        <v>0</v>
      </c>
      <c r="W42" s="910">
        <f t="shared" si="15"/>
        <v>0</v>
      </c>
      <c r="X42" s="122">
        <f>IF(X$3=0,DPL25Summary!X42,DPL25Summary!X42/X$3)</f>
        <v>0</v>
      </c>
      <c r="Y42" s="910">
        <f t="shared" si="16"/>
        <v>0</v>
      </c>
      <c r="Z42" s="123">
        <f t="shared" si="17"/>
        <v>0</v>
      </c>
      <c r="AA42" s="241" t="e">
        <f t="shared" ca="1" si="3"/>
        <v>#REF!</v>
      </c>
      <c r="AB42" s="104">
        <f>SUM('DPL24-Budget'!B42:$M42)</f>
        <v>83099</v>
      </c>
      <c r="AC42" s="929">
        <f t="shared" si="4"/>
        <v>8.3000000000000001E-3</v>
      </c>
      <c r="AD42" s="169">
        <f t="shared" si="0"/>
        <v>-83099</v>
      </c>
      <c r="AE42" s="725">
        <f t="shared" si="18"/>
        <v>8.0000000000000002E-3</v>
      </c>
    </row>
    <row r="43" spans="1:31" s="4" customFormat="1">
      <c r="A43" s="757" t="s">
        <v>401</v>
      </c>
      <c r="B43" s="122">
        <f>IF(B$3=0,DPL25Summary!B43,DPL25Summary!B43/B$3)</f>
        <v>0</v>
      </c>
      <c r="C43" s="910">
        <f t="shared" ca="1" si="5"/>
        <v>0</v>
      </c>
      <c r="D43" s="122">
        <f>IF(D$3=0,DPL25Summary!D43,DPL25Summary!D43/D$3)</f>
        <v>0</v>
      </c>
      <c r="E43" s="909">
        <f t="shared" ca="1" si="6"/>
        <v>0</v>
      </c>
      <c r="F43" s="122">
        <f>IF(F$3=0,DPL25Summary!F43,DPL25Summary!F43/F$3)</f>
        <v>0</v>
      </c>
      <c r="G43" s="909">
        <f t="shared" ca="1" si="7"/>
        <v>0</v>
      </c>
      <c r="H43" s="122">
        <f>IF(H$3=0,DPL25Summary!H43,DPL25Summary!H43/H$3)</f>
        <v>0</v>
      </c>
      <c r="I43" s="910">
        <f t="shared" ca="1" si="8"/>
        <v>0</v>
      </c>
      <c r="J43" s="122">
        <f>IF(J$3=0,DPL25Summary!J43,DPL25Summary!J43/J$3)</f>
        <v>0</v>
      </c>
      <c r="K43" s="907">
        <f t="shared" si="9"/>
        <v>0</v>
      </c>
      <c r="L43" s="122">
        <f>IF(L$3=0,DPL25Summary!L43,DPL25Summary!L43/L$3)</f>
        <v>0</v>
      </c>
      <c r="M43" s="907">
        <f t="shared" si="10"/>
        <v>0</v>
      </c>
      <c r="N43" s="122">
        <f>IF(N$3=0,DPL25Summary!N43,DPL25Summary!N43/N$3)</f>
        <v>0</v>
      </c>
      <c r="O43" s="907">
        <f t="shared" si="11"/>
        <v>0</v>
      </c>
      <c r="P43" s="122">
        <f>IF(P$3=0,DPL25Summary!P43,DPL25Summary!P43/P$3)</f>
        <v>0</v>
      </c>
      <c r="Q43" s="907">
        <f t="shared" si="12"/>
        <v>0</v>
      </c>
      <c r="R43" s="122">
        <f>IF(R$3=0,DPL25Summary!R43,DPL25Summary!R43/R$3)</f>
        <v>0</v>
      </c>
      <c r="S43" s="910">
        <f t="shared" si="13"/>
        <v>0</v>
      </c>
      <c r="T43" s="122">
        <f>IF(T$3=0,DPL25Summary!T43,DPL25Summary!T43/T$3)</f>
        <v>0</v>
      </c>
      <c r="U43" s="910">
        <f t="shared" si="14"/>
        <v>0</v>
      </c>
      <c r="V43" s="122">
        <f>IF(V$3=0,DPL25Summary!V43,DPL25Summary!V43/V$3)</f>
        <v>0</v>
      </c>
      <c r="W43" s="910">
        <f t="shared" si="15"/>
        <v>0</v>
      </c>
      <c r="X43" s="122">
        <f>IF(X$3=0,DPL25Summary!X43,DPL25Summary!X43/X$3)</f>
        <v>0</v>
      </c>
      <c r="Y43" s="910">
        <f t="shared" si="16"/>
        <v>0</v>
      </c>
      <c r="Z43" s="123">
        <f t="shared" si="17"/>
        <v>0</v>
      </c>
      <c r="AA43" s="241" t="e">
        <f t="shared" ca="1" si="3"/>
        <v>#REF!</v>
      </c>
      <c r="AB43" s="104">
        <f>SUM('DPL24-Budget'!B43:$M43)</f>
        <v>0</v>
      </c>
      <c r="AC43" s="929">
        <f t="shared" si="4"/>
        <v>0</v>
      </c>
      <c r="AD43" s="169">
        <f t="shared" si="0"/>
        <v>0</v>
      </c>
      <c r="AE43" s="725">
        <f t="shared" si="18"/>
        <v>0</v>
      </c>
    </row>
    <row r="44" spans="1:31" s="4" customFormat="1">
      <c r="A44" s="757" t="s">
        <v>402</v>
      </c>
      <c r="B44" s="122">
        <f>IF(B$3=0,DPL25Summary!B44,DPL25Summary!B44/B$3)</f>
        <v>0</v>
      </c>
      <c r="C44" s="910">
        <f t="shared" ca="1" si="5"/>
        <v>0</v>
      </c>
      <c r="D44" s="122">
        <f>IF(D$3=0,DPL25Summary!D44,DPL25Summary!D44/D$3)</f>
        <v>0</v>
      </c>
      <c r="E44" s="909">
        <f t="shared" ca="1" si="6"/>
        <v>0</v>
      </c>
      <c r="F44" s="122">
        <f>IF(F$3=0,DPL25Summary!F44,DPL25Summary!F44/F$3)</f>
        <v>0</v>
      </c>
      <c r="G44" s="909">
        <f t="shared" ca="1" si="7"/>
        <v>0</v>
      </c>
      <c r="H44" s="122">
        <f>IF(H$3=0,DPL25Summary!H44,DPL25Summary!H44/H$3)</f>
        <v>0</v>
      </c>
      <c r="I44" s="910">
        <f t="shared" ca="1" si="8"/>
        <v>0</v>
      </c>
      <c r="J44" s="122">
        <f>IF(J$3=0,DPL25Summary!J44,DPL25Summary!J44/J$3)</f>
        <v>0</v>
      </c>
      <c r="K44" s="907">
        <f t="shared" si="9"/>
        <v>0</v>
      </c>
      <c r="L44" s="122">
        <f>IF(L$3=0,DPL25Summary!L44,DPL25Summary!L44/L$3)</f>
        <v>0</v>
      </c>
      <c r="M44" s="907">
        <f t="shared" si="10"/>
        <v>0</v>
      </c>
      <c r="N44" s="122">
        <f>IF(N$3=0,DPL25Summary!N44,DPL25Summary!N44/N$3)</f>
        <v>0</v>
      </c>
      <c r="O44" s="907">
        <f t="shared" si="11"/>
        <v>0</v>
      </c>
      <c r="P44" s="122">
        <f>IF(P$3=0,DPL25Summary!P44,DPL25Summary!P44/P$3)</f>
        <v>0</v>
      </c>
      <c r="Q44" s="907">
        <f t="shared" si="12"/>
        <v>0</v>
      </c>
      <c r="R44" s="122">
        <f>IF(R$3=0,DPL25Summary!R44,DPL25Summary!R44/R$3)</f>
        <v>0</v>
      </c>
      <c r="S44" s="910">
        <f t="shared" si="13"/>
        <v>0</v>
      </c>
      <c r="T44" s="122">
        <f>IF(T$3=0,DPL25Summary!T44,DPL25Summary!T44/T$3)</f>
        <v>0</v>
      </c>
      <c r="U44" s="910">
        <f t="shared" si="14"/>
        <v>0</v>
      </c>
      <c r="V44" s="122">
        <f>IF(V$3=0,DPL25Summary!V44,DPL25Summary!V44/V$3)</f>
        <v>0</v>
      </c>
      <c r="W44" s="910">
        <f t="shared" si="15"/>
        <v>0</v>
      </c>
      <c r="X44" s="122">
        <f>IF(X$3=0,DPL25Summary!X44,DPL25Summary!X44/X$3)</f>
        <v>0</v>
      </c>
      <c r="Y44" s="910">
        <f t="shared" si="16"/>
        <v>0</v>
      </c>
      <c r="Z44" s="123">
        <f t="shared" si="17"/>
        <v>0</v>
      </c>
      <c r="AA44" s="241" t="e">
        <f t="shared" ca="1" si="3"/>
        <v>#REF!</v>
      </c>
      <c r="AB44" s="104">
        <f>SUM('DPL24-Budget'!B44:$M44)</f>
        <v>0</v>
      </c>
      <c r="AC44" s="929">
        <f t="shared" si="4"/>
        <v>0</v>
      </c>
      <c r="AD44" s="169">
        <f t="shared" si="0"/>
        <v>0</v>
      </c>
      <c r="AE44" s="725">
        <f t="shared" si="18"/>
        <v>0</v>
      </c>
    </row>
    <row r="45" spans="1:31" s="4" customFormat="1">
      <c r="A45" s="757" t="s">
        <v>403</v>
      </c>
      <c r="B45" s="122">
        <f>IF(B$3=0,DPL25Summary!B45,DPL25Summary!B45/B$3)</f>
        <v>0</v>
      </c>
      <c r="C45" s="910">
        <f t="shared" ca="1" si="5"/>
        <v>0</v>
      </c>
      <c r="D45" s="122">
        <f>IF(D$3=0,DPL25Summary!D45,DPL25Summary!D45/D$3)</f>
        <v>0</v>
      </c>
      <c r="E45" s="909">
        <f t="shared" ca="1" si="6"/>
        <v>0</v>
      </c>
      <c r="F45" s="122">
        <f>IF(F$3=0,DPL25Summary!F45,DPL25Summary!F45/F$3)</f>
        <v>0</v>
      </c>
      <c r="G45" s="909">
        <f t="shared" ca="1" si="7"/>
        <v>0</v>
      </c>
      <c r="H45" s="122">
        <f>IF(H$3=0,DPL25Summary!H45,DPL25Summary!H45/H$3)</f>
        <v>0</v>
      </c>
      <c r="I45" s="910">
        <f t="shared" ca="1" si="8"/>
        <v>0</v>
      </c>
      <c r="J45" s="122">
        <f>IF(J$3=0,DPL25Summary!J45,DPL25Summary!J45/J$3)</f>
        <v>0</v>
      </c>
      <c r="K45" s="907">
        <f t="shared" si="9"/>
        <v>0</v>
      </c>
      <c r="L45" s="122">
        <f>IF(L$3=0,DPL25Summary!L45,DPL25Summary!L45/L$3)</f>
        <v>0</v>
      </c>
      <c r="M45" s="907">
        <f t="shared" si="10"/>
        <v>0</v>
      </c>
      <c r="N45" s="122">
        <f>IF(N$3=0,DPL25Summary!N45,DPL25Summary!N45/N$3)</f>
        <v>0</v>
      </c>
      <c r="O45" s="907">
        <f t="shared" si="11"/>
        <v>0</v>
      </c>
      <c r="P45" s="122">
        <f>IF(P$3=0,DPL25Summary!P45,DPL25Summary!P45/P$3)</f>
        <v>0</v>
      </c>
      <c r="Q45" s="907">
        <f t="shared" si="12"/>
        <v>0</v>
      </c>
      <c r="R45" s="122">
        <f>IF(R$3=0,DPL25Summary!R45,DPL25Summary!R45/R$3)</f>
        <v>0</v>
      </c>
      <c r="S45" s="910">
        <f t="shared" si="13"/>
        <v>0</v>
      </c>
      <c r="T45" s="122">
        <f>IF(T$3=0,DPL25Summary!T45,DPL25Summary!T45/T$3)</f>
        <v>0</v>
      </c>
      <c r="U45" s="910">
        <f t="shared" si="14"/>
        <v>0</v>
      </c>
      <c r="V45" s="122">
        <f>IF(V$3=0,DPL25Summary!V45,DPL25Summary!V45/V$3)</f>
        <v>0</v>
      </c>
      <c r="W45" s="910">
        <f t="shared" si="15"/>
        <v>0</v>
      </c>
      <c r="X45" s="122">
        <f>IF(X$3=0,DPL25Summary!X45,DPL25Summary!X45/X$3)</f>
        <v>0</v>
      </c>
      <c r="Y45" s="910">
        <f t="shared" si="16"/>
        <v>0</v>
      </c>
      <c r="Z45" s="123">
        <f t="shared" si="17"/>
        <v>0</v>
      </c>
      <c r="AA45" s="241" t="e">
        <f t="shared" ca="1" si="3"/>
        <v>#REF!</v>
      </c>
      <c r="AB45" s="104">
        <f>SUM('DPL24-Budget'!B45:$M45)</f>
        <v>0</v>
      </c>
      <c r="AC45" s="929">
        <f t="shared" si="4"/>
        <v>0</v>
      </c>
      <c r="AD45" s="169">
        <f t="shared" si="0"/>
        <v>0</v>
      </c>
      <c r="AE45" s="725">
        <f t="shared" si="18"/>
        <v>0</v>
      </c>
    </row>
    <row r="46" spans="1:31" s="4" customFormat="1">
      <c r="A46" s="757" t="s">
        <v>404</v>
      </c>
      <c r="B46" s="122">
        <f>IF(B$3=0,DPL25Summary!B46,DPL25Summary!B46/B$3)</f>
        <v>0</v>
      </c>
      <c r="C46" s="910">
        <f t="shared" ca="1" si="5"/>
        <v>0</v>
      </c>
      <c r="D46" s="122">
        <f>IF(D$3=0,DPL25Summary!D46,DPL25Summary!D46/D$3)</f>
        <v>0</v>
      </c>
      <c r="E46" s="909">
        <f t="shared" ca="1" si="6"/>
        <v>0</v>
      </c>
      <c r="F46" s="122">
        <f>IF(F$3=0,DPL25Summary!F46,DPL25Summary!F46/F$3)</f>
        <v>0</v>
      </c>
      <c r="G46" s="909">
        <f t="shared" ca="1" si="7"/>
        <v>0</v>
      </c>
      <c r="H46" s="122">
        <f>IF(H$3=0,DPL25Summary!H46,DPL25Summary!H46/H$3)</f>
        <v>0</v>
      </c>
      <c r="I46" s="910">
        <f t="shared" ca="1" si="8"/>
        <v>0</v>
      </c>
      <c r="J46" s="122">
        <f>IF(J$3=0,DPL25Summary!J46,DPL25Summary!J46/J$3)</f>
        <v>0</v>
      </c>
      <c r="K46" s="907">
        <f t="shared" si="9"/>
        <v>0</v>
      </c>
      <c r="L46" s="122">
        <f>IF(L$3=0,DPL25Summary!L46,DPL25Summary!L46/L$3)</f>
        <v>0</v>
      </c>
      <c r="M46" s="907">
        <f t="shared" si="10"/>
        <v>0</v>
      </c>
      <c r="N46" s="122">
        <f>IF(N$3=0,DPL25Summary!N46,DPL25Summary!N46/N$3)</f>
        <v>0</v>
      </c>
      <c r="O46" s="907">
        <f t="shared" si="11"/>
        <v>0</v>
      </c>
      <c r="P46" s="122">
        <f>IF(P$3=0,DPL25Summary!P46,DPL25Summary!P46/P$3)</f>
        <v>0</v>
      </c>
      <c r="Q46" s="907">
        <f t="shared" si="12"/>
        <v>0</v>
      </c>
      <c r="R46" s="122">
        <f>IF(R$3=0,DPL25Summary!R46,DPL25Summary!R46/R$3)</f>
        <v>0</v>
      </c>
      <c r="S46" s="910">
        <f t="shared" si="13"/>
        <v>0</v>
      </c>
      <c r="T46" s="122">
        <f>IF(T$3=0,DPL25Summary!T46,DPL25Summary!T46/T$3)</f>
        <v>0</v>
      </c>
      <c r="U46" s="910">
        <f t="shared" si="14"/>
        <v>0</v>
      </c>
      <c r="V46" s="122">
        <f>IF(V$3=0,DPL25Summary!V46,DPL25Summary!V46/V$3)</f>
        <v>0</v>
      </c>
      <c r="W46" s="910">
        <f t="shared" si="15"/>
        <v>0</v>
      </c>
      <c r="X46" s="122">
        <f>IF(X$3=0,DPL25Summary!X46,DPL25Summary!X46/X$3)</f>
        <v>0</v>
      </c>
      <c r="Y46" s="910">
        <f t="shared" si="16"/>
        <v>0</v>
      </c>
      <c r="Z46" s="123">
        <f t="shared" si="17"/>
        <v>0</v>
      </c>
      <c r="AA46" s="241" t="e">
        <f t="shared" ca="1" si="3"/>
        <v>#REF!</v>
      </c>
      <c r="AB46" s="104">
        <f>SUM('DPL24-Budget'!B46:$M46)</f>
        <v>328388</v>
      </c>
      <c r="AC46" s="929">
        <f t="shared" si="4"/>
        <v>3.2800000000000003E-2</v>
      </c>
      <c r="AD46" s="169">
        <f t="shared" si="0"/>
        <v>-328388</v>
      </c>
      <c r="AE46" s="725">
        <f t="shared" si="18"/>
        <v>3.3000000000000002E-2</v>
      </c>
    </row>
    <row r="47" spans="1:31" s="37" customFormat="1">
      <c r="A47" s="32" t="s">
        <v>406</v>
      </c>
      <c r="B47" s="122">
        <f ca="1">IF(B$3=0,DPL25Summary!B47,DPL25Summary!B47/B$3)</f>
        <v>64</v>
      </c>
      <c r="C47" s="910">
        <f t="shared" ca="1" si="5"/>
        <v>2.3E-2</v>
      </c>
      <c r="D47" s="122">
        <f ca="1">IF(D$3=0,DPL25Summary!D47,DPL25Summary!D47/D$3)</f>
        <v>29</v>
      </c>
      <c r="E47" s="909">
        <f t="shared" ca="1" si="6"/>
        <v>1.06E-2</v>
      </c>
      <c r="F47" s="122">
        <f ca="1">IF(F$3=0,DPL25Summary!F47,DPL25Summary!F47/F$3)</f>
        <v>29</v>
      </c>
      <c r="G47" s="909">
        <f t="shared" ca="1" si="7"/>
        <v>1.06E-2</v>
      </c>
      <c r="H47" s="122">
        <f ca="1">IF(H$3=0,DPL25Summary!H47,DPL25Summary!H47/H$3)</f>
        <v>204</v>
      </c>
      <c r="I47" s="910">
        <f t="shared" ca="1" si="8"/>
        <v>7.4999999999999997E-2</v>
      </c>
      <c r="J47" s="122">
        <f>IF(J$3=0,DPL25Summary!J47,DPL25Summary!J47/J$3)</f>
        <v>0</v>
      </c>
      <c r="K47" s="907">
        <f t="shared" si="9"/>
        <v>0</v>
      </c>
      <c r="L47" s="122">
        <f>IF(L$3=0,DPL25Summary!L47,DPL25Summary!L47/L$3)</f>
        <v>0</v>
      </c>
      <c r="M47" s="907">
        <f t="shared" si="10"/>
        <v>0</v>
      </c>
      <c r="N47" s="122">
        <f>IF(N$3=0,DPL25Summary!N47,DPL25Summary!N47/N$3)</f>
        <v>0</v>
      </c>
      <c r="O47" s="907">
        <f t="shared" si="11"/>
        <v>0</v>
      </c>
      <c r="P47" s="122">
        <f>IF(P$3=0,DPL25Summary!P47,DPL25Summary!P47/P$3)</f>
        <v>0</v>
      </c>
      <c r="Q47" s="907">
        <f t="shared" si="12"/>
        <v>0</v>
      </c>
      <c r="R47" s="122">
        <f>IF(R$3=0,DPL25Summary!R47,DPL25Summary!R47/R$3)</f>
        <v>0</v>
      </c>
      <c r="S47" s="910">
        <f t="shared" si="13"/>
        <v>0</v>
      </c>
      <c r="T47" s="122">
        <f>IF(T$3=0,DPL25Summary!T47,DPL25Summary!T47/T$3)</f>
        <v>0</v>
      </c>
      <c r="U47" s="910">
        <f t="shared" si="14"/>
        <v>0</v>
      </c>
      <c r="V47" s="122">
        <f>IF(V$3=0,DPL25Summary!V47,DPL25Summary!V47/V$3)</f>
        <v>0</v>
      </c>
      <c r="W47" s="910">
        <f t="shared" si="15"/>
        <v>0</v>
      </c>
      <c r="X47" s="122">
        <f>IF(X$3=0,DPL25Summary!X47,DPL25Summary!X47/X$3)</f>
        <v>0</v>
      </c>
      <c r="Y47" s="910">
        <f t="shared" si="16"/>
        <v>0</v>
      </c>
      <c r="Z47" s="123">
        <f t="shared" ca="1" si="17"/>
        <v>326</v>
      </c>
      <c r="AA47" s="241" t="e">
        <f t="shared" ca="1" si="3"/>
        <v>#REF!</v>
      </c>
      <c r="AB47" s="104">
        <f>SUM('DPL24-Budget'!B47:$M47)</f>
        <v>0</v>
      </c>
      <c r="AC47" s="929">
        <f t="shared" si="4"/>
        <v>0</v>
      </c>
      <c r="AD47" s="169">
        <f t="shared" ca="1" si="0"/>
        <v>326</v>
      </c>
      <c r="AE47" s="725">
        <f t="shared" si="18"/>
        <v>0</v>
      </c>
    </row>
    <row r="48" spans="1:31" s="4" customFormat="1">
      <c r="A48" s="757"/>
      <c r="B48" s="14"/>
      <c r="C48" s="902"/>
      <c r="D48" s="14"/>
      <c r="E48" s="909">
        <f t="shared" ca="1" si="6"/>
        <v>0</v>
      </c>
      <c r="F48" s="14"/>
      <c r="G48" s="909">
        <f t="shared" ca="1" si="7"/>
        <v>0</v>
      </c>
      <c r="H48" s="14"/>
      <c r="I48" s="910">
        <f t="shared" ca="1" si="8"/>
        <v>0</v>
      </c>
      <c r="J48" s="14"/>
      <c r="K48" s="907">
        <f t="shared" si="9"/>
        <v>0</v>
      </c>
      <c r="L48" s="14"/>
      <c r="M48" s="907">
        <f t="shared" si="10"/>
        <v>0</v>
      </c>
      <c r="N48" s="14"/>
      <c r="O48" s="907">
        <f t="shared" si="11"/>
        <v>0</v>
      </c>
      <c r="P48" s="14"/>
      <c r="Q48" s="907">
        <f t="shared" si="12"/>
        <v>0</v>
      </c>
      <c r="R48" s="14"/>
      <c r="S48" s="910">
        <f t="shared" si="13"/>
        <v>0</v>
      </c>
      <c r="T48" s="14"/>
      <c r="U48" s="910">
        <f t="shared" si="14"/>
        <v>0</v>
      </c>
      <c r="V48" s="14"/>
      <c r="W48" s="910">
        <f t="shared" si="15"/>
        <v>0</v>
      </c>
      <c r="X48" s="14"/>
      <c r="Y48" s="910">
        <f t="shared" si="16"/>
        <v>0</v>
      </c>
      <c r="Z48" s="15"/>
      <c r="AA48" s="239"/>
      <c r="AB48" s="106"/>
      <c r="AC48" s="929">
        <f t="shared" si="4"/>
        <v>0</v>
      </c>
      <c r="AD48" s="169">
        <f t="shared" si="0"/>
        <v>0</v>
      </c>
      <c r="AE48" s="725">
        <f t="shared" si="18"/>
        <v>0</v>
      </c>
    </row>
    <row r="49" spans="1:31" s="1" customFormat="1" ht="13.5" thickBot="1">
      <c r="A49" s="6" t="s">
        <v>407</v>
      </c>
      <c r="B49" s="16">
        <f t="shared" ref="B49:Z49" ca="1" si="19">SUM(B16:B48)</f>
        <v>475</v>
      </c>
      <c r="C49" s="236"/>
      <c r="D49" s="16">
        <f t="shared" ca="1" si="19"/>
        <v>126</v>
      </c>
      <c r="E49" s="909">
        <f t="shared" ca="1" si="6"/>
        <v>4.6199999999999998E-2</v>
      </c>
      <c r="F49" s="16">
        <f t="shared" ca="1" si="19"/>
        <v>126</v>
      </c>
      <c r="G49" s="909">
        <f t="shared" ca="1" si="7"/>
        <v>4.6199999999999998E-2</v>
      </c>
      <c r="H49" s="16">
        <f t="shared" ca="1" si="19"/>
        <v>2060</v>
      </c>
      <c r="I49" s="910">
        <f t="shared" ca="1" si="8"/>
        <v>0.755</v>
      </c>
      <c r="J49" s="16">
        <f t="shared" si="19"/>
        <v>0</v>
      </c>
      <c r="K49" s="907">
        <f t="shared" si="9"/>
        <v>0</v>
      </c>
      <c r="L49" s="16">
        <f t="shared" si="19"/>
        <v>0</v>
      </c>
      <c r="M49" s="907">
        <f t="shared" si="10"/>
        <v>0</v>
      </c>
      <c r="N49" s="16">
        <f t="shared" si="19"/>
        <v>0</v>
      </c>
      <c r="O49" s="907">
        <f t="shared" si="11"/>
        <v>0</v>
      </c>
      <c r="P49" s="16">
        <f t="shared" si="19"/>
        <v>0</v>
      </c>
      <c r="Q49" s="907">
        <f t="shared" si="12"/>
        <v>0</v>
      </c>
      <c r="R49" s="16">
        <f t="shared" si="19"/>
        <v>0</v>
      </c>
      <c r="S49" s="910">
        <f t="shared" si="13"/>
        <v>0</v>
      </c>
      <c r="T49" s="16">
        <f t="shared" si="19"/>
        <v>0</v>
      </c>
      <c r="U49" s="910">
        <f t="shared" si="14"/>
        <v>0</v>
      </c>
      <c r="V49" s="16">
        <f t="shared" si="19"/>
        <v>0</v>
      </c>
      <c r="W49" s="910">
        <f t="shared" si="15"/>
        <v>0</v>
      </c>
      <c r="X49" s="16">
        <f t="shared" si="19"/>
        <v>0</v>
      </c>
      <c r="Y49" s="910">
        <f t="shared" si="16"/>
        <v>0</v>
      </c>
      <c r="Z49" s="16">
        <f t="shared" ca="1" si="19"/>
        <v>2787</v>
      </c>
      <c r="AA49" s="241" t="e">
        <f ca="1">+Z49/$Z$13</f>
        <v>#REF!</v>
      </c>
      <c r="AB49" s="107">
        <f>SUM(AB16:AB48)</f>
        <v>5951072</v>
      </c>
      <c r="AC49" s="929">
        <f t="shared" si="4"/>
        <v>0.59489999999999998</v>
      </c>
      <c r="AD49" s="169">
        <f t="shared" ca="1" si="0"/>
        <v>-5948285</v>
      </c>
      <c r="AE49" s="725">
        <f t="shared" si="18"/>
        <v>0.59499999999999997</v>
      </c>
    </row>
    <row r="50" spans="1:31" ht="13.5" thickTop="1">
      <c r="A50" s="118" t="s">
        <v>408</v>
      </c>
      <c r="B50" s="156">
        <f ca="1">+B13-B49</f>
        <v>2253</v>
      </c>
      <c r="C50" s="236"/>
      <c r="D50" s="156">
        <f t="shared" ref="D50:Z50" ca="1" si="20">+D13-D49</f>
        <v>2602</v>
      </c>
      <c r="E50" s="909">
        <f t="shared" ca="1" si="6"/>
        <v>0.95379999999999998</v>
      </c>
      <c r="F50" s="156">
        <f t="shared" ca="1" si="20"/>
        <v>2602</v>
      </c>
      <c r="G50" s="909">
        <f t="shared" ca="1" si="7"/>
        <v>0.95379999999999998</v>
      </c>
      <c r="H50" s="156">
        <f t="shared" ca="1" si="20"/>
        <v>668</v>
      </c>
      <c r="I50" s="910">
        <f t="shared" ca="1" si="8"/>
        <v>0.245</v>
      </c>
      <c r="J50" s="156" t="e">
        <f t="shared" si="20"/>
        <v>#REF!</v>
      </c>
      <c r="K50" s="907">
        <f t="shared" si="9"/>
        <v>0</v>
      </c>
      <c r="L50" s="156" t="e">
        <f t="shared" si="20"/>
        <v>#REF!</v>
      </c>
      <c r="M50" s="907">
        <f t="shared" si="10"/>
        <v>0</v>
      </c>
      <c r="N50" s="156" t="e">
        <f t="shared" si="20"/>
        <v>#REF!</v>
      </c>
      <c r="O50" s="907">
        <f t="shared" si="11"/>
        <v>0</v>
      </c>
      <c r="P50" s="156" t="e">
        <f t="shared" si="20"/>
        <v>#REF!</v>
      </c>
      <c r="Q50" s="907">
        <f t="shared" si="12"/>
        <v>0</v>
      </c>
      <c r="R50" s="156" t="e">
        <f t="shared" si="20"/>
        <v>#REF!</v>
      </c>
      <c r="S50" s="910">
        <f t="shared" si="13"/>
        <v>0</v>
      </c>
      <c r="T50" s="156" t="e">
        <f t="shared" si="20"/>
        <v>#REF!</v>
      </c>
      <c r="U50" s="910">
        <f t="shared" si="14"/>
        <v>0</v>
      </c>
      <c r="V50" s="156" t="e">
        <f t="shared" si="20"/>
        <v>#REF!</v>
      </c>
      <c r="W50" s="910">
        <f t="shared" si="15"/>
        <v>0</v>
      </c>
      <c r="X50" s="156" t="e">
        <f t="shared" si="20"/>
        <v>#REF!</v>
      </c>
      <c r="Y50" s="910">
        <f t="shared" si="16"/>
        <v>0</v>
      </c>
      <c r="Z50" s="156" t="e">
        <f t="shared" ca="1" si="20"/>
        <v>#REF!</v>
      </c>
      <c r="AB50" s="104"/>
      <c r="AC50" s="104"/>
      <c r="AE50" s="149"/>
    </row>
    <row r="51" spans="1:31">
      <c r="A51" s="6" t="s">
        <v>409</v>
      </c>
      <c r="B51" s="191">
        <f ca="1">+B50/B13</f>
        <v>0.83</v>
      </c>
      <c r="C51" s="249"/>
      <c r="D51" s="191">
        <f ca="1">IFERROR(D50/D13,0)</f>
        <v>0.95</v>
      </c>
      <c r="E51" s="909">
        <f t="shared" ca="1" si="6"/>
        <v>2.9999999999999997E-4</v>
      </c>
      <c r="F51" s="191">
        <f ca="1">IFERROR(F50/F13,0)</f>
        <v>0.95</v>
      </c>
      <c r="G51" s="909">
        <f t="shared" ca="1" si="7"/>
        <v>2.9999999999999997E-4</v>
      </c>
      <c r="H51" s="191">
        <f ca="1">IFERROR(H50/H13,0)</f>
        <v>0.24</v>
      </c>
      <c r="I51" s="910">
        <f t="shared" ca="1" si="8"/>
        <v>0</v>
      </c>
      <c r="J51" s="191">
        <f>IFERROR(J50/J13,0)</f>
        <v>0</v>
      </c>
      <c r="K51" s="907">
        <f t="shared" si="9"/>
        <v>0</v>
      </c>
      <c r="L51" s="191">
        <f>IFERROR(L50/L13,0)</f>
        <v>0</v>
      </c>
      <c r="M51" s="907">
        <f t="shared" si="10"/>
        <v>0</v>
      </c>
      <c r="N51" s="191">
        <f>IFERROR(N50/N13,0)</f>
        <v>0</v>
      </c>
      <c r="O51" s="907">
        <f t="shared" si="11"/>
        <v>0</v>
      </c>
      <c r="P51" s="191">
        <f>IFERROR(P50/P13,0)</f>
        <v>0</v>
      </c>
      <c r="Q51" s="907">
        <f t="shared" si="12"/>
        <v>0</v>
      </c>
      <c r="R51" s="191">
        <f>IFERROR(R50/R13,0)</f>
        <v>0</v>
      </c>
      <c r="S51" s="910">
        <f t="shared" si="13"/>
        <v>0</v>
      </c>
      <c r="T51" s="191">
        <f>IFERROR(T50/T13,0)</f>
        <v>0</v>
      </c>
      <c r="U51" s="910">
        <f t="shared" si="14"/>
        <v>0</v>
      </c>
      <c r="V51" s="191">
        <f>IFERROR(V50/V13,0)</f>
        <v>0</v>
      </c>
      <c r="W51" s="910">
        <f t="shared" si="15"/>
        <v>0</v>
      </c>
      <c r="X51" s="191">
        <f>IFERROR(X50/X13,0)</f>
        <v>0</v>
      </c>
      <c r="Y51" s="910">
        <f t="shared" si="16"/>
        <v>0</v>
      </c>
      <c r="Z51" s="191" t="e">
        <f ca="1">+Z50/Z13</f>
        <v>#REF!</v>
      </c>
      <c r="AB51" s="104"/>
      <c r="AC51" s="104"/>
      <c r="AE51" s="149"/>
    </row>
    <row r="52" spans="1:31">
      <c r="A52" s="6" t="s">
        <v>594</v>
      </c>
      <c r="B52" s="20"/>
      <c r="C52" s="902"/>
      <c r="D52" s="20"/>
      <c r="E52" s="909">
        <f t="shared" ca="1" si="6"/>
        <v>0</v>
      </c>
      <c r="F52" s="20"/>
      <c r="G52" s="909">
        <f t="shared" ca="1" si="7"/>
        <v>0</v>
      </c>
      <c r="H52" s="20"/>
      <c r="I52" s="910">
        <f t="shared" ca="1" si="8"/>
        <v>0</v>
      </c>
      <c r="J52" s="20"/>
      <c r="K52" s="907">
        <f t="shared" si="9"/>
        <v>0</v>
      </c>
      <c r="L52" s="20"/>
      <c r="M52" s="907">
        <f t="shared" si="10"/>
        <v>0</v>
      </c>
      <c r="N52" s="20"/>
      <c r="O52" s="907">
        <f t="shared" si="11"/>
        <v>0</v>
      </c>
      <c r="P52" s="20"/>
      <c r="Q52" s="907">
        <f t="shared" si="12"/>
        <v>0</v>
      </c>
      <c r="R52" s="20"/>
      <c r="S52" s="910">
        <f t="shared" si="13"/>
        <v>0</v>
      </c>
      <c r="T52" s="20"/>
      <c r="U52" s="910">
        <f t="shared" si="14"/>
        <v>0</v>
      </c>
      <c r="V52" s="20"/>
      <c r="W52" s="910">
        <f t="shared" si="15"/>
        <v>0</v>
      </c>
      <c r="X52" s="28"/>
      <c r="Y52" s="910">
        <f t="shared" si="16"/>
        <v>0</v>
      </c>
      <c r="Z52" s="15">
        <f ca="1">SUM(B52:X52)</f>
        <v>0</v>
      </c>
      <c r="AB52" s="104"/>
      <c r="AC52" s="104"/>
      <c r="AE52" s="149"/>
    </row>
    <row r="53" spans="1:31">
      <c r="A53" s="757" t="s">
        <v>595</v>
      </c>
      <c r="B53" s="14">
        <f>IF(B$3=0,DPL25Summary!B53,DPL25Summary!B53/B$3)</f>
        <v>0</v>
      </c>
      <c r="C53" s="909">
        <f ca="1">+B53/$B$13</f>
        <v>0</v>
      </c>
      <c r="D53" s="14">
        <f>IF(D$3=0,DPL25Summary!D53,DPL25Summary!D53/D$3)</f>
        <v>0</v>
      </c>
      <c r="E53" s="909">
        <f t="shared" ca="1" si="6"/>
        <v>0</v>
      </c>
      <c r="F53" s="14">
        <f>IF(F$3=0,DPL25Summary!F53,DPL25Summary!F53/F$3)</f>
        <v>0</v>
      </c>
      <c r="G53" s="909">
        <f t="shared" ca="1" si="7"/>
        <v>0</v>
      </c>
      <c r="H53" s="14">
        <f>IF(H$3=0,DPL25Summary!H53,DPL25Summary!H53/H$3)</f>
        <v>0</v>
      </c>
      <c r="I53" s="910">
        <f t="shared" ca="1" si="8"/>
        <v>0</v>
      </c>
      <c r="J53" s="14">
        <f>IF(J$3=0,DPL25Summary!J53,DPL25Summary!J53/J$3)</f>
        <v>0</v>
      </c>
      <c r="K53" s="907">
        <f t="shared" si="9"/>
        <v>0</v>
      </c>
      <c r="L53" s="14">
        <f>IF(L$3=0,DPL25Summary!L53,DPL25Summary!L53/L$3)</f>
        <v>0</v>
      </c>
      <c r="M53" s="907">
        <f t="shared" si="10"/>
        <v>0</v>
      </c>
      <c r="N53" s="14">
        <f>IF(N$3=0,DPL25Summary!N53,DPL25Summary!N53/N$3)</f>
        <v>0</v>
      </c>
      <c r="O53" s="907">
        <f t="shared" si="11"/>
        <v>0</v>
      </c>
      <c r="P53" s="14">
        <f>IF(P$3=0,DPL25Summary!P53,DPL25Summary!P53/P$3)</f>
        <v>0</v>
      </c>
      <c r="Q53" s="907">
        <f t="shared" si="12"/>
        <v>0</v>
      </c>
      <c r="R53" s="14">
        <f>IF(R$3=0,DPL25Summary!R53,DPL25Summary!R53/R$3)</f>
        <v>0</v>
      </c>
      <c r="S53" s="910">
        <f t="shared" si="13"/>
        <v>0</v>
      </c>
      <c r="T53" s="14">
        <f>IF(T$3=0,DPL25Summary!T53,DPL25Summary!T53/T$3)</f>
        <v>0</v>
      </c>
      <c r="U53" s="910">
        <f t="shared" si="14"/>
        <v>0</v>
      </c>
      <c r="V53" s="14">
        <f>IF(V$3=0,DPL25Summary!V53,DPL25Summary!V53/V$3)</f>
        <v>0</v>
      </c>
      <c r="W53" s="910">
        <f t="shared" si="15"/>
        <v>0</v>
      </c>
      <c r="X53" s="14">
        <f>IF(X$3=0,DPL25Summary!X53,DPL25Summary!X53/X$3)</f>
        <v>0</v>
      </c>
      <c r="Y53" s="910">
        <f t="shared" si="16"/>
        <v>0</v>
      </c>
      <c r="Z53" s="15">
        <f t="shared" ref="Z53:Z70" si="21">+B53+D53+F53+H53+J53+L53+N53+P53+R53+T53+V53+X53</f>
        <v>0</v>
      </c>
      <c r="AA53" s="242" t="e">
        <f t="shared" ref="AA53:AA72" ca="1" si="22">+Z53/$Z$13</f>
        <v>#REF!</v>
      </c>
      <c r="AB53" s="104">
        <f>SUM('DPL24-Budget'!B53:$M53)</f>
        <v>259084</v>
      </c>
      <c r="AC53" s="929">
        <f t="shared" ref="AC53:AC72" si="23">+AB53/$AB$13</f>
        <v>2.5899999999999999E-2</v>
      </c>
      <c r="AD53" s="169">
        <f>+Z53-AB53</f>
        <v>-259084</v>
      </c>
      <c r="AE53" s="149"/>
    </row>
    <row r="54" spans="1:31">
      <c r="A54" s="757" t="s">
        <v>596</v>
      </c>
      <c r="B54" s="14">
        <f>IF(B$3=0,DPL25Summary!B54,DPL25Summary!B54/B$3)</f>
        <v>0</v>
      </c>
      <c r="C54" s="909">
        <f t="shared" ref="C54:C72" ca="1" si="24">+B54/$B$13</f>
        <v>0</v>
      </c>
      <c r="D54" s="14">
        <f>IF(D$3=0,DPL25Summary!D54,DPL25Summary!D54/D$3)</f>
        <v>0</v>
      </c>
      <c r="E54" s="909">
        <f t="shared" ca="1" si="6"/>
        <v>0</v>
      </c>
      <c r="F54" s="14">
        <f>IF(F$3=0,DPL25Summary!F54,DPL25Summary!F54/F$3)</f>
        <v>0</v>
      </c>
      <c r="G54" s="909">
        <f t="shared" ca="1" si="7"/>
        <v>0</v>
      </c>
      <c r="H54" s="14">
        <f>IF(H$3=0,DPL25Summary!H54,DPL25Summary!H54/H$3)</f>
        <v>0</v>
      </c>
      <c r="I54" s="910">
        <f t="shared" ca="1" si="8"/>
        <v>0</v>
      </c>
      <c r="J54" s="14">
        <f>IF(J$3=0,DPL25Summary!J54,DPL25Summary!J54/J$3)</f>
        <v>0</v>
      </c>
      <c r="K54" s="907">
        <f t="shared" si="9"/>
        <v>0</v>
      </c>
      <c r="L54" s="14">
        <f>IF(L$3=0,DPL25Summary!L54,DPL25Summary!L54/L$3)</f>
        <v>0</v>
      </c>
      <c r="M54" s="907">
        <f t="shared" si="10"/>
        <v>0</v>
      </c>
      <c r="N54" s="14">
        <f>IF(N$3=0,DPL25Summary!N54,DPL25Summary!N54/N$3)</f>
        <v>0</v>
      </c>
      <c r="O54" s="907">
        <f t="shared" si="11"/>
        <v>0</v>
      </c>
      <c r="P54" s="14">
        <f>IF(P$3=0,DPL25Summary!P54,DPL25Summary!P54/P$3)</f>
        <v>0</v>
      </c>
      <c r="Q54" s="907">
        <f t="shared" si="12"/>
        <v>0</v>
      </c>
      <c r="R54" s="14">
        <f>IF(R$3=0,DPL25Summary!R54,DPL25Summary!R54/R$3)</f>
        <v>0</v>
      </c>
      <c r="S54" s="910">
        <f t="shared" si="13"/>
        <v>0</v>
      </c>
      <c r="T54" s="14">
        <f>IF(T$3=0,DPL25Summary!T54,DPL25Summary!T54/T$3)</f>
        <v>0</v>
      </c>
      <c r="U54" s="910">
        <f t="shared" si="14"/>
        <v>0</v>
      </c>
      <c r="V54" s="14">
        <f>IF(V$3=0,DPL25Summary!V54,DPL25Summary!V54/V$3)</f>
        <v>0</v>
      </c>
      <c r="W54" s="910">
        <f t="shared" si="15"/>
        <v>0</v>
      </c>
      <c r="X54" s="14">
        <f>IF(X$3=0,DPL25Summary!X54,DPL25Summary!X54/X$3)</f>
        <v>0</v>
      </c>
      <c r="Y54" s="910">
        <f t="shared" si="16"/>
        <v>0</v>
      </c>
      <c r="Z54" s="15">
        <f t="shared" si="21"/>
        <v>0</v>
      </c>
      <c r="AA54" s="242" t="e">
        <f t="shared" ca="1" si="22"/>
        <v>#REF!</v>
      </c>
      <c r="AB54" s="104">
        <f>SUM('DPL24-Budget'!B54:$M54)</f>
        <v>185972</v>
      </c>
      <c r="AC54" s="929">
        <f t="shared" si="23"/>
        <v>1.8599999999999998E-2</v>
      </c>
      <c r="AD54" s="169">
        <f t="shared" ref="AD54:AD89" si="25">+Z54-AB54</f>
        <v>-185972</v>
      </c>
      <c r="AE54" s="149"/>
    </row>
    <row r="55" spans="1:31" s="4" customFormat="1">
      <c r="A55" s="757" t="s">
        <v>597</v>
      </c>
      <c r="B55" s="14">
        <f>IF(B$3=0,DPL25Summary!B55,DPL25Summary!B55/B$3)</f>
        <v>0</v>
      </c>
      <c r="C55" s="909">
        <f t="shared" ca="1" si="24"/>
        <v>0</v>
      </c>
      <c r="D55" s="14">
        <f>IF(D$3=0,DPL25Summary!D55,DPL25Summary!D55/D$3)</f>
        <v>0</v>
      </c>
      <c r="E55" s="909">
        <f t="shared" ca="1" si="6"/>
        <v>0</v>
      </c>
      <c r="F55" s="14">
        <f>IF(F$3=0,DPL25Summary!F55,DPL25Summary!F55/F$3)</f>
        <v>0</v>
      </c>
      <c r="G55" s="909">
        <f t="shared" ca="1" si="7"/>
        <v>0</v>
      </c>
      <c r="H55" s="14">
        <f>IF(H$3=0,DPL25Summary!H55,DPL25Summary!H55/H$3)</f>
        <v>0</v>
      </c>
      <c r="I55" s="910">
        <f t="shared" ca="1" si="8"/>
        <v>0</v>
      </c>
      <c r="J55" s="14">
        <f>IF(J$3=0,DPL25Summary!J55,DPL25Summary!J55/J$3)</f>
        <v>0</v>
      </c>
      <c r="K55" s="907">
        <f t="shared" si="9"/>
        <v>0</v>
      </c>
      <c r="L55" s="14">
        <f>IF(L$3=0,DPL25Summary!L55,DPL25Summary!L55/L$3)</f>
        <v>0</v>
      </c>
      <c r="M55" s="907">
        <f t="shared" si="10"/>
        <v>0</v>
      </c>
      <c r="N55" s="14">
        <f>IF(N$3=0,DPL25Summary!N55,DPL25Summary!N55/N$3)</f>
        <v>0</v>
      </c>
      <c r="O55" s="907">
        <f t="shared" si="11"/>
        <v>0</v>
      </c>
      <c r="P55" s="14">
        <f>IF(P$3=0,DPL25Summary!P55,DPL25Summary!P55/P$3)</f>
        <v>0</v>
      </c>
      <c r="Q55" s="907">
        <f t="shared" si="12"/>
        <v>0</v>
      </c>
      <c r="R55" s="14">
        <f>IF(R$3=0,DPL25Summary!R55,DPL25Summary!R55/R$3)</f>
        <v>0</v>
      </c>
      <c r="S55" s="910">
        <f t="shared" si="13"/>
        <v>0</v>
      </c>
      <c r="T55" s="14">
        <f>IF(T$3=0,DPL25Summary!T55,DPL25Summary!T55/T$3)</f>
        <v>0</v>
      </c>
      <c r="U55" s="910">
        <f t="shared" si="14"/>
        <v>0</v>
      </c>
      <c r="V55" s="14">
        <f>IF(V$3=0,DPL25Summary!V55,DPL25Summary!V55/V$3)</f>
        <v>0</v>
      </c>
      <c r="W55" s="910">
        <f t="shared" si="15"/>
        <v>0</v>
      </c>
      <c r="X55" s="14">
        <f>IF(X$3=0,DPL25Summary!X55,DPL25Summary!X55/X$3)</f>
        <v>0</v>
      </c>
      <c r="Y55" s="910">
        <f t="shared" si="16"/>
        <v>0</v>
      </c>
      <c r="Z55" s="15">
        <f t="shared" si="21"/>
        <v>0</v>
      </c>
      <c r="AA55" s="242" t="e">
        <f t="shared" ca="1" si="22"/>
        <v>#REF!</v>
      </c>
      <c r="AB55" s="104">
        <f>SUM('DPL24-Budget'!B55:$M55)</f>
        <v>19797</v>
      </c>
      <c r="AC55" s="929">
        <f t="shared" si="23"/>
        <v>2E-3</v>
      </c>
      <c r="AD55" s="169">
        <f t="shared" si="25"/>
        <v>-19797</v>
      </c>
      <c r="AE55" s="150"/>
    </row>
    <row r="56" spans="1:31" s="4" customFormat="1">
      <c r="A56" s="757" t="s">
        <v>598</v>
      </c>
      <c r="B56" s="14">
        <f>IF(B$3=0,DPL25Summary!B56,DPL25Summary!B56/B$3)</f>
        <v>1000</v>
      </c>
      <c r="C56" s="909">
        <f t="shared" ca="1" si="24"/>
        <v>0.36659999999999998</v>
      </c>
      <c r="D56" s="14">
        <f>IF(D$3=0,DPL25Summary!D56,DPL25Summary!D56/D$3)</f>
        <v>1000</v>
      </c>
      <c r="E56" s="909">
        <f t="shared" ca="1" si="6"/>
        <v>0.36659999999999998</v>
      </c>
      <c r="F56" s="14">
        <f>IF(F$3=0,DPL25Summary!F56,DPL25Summary!F56/F$3)</f>
        <v>1000</v>
      </c>
      <c r="G56" s="909">
        <f t="shared" ca="1" si="7"/>
        <v>0.36659999999999998</v>
      </c>
      <c r="H56" s="14">
        <f>IF(H$3=0,DPL25Summary!H56,DPL25Summary!H56/H$3)</f>
        <v>1000</v>
      </c>
      <c r="I56" s="910">
        <f t="shared" ca="1" si="8"/>
        <v>0.36699999999999999</v>
      </c>
      <c r="J56" s="14">
        <f>IF(J$3=0,DPL25Summary!J56,DPL25Summary!J56/J$3)</f>
        <v>1000</v>
      </c>
      <c r="K56" s="907">
        <f t="shared" si="9"/>
        <v>0</v>
      </c>
      <c r="L56" s="14">
        <f>IF(L$3=0,DPL25Summary!L56,DPL25Summary!L56/L$3)</f>
        <v>1000</v>
      </c>
      <c r="M56" s="907">
        <f t="shared" si="10"/>
        <v>0</v>
      </c>
      <c r="N56" s="14">
        <f>IF(N$3=0,DPL25Summary!N56,DPL25Summary!N56/N$3)</f>
        <v>1000</v>
      </c>
      <c r="O56" s="907">
        <f t="shared" si="11"/>
        <v>0</v>
      </c>
      <c r="P56" s="14">
        <f>IF(P$3=0,DPL25Summary!P56,DPL25Summary!P56/P$3)</f>
        <v>1000</v>
      </c>
      <c r="Q56" s="907">
        <f t="shared" si="12"/>
        <v>0</v>
      </c>
      <c r="R56" s="14">
        <f>IF(R$3=0,DPL25Summary!R56,DPL25Summary!R56/R$3)</f>
        <v>1000</v>
      </c>
      <c r="S56" s="910">
        <f t="shared" si="13"/>
        <v>0</v>
      </c>
      <c r="T56" s="14">
        <f>IF(T$3=0,DPL25Summary!T56,DPL25Summary!T56/T$3)</f>
        <v>1000</v>
      </c>
      <c r="U56" s="910">
        <f t="shared" si="14"/>
        <v>0</v>
      </c>
      <c r="V56" s="14">
        <f>IF(V$3=0,DPL25Summary!V56,DPL25Summary!V56/V$3)</f>
        <v>1000</v>
      </c>
      <c r="W56" s="910">
        <f t="shared" si="15"/>
        <v>0</v>
      </c>
      <c r="X56" s="14">
        <f>IF(X$3=0,DPL25Summary!X56,DPL25Summary!X56/X$3)</f>
        <v>1000</v>
      </c>
      <c r="Y56" s="910">
        <f t="shared" si="16"/>
        <v>0</v>
      </c>
      <c r="Z56" s="15">
        <f t="shared" si="21"/>
        <v>12000</v>
      </c>
      <c r="AA56" s="242" t="e">
        <f t="shared" ca="1" si="22"/>
        <v>#REF!</v>
      </c>
      <c r="AB56" s="104">
        <f>SUM('DPL24-Budget'!B56:$M56)</f>
        <v>104187</v>
      </c>
      <c r="AC56" s="929">
        <f t="shared" si="23"/>
        <v>1.04E-2</v>
      </c>
      <c r="AD56" s="169">
        <f t="shared" si="25"/>
        <v>-92187</v>
      </c>
      <c r="AE56" s="150"/>
    </row>
    <row r="57" spans="1:31" s="4" customFormat="1">
      <c r="A57" s="757" t="s">
        <v>599</v>
      </c>
      <c r="B57" s="14">
        <f>IF(B$3=0,DPL25Summary!B57,DPL25Summary!B57/B$3)</f>
        <v>0</v>
      </c>
      <c r="C57" s="909">
        <f t="shared" ca="1" si="24"/>
        <v>0</v>
      </c>
      <c r="D57" s="14">
        <f>IF(D$3=0,DPL25Summary!D57,DPL25Summary!D57/D$3)</f>
        <v>0</v>
      </c>
      <c r="E57" s="909">
        <f t="shared" ca="1" si="6"/>
        <v>0</v>
      </c>
      <c r="F57" s="14">
        <f>IF(F$3=0,DPL25Summary!F57,DPL25Summary!F57/F$3)</f>
        <v>0</v>
      </c>
      <c r="G57" s="909">
        <f t="shared" ca="1" si="7"/>
        <v>0</v>
      </c>
      <c r="H57" s="14">
        <f>IF(H$3=0,DPL25Summary!H57,DPL25Summary!H57/H$3)</f>
        <v>0</v>
      </c>
      <c r="I57" s="910">
        <f t="shared" ca="1" si="8"/>
        <v>0</v>
      </c>
      <c r="J57" s="14">
        <f>IF(J$3=0,DPL25Summary!J57,DPL25Summary!J57/J$3)</f>
        <v>0</v>
      </c>
      <c r="K57" s="907">
        <f t="shared" si="9"/>
        <v>0</v>
      </c>
      <c r="L57" s="14">
        <f>IF(L$3=0,DPL25Summary!L57,DPL25Summary!L57/L$3)</f>
        <v>0</v>
      </c>
      <c r="M57" s="907">
        <f t="shared" si="10"/>
        <v>0</v>
      </c>
      <c r="N57" s="14">
        <f>IF(N$3=0,DPL25Summary!N57,DPL25Summary!N57/N$3)</f>
        <v>0</v>
      </c>
      <c r="O57" s="907">
        <f t="shared" si="11"/>
        <v>0</v>
      </c>
      <c r="P57" s="14">
        <f>IF(P$3=0,DPL25Summary!P57,DPL25Summary!P57/P$3)</f>
        <v>0</v>
      </c>
      <c r="Q57" s="907">
        <f t="shared" si="12"/>
        <v>0</v>
      </c>
      <c r="R57" s="14">
        <f>IF(R$3=0,DPL25Summary!R57,DPL25Summary!R57/R$3)</f>
        <v>0</v>
      </c>
      <c r="S57" s="910">
        <f t="shared" si="13"/>
        <v>0</v>
      </c>
      <c r="T57" s="14">
        <f>IF(T$3=0,DPL25Summary!T57,DPL25Summary!T57/T$3)</f>
        <v>0</v>
      </c>
      <c r="U57" s="910">
        <f t="shared" si="14"/>
        <v>0</v>
      </c>
      <c r="V57" s="14">
        <f>IF(V$3=0,DPL25Summary!V57,DPL25Summary!V57/V$3)</f>
        <v>0</v>
      </c>
      <c r="W57" s="910">
        <f t="shared" si="15"/>
        <v>0</v>
      </c>
      <c r="X57" s="14">
        <f>IF(X$3=0,DPL25Summary!X57,DPL25Summary!X57/X$3)</f>
        <v>0</v>
      </c>
      <c r="Y57" s="910">
        <f t="shared" si="16"/>
        <v>0</v>
      </c>
      <c r="Z57" s="15">
        <f t="shared" si="21"/>
        <v>0</v>
      </c>
      <c r="AA57" s="242" t="e">
        <f t="shared" ca="1" si="22"/>
        <v>#REF!</v>
      </c>
      <c r="AB57" s="104">
        <f>SUM('DPL24-Budget'!B57:$M57)</f>
        <v>2571</v>
      </c>
      <c r="AC57" s="929">
        <f t="shared" si="23"/>
        <v>2.9999999999999997E-4</v>
      </c>
      <c r="AD57" s="169">
        <f t="shared" si="25"/>
        <v>-2571</v>
      </c>
      <c r="AE57" s="150"/>
    </row>
    <row r="58" spans="1:31" s="4" customFormat="1">
      <c r="A58" s="757" t="s">
        <v>600</v>
      </c>
      <c r="B58" s="14">
        <f>IF(B$3=0,DPL25Summary!B58,DPL25Summary!B58/B$3)</f>
        <v>50</v>
      </c>
      <c r="C58" s="909">
        <f t="shared" ca="1" si="24"/>
        <v>1.83E-2</v>
      </c>
      <c r="D58" s="14">
        <f>IF(D$3=0,DPL25Summary!D58,DPL25Summary!D58/D$3)</f>
        <v>50</v>
      </c>
      <c r="E58" s="909">
        <f t="shared" ca="1" si="6"/>
        <v>1.83E-2</v>
      </c>
      <c r="F58" s="14">
        <f>IF(F$3=0,DPL25Summary!F58,DPL25Summary!F58/F$3)</f>
        <v>50</v>
      </c>
      <c r="G58" s="909">
        <f t="shared" ca="1" si="7"/>
        <v>1.83E-2</v>
      </c>
      <c r="H58" s="14">
        <f>IF(H$3=0,DPL25Summary!H58,DPL25Summary!H58/H$3)</f>
        <v>50</v>
      </c>
      <c r="I58" s="910">
        <f t="shared" ca="1" si="8"/>
        <v>1.7999999999999999E-2</v>
      </c>
      <c r="J58" s="14">
        <f>IF(J$3=0,DPL25Summary!J58,DPL25Summary!J58/J$3)</f>
        <v>50</v>
      </c>
      <c r="K58" s="907">
        <f t="shared" si="9"/>
        <v>0</v>
      </c>
      <c r="L58" s="14">
        <f>IF(L$3=0,DPL25Summary!L58,DPL25Summary!L58/L$3)</f>
        <v>50</v>
      </c>
      <c r="M58" s="907">
        <f t="shared" si="10"/>
        <v>0</v>
      </c>
      <c r="N58" s="14">
        <f>IF(N$3=0,DPL25Summary!N58,DPL25Summary!N58/N$3)</f>
        <v>50</v>
      </c>
      <c r="O58" s="907">
        <f t="shared" si="11"/>
        <v>0</v>
      </c>
      <c r="P58" s="14">
        <f>IF(P$3=0,DPL25Summary!P58,DPL25Summary!P58/P$3)</f>
        <v>50</v>
      </c>
      <c r="Q58" s="907">
        <f t="shared" si="12"/>
        <v>0</v>
      </c>
      <c r="R58" s="14">
        <f>IF(R$3=0,DPL25Summary!R58,DPL25Summary!R58/R$3)</f>
        <v>50</v>
      </c>
      <c r="S58" s="910">
        <f t="shared" si="13"/>
        <v>0</v>
      </c>
      <c r="T58" s="14">
        <f>IF(T$3=0,DPL25Summary!T58,DPL25Summary!T58/T$3)</f>
        <v>50</v>
      </c>
      <c r="U58" s="910">
        <f t="shared" si="14"/>
        <v>0</v>
      </c>
      <c r="V58" s="14">
        <f>IF(V$3=0,DPL25Summary!V58,DPL25Summary!V58/V$3)</f>
        <v>50</v>
      </c>
      <c r="W58" s="910">
        <f t="shared" si="15"/>
        <v>0</v>
      </c>
      <c r="X58" s="14">
        <f>IF(X$3=0,DPL25Summary!X58,DPL25Summary!X58/X$3)</f>
        <v>50</v>
      </c>
      <c r="Y58" s="910">
        <f t="shared" si="16"/>
        <v>0</v>
      </c>
      <c r="Z58" s="15">
        <f t="shared" si="21"/>
        <v>600</v>
      </c>
      <c r="AA58" s="935" t="e">
        <f t="shared" ca="1" si="22"/>
        <v>#REF!</v>
      </c>
      <c r="AB58" s="104">
        <f>SUM('DPL24-Budget'!B58:$M58)</f>
        <v>2058</v>
      </c>
      <c r="AC58" s="929">
        <f t="shared" si="23"/>
        <v>2.0000000000000001E-4</v>
      </c>
      <c r="AD58" s="936">
        <f t="shared" si="25"/>
        <v>-1458</v>
      </c>
      <c r="AE58" s="150"/>
    </row>
    <row r="59" spans="1:31" s="189" customFormat="1">
      <c r="A59" s="933" t="s">
        <v>601</v>
      </c>
      <c r="B59" s="152">
        <f>IF(B$3=0,DPL25Summary!B59,DPL25Summary!B59/B$3)</f>
        <v>0</v>
      </c>
      <c r="C59" s="909">
        <f t="shared" ca="1" si="24"/>
        <v>0</v>
      </c>
      <c r="D59" s="152">
        <f>IF(D$3=0,DPL25Summary!D59,DPL25Summary!D59/D$3)</f>
        <v>0</v>
      </c>
      <c r="E59" s="909">
        <f t="shared" ca="1" si="6"/>
        <v>0</v>
      </c>
      <c r="F59" s="152">
        <f>IF(F$3=0,DPL25Summary!F59,DPL25Summary!F59/F$3)</f>
        <v>0</v>
      </c>
      <c r="G59" s="909">
        <f t="shared" ca="1" si="7"/>
        <v>0</v>
      </c>
      <c r="H59" s="152">
        <f>IF(H$3=0,DPL25Summary!H59,DPL25Summary!H59/H$3)</f>
        <v>0</v>
      </c>
      <c r="I59" s="910">
        <f t="shared" ca="1" si="8"/>
        <v>0</v>
      </c>
      <c r="J59" s="152">
        <f>IF(J$3=0,DPL25Summary!J59,DPL25Summary!J59/J$3)</f>
        <v>0</v>
      </c>
      <c r="K59" s="907">
        <f t="shared" si="9"/>
        <v>0</v>
      </c>
      <c r="L59" s="193">
        <f>IF(L$3=0,DPL25Summary!L59,DPL25Summary!L59/L$3)</f>
        <v>0</v>
      </c>
      <c r="M59" s="907">
        <f t="shared" si="10"/>
        <v>0</v>
      </c>
      <c r="N59" s="152">
        <f>IF(N$3=0,DPL25Summary!N59,DPL25Summary!N59/N$3)</f>
        <v>0</v>
      </c>
      <c r="O59" s="907">
        <f t="shared" si="11"/>
        <v>0</v>
      </c>
      <c r="P59" s="160">
        <f>IF(P$3=0,DPL25Summary!P59,DPL25Summary!P59/P$3)</f>
        <v>0</v>
      </c>
      <c r="Q59" s="907">
        <f t="shared" si="12"/>
        <v>0</v>
      </c>
      <c r="R59" s="152">
        <f>IF(R$3=0,DPL25Summary!R59,DPL25Summary!R59/R$3)</f>
        <v>0</v>
      </c>
      <c r="S59" s="910">
        <f t="shared" si="13"/>
        <v>0</v>
      </c>
      <c r="T59" s="152">
        <f>IF(T$3=0,DPL25Summary!T59,DPL25Summary!T59/T$3)</f>
        <v>0</v>
      </c>
      <c r="U59" s="910">
        <f t="shared" si="14"/>
        <v>0</v>
      </c>
      <c r="V59" s="152">
        <f>IF(V$3=0,DPL25Summary!V59,DPL25Summary!V59/V$3)</f>
        <v>0</v>
      </c>
      <c r="W59" s="910">
        <f t="shared" si="15"/>
        <v>0</v>
      </c>
      <c r="X59" s="152">
        <f>IF(X$3=0,DPL25Summary!X59,DPL25Summary!X59/X$3)</f>
        <v>0</v>
      </c>
      <c r="Y59" s="910">
        <f t="shared" si="16"/>
        <v>0</v>
      </c>
      <c r="Z59" s="15">
        <f t="shared" si="21"/>
        <v>0</v>
      </c>
      <c r="AA59" s="937" t="e">
        <f t="shared" ca="1" si="22"/>
        <v>#REF!</v>
      </c>
      <c r="AB59" s="104">
        <f>SUM('DPL24-Budget'!B59:$M59)</f>
        <v>2099</v>
      </c>
      <c r="AC59" s="929">
        <f t="shared" si="23"/>
        <v>2.0000000000000001E-4</v>
      </c>
      <c r="AD59" s="934">
        <f t="shared" si="25"/>
        <v>-2099</v>
      </c>
      <c r="AE59" s="188"/>
    </row>
    <row r="60" spans="1:31" s="189" customFormat="1">
      <c r="A60" s="933" t="s">
        <v>602</v>
      </c>
      <c r="B60" s="152">
        <f>IF(B$3=0,DPL25Summary!B60,DPL25Summary!B60/B$3)</f>
        <v>0</v>
      </c>
      <c r="C60" s="909">
        <f t="shared" ca="1" si="24"/>
        <v>0</v>
      </c>
      <c r="D60" s="152">
        <f>IF(D$3=0,DPL25Summary!D60,DPL25Summary!D60/D$3)</f>
        <v>0</v>
      </c>
      <c r="E60" s="909">
        <f t="shared" ca="1" si="6"/>
        <v>0</v>
      </c>
      <c r="F60" s="152">
        <f>IF(F$3=0,DPL25Summary!F60,DPL25Summary!F60/F$3)</f>
        <v>0</v>
      </c>
      <c r="G60" s="909">
        <f t="shared" ca="1" si="7"/>
        <v>0</v>
      </c>
      <c r="H60" s="152">
        <f>IF(H$3=0,DPL25Summary!H60,DPL25Summary!H60/H$3)</f>
        <v>0</v>
      </c>
      <c r="I60" s="910">
        <f t="shared" ca="1" si="8"/>
        <v>0</v>
      </c>
      <c r="J60" s="152">
        <f>IF(J$3=0,DPL25Summary!J60,DPL25Summary!J60/J$3)</f>
        <v>0</v>
      </c>
      <c r="K60" s="907">
        <f t="shared" si="9"/>
        <v>0</v>
      </c>
      <c r="L60" s="193">
        <f>IF(L$3=0,DPL25Summary!L60,DPL25Summary!L60/L$3)</f>
        <v>0</v>
      </c>
      <c r="M60" s="907">
        <f t="shared" si="10"/>
        <v>0</v>
      </c>
      <c r="N60" s="152">
        <f>IF(N$3=0,DPL25Summary!N60,DPL25Summary!N60/N$3)</f>
        <v>0</v>
      </c>
      <c r="O60" s="907">
        <f t="shared" si="11"/>
        <v>0</v>
      </c>
      <c r="P60" s="152">
        <f>IF(P$3=0,DPL25Summary!P60,DPL25Summary!P60/P$3)</f>
        <v>0</v>
      </c>
      <c r="Q60" s="907">
        <f t="shared" si="12"/>
        <v>0</v>
      </c>
      <c r="R60" s="152">
        <f>IF(R$3=0,DPL25Summary!R60,DPL25Summary!R60/R$3)</f>
        <v>0</v>
      </c>
      <c r="S60" s="910">
        <f t="shared" si="13"/>
        <v>0</v>
      </c>
      <c r="T60" s="152">
        <f>IF(T$3=0,DPL25Summary!T60,DPL25Summary!T60/T$3)</f>
        <v>0</v>
      </c>
      <c r="U60" s="910">
        <f t="shared" si="14"/>
        <v>0</v>
      </c>
      <c r="V60" s="152">
        <f>IF(V$3=0,DPL25Summary!V60,DPL25Summary!V60/V$3)</f>
        <v>0</v>
      </c>
      <c r="W60" s="910">
        <f t="shared" si="15"/>
        <v>0</v>
      </c>
      <c r="X60" s="152">
        <f>IF(X$3=0,DPL25Summary!X60,DPL25Summary!X60/X$3)</f>
        <v>0</v>
      </c>
      <c r="Y60" s="910">
        <f t="shared" si="16"/>
        <v>0</v>
      </c>
      <c r="Z60" s="15">
        <f t="shared" si="21"/>
        <v>0</v>
      </c>
      <c r="AA60" s="938" t="e">
        <f t="shared" ca="1" si="22"/>
        <v>#REF!</v>
      </c>
      <c r="AB60" s="104">
        <f>SUM('DPL24-Budget'!B60:$M60)</f>
        <v>61671</v>
      </c>
      <c r="AC60" s="929">
        <f t="shared" si="23"/>
        <v>6.1999999999999998E-3</v>
      </c>
      <c r="AD60" s="934">
        <f t="shared" si="25"/>
        <v>-61671</v>
      </c>
      <c r="AE60" s="188"/>
    </row>
    <row r="61" spans="1:31" s="189" customFormat="1">
      <c r="A61" s="933" t="s">
        <v>603</v>
      </c>
      <c r="B61" s="152">
        <f>IF(B$3=0,DPL25Summary!B61,DPL25Summary!B61/B$3)</f>
        <v>0</v>
      </c>
      <c r="C61" s="909">
        <f t="shared" ca="1" si="24"/>
        <v>0</v>
      </c>
      <c r="D61" s="152">
        <f>IF(D$3=0,DPL25Summary!D61,DPL25Summary!D61/D$3)</f>
        <v>0</v>
      </c>
      <c r="E61" s="909">
        <f t="shared" ca="1" si="6"/>
        <v>0</v>
      </c>
      <c r="F61" s="152">
        <f>IF(F$3=0,DPL25Summary!F61,DPL25Summary!F61/F$3)</f>
        <v>0</v>
      </c>
      <c r="G61" s="909">
        <f t="shared" ca="1" si="7"/>
        <v>0</v>
      </c>
      <c r="H61" s="152">
        <f>IF(H$3=0,DPL25Summary!H61,DPL25Summary!H61/H$3)</f>
        <v>0</v>
      </c>
      <c r="I61" s="910">
        <f t="shared" ca="1" si="8"/>
        <v>0</v>
      </c>
      <c r="J61" s="152">
        <f>IF(J$3=0,DPL25Summary!J61,DPL25Summary!J61/J$3)</f>
        <v>0</v>
      </c>
      <c r="K61" s="907">
        <f t="shared" si="9"/>
        <v>0</v>
      </c>
      <c r="L61" s="193">
        <f>IF(L$3=0,DPL25Summary!L61,DPL25Summary!L61/L$3)</f>
        <v>0</v>
      </c>
      <c r="M61" s="907">
        <f t="shared" si="10"/>
        <v>0</v>
      </c>
      <c r="N61" s="152">
        <f>IF(N$3=0,DPL25Summary!N61,DPL25Summary!N61/N$3)</f>
        <v>0</v>
      </c>
      <c r="O61" s="907">
        <f t="shared" si="11"/>
        <v>0</v>
      </c>
      <c r="P61" s="152">
        <f>IF(P$3=0,DPL25Summary!P61,DPL25Summary!P61/P$3)</f>
        <v>0</v>
      </c>
      <c r="Q61" s="907">
        <f t="shared" si="12"/>
        <v>0</v>
      </c>
      <c r="R61" s="152">
        <f>IF(R$3=0,DPL25Summary!R61,DPL25Summary!R61/R$3)</f>
        <v>0</v>
      </c>
      <c r="S61" s="910">
        <f t="shared" si="13"/>
        <v>0</v>
      </c>
      <c r="T61" s="152">
        <f>IF(T$3=0,DPL25Summary!T61,DPL25Summary!T61/T$3)</f>
        <v>0</v>
      </c>
      <c r="U61" s="910">
        <f t="shared" si="14"/>
        <v>0</v>
      </c>
      <c r="V61" s="152">
        <f>IF(V$3=0,DPL25Summary!V61,DPL25Summary!V61/V$3)</f>
        <v>0</v>
      </c>
      <c r="W61" s="910">
        <f t="shared" si="15"/>
        <v>0</v>
      </c>
      <c r="X61" s="152">
        <f>IF(X$3=0,DPL25Summary!X61,DPL25Summary!X61/X$3)</f>
        <v>0</v>
      </c>
      <c r="Y61" s="910">
        <f t="shared" si="16"/>
        <v>0</v>
      </c>
      <c r="Z61" s="15">
        <f t="shared" si="21"/>
        <v>0</v>
      </c>
      <c r="AA61" s="938" t="e">
        <f t="shared" ca="1" si="22"/>
        <v>#REF!</v>
      </c>
      <c r="AB61" s="104">
        <f>SUM('DPL24-Budget'!B61:$M61)</f>
        <v>32746</v>
      </c>
      <c r="AC61" s="929">
        <f t="shared" si="23"/>
        <v>3.3E-3</v>
      </c>
      <c r="AD61" s="934">
        <f t="shared" si="25"/>
        <v>-32746</v>
      </c>
      <c r="AE61" s="188"/>
    </row>
    <row r="62" spans="1:31" s="189" customFormat="1">
      <c r="A62" s="933" t="s">
        <v>604</v>
      </c>
      <c r="B62" s="152">
        <f>IF(B$3=0,DPL25Summary!B62,DPL25Summary!B62/B$3)</f>
        <v>0</v>
      </c>
      <c r="C62" s="909">
        <f t="shared" ca="1" si="24"/>
        <v>0</v>
      </c>
      <c r="D62" s="152">
        <f>IF(D$3=0,DPL25Summary!D62,DPL25Summary!D62/D$3)</f>
        <v>0</v>
      </c>
      <c r="E62" s="909">
        <f t="shared" ca="1" si="6"/>
        <v>0</v>
      </c>
      <c r="F62" s="152">
        <f>IF(F$3=0,DPL25Summary!F62,DPL25Summary!F62/F$3)</f>
        <v>0</v>
      </c>
      <c r="G62" s="909">
        <f t="shared" ca="1" si="7"/>
        <v>0</v>
      </c>
      <c r="H62" s="152">
        <f>IF(H$3=0,DPL25Summary!H62,DPL25Summary!H62/H$3)</f>
        <v>0</v>
      </c>
      <c r="I62" s="910">
        <f t="shared" ca="1" si="8"/>
        <v>0</v>
      </c>
      <c r="J62" s="152">
        <f>IF(J$3=0,DPL25Summary!J62,DPL25Summary!J62/J$3)</f>
        <v>0</v>
      </c>
      <c r="K62" s="907">
        <f t="shared" si="9"/>
        <v>0</v>
      </c>
      <c r="L62" s="152">
        <f>IF(L$3=0,DPL25Summary!L62,DPL25Summary!L62/L$3)</f>
        <v>0</v>
      </c>
      <c r="M62" s="907">
        <f t="shared" si="10"/>
        <v>0</v>
      </c>
      <c r="N62" s="152">
        <f>IF(N$3=0,DPL25Summary!N62,DPL25Summary!N62/N$3)</f>
        <v>0</v>
      </c>
      <c r="O62" s="907">
        <f t="shared" si="11"/>
        <v>0</v>
      </c>
      <c r="P62" s="152">
        <f>IF(P$3=0,DPL25Summary!P62,DPL25Summary!P62/P$3)</f>
        <v>0</v>
      </c>
      <c r="Q62" s="907">
        <f t="shared" si="12"/>
        <v>0</v>
      </c>
      <c r="R62" s="152">
        <f>IF(R$3=0,DPL25Summary!R62,DPL25Summary!R62/R$3)</f>
        <v>0</v>
      </c>
      <c r="S62" s="910">
        <f t="shared" si="13"/>
        <v>0</v>
      </c>
      <c r="T62" s="152">
        <f>IF(T$3=0,DPL25Summary!T62,DPL25Summary!T62/T$3)</f>
        <v>0</v>
      </c>
      <c r="U62" s="910">
        <f t="shared" si="14"/>
        <v>0</v>
      </c>
      <c r="V62" s="152">
        <f>IF(V$3=0,DPL25Summary!V62,DPL25Summary!V62/V$3)</f>
        <v>0</v>
      </c>
      <c r="W62" s="910">
        <f t="shared" si="15"/>
        <v>0</v>
      </c>
      <c r="X62" s="152">
        <f>IF(X$3=0,DPL25Summary!X62,DPL25Summary!X62/X$3)</f>
        <v>0</v>
      </c>
      <c r="Y62" s="910">
        <f t="shared" si="16"/>
        <v>0</v>
      </c>
      <c r="Z62" s="15">
        <f t="shared" si="21"/>
        <v>0</v>
      </c>
      <c r="AA62" s="938" t="e">
        <f t="shared" ca="1" si="22"/>
        <v>#REF!</v>
      </c>
      <c r="AB62" s="104">
        <f>SUM('DPL24-Budget'!B62:$M62)</f>
        <v>0</v>
      </c>
      <c r="AC62" s="929">
        <f t="shared" si="23"/>
        <v>0</v>
      </c>
      <c r="AD62" s="934">
        <f t="shared" si="25"/>
        <v>0</v>
      </c>
      <c r="AE62" s="188"/>
    </row>
    <row r="63" spans="1:31" s="4" customFormat="1">
      <c r="A63" s="757" t="s">
        <v>605</v>
      </c>
      <c r="B63" s="14">
        <f>IF(B$3=0,DPL25Summary!B63,DPL25Summary!B63/B$3)</f>
        <v>0</v>
      </c>
      <c r="C63" s="909">
        <f t="shared" ca="1" si="24"/>
        <v>0</v>
      </c>
      <c r="D63" s="14">
        <f>IF(D$3=0,DPL25Summary!D63,DPL25Summary!D63/D$3)</f>
        <v>0</v>
      </c>
      <c r="E63" s="909">
        <f t="shared" ca="1" si="6"/>
        <v>0</v>
      </c>
      <c r="F63" s="14">
        <f>IF(F$3=0,DPL25Summary!F63,DPL25Summary!F63/F$3)</f>
        <v>0</v>
      </c>
      <c r="G63" s="909">
        <f t="shared" ca="1" si="7"/>
        <v>0</v>
      </c>
      <c r="H63" s="14">
        <f>IF(H$3=0,DPL25Summary!H63,DPL25Summary!H63/H$3)</f>
        <v>0</v>
      </c>
      <c r="I63" s="910">
        <f t="shared" ca="1" si="8"/>
        <v>0</v>
      </c>
      <c r="J63" s="14">
        <f>IF(J$3=0,DPL25Summary!J63,DPL25Summary!J63/J$3)</f>
        <v>0</v>
      </c>
      <c r="K63" s="907">
        <f t="shared" si="9"/>
        <v>0</v>
      </c>
      <c r="L63" s="14">
        <f>IF(L$3=0,DPL25Summary!L63,DPL25Summary!L63/L$3)</f>
        <v>0</v>
      </c>
      <c r="M63" s="907">
        <f t="shared" si="10"/>
        <v>0</v>
      </c>
      <c r="N63" s="14">
        <f>IF(N$3=0,DPL25Summary!N63,DPL25Summary!N63/N$3)</f>
        <v>0</v>
      </c>
      <c r="O63" s="907">
        <f t="shared" si="11"/>
        <v>0</v>
      </c>
      <c r="P63" s="14">
        <f>IF(P$3=0,DPL25Summary!P63,DPL25Summary!P63/P$3)</f>
        <v>0</v>
      </c>
      <c r="Q63" s="907">
        <f t="shared" si="12"/>
        <v>0</v>
      </c>
      <c r="R63" s="14">
        <f>IF(R$3=0,DPL25Summary!R63,DPL25Summary!R63/R$3)</f>
        <v>0</v>
      </c>
      <c r="S63" s="910">
        <f t="shared" si="13"/>
        <v>0</v>
      </c>
      <c r="T63" s="14">
        <f>IF(T$3=0,DPL25Summary!T63,DPL25Summary!T63/T$3)</f>
        <v>0</v>
      </c>
      <c r="U63" s="910">
        <f t="shared" si="14"/>
        <v>0</v>
      </c>
      <c r="V63" s="14">
        <f>IF(V$3=0,DPL25Summary!V63,DPL25Summary!V63/V$3)</f>
        <v>0</v>
      </c>
      <c r="W63" s="910">
        <f t="shared" si="15"/>
        <v>0</v>
      </c>
      <c r="X63" s="14">
        <f>IF(X$3=0,DPL25Summary!X63,DPL25Summary!X63/X$3)</f>
        <v>0</v>
      </c>
      <c r="Y63" s="910">
        <f t="shared" si="16"/>
        <v>0</v>
      </c>
      <c r="Z63" s="15">
        <f t="shared" si="21"/>
        <v>0</v>
      </c>
      <c r="AA63" s="242" t="e">
        <f t="shared" ca="1" si="22"/>
        <v>#REF!</v>
      </c>
      <c r="AB63" s="104">
        <f>SUM('DPL24-Budget'!B63:$M63)</f>
        <v>39732</v>
      </c>
      <c r="AC63" s="929">
        <f t="shared" si="23"/>
        <v>4.0000000000000001E-3</v>
      </c>
      <c r="AD63" s="169">
        <f t="shared" si="25"/>
        <v>-39732</v>
      </c>
      <c r="AE63" s="150"/>
    </row>
    <row r="64" spans="1:31" s="189" customFormat="1">
      <c r="A64" s="933" t="s">
        <v>606</v>
      </c>
      <c r="B64" s="152">
        <f>IF(B$3=0,DPL25Summary!B64,DPL25Summary!B64/B$3)</f>
        <v>0</v>
      </c>
      <c r="C64" s="909">
        <f t="shared" ca="1" si="24"/>
        <v>0</v>
      </c>
      <c r="D64" s="152">
        <f>IF(D$3=0,DPL25Summary!D64,DPL25Summary!D64/D$3)</f>
        <v>0</v>
      </c>
      <c r="E64" s="909">
        <f t="shared" ca="1" si="6"/>
        <v>0</v>
      </c>
      <c r="F64" s="152">
        <f>IF(F$3=0,DPL25Summary!F64,DPL25Summary!F64/F$3)</f>
        <v>0</v>
      </c>
      <c r="G64" s="909">
        <f t="shared" ca="1" si="7"/>
        <v>0</v>
      </c>
      <c r="H64" s="152">
        <f>IF(H$3=0,DPL25Summary!H64,DPL25Summary!H64/H$3)</f>
        <v>0</v>
      </c>
      <c r="I64" s="910">
        <f t="shared" ca="1" si="8"/>
        <v>0</v>
      </c>
      <c r="J64" s="152">
        <f>IF(J$3=0,DPL25Summary!J64,DPL25Summary!J64/J$3)</f>
        <v>0</v>
      </c>
      <c r="K64" s="907">
        <f t="shared" si="9"/>
        <v>0</v>
      </c>
      <c r="L64" s="152">
        <f>IF(L$3=0,DPL25Summary!L64,DPL25Summary!L64/L$3)</f>
        <v>0</v>
      </c>
      <c r="M64" s="907">
        <f t="shared" si="10"/>
        <v>0</v>
      </c>
      <c r="N64" s="152">
        <f>IF(N$3=0,DPL25Summary!N64,DPL25Summary!N64/N$3)</f>
        <v>0</v>
      </c>
      <c r="O64" s="907">
        <f t="shared" si="11"/>
        <v>0</v>
      </c>
      <c r="P64" s="152">
        <f>IF(P$3=0,DPL25Summary!P64,DPL25Summary!P64/P$3)</f>
        <v>0</v>
      </c>
      <c r="Q64" s="907">
        <f t="shared" si="12"/>
        <v>0</v>
      </c>
      <c r="R64" s="152">
        <f>IF(R$3=0,DPL25Summary!R64,DPL25Summary!R64/R$3)</f>
        <v>0</v>
      </c>
      <c r="S64" s="910">
        <f t="shared" si="13"/>
        <v>0</v>
      </c>
      <c r="T64" s="152">
        <f>IF(T$3=0,DPL25Summary!T64,DPL25Summary!T64/T$3)</f>
        <v>0</v>
      </c>
      <c r="U64" s="910">
        <f t="shared" si="14"/>
        <v>0</v>
      </c>
      <c r="V64" s="152">
        <f>IF(V$3=0,DPL25Summary!V64,DPL25Summary!V64/V$3)</f>
        <v>0</v>
      </c>
      <c r="W64" s="910">
        <f t="shared" si="15"/>
        <v>0</v>
      </c>
      <c r="X64" s="152">
        <f>IF(X$3=0,DPL25Summary!X64,DPL25Summary!X64/X$3)</f>
        <v>0</v>
      </c>
      <c r="Y64" s="910">
        <f t="shared" si="16"/>
        <v>0</v>
      </c>
      <c r="Z64" s="15">
        <f t="shared" si="21"/>
        <v>0</v>
      </c>
      <c r="AA64" s="938" t="e">
        <f t="shared" ca="1" si="22"/>
        <v>#REF!</v>
      </c>
      <c r="AB64" s="104">
        <f>SUM('DPL24-Budget'!B64:$M64)</f>
        <v>0</v>
      </c>
      <c r="AC64" s="929">
        <f t="shared" si="23"/>
        <v>0</v>
      </c>
      <c r="AD64" s="934">
        <f t="shared" si="25"/>
        <v>0</v>
      </c>
      <c r="AE64" s="188"/>
    </row>
    <row r="65" spans="1:31" s="189" customFormat="1">
      <c r="A65" s="187" t="s">
        <v>607</v>
      </c>
      <c r="B65" s="152">
        <f>IF(B$3=0,DPL25Summary!B65,DPL25Summary!B65/B$3)</f>
        <v>0</v>
      </c>
      <c r="C65" s="909">
        <f t="shared" ca="1" si="24"/>
        <v>0</v>
      </c>
      <c r="D65" s="152">
        <f>IF(D$3=0,DPL25Summary!D65,DPL25Summary!D65/D$3)</f>
        <v>0</v>
      </c>
      <c r="E65" s="909">
        <f t="shared" ca="1" si="6"/>
        <v>0</v>
      </c>
      <c r="F65" s="152">
        <f>IF(F$3=0,DPL25Summary!F65,DPL25Summary!F65/F$3)</f>
        <v>0</v>
      </c>
      <c r="G65" s="909">
        <f t="shared" ca="1" si="7"/>
        <v>0</v>
      </c>
      <c r="H65" s="152">
        <f>IF(H$3=0,DPL25Summary!H65,DPL25Summary!H65/H$3)</f>
        <v>0</v>
      </c>
      <c r="I65" s="910">
        <f t="shared" ca="1" si="8"/>
        <v>0</v>
      </c>
      <c r="J65" s="152">
        <f>IF(J$3=0,DPL25Summary!J65,DPL25Summary!J65/J$3)</f>
        <v>0</v>
      </c>
      <c r="K65" s="907">
        <f t="shared" si="9"/>
        <v>0</v>
      </c>
      <c r="L65" s="193">
        <f>IF(L$3=0,DPL25Summary!L65,DPL25Summary!L65/L$3)</f>
        <v>0</v>
      </c>
      <c r="M65" s="907">
        <f t="shared" si="10"/>
        <v>0</v>
      </c>
      <c r="N65" s="152">
        <f>IF(N$3=0,DPL25Summary!N65,DPL25Summary!N65/N$3)</f>
        <v>0</v>
      </c>
      <c r="O65" s="907">
        <f t="shared" si="11"/>
        <v>0</v>
      </c>
      <c r="P65" s="152">
        <f>IF(P$3=0,DPL25Summary!P65,DPL25Summary!P65/P$3)</f>
        <v>0</v>
      </c>
      <c r="Q65" s="907">
        <f t="shared" si="12"/>
        <v>0</v>
      </c>
      <c r="R65" s="152">
        <f>IF(R$3=0,DPL25Summary!R65,DPL25Summary!R65/R$3)</f>
        <v>0</v>
      </c>
      <c r="S65" s="910">
        <f t="shared" si="13"/>
        <v>0</v>
      </c>
      <c r="T65" s="152">
        <f>IF(T$3=0,DPL25Summary!T65,DPL25Summary!T65/T$3)</f>
        <v>0</v>
      </c>
      <c r="U65" s="910">
        <f t="shared" si="14"/>
        <v>0</v>
      </c>
      <c r="V65" s="152">
        <f>IF(V$3=0,DPL25Summary!V65,DPL25Summary!V65/V$3)</f>
        <v>0</v>
      </c>
      <c r="W65" s="910">
        <f t="shared" si="15"/>
        <v>0</v>
      </c>
      <c r="X65" s="152">
        <f>IF(X$3=0,DPL25Summary!X65,DPL25Summary!X65/X$3)</f>
        <v>0</v>
      </c>
      <c r="Y65" s="910">
        <f t="shared" si="16"/>
        <v>0</v>
      </c>
      <c r="Z65" s="15">
        <f t="shared" si="21"/>
        <v>0</v>
      </c>
      <c r="AA65" s="938" t="e">
        <f t="shared" ca="1" si="22"/>
        <v>#REF!</v>
      </c>
      <c r="AB65" s="104">
        <f>SUM('DPL24-Budget'!B65:$M65)</f>
        <v>12451</v>
      </c>
      <c r="AC65" s="929">
        <f t="shared" si="23"/>
        <v>1.1999999999999999E-3</v>
      </c>
      <c r="AD65" s="934">
        <f t="shared" si="25"/>
        <v>-12451</v>
      </c>
      <c r="AE65" s="188"/>
    </row>
    <row r="66" spans="1:31" s="4" customFormat="1">
      <c r="A66" s="757" t="s">
        <v>608</v>
      </c>
      <c r="B66" s="14">
        <f>IF(B$3=0,DPL25Summary!B66,DPL25Summary!B66/B$3)</f>
        <v>0</v>
      </c>
      <c r="C66" s="909">
        <f t="shared" ca="1" si="24"/>
        <v>0</v>
      </c>
      <c r="D66" s="14">
        <f>IF(D$3=0,DPL25Summary!D66,DPL25Summary!D66/D$3)</f>
        <v>0</v>
      </c>
      <c r="E66" s="909">
        <f t="shared" ca="1" si="6"/>
        <v>0</v>
      </c>
      <c r="F66" s="14">
        <f>IF(F$3=0,DPL25Summary!F66,DPL25Summary!F66/F$3)</f>
        <v>0</v>
      </c>
      <c r="G66" s="909">
        <f t="shared" ca="1" si="7"/>
        <v>0</v>
      </c>
      <c r="H66" s="14">
        <f>IF(H$3=0,DPL25Summary!H66,DPL25Summary!H66/H$3)</f>
        <v>0</v>
      </c>
      <c r="I66" s="910">
        <f t="shared" ca="1" si="8"/>
        <v>0</v>
      </c>
      <c r="J66" s="14">
        <f>IF(J$3=0,DPL25Summary!J66,DPL25Summary!J66/J$3)</f>
        <v>0</v>
      </c>
      <c r="K66" s="907">
        <f t="shared" si="9"/>
        <v>0</v>
      </c>
      <c r="L66" s="14">
        <f>IF(L$3=0,DPL25Summary!L66,DPL25Summary!L66/L$3)</f>
        <v>0</v>
      </c>
      <c r="M66" s="907">
        <f t="shared" si="10"/>
        <v>0</v>
      </c>
      <c r="N66" s="14">
        <f>IF(N$3=0,DPL25Summary!N66,DPL25Summary!N66/N$3)</f>
        <v>0</v>
      </c>
      <c r="O66" s="907">
        <f t="shared" si="11"/>
        <v>0</v>
      </c>
      <c r="P66" s="14">
        <f>IF(P$3=0,DPL25Summary!P66,DPL25Summary!P66/P$3)</f>
        <v>0</v>
      </c>
      <c r="Q66" s="907">
        <f t="shared" si="12"/>
        <v>0</v>
      </c>
      <c r="R66" s="14">
        <f>IF(R$3=0,DPL25Summary!R66,DPL25Summary!R66/R$3)</f>
        <v>0</v>
      </c>
      <c r="S66" s="910">
        <f t="shared" si="13"/>
        <v>0</v>
      </c>
      <c r="T66" s="14">
        <f>IF(T$3=0,DPL25Summary!T66,DPL25Summary!T66/T$3)</f>
        <v>0</v>
      </c>
      <c r="U66" s="910">
        <f t="shared" si="14"/>
        <v>0</v>
      </c>
      <c r="V66" s="14">
        <f>IF(V$3=0,DPL25Summary!V66,DPL25Summary!V66/V$3)</f>
        <v>0</v>
      </c>
      <c r="W66" s="910">
        <f t="shared" si="15"/>
        <v>0</v>
      </c>
      <c r="X66" s="14">
        <f>IF(X$3=0,DPL25Summary!X66,DPL25Summary!X66/X$3)</f>
        <v>0</v>
      </c>
      <c r="Y66" s="910">
        <f t="shared" si="16"/>
        <v>0</v>
      </c>
      <c r="Z66" s="15">
        <f t="shared" si="21"/>
        <v>0</v>
      </c>
      <c r="AA66" s="242" t="e">
        <f t="shared" ca="1" si="22"/>
        <v>#REF!</v>
      </c>
      <c r="AB66" s="104">
        <f>SUM('DPL24-Budget'!B66:$M66)</f>
        <v>0</v>
      </c>
      <c r="AC66" s="929">
        <f t="shared" si="23"/>
        <v>0</v>
      </c>
      <c r="AD66" s="169">
        <f t="shared" si="25"/>
        <v>0</v>
      </c>
      <c r="AE66" s="150"/>
    </row>
    <row r="67" spans="1:31" s="4" customFormat="1">
      <c r="A67" t="s">
        <v>609</v>
      </c>
      <c r="B67" s="14">
        <f>IF(B$3=0,DPL25Summary!B67,DPL25Summary!B67/B$3)</f>
        <v>0</v>
      </c>
      <c r="C67" s="909">
        <f t="shared" ca="1" si="24"/>
        <v>0</v>
      </c>
      <c r="D67" s="14">
        <f>IF(D$3=0,DPL25Summary!D67,DPL25Summary!D67/D$3)</f>
        <v>0</v>
      </c>
      <c r="E67" s="909">
        <f t="shared" ca="1" si="6"/>
        <v>0</v>
      </c>
      <c r="F67" s="14">
        <f>IF(F$3=0,DPL25Summary!F67,DPL25Summary!F67/F$3)</f>
        <v>0</v>
      </c>
      <c r="G67" s="909">
        <f t="shared" ca="1" si="7"/>
        <v>0</v>
      </c>
      <c r="H67" s="14">
        <f>IF(H$3=0,DPL25Summary!H67,DPL25Summary!H67/H$3)</f>
        <v>0</v>
      </c>
      <c r="I67" s="910">
        <f t="shared" ca="1" si="8"/>
        <v>0</v>
      </c>
      <c r="J67" s="14">
        <f>IF(J$3=0,DPL25Summary!J67,DPL25Summary!J67/J$3)</f>
        <v>0</v>
      </c>
      <c r="K67" s="907">
        <f t="shared" si="9"/>
        <v>0</v>
      </c>
      <c r="L67" s="14">
        <f>IF(L$3=0,DPL25Summary!L67,DPL25Summary!L67/L$3)</f>
        <v>0</v>
      </c>
      <c r="M67" s="907">
        <f t="shared" si="10"/>
        <v>0</v>
      </c>
      <c r="N67" s="14">
        <f>IF(N$3=0,DPL25Summary!N67,DPL25Summary!N67/N$3)</f>
        <v>0</v>
      </c>
      <c r="O67" s="907">
        <f t="shared" si="11"/>
        <v>0</v>
      </c>
      <c r="P67" s="14">
        <f>IF(P$3=0,DPL25Summary!P67,DPL25Summary!P67/P$3)</f>
        <v>0</v>
      </c>
      <c r="Q67" s="907">
        <f t="shared" si="12"/>
        <v>0</v>
      </c>
      <c r="R67" s="14">
        <f>IF(R$3=0,DPL25Summary!R67,DPL25Summary!R67/R$3)</f>
        <v>0</v>
      </c>
      <c r="S67" s="910">
        <f t="shared" si="13"/>
        <v>0</v>
      </c>
      <c r="T67" s="14">
        <f>IF(T$3=0,DPL25Summary!T67,DPL25Summary!T67/T$3)</f>
        <v>0</v>
      </c>
      <c r="U67" s="910">
        <f t="shared" si="14"/>
        <v>0</v>
      </c>
      <c r="V67" s="14">
        <f>IF(V$3=0,DPL25Summary!V67,DPL25Summary!V67/V$3)</f>
        <v>0</v>
      </c>
      <c r="W67" s="910">
        <f t="shared" si="15"/>
        <v>0</v>
      </c>
      <c r="X67" s="14">
        <f>IF(X$3=0,DPL25Summary!X67,DPL25Summary!X67/X$3)</f>
        <v>0</v>
      </c>
      <c r="Y67" s="910">
        <f t="shared" si="16"/>
        <v>0</v>
      </c>
      <c r="Z67" s="15">
        <f t="shared" si="21"/>
        <v>0</v>
      </c>
      <c r="AA67" s="242" t="e">
        <f t="shared" ca="1" si="22"/>
        <v>#REF!</v>
      </c>
      <c r="AB67" s="104">
        <f>SUM('DPL24-Budget'!B67:$M67)</f>
        <v>46557</v>
      </c>
      <c r="AC67" s="929">
        <f t="shared" si="23"/>
        <v>4.7000000000000002E-3</v>
      </c>
      <c r="AD67" s="169">
        <f t="shared" si="25"/>
        <v>-46557</v>
      </c>
      <c r="AE67" s="150"/>
    </row>
    <row r="68" spans="1:31" s="189" customFormat="1">
      <c r="A68" s="187" t="s">
        <v>610</v>
      </c>
      <c r="B68" s="152">
        <f>IF(B$3=0,DPL25Summary!B68,DPL25Summary!B68/B$3)</f>
        <v>0</v>
      </c>
      <c r="C68" s="909">
        <f t="shared" ca="1" si="24"/>
        <v>0</v>
      </c>
      <c r="D68" s="152">
        <f>IF(D$3=0,DPL25Summary!D68,DPL25Summary!D68/D$3)</f>
        <v>0</v>
      </c>
      <c r="E68" s="909">
        <f t="shared" ca="1" si="6"/>
        <v>0</v>
      </c>
      <c r="F68" s="152">
        <f>IF(F$3=0,DPL25Summary!F68,DPL25Summary!F68/F$3)</f>
        <v>0</v>
      </c>
      <c r="G68" s="909">
        <f t="shared" ca="1" si="7"/>
        <v>0</v>
      </c>
      <c r="H68" s="152">
        <f>IF(H$3=0,DPL25Summary!H68,DPL25Summary!H68/H$3)</f>
        <v>0</v>
      </c>
      <c r="I68" s="910">
        <f t="shared" ca="1" si="8"/>
        <v>0</v>
      </c>
      <c r="J68" s="152">
        <f>IF(J$3=0,DPL25Summary!J68,DPL25Summary!J68/J$3)</f>
        <v>0</v>
      </c>
      <c r="K68" s="907">
        <f t="shared" si="9"/>
        <v>0</v>
      </c>
      <c r="L68" s="152">
        <f>IF(L$3=0,DPL25Summary!L68,DPL25Summary!L68/L$3)</f>
        <v>0</v>
      </c>
      <c r="M68" s="907">
        <f t="shared" si="10"/>
        <v>0</v>
      </c>
      <c r="N68" s="152">
        <f>IF(N$3=0,DPL25Summary!N68,DPL25Summary!N68/N$3)</f>
        <v>0</v>
      </c>
      <c r="O68" s="907">
        <f t="shared" si="11"/>
        <v>0</v>
      </c>
      <c r="P68" s="152">
        <f>IF(P$3=0,DPL25Summary!P68,DPL25Summary!P68/P$3)</f>
        <v>0</v>
      </c>
      <c r="Q68" s="907">
        <f t="shared" si="12"/>
        <v>0</v>
      </c>
      <c r="R68" s="152">
        <f>IF(R$3=0,DPL25Summary!R68,DPL25Summary!R68/R$3)</f>
        <v>0</v>
      </c>
      <c r="S68" s="910">
        <f t="shared" si="13"/>
        <v>0</v>
      </c>
      <c r="T68" s="152">
        <f>IF(T$3=0,DPL25Summary!T68,DPL25Summary!T68/T$3)</f>
        <v>0</v>
      </c>
      <c r="U68" s="910">
        <f t="shared" si="14"/>
        <v>0</v>
      </c>
      <c r="V68" s="152">
        <f>IF(V$3=0,DPL25Summary!V68,DPL25Summary!V68/V$3)</f>
        <v>0</v>
      </c>
      <c r="W68" s="910">
        <f t="shared" si="15"/>
        <v>0</v>
      </c>
      <c r="X68" s="152">
        <f>IF(X$3=0,DPL25Summary!X68,DPL25Summary!X68/X$3)</f>
        <v>0</v>
      </c>
      <c r="Y68" s="910">
        <f t="shared" si="16"/>
        <v>0</v>
      </c>
      <c r="Z68" s="15">
        <f t="shared" si="21"/>
        <v>0</v>
      </c>
      <c r="AA68" s="938" t="e">
        <f t="shared" ca="1" si="22"/>
        <v>#REF!</v>
      </c>
      <c r="AB68" s="104">
        <f>SUM('DPL24-Budget'!B68:$M68)</f>
        <v>0</v>
      </c>
      <c r="AC68" s="929">
        <f t="shared" si="23"/>
        <v>0</v>
      </c>
      <c r="AD68" s="934">
        <f t="shared" si="25"/>
        <v>0</v>
      </c>
      <c r="AE68" s="188"/>
    </row>
    <row r="69" spans="1:31" s="4" customFormat="1">
      <c r="A69" s="757" t="s">
        <v>611</v>
      </c>
      <c r="B69" s="14">
        <f>IF(B$3=0,DPL25Summary!B69,DPL25Summary!B69/B$3)</f>
        <v>0</v>
      </c>
      <c r="C69" s="909">
        <f t="shared" ca="1" si="24"/>
        <v>0</v>
      </c>
      <c r="D69" s="14">
        <f>IF(D$3=0,DPL25Summary!D69,DPL25Summary!D69/D$3)</f>
        <v>0</v>
      </c>
      <c r="E69" s="909">
        <f t="shared" ca="1" si="6"/>
        <v>0</v>
      </c>
      <c r="F69" s="14">
        <f>IF(F$3=0,DPL25Summary!F69,DPL25Summary!F69/F$3)</f>
        <v>0</v>
      </c>
      <c r="G69" s="909">
        <f t="shared" ca="1" si="7"/>
        <v>0</v>
      </c>
      <c r="H69" s="14">
        <f>IF(H$3=0,DPL25Summary!H69,DPL25Summary!H69/H$3)</f>
        <v>0</v>
      </c>
      <c r="I69" s="910">
        <f t="shared" ca="1" si="8"/>
        <v>0</v>
      </c>
      <c r="J69" s="14">
        <f>IF(J$3=0,DPL25Summary!J69,DPL25Summary!J69/J$3)</f>
        <v>0</v>
      </c>
      <c r="K69" s="907">
        <f t="shared" si="9"/>
        <v>0</v>
      </c>
      <c r="L69" s="14">
        <f>IF(L$3=0,DPL25Summary!L69,DPL25Summary!L69/L$3)</f>
        <v>0</v>
      </c>
      <c r="M69" s="907">
        <f t="shared" si="10"/>
        <v>0</v>
      </c>
      <c r="N69" s="14">
        <f>IF(N$3=0,DPL25Summary!N69,DPL25Summary!N69/N$3)</f>
        <v>0</v>
      </c>
      <c r="O69" s="907">
        <f t="shared" si="11"/>
        <v>0</v>
      </c>
      <c r="P69" s="14">
        <f>IF(P$3=0,DPL25Summary!P69,DPL25Summary!P69/P$3)</f>
        <v>0</v>
      </c>
      <c r="Q69" s="907">
        <f t="shared" si="12"/>
        <v>0</v>
      </c>
      <c r="R69" s="14">
        <f>IF(R$3=0,DPL25Summary!R69,DPL25Summary!R69/R$3)</f>
        <v>0</v>
      </c>
      <c r="S69" s="910">
        <f t="shared" si="13"/>
        <v>0</v>
      </c>
      <c r="T69" s="14">
        <f>IF(T$3=0,DPL25Summary!T69,DPL25Summary!T69/T$3)</f>
        <v>0</v>
      </c>
      <c r="U69" s="910">
        <f t="shared" si="14"/>
        <v>0</v>
      </c>
      <c r="V69" s="14">
        <f>IF(V$3=0,DPL25Summary!V69,DPL25Summary!V69/V$3)</f>
        <v>0</v>
      </c>
      <c r="W69" s="910">
        <f t="shared" si="15"/>
        <v>0</v>
      </c>
      <c r="X69" s="14">
        <f>IF(X$3=0,DPL25Summary!X69,DPL25Summary!X69/X$3)</f>
        <v>0</v>
      </c>
      <c r="Y69" s="910">
        <f t="shared" si="16"/>
        <v>0</v>
      </c>
      <c r="Z69" s="15">
        <f t="shared" si="21"/>
        <v>0</v>
      </c>
      <c r="AA69" s="242" t="e">
        <f t="shared" ca="1" si="22"/>
        <v>#REF!</v>
      </c>
      <c r="AB69" s="104">
        <f>SUM('DPL24-Budget'!B69:$M69)</f>
        <v>20298</v>
      </c>
      <c r="AC69" s="929">
        <f t="shared" si="23"/>
        <v>2E-3</v>
      </c>
      <c r="AD69" s="169">
        <f t="shared" si="25"/>
        <v>-20298</v>
      </c>
      <c r="AE69" s="150"/>
    </row>
    <row r="70" spans="1:31" s="4" customFormat="1">
      <c r="A70" s="933" t="s">
        <v>612</v>
      </c>
      <c r="B70" s="14">
        <f>IF(B$3=0,DPL25Summary!B70,DPL25Summary!B70/B$3)</f>
        <v>0</v>
      </c>
      <c r="C70" s="909">
        <f t="shared" ca="1" si="24"/>
        <v>0</v>
      </c>
      <c r="D70" s="14">
        <f>IF(D$3=0,DPL25Summary!D70,DPL25Summary!D70/D$3)</f>
        <v>0</v>
      </c>
      <c r="E70" s="909">
        <f t="shared" ca="1" si="6"/>
        <v>0</v>
      </c>
      <c r="F70" s="14">
        <f>IF(F$3=0,DPL25Summary!F70,DPL25Summary!F70/F$3)</f>
        <v>0</v>
      </c>
      <c r="G70" s="909">
        <f t="shared" ca="1" si="7"/>
        <v>0</v>
      </c>
      <c r="H70" s="14">
        <f>IF(H$3=0,DPL25Summary!H70,DPL25Summary!H70/H$3)</f>
        <v>0</v>
      </c>
      <c r="I70" s="910">
        <f t="shared" ca="1" si="8"/>
        <v>0</v>
      </c>
      <c r="J70" s="14">
        <f>IF(J$3=0,DPL25Summary!J70,DPL25Summary!J70/J$3)</f>
        <v>0</v>
      </c>
      <c r="K70" s="907">
        <f t="shared" si="9"/>
        <v>0</v>
      </c>
      <c r="L70" s="14">
        <f>IF(L$3=0,DPL25Summary!L70,DPL25Summary!L70/L$3)</f>
        <v>0</v>
      </c>
      <c r="M70" s="907">
        <f t="shared" si="10"/>
        <v>0</v>
      </c>
      <c r="N70" s="14">
        <f>IF(N$3=0,DPL25Summary!N70,DPL25Summary!N70/N$3)</f>
        <v>0</v>
      </c>
      <c r="O70" s="907">
        <f t="shared" si="11"/>
        <v>0</v>
      </c>
      <c r="P70" s="14">
        <f>IF(P$3=0,DPL25Summary!P70,DPL25Summary!P70/P$3)</f>
        <v>0</v>
      </c>
      <c r="Q70" s="907">
        <f t="shared" si="12"/>
        <v>0</v>
      </c>
      <c r="R70" s="14">
        <f>IF(R$3=0,DPL25Summary!R70,DPL25Summary!R70/R$3)</f>
        <v>0</v>
      </c>
      <c r="S70" s="910">
        <f t="shared" si="13"/>
        <v>0</v>
      </c>
      <c r="T70" s="14">
        <f>IF(T$3=0,DPL25Summary!T70,DPL25Summary!T70/T$3)</f>
        <v>0</v>
      </c>
      <c r="U70" s="910">
        <f t="shared" si="14"/>
        <v>0</v>
      </c>
      <c r="V70" s="14">
        <f>IF(V$3=0,DPL25Summary!V70,DPL25Summary!V70/V$3)</f>
        <v>0</v>
      </c>
      <c r="W70" s="910">
        <f t="shared" si="15"/>
        <v>0</v>
      </c>
      <c r="X70" s="14">
        <f>IF(X$3=0,DPL25Summary!X70,DPL25Summary!X70/X$3)</f>
        <v>0</v>
      </c>
      <c r="Y70" s="910">
        <f t="shared" si="16"/>
        <v>0</v>
      </c>
      <c r="Z70" s="15">
        <f t="shared" si="21"/>
        <v>0</v>
      </c>
      <c r="AA70" s="242" t="e">
        <f t="shared" ca="1" si="22"/>
        <v>#REF!</v>
      </c>
      <c r="AB70" s="104">
        <f>SUM('DPL24-Budget'!B70:$M70)</f>
        <v>43314</v>
      </c>
      <c r="AC70" s="929">
        <f t="shared" si="23"/>
        <v>4.3E-3</v>
      </c>
      <c r="AD70" s="169">
        <f t="shared" si="25"/>
        <v>-43314</v>
      </c>
      <c r="AE70" s="150"/>
    </row>
    <row r="71" spans="1:31">
      <c r="A71" s="757"/>
      <c r="B71" s="14"/>
      <c r="C71" s="909">
        <f t="shared" ca="1" si="24"/>
        <v>0</v>
      </c>
      <c r="D71" s="14"/>
      <c r="E71" s="909">
        <f t="shared" ca="1" si="6"/>
        <v>0</v>
      </c>
      <c r="F71" s="14"/>
      <c r="G71" s="909">
        <f t="shared" ca="1" si="7"/>
        <v>0</v>
      </c>
      <c r="H71" s="14"/>
      <c r="I71" s="910">
        <f t="shared" ca="1" si="8"/>
        <v>0</v>
      </c>
      <c r="J71" s="14"/>
      <c r="K71" s="907">
        <f t="shared" si="9"/>
        <v>0</v>
      </c>
      <c r="L71" s="14"/>
      <c r="M71" s="907">
        <f t="shared" si="10"/>
        <v>0</v>
      </c>
      <c r="N71" s="14"/>
      <c r="O71" s="907">
        <f t="shared" si="11"/>
        <v>0</v>
      </c>
      <c r="P71" s="14"/>
      <c r="Q71" s="907">
        <f t="shared" si="12"/>
        <v>0</v>
      </c>
      <c r="R71" s="14"/>
      <c r="S71" s="910">
        <f t="shared" si="13"/>
        <v>0</v>
      </c>
      <c r="T71" s="14"/>
      <c r="U71" s="910">
        <f t="shared" si="14"/>
        <v>0</v>
      </c>
      <c r="V71" s="14"/>
      <c r="W71" s="910">
        <f t="shared" si="15"/>
        <v>0</v>
      </c>
      <c r="X71" s="14"/>
      <c r="Y71" s="910">
        <f t="shared" si="16"/>
        <v>0</v>
      </c>
      <c r="Z71" s="15">
        <v>0</v>
      </c>
      <c r="AA71" s="242"/>
      <c r="AB71" s="104"/>
      <c r="AC71" s="929">
        <f t="shared" si="23"/>
        <v>0</v>
      </c>
      <c r="AD71" s="169">
        <f t="shared" si="25"/>
        <v>0</v>
      </c>
      <c r="AE71" s="149"/>
    </row>
    <row r="72" spans="1:31" ht="13.5" thickBot="1">
      <c r="A72" s="6" t="s">
        <v>613</v>
      </c>
      <c r="B72" s="38">
        <f t="shared" ref="B72:X72" si="26">SUM(B53:B71)</f>
        <v>1050</v>
      </c>
      <c r="C72" s="909">
        <f t="shared" ca="1" si="24"/>
        <v>0.38490000000000002</v>
      </c>
      <c r="D72" s="38">
        <f t="shared" si="26"/>
        <v>1050</v>
      </c>
      <c r="E72" s="909">
        <f t="shared" ca="1" si="6"/>
        <v>0.38490000000000002</v>
      </c>
      <c r="F72" s="38">
        <f t="shared" si="26"/>
        <v>1050</v>
      </c>
      <c r="G72" s="909">
        <f t="shared" ca="1" si="7"/>
        <v>0.38490000000000002</v>
      </c>
      <c r="H72" s="38">
        <f t="shared" si="26"/>
        <v>1050</v>
      </c>
      <c r="I72" s="910">
        <f t="shared" ca="1" si="8"/>
        <v>0.38500000000000001</v>
      </c>
      <c r="J72" s="38">
        <f t="shared" si="26"/>
        <v>1050</v>
      </c>
      <c r="K72" s="907">
        <f t="shared" si="9"/>
        <v>0</v>
      </c>
      <c r="L72" s="38">
        <f t="shared" si="26"/>
        <v>1050</v>
      </c>
      <c r="M72" s="907">
        <f t="shared" si="10"/>
        <v>0</v>
      </c>
      <c r="N72" s="38">
        <f t="shared" si="26"/>
        <v>1050</v>
      </c>
      <c r="O72" s="907">
        <f t="shared" si="11"/>
        <v>0</v>
      </c>
      <c r="P72" s="38">
        <f t="shared" si="26"/>
        <v>1050</v>
      </c>
      <c r="Q72" s="907">
        <f t="shared" si="12"/>
        <v>0</v>
      </c>
      <c r="R72" s="38">
        <f t="shared" si="26"/>
        <v>1050</v>
      </c>
      <c r="S72" s="910">
        <f t="shared" si="13"/>
        <v>0</v>
      </c>
      <c r="T72" s="38">
        <f t="shared" si="26"/>
        <v>1050</v>
      </c>
      <c r="U72" s="910">
        <f t="shared" si="14"/>
        <v>0</v>
      </c>
      <c r="V72" s="38">
        <f t="shared" si="26"/>
        <v>1050</v>
      </c>
      <c r="W72" s="910">
        <f t="shared" si="15"/>
        <v>0</v>
      </c>
      <c r="X72" s="38">
        <f t="shared" si="26"/>
        <v>1050</v>
      </c>
      <c r="Y72" s="910">
        <f t="shared" si="16"/>
        <v>0</v>
      </c>
      <c r="Z72" s="16">
        <f ca="1">SUM(Z52:Z71)</f>
        <v>12600</v>
      </c>
      <c r="AA72" s="242" t="e">
        <f t="shared" ca="1" si="22"/>
        <v>#REF!</v>
      </c>
      <c r="AB72" s="107">
        <f>SUM(AB53:AB71)</f>
        <v>832537</v>
      </c>
      <c r="AC72" s="929">
        <f t="shared" si="23"/>
        <v>8.3199999999999996E-2</v>
      </c>
      <c r="AD72" s="169">
        <f t="shared" ca="1" si="25"/>
        <v>-819937</v>
      </c>
    </row>
    <row r="73" spans="1:31" ht="13.5" thickTop="1">
      <c r="A73" s="6"/>
      <c r="B73" s="14"/>
      <c r="C73" s="902"/>
      <c r="D73" s="14"/>
      <c r="E73" s="909">
        <f t="shared" ca="1" si="6"/>
        <v>0</v>
      </c>
      <c r="F73" s="14"/>
      <c r="G73" s="909">
        <f t="shared" ca="1" si="7"/>
        <v>0</v>
      </c>
      <c r="H73" s="14"/>
      <c r="I73" s="910">
        <f t="shared" ca="1" si="8"/>
        <v>0</v>
      </c>
      <c r="J73" s="14"/>
      <c r="K73" s="907">
        <f t="shared" si="9"/>
        <v>0</v>
      </c>
      <c r="L73" s="14"/>
      <c r="M73" s="907">
        <f t="shared" si="10"/>
        <v>0</v>
      </c>
      <c r="N73" s="14"/>
      <c r="O73" s="907">
        <f t="shared" si="11"/>
        <v>0</v>
      </c>
      <c r="P73" s="14"/>
      <c r="Q73" s="907">
        <f t="shared" si="12"/>
        <v>0</v>
      </c>
      <c r="R73" s="14"/>
      <c r="S73" s="910">
        <f t="shared" si="13"/>
        <v>0</v>
      </c>
      <c r="T73" s="14"/>
      <c r="U73" s="910">
        <f t="shared" si="14"/>
        <v>0</v>
      </c>
      <c r="V73" s="14"/>
      <c r="W73" s="910">
        <f t="shared" si="15"/>
        <v>0</v>
      </c>
      <c r="X73" s="14"/>
      <c r="Y73" s="910">
        <f t="shared" si="16"/>
        <v>0</v>
      </c>
      <c r="Z73" s="15"/>
      <c r="AB73" s="104"/>
      <c r="AC73" s="104"/>
      <c r="AD73" s="169">
        <f t="shared" si="25"/>
        <v>0</v>
      </c>
      <c r="AE73" s="149"/>
    </row>
    <row r="74" spans="1:31">
      <c r="A74" s="757"/>
      <c r="B74" s="13"/>
      <c r="C74" s="249"/>
      <c r="D74" s="13"/>
      <c r="E74" s="909">
        <f t="shared" ca="1" si="6"/>
        <v>0</v>
      </c>
      <c r="F74" s="528">
        <f ca="1">+F72/F13</f>
        <v>0</v>
      </c>
      <c r="G74" s="909">
        <f t="shared" ca="1" si="7"/>
        <v>0</v>
      </c>
      <c r="H74" s="13"/>
      <c r="I74" s="910">
        <f t="shared" ca="1" si="8"/>
        <v>0</v>
      </c>
      <c r="J74" s="13"/>
      <c r="K74" s="907">
        <f t="shared" si="9"/>
        <v>0</v>
      </c>
      <c r="L74" s="13"/>
      <c r="M74" s="907">
        <f t="shared" si="10"/>
        <v>0</v>
      </c>
      <c r="N74" s="13"/>
      <c r="O74" s="907">
        <f t="shared" si="11"/>
        <v>0</v>
      </c>
      <c r="P74" s="13"/>
      <c r="Q74" s="907">
        <f t="shared" si="12"/>
        <v>0</v>
      </c>
      <c r="R74" s="13"/>
      <c r="S74" s="910">
        <f t="shared" si="13"/>
        <v>0</v>
      </c>
      <c r="T74" s="13"/>
      <c r="U74" s="910">
        <f t="shared" si="14"/>
        <v>0</v>
      </c>
      <c r="V74" s="13"/>
      <c r="W74" s="910">
        <f t="shared" si="15"/>
        <v>0</v>
      </c>
      <c r="X74" s="13"/>
      <c r="Y74" s="910">
        <f t="shared" si="16"/>
        <v>0</v>
      </c>
      <c r="Z74" s="13"/>
      <c r="AB74" s="104"/>
      <c r="AC74" s="104"/>
      <c r="AD74" s="169">
        <f t="shared" si="25"/>
        <v>0</v>
      </c>
      <c r="AE74" s="149"/>
    </row>
    <row r="75" spans="1:31">
      <c r="A75" s="6" t="s">
        <v>411</v>
      </c>
      <c r="B75" s="2"/>
      <c r="C75" s="901"/>
      <c r="D75" s="2"/>
      <c r="E75" s="909">
        <f t="shared" ca="1" si="6"/>
        <v>0</v>
      </c>
      <c r="F75" s="2"/>
      <c r="G75" s="909">
        <f t="shared" ca="1" si="7"/>
        <v>0</v>
      </c>
      <c r="H75" s="2"/>
      <c r="I75" s="910">
        <f t="shared" ca="1" si="8"/>
        <v>0</v>
      </c>
      <c r="J75" s="2"/>
      <c r="K75" s="907">
        <f t="shared" si="9"/>
        <v>0</v>
      </c>
      <c r="L75" s="2"/>
      <c r="M75" s="907">
        <f t="shared" si="10"/>
        <v>0</v>
      </c>
      <c r="N75" s="2"/>
      <c r="O75" s="907">
        <f t="shared" si="11"/>
        <v>0</v>
      </c>
      <c r="P75" s="2"/>
      <c r="Q75" s="907">
        <f t="shared" si="12"/>
        <v>0</v>
      </c>
      <c r="R75" s="2"/>
      <c r="S75" s="910">
        <f t="shared" si="13"/>
        <v>0</v>
      </c>
      <c r="T75" s="2"/>
      <c r="U75" s="910">
        <f t="shared" si="14"/>
        <v>0</v>
      </c>
      <c r="V75" s="2"/>
      <c r="W75" s="910">
        <f t="shared" si="15"/>
        <v>0</v>
      </c>
      <c r="X75" s="2"/>
      <c r="Y75" s="910">
        <f t="shared" si="16"/>
        <v>0</v>
      </c>
      <c r="Z75" s="7"/>
      <c r="AB75" s="104"/>
      <c r="AC75" s="104"/>
      <c r="AD75" s="169">
        <f t="shared" si="25"/>
        <v>0</v>
      </c>
      <c r="AE75" s="149"/>
    </row>
    <row r="76" spans="1:31" s="4" customFormat="1">
      <c r="A76" s="757" t="s">
        <v>614</v>
      </c>
      <c r="B76" s="14">
        <f>IF(B$3=0,DPL25Summary!B76,DPL25Summary!B76/B$3)</f>
        <v>0</v>
      </c>
      <c r="C76" s="909">
        <f t="shared" ref="C76:C85" ca="1" si="27">+B76/$B$13</f>
        <v>0</v>
      </c>
      <c r="D76" s="14">
        <f>IF(D$3=0,DPL25Summary!D76,DPL25Summary!D76/D$3)</f>
        <v>0</v>
      </c>
      <c r="E76" s="909">
        <f t="shared" ca="1" si="6"/>
        <v>0</v>
      </c>
      <c r="F76" s="14">
        <f>IF(F$3=0,DPL25Summary!F76,DPL25Summary!F76/F$3)</f>
        <v>0</v>
      </c>
      <c r="G76" s="909">
        <f t="shared" ca="1" si="7"/>
        <v>0</v>
      </c>
      <c r="H76" s="14">
        <f>IF(H$3=0,DPL25Summary!H76,DPL25Summary!H76/H$3)</f>
        <v>0</v>
      </c>
      <c r="I76" s="910">
        <f t="shared" ca="1" si="8"/>
        <v>0</v>
      </c>
      <c r="J76" s="14">
        <f>IF(J$3=0,DPL25Summary!J76,DPL25Summary!J76/J$3)</f>
        <v>0</v>
      </c>
      <c r="K76" s="907">
        <f t="shared" si="9"/>
        <v>0</v>
      </c>
      <c r="L76" s="14">
        <f>IF(L$3=0,DPL25Summary!L76,DPL25Summary!L76/L$3)</f>
        <v>0</v>
      </c>
      <c r="M76" s="907">
        <f t="shared" si="10"/>
        <v>0</v>
      </c>
      <c r="N76" s="14">
        <f>IF(N$3=0,DPL25Summary!N76,DPL25Summary!N76/N$3)</f>
        <v>0</v>
      </c>
      <c r="O76" s="907">
        <f t="shared" si="11"/>
        <v>0</v>
      </c>
      <c r="P76" s="14">
        <f>IF(P$3=0,DPL25Summary!P76,DPL25Summary!P76/P$3)</f>
        <v>0</v>
      </c>
      <c r="Q76" s="907">
        <f t="shared" si="12"/>
        <v>0</v>
      </c>
      <c r="R76" s="14">
        <f>IF(R$3=0,DPL25Summary!R76,DPL25Summary!R76/R$3)</f>
        <v>0</v>
      </c>
      <c r="S76" s="910">
        <f t="shared" si="13"/>
        <v>0</v>
      </c>
      <c r="T76" s="14">
        <f>IF(T$3=0,DPL25Summary!T76,DPL25Summary!T76/T$3)</f>
        <v>0</v>
      </c>
      <c r="U76" s="910">
        <f t="shared" si="14"/>
        <v>0</v>
      </c>
      <c r="V76" s="14">
        <f>IF(V$3=0,DPL25Summary!V76,DPL25Summary!V76/V$3)</f>
        <v>0</v>
      </c>
      <c r="W76" s="910">
        <f t="shared" si="15"/>
        <v>0</v>
      </c>
      <c r="X76" s="14">
        <f>IF(X$3=0,DPL25Summary!X76,DPL25Summary!X76/X$3)</f>
        <v>0</v>
      </c>
      <c r="Y76" s="910">
        <f t="shared" si="16"/>
        <v>0</v>
      </c>
      <c r="Z76" s="15">
        <f t="shared" ref="Z76:Z83" si="28">+B76+D76+F76+H76+J76+L76+N76+P76+R76+T76+V76+X76</f>
        <v>0</v>
      </c>
      <c r="AA76" s="242" t="e">
        <f t="shared" ref="AA76:AA89" ca="1" si="29">+Z76/$Z$13</f>
        <v>#REF!</v>
      </c>
      <c r="AB76" s="104">
        <f>SUM('DPL24-Budget'!B76:$M76)</f>
        <v>-2093</v>
      </c>
      <c r="AC76" s="929">
        <f t="shared" ref="AC76:AC83" si="30">+AB76/$AB$13</f>
        <v>-2.0000000000000001E-4</v>
      </c>
      <c r="AD76" s="169">
        <f t="shared" si="25"/>
        <v>2093</v>
      </c>
      <c r="AE76" s="150"/>
    </row>
    <row r="77" spans="1:31" s="4" customFormat="1">
      <c r="A77" s="757" t="s">
        <v>615</v>
      </c>
      <c r="B77" s="14">
        <f>IF(B$3=0,DPL25Summary!B77,DPL25Summary!B77/B$3)</f>
        <v>0</v>
      </c>
      <c r="C77" s="909">
        <f t="shared" ca="1" si="27"/>
        <v>0</v>
      </c>
      <c r="D77" s="14">
        <f>IF(D$3=0,DPL25Summary!D77,DPL25Summary!D77/D$3)</f>
        <v>0</v>
      </c>
      <c r="E77" s="909">
        <f t="shared" ca="1" si="6"/>
        <v>0</v>
      </c>
      <c r="F77" s="14">
        <f>IF(F$3=0,DPL25Summary!F77,DPL25Summary!F77/F$3)</f>
        <v>0</v>
      </c>
      <c r="G77" s="909">
        <f t="shared" ca="1" si="7"/>
        <v>0</v>
      </c>
      <c r="H77" s="14">
        <f>IF(H$3=0,DPL25Summary!H77,DPL25Summary!H77/H$3)</f>
        <v>0</v>
      </c>
      <c r="I77" s="910">
        <f t="shared" ca="1" si="8"/>
        <v>0</v>
      </c>
      <c r="J77" s="14">
        <f>IF(J$3=0,DPL25Summary!J77,DPL25Summary!J77/J$3)</f>
        <v>0</v>
      </c>
      <c r="K77" s="907">
        <f t="shared" si="9"/>
        <v>0</v>
      </c>
      <c r="L77" s="14">
        <f>IF(L$3=0,DPL25Summary!L77,DPL25Summary!L77/L$3)</f>
        <v>0</v>
      </c>
      <c r="M77" s="907">
        <f t="shared" si="10"/>
        <v>0</v>
      </c>
      <c r="N77" s="14">
        <f>IF(N$3=0,DPL25Summary!N77,DPL25Summary!N77/N$3)</f>
        <v>0</v>
      </c>
      <c r="O77" s="907">
        <f t="shared" si="11"/>
        <v>0</v>
      </c>
      <c r="P77" s="14">
        <f>IF(P$3=0,DPL25Summary!P77,DPL25Summary!P77/P$3)</f>
        <v>0</v>
      </c>
      <c r="Q77" s="907">
        <f t="shared" si="12"/>
        <v>0</v>
      </c>
      <c r="R77" s="14">
        <f>IF(R$3=0,DPL25Summary!R77,DPL25Summary!R77/R$3)</f>
        <v>0</v>
      </c>
      <c r="S77" s="910">
        <f t="shared" si="13"/>
        <v>0</v>
      </c>
      <c r="T77" s="14">
        <f>IF(T$3=0,DPL25Summary!T77,DPL25Summary!T77/T$3)</f>
        <v>0</v>
      </c>
      <c r="U77" s="910">
        <f t="shared" si="14"/>
        <v>0</v>
      </c>
      <c r="V77" s="14">
        <f>IF(V$3=0,DPL25Summary!V77,DPL25Summary!V77/V$3)</f>
        <v>0</v>
      </c>
      <c r="W77" s="910">
        <f t="shared" si="15"/>
        <v>0</v>
      </c>
      <c r="X77" s="14">
        <f>IF(X$3=0,DPL25Summary!X77,DPL25Summary!X77/X$3)</f>
        <v>0</v>
      </c>
      <c r="Y77" s="910">
        <f t="shared" si="16"/>
        <v>0</v>
      </c>
      <c r="Z77" s="15">
        <f t="shared" si="28"/>
        <v>0</v>
      </c>
      <c r="AA77" s="242" t="e">
        <f t="shared" ca="1" si="29"/>
        <v>#REF!</v>
      </c>
      <c r="AB77" s="104">
        <f>SUM('DPL24-Budget'!B77:$M77)</f>
        <v>0</v>
      </c>
      <c r="AC77" s="929">
        <f t="shared" si="30"/>
        <v>0</v>
      </c>
      <c r="AD77" s="169">
        <f t="shared" si="25"/>
        <v>0</v>
      </c>
      <c r="AE77" s="150"/>
    </row>
    <row r="78" spans="1:31" s="4" customFormat="1">
      <c r="A78" s="757" t="s">
        <v>72</v>
      </c>
      <c r="B78" s="14">
        <f>IF(B$3=0,DPL25Summary!B78,DPL25Summary!B78/B$3)</f>
        <v>0</v>
      </c>
      <c r="C78" s="909">
        <f t="shared" ca="1" si="27"/>
        <v>0</v>
      </c>
      <c r="D78" s="14">
        <f>IF(D$3=0,DPL25Summary!D78,DPL25Summary!D78/D$3)</f>
        <v>0</v>
      </c>
      <c r="E78" s="909">
        <f t="shared" ca="1" si="6"/>
        <v>0</v>
      </c>
      <c r="F78" s="14">
        <f>IF(F$3=0,DPL25Summary!F78,DPL25Summary!F78/F$3)</f>
        <v>0</v>
      </c>
      <c r="G78" s="909">
        <f t="shared" ca="1" si="7"/>
        <v>0</v>
      </c>
      <c r="H78" s="14">
        <f>IF(H$3=0,DPL25Summary!H78,DPL25Summary!H78/H$3)</f>
        <v>0</v>
      </c>
      <c r="I78" s="910">
        <f t="shared" ca="1" si="8"/>
        <v>0</v>
      </c>
      <c r="J78" s="14">
        <f>IF(J$3=0,DPL25Summary!J78,DPL25Summary!J78/J$3)</f>
        <v>0</v>
      </c>
      <c r="K78" s="907">
        <f t="shared" si="9"/>
        <v>0</v>
      </c>
      <c r="L78" s="14">
        <f>IF(L$3=0,DPL25Summary!L78,DPL25Summary!L78/L$3)</f>
        <v>0</v>
      </c>
      <c r="M78" s="907">
        <f t="shared" si="10"/>
        <v>0</v>
      </c>
      <c r="N78" s="14">
        <f>IF(N$3=0,DPL25Summary!N78,DPL25Summary!N78/N$3)</f>
        <v>0</v>
      </c>
      <c r="O78" s="907">
        <f t="shared" si="11"/>
        <v>0</v>
      </c>
      <c r="P78" s="14">
        <f>IF(P$3=0,DPL25Summary!P78,DPL25Summary!P78/P$3)</f>
        <v>0</v>
      </c>
      <c r="Q78" s="907">
        <f t="shared" si="12"/>
        <v>0</v>
      </c>
      <c r="R78" s="14">
        <f>IF(R$3=0,DPL25Summary!R78,DPL25Summary!R78/R$3)</f>
        <v>0</v>
      </c>
      <c r="S78" s="910">
        <f t="shared" si="13"/>
        <v>0</v>
      </c>
      <c r="T78" s="14">
        <f>IF(T$3=0,DPL25Summary!T78,DPL25Summary!T78/T$3)</f>
        <v>0</v>
      </c>
      <c r="U78" s="910">
        <f t="shared" si="14"/>
        <v>0</v>
      </c>
      <c r="V78" s="14">
        <f>IF(V$3=0,DPL25Summary!V78,DPL25Summary!V78/V$3)</f>
        <v>0</v>
      </c>
      <c r="W78" s="910">
        <f t="shared" si="15"/>
        <v>0</v>
      </c>
      <c r="X78" s="14">
        <f>IF(X$3=0,DPL25Summary!X78,DPL25Summary!X78/X$3)</f>
        <v>0</v>
      </c>
      <c r="Y78" s="910">
        <f t="shared" si="16"/>
        <v>0</v>
      </c>
      <c r="Z78" s="15">
        <f t="shared" si="28"/>
        <v>0</v>
      </c>
      <c r="AA78" s="242" t="e">
        <f t="shared" ca="1" si="29"/>
        <v>#REF!</v>
      </c>
      <c r="AB78" s="104">
        <f>SUM('DPL24-Budget'!B78:$M78)</f>
        <v>87867</v>
      </c>
      <c r="AC78" s="929">
        <f t="shared" si="30"/>
        <v>8.8000000000000005E-3</v>
      </c>
      <c r="AD78" s="169">
        <f t="shared" si="25"/>
        <v>-87867</v>
      </c>
      <c r="AE78" s="150"/>
    </row>
    <row r="79" spans="1:31" s="4" customFormat="1">
      <c r="A79" s="757" t="s">
        <v>616</v>
      </c>
      <c r="B79" s="14">
        <f>IF(B$3=0,DPL25Summary!B79,DPL25Summary!B79/B$3)</f>
        <v>0</v>
      </c>
      <c r="C79" s="909">
        <f t="shared" ca="1" si="27"/>
        <v>0</v>
      </c>
      <c r="D79" s="14">
        <f>IF(D$3=0,DPL25Summary!D79,DPL25Summary!D79/D$3)</f>
        <v>0</v>
      </c>
      <c r="E79" s="909">
        <f t="shared" ca="1" si="6"/>
        <v>0</v>
      </c>
      <c r="F79" s="14">
        <f>IF(F$3=0,DPL25Summary!F79,DPL25Summary!F79/F$3)</f>
        <v>0</v>
      </c>
      <c r="G79" s="909">
        <f t="shared" ca="1" si="7"/>
        <v>0</v>
      </c>
      <c r="H79" s="14">
        <f>IF(H$3=0,DPL25Summary!H79,DPL25Summary!H79/H$3)</f>
        <v>0</v>
      </c>
      <c r="I79" s="910">
        <f t="shared" ca="1" si="8"/>
        <v>0</v>
      </c>
      <c r="J79" s="14">
        <f>IF(J$3=0,DPL25Summary!J79,DPL25Summary!J79/J$3)</f>
        <v>0</v>
      </c>
      <c r="K79" s="907">
        <f t="shared" si="9"/>
        <v>0</v>
      </c>
      <c r="L79" s="14">
        <f>IF(L$3=0,DPL25Summary!L79,DPL25Summary!L79/L$3)</f>
        <v>0</v>
      </c>
      <c r="M79" s="907">
        <f t="shared" si="10"/>
        <v>0</v>
      </c>
      <c r="N79" s="14">
        <f>IF(N$3=0,DPL25Summary!N79,DPL25Summary!N79/N$3)</f>
        <v>0</v>
      </c>
      <c r="O79" s="907">
        <f t="shared" si="11"/>
        <v>0</v>
      </c>
      <c r="P79" s="14">
        <f>IF(P$3=0,DPL25Summary!P79,DPL25Summary!P79/P$3)</f>
        <v>0</v>
      </c>
      <c r="Q79" s="907">
        <f t="shared" si="12"/>
        <v>0</v>
      </c>
      <c r="R79" s="14">
        <f>IF(R$3=0,DPL25Summary!R79,DPL25Summary!R79/R$3)</f>
        <v>0</v>
      </c>
      <c r="S79" s="910">
        <f t="shared" si="13"/>
        <v>0</v>
      </c>
      <c r="T79" s="14">
        <f>IF(T$3=0,DPL25Summary!T79,DPL25Summary!T79/T$3)</f>
        <v>0</v>
      </c>
      <c r="U79" s="910">
        <f t="shared" si="14"/>
        <v>0</v>
      </c>
      <c r="V79" s="14">
        <f>IF(V$3=0,DPL25Summary!V79,DPL25Summary!V79/V$3)</f>
        <v>0</v>
      </c>
      <c r="W79" s="910">
        <f t="shared" si="15"/>
        <v>0</v>
      </c>
      <c r="X79" s="14">
        <f>IF(X$3=0,DPL25Summary!X79,DPL25Summary!X79/X$3)</f>
        <v>0</v>
      </c>
      <c r="Y79" s="910">
        <f t="shared" si="16"/>
        <v>0</v>
      </c>
      <c r="Z79" s="15">
        <f t="shared" si="28"/>
        <v>0</v>
      </c>
      <c r="AA79" s="242" t="e">
        <f t="shared" ca="1" si="29"/>
        <v>#REF!</v>
      </c>
      <c r="AB79" s="104">
        <f>SUM('DPL24-Budget'!B79:$M79)</f>
        <v>121650</v>
      </c>
      <c r="AC79" s="929">
        <f t="shared" si="30"/>
        <v>1.2200000000000001E-2</v>
      </c>
      <c r="AD79" s="169">
        <f t="shared" si="25"/>
        <v>-121650</v>
      </c>
      <c r="AE79" s="150"/>
    </row>
    <row r="80" spans="1:31" s="4" customFormat="1">
      <c r="A80" s="757" t="s">
        <v>617</v>
      </c>
      <c r="B80" s="14">
        <f>IF(B$3=0,DPL25Summary!B80,DPL25Summary!B80/B$3)</f>
        <v>0</v>
      </c>
      <c r="C80" s="909">
        <f t="shared" ca="1" si="27"/>
        <v>0</v>
      </c>
      <c r="D80" s="14">
        <f>IF(D$3=0,DPL25Summary!D80,DPL25Summary!D80/D$3)</f>
        <v>0</v>
      </c>
      <c r="E80" s="909">
        <f t="shared" ca="1" si="6"/>
        <v>0</v>
      </c>
      <c r="F80" s="14">
        <f>IF(F$3=0,DPL25Summary!F80,DPL25Summary!F80/F$3)</f>
        <v>0</v>
      </c>
      <c r="G80" s="909">
        <f t="shared" ca="1" si="7"/>
        <v>0</v>
      </c>
      <c r="H80" s="14">
        <f>IF(H$3=0,DPL25Summary!H80,DPL25Summary!H80/H$3)</f>
        <v>0</v>
      </c>
      <c r="I80" s="910">
        <f t="shared" ca="1" si="8"/>
        <v>0</v>
      </c>
      <c r="J80" s="14">
        <f>IF(J$3=0,DPL25Summary!J80,DPL25Summary!J80/J$3)</f>
        <v>0</v>
      </c>
      <c r="K80" s="907">
        <f t="shared" si="9"/>
        <v>0</v>
      </c>
      <c r="L80" s="14">
        <f>IF(L$3=0,DPL25Summary!L80,DPL25Summary!L80/L$3)</f>
        <v>0</v>
      </c>
      <c r="M80" s="907">
        <f t="shared" si="10"/>
        <v>0</v>
      </c>
      <c r="N80" s="14">
        <f>IF(N$3=0,DPL25Summary!N80,DPL25Summary!N80/N$3)</f>
        <v>0</v>
      </c>
      <c r="O80" s="907">
        <f t="shared" si="11"/>
        <v>0</v>
      </c>
      <c r="P80" s="14">
        <f>IF(P$3=0,DPL25Summary!P80,DPL25Summary!P80/P$3)</f>
        <v>0</v>
      </c>
      <c r="Q80" s="907">
        <f t="shared" si="12"/>
        <v>0</v>
      </c>
      <c r="R80" s="14">
        <f>IF(R$3=0,DPL25Summary!R80,DPL25Summary!R80/R$3)</f>
        <v>0</v>
      </c>
      <c r="S80" s="910">
        <f t="shared" si="13"/>
        <v>0</v>
      </c>
      <c r="T80" s="14">
        <f>IF(T$3=0,DPL25Summary!T80,DPL25Summary!T80/T$3)</f>
        <v>0</v>
      </c>
      <c r="U80" s="910">
        <f t="shared" si="14"/>
        <v>0</v>
      </c>
      <c r="V80" s="14">
        <f>IF(V$3=0,DPL25Summary!V80,DPL25Summary!V80/V$3)</f>
        <v>0</v>
      </c>
      <c r="W80" s="910">
        <f t="shared" si="15"/>
        <v>0</v>
      </c>
      <c r="X80" s="14">
        <f>IF(X$3=0,DPL25Summary!X80,DPL25Summary!X80/X$3)</f>
        <v>0</v>
      </c>
      <c r="Y80" s="910">
        <f t="shared" si="16"/>
        <v>0</v>
      </c>
      <c r="Z80" s="15">
        <f t="shared" si="28"/>
        <v>0</v>
      </c>
      <c r="AA80" s="242" t="e">
        <f t="shared" ca="1" si="29"/>
        <v>#REF!</v>
      </c>
      <c r="AB80" s="104">
        <f>SUM('DPL24-Budget'!B80:$M80)</f>
        <v>0</v>
      </c>
      <c r="AC80" s="929">
        <f t="shared" si="30"/>
        <v>0</v>
      </c>
      <c r="AD80" s="169">
        <f t="shared" si="25"/>
        <v>0</v>
      </c>
      <c r="AE80" s="150"/>
    </row>
    <row r="81" spans="1:31" s="4" customFormat="1">
      <c r="A81" s="423" t="s">
        <v>74</v>
      </c>
      <c r="B81" s="14">
        <f ca="1">IF(B$3=0,DPL25Summary!B81,DPL25Summary!B81/B$3)</f>
        <v>1134</v>
      </c>
      <c r="C81" s="909">
        <f t="shared" ca="1" si="27"/>
        <v>0.41570000000000001</v>
      </c>
      <c r="D81" s="14">
        <f ca="1">IF(D$3=0,DPL25Summary!D81,DPL25Summary!D81/D$3)</f>
        <v>1112</v>
      </c>
      <c r="E81" s="909">
        <f t="shared" ref="E81:E89" ca="1" si="31">IFERROR(D81/$D$13,0)</f>
        <v>0.40760000000000002</v>
      </c>
      <c r="F81" s="14">
        <f ca="1">IF(F$3=0,DPL25Summary!F81,DPL25Summary!F81/F$3)</f>
        <v>1112</v>
      </c>
      <c r="G81" s="909">
        <f t="shared" ref="G81:G117" ca="1" si="32">IFERROR(F81/$F$13,0)</f>
        <v>0.40760000000000002</v>
      </c>
      <c r="H81" s="14">
        <f ca="1">IF(H$3=0,DPL25Summary!H81,DPL25Summary!H81/H$3)</f>
        <v>302</v>
      </c>
      <c r="I81" s="910">
        <f t="shared" ref="I81:I119" ca="1" si="33">IFERROR(H81/$H$13,0)</f>
        <v>0.111</v>
      </c>
      <c r="J81" s="14" t="e">
        <f>IF(J$3=0,DPL25Summary!J81,DPL25Summary!J81/J$3)</f>
        <v>#REF!</v>
      </c>
      <c r="K81" s="907">
        <f t="shared" ref="K81:K117" si="34">IFERROR(J81/$J$13,0)</f>
        <v>0</v>
      </c>
      <c r="L81" s="14" t="e">
        <f>IF(L$3=0,DPL25Summary!L81,DPL25Summary!L81/L$3)</f>
        <v>#REF!</v>
      </c>
      <c r="M81" s="907">
        <f t="shared" ref="M81:M117" si="35">IFERROR(L81/$L$13,0)</f>
        <v>0</v>
      </c>
      <c r="N81" s="14" t="e">
        <f>IF(N$3=0,DPL25Summary!N81,DPL25Summary!N81/N$3)</f>
        <v>#REF!</v>
      </c>
      <c r="O81" s="907">
        <f t="shared" ref="O81:O117" si="36">IFERROR(N81/$N$13,0)</f>
        <v>0</v>
      </c>
      <c r="P81" s="14" t="e">
        <f>IF(P$3=0,DPL25Summary!P81,DPL25Summary!P81/P$3)</f>
        <v>#REF!</v>
      </c>
      <c r="Q81" s="907">
        <f t="shared" ref="Q81:Q117" si="37">IFERROR(P81/$P$13,0)</f>
        <v>0</v>
      </c>
      <c r="R81" s="14" t="e">
        <f>IF(R$3=0,DPL25Summary!R81,DPL25Summary!R81/R$3)</f>
        <v>#REF!</v>
      </c>
      <c r="S81" s="910">
        <f t="shared" ref="S81:S117" si="38">IFERROR(R81/$R$13,0)</f>
        <v>0</v>
      </c>
      <c r="T81" s="14" t="e">
        <f>IF(T$3=0,DPL25Summary!T81,DPL25Summary!T81/T$3)</f>
        <v>#REF!</v>
      </c>
      <c r="U81" s="910">
        <f t="shared" ref="U81:U117" si="39">IFERROR(T81/$T$13,0)</f>
        <v>0</v>
      </c>
      <c r="V81" s="14" t="e">
        <f>IF(V$3=0,DPL25Summary!V81,DPL25Summary!V81/V$3)</f>
        <v>#REF!</v>
      </c>
      <c r="W81" s="910">
        <f t="shared" ref="W81:W117" si="40">IFERROR(V81/$V$13,0)</f>
        <v>0</v>
      </c>
      <c r="X81" s="14" t="e">
        <f>IF(X$3=0,DPL25Summary!X81,DPL25Summary!X81/X$3)</f>
        <v>#REF!</v>
      </c>
      <c r="Y81" s="910">
        <f t="shared" ref="Y81:Y117" si="41">IFERROR(X81/$X$13,0)</f>
        <v>0</v>
      </c>
      <c r="Z81" s="15" t="e">
        <f t="shared" ca="1" si="28"/>
        <v>#REF!</v>
      </c>
      <c r="AA81" s="242" t="e">
        <f t="shared" ca="1" si="29"/>
        <v>#REF!</v>
      </c>
      <c r="AB81" s="104">
        <f>SUM('DPL24-Budget'!B81:$M81)</f>
        <v>0</v>
      </c>
      <c r="AC81" s="929">
        <f t="shared" si="30"/>
        <v>0</v>
      </c>
      <c r="AD81" s="169" t="e">
        <f t="shared" ca="1" si="25"/>
        <v>#REF!</v>
      </c>
      <c r="AE81" s="150"/>
    </row>
    <row r="82" spans="1:31">
      <c r="A82" s="757" t="s">
        <v>75</v>
      </c>
      <c r="B82" s="14">
        <f>IF(B$3=0,DPL25Summary!B82,DPL25Summary!B82/B$3)</f>
        <v>0</v>
      </c>
      <c r="C82" s="909">
        <f t="shared" ca="1" si="27"/>
        <v>0</v>
      </c>
      <c r="D82" s="14">
        <f>IF(D$3=0,DPL25Summary!D82,DPL25Summary!D82/D$3)</f>
        <v>0</v>
      </c>
      <c r="E82" s="909">
        <f t="shared" ca="1" si="31"/>
        <v>0</v>
      </c>
      <c r="F82" s="14">
        <f>IF(F$3=0,DPL25Summary!F82,DPL25Summary!F82/F$3)</f>
        <v>0</v>
      </c>
      <c r="G82" s="909">
        <f t="shared" ca="1" si="32"/>
        <v>0</v>
      </c>
      <c r="H82" s="14">
        <f>IF(H$3=0,DPL25Summary!H82,DPL25Summary!H82/H$3)</f>
        <v>0</v>
      </c>
      <c r="I82" s="910">
        <f t="shared" ca="1" si="33"/>
        <v>0</v>
      </c>
      <c r="J82" s="14">
        <f>IF(J$3=0,DPL25Summary!J82,DPL25Summary!J82/J$3)</f>
        <v>0</v>
      </c>
      <c r="K82" s="907">
        <f t="shared" si="34"/>
        <v>0</v>
      </c>
      <c r="L82" s="14">
        <f>IF(L$3=0,DPL25Summary!L82,DPL25Summary!L82/L$3)</f>
        <v>0</v>
      </c>
      <c r="M82" s="907">
        <f t="shared" si="35"/>
        <v>0</v>
      </c>
      <c r="N82" s="14">
        <f>IF(N$3=0,DPL25Summary!N82,DPL25Summary!N82/N$3)</f>
        <v>0</v>
      </c>
      <c r="O82" s="907">
        <f t="shared" si="36"/>
        <v>0</v>
      </c>
      <c r="P82" s="14">
        <f>IF(P$3=0,DPL25Summary!P82,DPL25Summary!P82/P$3)</f>
        <v>0</v>
      </c>
      <c r="Q82" s="907">
        <f t="shared" si="37"/>
        <v>0</v>
      </c>
      <c r="R82" s="14">
        <f>IF(R$3=0,DPL25Summary!R82,DPL25Summary!R82/R$3)</f>
        <v>0</v>
      </c>
      <c r="S82" s="910">
        <f t="shared" si="38"/>
        <v>0</v>
      </c>
      <c r="T82" s="14">
        <f>IF(T$3=0,DPL25Summary!T82,DPL25Summary!T82/T$3)</f>
        <v>0</v>
      </c>
      <c r="U82" s="910">
        <f t="shared" si="39"/>
        <v>0</v>
      </c>
      <c r="V82" s="14">
        <f>IF(V$3=0,DPL25Summary!V82,DPL25Summary!V82/V$3)</f>
        <v>0</v>
      </c>
      <c r="W82" s="910">
        <f t="shared" si="40"/>
        <v>0</v>
      </c>
      <c r="X82" s="14">
        <f>IF(X$3=0,DPL25Summary!X82,DPL25Summary!X82/X$3)</f>
        <v>0</v>
      </c>
      <c r="Y82" s="910">
        <f t="shared" si="41"/>
        <v>0</v>
      </c>
      <c r="Z82" s="15">
        <f t="shared" si="28"/>
        <v>0</v>
      </c>
      <c r="AA82" s="242" t="e">
        <f t="shared" ca="1" si="29"/>
        <v>#REF!</v>
      </c>
      <c r="AB82" s="104">
        <f>SUM('DPL24-Budget'!B82:$M82)</f>
        <v>35</v>
      </c>
      <c r="AC82" s="929">
        <f t="shared" si="30"/>
        <v>0</v>
      </c>
      <c r="AD82" s="169">
        <f t="shared" si="25"/>
        <v>-35</v>
      </c>
      <c r="AE82" s="149"/>
    </row>
    <row r="83" spans="1:31" ht="13.5" thickBot="1">
      <c r="A83" s="6" t="s">
        <v>412</v>
      </c>
      <c r="B83" s="38">
        <f t="shared" ref="B83:X83" ca="1" si="42">SUM(B76:B82)</f>
        <v>1134</v>
      </c>
      <c r="C83" s="909">
        <f t="shared" ca="1" si="27"/>
        <v>0.41570000000000001</v>
      </c>
      <c r="D83" s="38">
        <f t="shared" ca="1" si="42"/>
        <v>1112</v>
      </c>
      <c r="E83" s="909">
        <f t="shared" ca="1" si="31"/>
        <v>0.40760000000000002</v>
      </c>
      <c r="F83" s="38">
        <f t="shared" ca="1" si="42"/>
        <v>1112</v>
      </c>
      <c r="G83" s="909">
        <f t="shared" ca="1" si="32"/>
        <v>0.40760000000000002</v>
      </c>
      <c r="H83" s="38">
        <f t="shared" ca="1" si="42"/>
        <v>302</v>
      </c>
      <c r="I83" s="910">
        <f t="shared" ca="1" si="33"/>
        <v>0.111</v>
      </c>
      <c r="J83" s="38" t="e">
        <f t="shared" si="42"/>
        <v>#REF!</v>
      </c>
      <c r="K83" s="907">
        <f t="shared" si="34"/>
        <v>0</v>
      </c>
      <c r="L83" s="38" t="e">
        <f t="shared" si="42"/>
        <v>#REF!</v>
      </c>
      <c r="M83" s="907">
        <f t="shared" si="35"/>
        <v>0</v>
      </c>
      <c r="N83" s="38" t="e">
        <f t="shared" si="42"/>
        <v>#REF!</v>
      </c>
      <c r="O83" s="907">
        <f t="shared" si="36"/>
        <v>0</v>
      </c>
      <c r="P83" s="38" t="e">
        <f t="shared" si="42"/>
        <v>#REF!</v>
      </c>
      <c r="Q83" s="907">
        <f t="shared" si="37"/>
        <v>0</v>
      </c>
      <c r="R83" s="38" t="e">
        <f t="shared" si="42"/>
        <v>#REF!</v>
      </c>
      <c r="S83" s="910">
        <f t="shared" si="38"/>
        <v>0</v>
      </c>
      <c r="T83" s="38" t="e">
        <f t="shared" si="42"/>
        <v>#REF!</v>
      </c>
      <c r="U83" s="910">
        <f t="shared" si="39"/>
        <v>0</v>
      </c>
      <c r="V83" s="38" t="e">
        <f t="shared" si="42"/>
        <v>#REF!</v>
      </c>
      <c r="W83" s="910">
        <f t="shared" si="40"/>
        <v>0</v>
      </c>
      <c r="X83" s="38" t="e">
        <f t="shared" si="42"/>
        <v>#REF!</v>
      </c>
      <c r="Y83" s="910">
        <f t="shared" si="41"/>
        <v>0</v>
      </c>
      <c r="Z83" s="38" t="e">
        <f t="shared" ca="1" si="28"/>
        <v>#REF!</v>
      </c>
      <c r="AA83" s="242" t="e">
        <f t="shared" ca="1" si="29"/>
        <v>#REF!</v>
      </c>
      <c r="AB83" s="107">
        <f>SUM(AB76:AB82)</f>
        <v>207459</v>
      </c>
      <c r="AC83" s="929">
        <f t="shared" si="30"/>
        <v>2.07E-2</v>
      </c>
      <c r="AD83" s="169" t="e">
        <f t="shared" ca="1" si="25"/>
        <v>#REF!</v>
      </c>
      <c r="AE83" s="149"/>
    </row>
    <row r="84" spans="1:31" ht="13.5" thickTop="1">
      <c r="A84" s="757"/>
      <c r="B84" s="14"/>
      <c r="C84" s="902"/>
      <c r="D84" s="14"/>
      <c r="E84" s="909">
        <f t="shared" ca="1" si="31"/>
        <v>0</v>
      </c>
      <c r="F84" s="14"/>
      <c r="G84" s="909">
        <f t="shared" ca="1" si="32"/>
        <v>0</v>
      </c>
      <c r="H84" s="14"/>
      <c r="I84" s="910">
        <f t="shared" ca="1" si="33"/>
        <v>0</v>
      </c>
      <c r="J84" s="14"/>
      <c r="K84" s="907">
        <f t="shared" si="34"/>
        <v>0</v>
      </c>
      <c r="L84" s="14"/>
      <c r="M84" s="907">
        <f t="shared" si="35"/>
        <v>0</v>
      </c>
      <c r="N84" s="14"/>
      <c r="O84" s="907">
        <f t="shared" si="36"/>
        <v>0</v>
      </c>
      <c r="P84" s="14"/>
      <c r="Q84" s="907">
        <f t="shared" si="37"/>
        <v>0</v>
      </c>
      <c r="R84" s="14"/>
      <c r="S84" s="910">
        <f t="shared" si="38"/>
        <v>0</v>
      </c>
      <c r="T84" s="14"/>
      <c r="U84" s="910">
        <f t="shared" si="39"/>
        <v>0</v>
      </c>
      <c r="V84" s="14"/>
      <c r="W84" s="910">
        <f t="shared" si="40"/>
        <v>0</v>
      </c>
      <c r="X84" s="14"/>
      <c r="Y84" s="910">
        <f t="shared" si="41"/>
        <v>0</v>
      </c>
      <c r="Z84" s="15"/>
      <c r="AA84" s="242"/>
      <c r="AB84" s="104"/>
      <c r="AC84" s="104"/>
      <c r="AD84" s="169">
        <f t="shared" si="25"/>
        <v>0</v>
      </c>
      <c r="AE84" s="149"/>
    </row>
    <row r="85" spans="1:31">
      <c r="A85" s="6" t="s">
        <v>413</v>
      </c>
      <c r="B85" s="14">
        <f ca="1">IF(B$3=0,DPL25Summary!B85,DPL25Summary!B85/B$3)</f>
        <v>69</v>
      </c>
      <c r="C85" s="907">
        <f t="shared" ca="1" si="27"/>
        <v>0.03</v>
      </c>
      <c r="D85" s="14">
        <f ca="1">IF(D$3=0,DPL25Summary!D85,DPL25Summary!D85/D$3)</f>
        <v>440</v>
      </c>
      <c r="E85" s="909">
        <f t="shared" ca="1" si="31"/>
        <v>0.1613</v>
      </c>
      <c r="F85" s="14">
        <f ca="1">IF(F$3=0,DPL25Summary!F85,DPL25Summary!F85/F$3)</f>
        <v>440</v>
      </c>
      <c r="G85" s="909">
        <f t="shared" ca="1" si="32"/>
        <v>0.1613</v>
      </c>
      <c r="H85" s="14">
        <f ca="1">IF(H$3=0,DPL25Summary!H85,DPL25Summary!H85/H$3)</f>
        <v>-684</v>
      </c>
      <c r="I85" s="910">
        <f t="shared" ca="1" si="33"/>
        <v>-0.251</v>
      </c>
      <c r="J85" s="14" t="e">
        <f>IF(J$3=0,DPL25Summary!J85,DPL25Summary!J85/J$3)</f>
        <v>#REF!</v>
      </c>
      <c r="K85" s="907">
        <f t="shared" si="34"/>
        <v>0</v>
      </c>
      <c r="L85" s="14" t="e">
        <f>IF(L$3=0,DPL25Summary!L85,DPL25Summary!L85/L$3)</f>
        <v>#REF!</v>
      </c>
      <c r="M85" s="907">
        <f t="shared" si="35"/>
        <v>0</v>
      </c>
      <c r="N85" s="14" t="e">
        <f>IF(N$3=0,DPL25Summary!N85,DPL25Summary!N85/N$3)</f>
        <v>#REF!</v>
      </c>
      <c r="O85" s="907">
        <f t="shared" si="36"/>
        <v>0</v>
      </c>
      <c r="P85" s="14" t="e">
        <f>IF(P$3=0,DPL25Summary!P85,DPL25Summary!P85/P$3)</f>
        <v>#REF!</v>
      </c>
      <c r="Q85" s="907">
        <f t="shared" si="37"/>
        <v>0</v>
      </c>
      <c r="R85" s="14" t="e">
        <f>IF(R$3=0,DPL25Summary!R85,DPL25Summary!R85/R$3)</f>
        <v>#REF!</v>
      </c>
      <c r="S85" s="910">
        <f t="shared" si="38"/>
        <v>0</v>
      </c>
      <c r="T85" s="14" t="e">
        <f>IF(T$3=0,DPL25Summary!T85,DPL25Summary!T85/T$3)</f>
        <v>#REF!</v>
      </c>
      <c r="U85" s="910">
        <f t="shared" si="39"/>
        <v>0</v>
      </c>
      <c r="V85" s="14" t="e">
        <f>IF(V$3=0,DPL25Summary!V85,DPL25Summary!V85/V$3)</f>
        <v>#REF!</v>
      </c>
      <c r="W85" s="910">
        <f t="shared" si="40"/>
        <v>0</v>
      </c>
      <c r="X85" s="14"/>
      <c r="Y85" s="910">
        <f t="shared" si="41"/>
        <v>0</v>
      </c>
      <c r="Z85" s="15" t="e">
        <f ca="1">+Z13-Z49-Z72-Z83</f>
        <v>#REF!</v>
      </c>
      <c r="AA85" s="241" t="e">
        <f t="shared" ca="1" si="29"/>
        <v>#REF!</v>
      </c>
      <c r="AB85" s="15">
        <f>+AB13-AB49-AB72-AB83</f>
        <v>3013165</v>
      </c>
      <c r="AC85" s="104"/>
      <c r="AD85" s="169"/>
      <c r="AE85" s="149"/>
    </row>
    <row r="86" spans="1:31">
      <c r="A86" s="757"/>
      <c r="B86" s="14"/>
      <c r="C86" s="902"/>
      <c r="D86" s="14"/>
      <c r="E86" s="909">
        <f t="shared" ca="1" si="31"/>
        <v>0</v>
      </c>
      <c r="F86" s="14"/>
      <c r="G86" s="909">
        <f t="shared" ca="1" si="32"/>
        <v>0</v>
      </c>
      <c r="H86" s="14"/>
      <c r="I86" s="910">
        <f t="shared" ca="1" si="33"/>
        <v>0</v>
      </c>
      <c r="J86" s="14"/>
      <c r="K86" s="907">
        <f t="shared" si="34"/>
        <v>0</v>
      </c>
      <c r="L86" s="14"/>
      <c r="M86" s="907">
        <f t="shared" si="35"/>
        <v>0</v>
      </c>
      <c r="N86" s="14"/>
      <c r="O86" s="907">
        <f t="shared" si="36"/>
        <v>0</v>
      </c>
      <c r="P86" s="14"/>
      <c r="Q86" s="907">
        <f t="shared" si="37"/>
        <v>0</v>
      </c>
      <c r="R86" s="14"/>
      <c r="S86" s="910">
        <f t="shared" si="38"/>
        <v>0</v>
      </c>
      <c r="T86" s="14"/>
      <c r="U86" s="910">
        <f t="shared" si="39"/>
        <v>0</v>
      </c>
      <c r="V86" s="14"/>
      <c r="W86" s="910">
        <f t="shared" si="40"/>
        <v>0</v>
      </c>
      <c r="X86" s="14"/>
      <c r="Y86" s="910">
        <f t="shared" si="41"/>
        <v>0</v>
      </c>
      <c r="Z86" s="15"/>
      <c r="AA86" s="242"/>
      <c r="AB86" s="104"/>
      <c r="AC86" s="104"/>
      <c r="AD86" s="169"/>
      <c r="AE86" s="149"/>
    </row>
    <row r="87" spans="1:31" s="4" customFormat="1">
      <c r="A87" s="6" t="s">
        <v>415</v>
      </c>
      <c r="B87" s="14">
        <f>IF(B$3=0,DPL25Summary!B87,DPL25Summary!B87/B$3)</f>
        <v>0</v>
      </c>
      <c r="C87" s="909">
        <f ca="1">+B87/$B$13</f>
        <v>0</v>
      </c>
      <c r="D87" s="14">
        <f>IF(D$3=0,DPL25Summary!D87,DPL25Summary!D87/D$3)</f>
        <v>0</v>
      </c>
      <c r="E87" s="909">
        <f t="shared" ca="1" si="31"/>
        <v>0</v>
      </c>
      <c r="F87" s="14">
        <f>IF(F$3=0,DPL25Summary!F87,DPL25Summary!F87/F$3)</f>
        <v>0</v>
      </c>
      <c r="G87" s="909">
        <f t="shared" ca="1" si="32"/>
        <v>0</v>
      </c>
      <c r="H87" s="14">
        <f>IF(H$3=0,DPL25Summary!H87,DPL25Summary!H87/H$3)</f>
        <v>0</v>
      </c>
      <c r="I87" s="910">
        <f t="shared" ca="1" si="33"/>
        <v>0</v>
      </c>
      <c r="J87" s="14">
        <f>IF(J$3=0,DPL25Summary!J87,DPL25Summary!J87/J$3)</f>
        <v>0</v>
      </c>
      <c r="K87" s="907">
        <f t="shared" si="34"/>
        <v>0</v>
      </c>
      <c r="L87" s="14">
        <f>IF(L$3=0,DPL25Summary!L87,DPL25Summary!L87/L$3)</f>
        <v>0</v>
      </c>
      <c r="M87" s="907">
        <f t="shared" si="35"/>
        <v>0</v>
      </c>
      <c r="N87" s="14">
        <f>IF(N$3=0,DPL25Summary!N87,DPL25Summary!N87/N$3)</f>
        <v>0</v>
      </c>
      <c r="O87" s="907">
        <f t="shared" si="36"/>
        <v>0</v>
      </c>
      <c r="P87" s="14">
        <f>IF(P$3=0,DPL25Summary!P87,DPL25Summary!P87/P$3)</f>
        <v>0</v>
      </c>
      <c r="Q87" s="907">
        <f t="shared" si="37"/>
        <v>0</v>
      </c>
      <c r="R87" s="14">
        <f>IF(R$3=0,DPL25Summary!R87,DPL25Summary!R87/R$3)</f>
        <v>0</v>
      </c>
      <c r="S87" s="910">
        <f t="shared" si="38"/>
        <v>0</v>
      </c>
      <c r="T87" s="14">
        <f>IF(T$3=0,DPL25Summary!T87,DPL25Summary!T87/T$3)</f>
        <v>0</v>
      </c>
      <c r="U87" s="910">
        <f t="shared" si="39"/>
        <v>0</v>
      </c>
      <c r="V87" s="14">
        <f>IF(V$3=0,DPL25Summary!V87,DPL25Summary!V87/V$3)</f>
        <v>0</v>
      </c>
      <c r="W87" s="910">
        <f t="shared" si="40"/>
        <v>0</v>
      </c>
      <c r="X87" s="14">
        <f>IF(X$3=0,DPL25Summary!X87,DPL25Summary!X87/X$3)</f>
        <v>0</v>
      </c>
      <c r="Y87" s="910">
        <f t="shared" si="41"/>
        <v>0</v>
      </c>
      <c r="Z87" s="15">
        <f>+B87+D87+F87+H87+J87+L87+N87+P87+R87+T87+V87+X87</f>
        <v>0</v>
      </c>
      <c r="AA87" s="241" t="e">
        <f t="shared" ca="1" si="29"/>
        <v>#REF!</v>
      </c>
      <c r="AB87" s="104">
        <f>SUM('DPL24-Budget'!B85:$M85)</f>
        <v>1059833</v>
      </c>
      <c r="AC87" s="929">
        <f>+AB87/$AB$13</f>
        <v>0.10589999999999999</v>
      </c>
      <c r="AD87" s="169">
        <f t="shared" si="25"/>
        <v>-1059833</v>
      </c>
      <c r="AE87" s="150"/>
    </row>
    <row r="88" spans="1:31">
      <c r="A88" s="757" t="s">
        <v>59</v>
      </c>
      <c r="B88" s="20"/>
      <c r="C88" s="902"/>
      <c r="D88" s="20"/>
      <c r="E88" s="909">
        <f t="shared" ca="1" si="31"/>
        <v>0</v>
      </c>
      <c r="F88" s="20"/>
      <c r="G88" s="909">
        <f t="shared" ca="1" si="32"/>
        <v>0</v>
      </c>
      <c r="H88" s="20"/>
      <c r="I88" s="910">
        <f t="shared" ca="1" si="33"/>
        <v>0</v>
      </c>
      <c r="J88" s="20"/>
      <c r="K88" s="907">
        <f t="shared" si="34"/>
        <v>0</v>
      </c>
      <c r="L88" s="20"/>
      <c r="M88" s="907">
        <f t="shared" si="35"/>
        <v>0</v>
      </c>
      <c r="N88" s="20"/>
      <c r="O88" s="907">
        <f t="shared" si="36"/>
        <v>0</v>
      </c>
      <c r="P88" s="20"/>
      <c r="Q88" s="907">
        <f t="shared" si="37"/>
        <v>0</v>
      </c>
      <c r="R88" s="20"/>
      <c r="S88" s="910">
        <f t="shared" si="38"/>
        <v>0</v>
      </c>
      <c r="T88" s="20"/>
      <c r="U88" s="910">
        <f t="shared" si="39"/>
        <v>0</v>
      </c>
      <c r="V88" s="20"/>
      <c r="W88" s="910">
        <f t="shared" si="40"/>
        <v>0</v>
      </c>
      <c r="X88" s="20"/>
      <c r="Y88" s="910">
        <f t="shared" si="41"/>
        <v>0</v>
      </c>
      <c r="Z88" s="15"/>
      <c r="AA88" s="241"/>
      <c r="AB88" s="104"/>
      <c r="AC88" s="104"/>
      <c r="AD88" s="169">
        <f t="shared" si="25"/>
        <v>0</v>
      </c>
      <c r="AE88" s="149"/>
    </row>
    <row r="89" spans="1:31" s="1" customFormat="1" ht="13.5" thickBot="1">
      <c r="A89" s="6" t="s">
        <v>416</v>
      </c>
      <c r="B89" s="26">
        <f t="shared" ref="B89:Z89" ca="1" si="43">B13-B49-B72-B83-B87</f>
        <v>69</v>
      </c>
      <c r="C89" s="907">
        <f ca="1">+B89/$B$13</f>
        <v>0.03</v>
      </c>
      <c r="D89" s="26">
        <f t="shared" ca="1" si="43"/>
        <v>440</v>
      </c>
      <c r="E89" s="909">
        <f t="shared" ca="1" si="31"/>
        <v>0.1613</v>
      </c>
      <c r="F89" s="26">
        <f t="shared" ca="1" si="43"/>
        <v>440</v>
      </c>
      <c r="G89" s="909">
        <f t="shared" ca="1" si="32"/>
        <v>0.1613</v>
      </c>
      <c r="H89" s="26">
        <f t="shared" ca="1" si="43"/>
        <v>-684</v>
      </c>
      <c r="I89" s="910">
        <f t="shared" ca="1" si="33"/>
        <v>-0.251</v>
      </c>
      <c r="J89" s="26" t="e">
        <f t="shared" si="43"/>
        <v>#REF!</v>
      </c>
      <c r="K89" s="907">
        <f t="shared" si="34"/>
        <v>0</v>
      </c>
      <c r="L89" s="26" t="e">
        <f t="shared" si="43"/>
        <v>#REF!</v>
      </c>
      <c r="M89" s="907">
        <f t="shared" si="35"/>
        <v>0</v>
      </c>
      <c r="N89" s="26" t="e">
        <f t="shared" si="43"/>
        <v>#REF!</v>
      </c>
      <c r="O89" s="907">
        <f t="shared" si="36"/>
        <v>0</v>
      </c>
      <c r="P89" s="26" t="e">
        <f t="shared" si="43"/>
        <v>#REF!</v>
      </c>
      <c r="Q89" s="907">
        <f t="shared" si="37"/>
        <v>0</v>
      </c>
      <c r="R89" s="26" t="e">
        <f t="shared" si="43"/>
        <v>#REF!</v>
      </c>
      <c r="S89" s="910">
        <f t="shared" si="38"/>
        <v>0</v>
      </c>
      <c r="T89" s="26" t="e">
        <f t="shared" si="43"/>
        <v>#REF!</v>
      </c>
      <c r="U89" s="910">
        <f t="shared" si="39"/>
        <v>0</v>
      </c>
      <c r="V89" s="26" t="e">
        <f t="shared" si="43"/>
        <v>#REF!</v>
      </c>
      <c r="W89" s="910">
        <f t="shared" si="40"/>
        <v>0</v>
      </c>
      <c r="X89" s="26" t="e">
        <f t="shared" si="43"/>
        <v>#REF!</v>
      </c>
      <c r="Y89" s="910">
        <f t="shared" si="41"/>
        <v>0</v>
      </c>
      <c r="Z89" s="26" t="e">
        <f t="shared" ca="1" si="43"/>
        <v>#REF!</v>
      </c>
      <c r="AA89" s="241" t="e">
        <f t="shared" ca="1" si="29"/>
        <v>#REF!</v>
      </c>
      <c r="AB89" s="108">
        <f>SUM('DPL24-Budget'!B87:$M87)</f>
        <v>1953332</v>
      </c>
      <c r="AC89" s="929">
        <f>+AB89/$AB$13</f>
        <v>0.1953</v>
      </c>
      <c r="AD89" s="169" t="e">
        <f t="shared" ca="1" si="25"/>
        <v>#REF!</v>
      </c>
      <c r="AE89" s="154"/>
    </row>
    <row r="90" spans="1:31">
      <c r="B90" s="2"/>
      <c r="C90" s="901"/>
      <c r="D90" s="2"/>
      <c r="E90" s="901"/>
      <c r="F90" s="2"/>
      <c r="G90" s="909">
        <f t="shared" ca="1" si="32"/>
        <v>0</v>
      </c>
      <c r="H90" s="2"/>
      <c r="I90" s="910">
        <f t="shared" ca="1" si="33"/>
        <v>0</v>
      </c>
      <c r="J90" s="2"/>
      <c r="K90" s="907">
        <f t="shared" si="34"/>
        <v>0</v>
      </c>
      <c r="L90" s="2"/>
      <c r="M90" s="907">
        <f t="shared" si="35"/>
        <v>0</v>
      </c>
      <c r="N90" s="2"/>
      <c r="O90" s="907">
        <f t="shared" si="36"/>
        <v>0</v>
      </c>
      <c r="P90" s="2"/>
      <c r="Q90" s="907">
        <f t="shared" si="37"/>
        <v>0</v>
      </c>
      <c r="R90" s="2"/>
      <c r="S90" s="910">
        <f t="shared" si="38"/>
        <v>0</v>
      </c>
      <c r="T90" s="2"/>
      <c r="U90" s="910">
        <f t="shared" si="39"/>
        <v>0</v>
      </c>
      <c r="V90" s="2"/>
      <c r="W90" s="910">
        <f t="shared" si="40"/>
        <v>0</v>
      </c>
      <c r="X90" s="2"/>
      <c r="Y90" s="910">
        <f t="shared" si="41"/>
        <v>0</v>
      </c>
      <c r="Z90" s="7"/>
      <c r="AB90" s="104"/>
      <c r="AC90" s="104"/>
      <c r="AE90" s="149"/>
    </row>
    <row r="91" spans="1:31">
      <c r="B91" s="142">
        <f t="shared" ref="B91:Z91" ca="1" si="44">+B89/B13</f>
        <v>0.03</v>
      </c>
      <c r="C91" s="913"/>
      <c r="D91" s="12">
        <f t="shared" ca="1" si="44"/>
        <v>0.1613</v>
      </c>
      <c r="E91" s="939"/>
      <c r="F91" s="12">
        <f t="shared" ca="1" si="44"/>
        <v>0.1613</v>
      </c>
      <c r="G91" s="909">
        <f t="shared" ca="1" si="32"/>
        <v>1E-4</v>
      </c>
      <c r="H91" s="142">
        <f t="shared" ca="1" si="44"/>
        <v>-0.25</v>
      </c>
      <c r="I91" s="910">
        <f t="shared" ca="1" si="33"/>
        <v>0</v>
      </c>
      <c r="J91" s="142" t="e">
        <f t="shared" si="44"/>
        <v>#REF!</v>
      </c>
      <c r="K91" s="907">
        <f t="shared" si="34"/>
        <v>0</v>
      </c>
      <c r="L91" s="142" t="e">
        <f t="shared" si="44"/>
        <v>#REF!</v>
      </c>
      <c r="M91" s="907">
        <f t="shared" si="35"/>
        <v>0</v>
      </c>
      <c r="N91" s="142" t="e">
        <f t="shared" si="44"/>
        <v>#REF!</v>
      </c>
      <c r="O91" s="907">
        <f t="shared" si="36"/>
        <v>0</v>
      </c>
      <c r="P91" s="142" t="e">
        <f t="shared" si="44"/>
        <v>#REF!</v>
      </c>
      <c r="Q91" s="907">
        <f t="shared" si="37"/>
        <v>0</v>
      </c>
      <c r="R91" s="142" t="e">
        <f t="shared" si="44"/>
        <v>#REF!</v>
      </c>
      <c r="S91" s="910">
        <f t="shared" si="38"/>
        <v>0</v>
      </c>
      <c r="T91" s="142" t="e">
        <f t="shared" si="44"/>
        <v>#REF!</v>
      </c>
      <c r="U91" s="910">
        <f t="shared" si="39"/>
        <v>0</v>
      </c>
      <c r="V91" s="142" t="e">
        <f t="shared" si="44"/>
        <v>#REF!</v>
      </c>
      <c r="W91" s="910">
        <f t="shared" si="40"/>
        <v>0</v>
      </c>
      <c r="X91" s="142" t="e">
        <f t="shared" si="44"/>
        <v>#REF!</v>
      </c>
      <c r="Y91" s="910">
        <f t="shared" si="41"/>
        <v>0</v>
      </c>
      <c r="Z91" s="12" t="e">
        <f t="shared" ca="1" si="44"/>
        <v>#REF!</v>
      </c>
      <c r="AB91" s="12">
        <f>+AB89/AB13</f>
        <v>0.1953</v>
      </c>
      <c r="AC91" s="12"/>
      <c r="AE91" s="149"/>
    </row>
    <row r="92" spans="1:31" s="48" customFormat="1">
      <c r="A92" s="138" t="s">
        <v>541</v>
      </c>
      <c r="B92" s="139">
        <f ca="1">B89+B87+B78+B69+B46+B45+B70+B81</f>
        <v>1203</v>
      </c>
      <c r="C92" s="305"/>
      <c r="D92" s="139">
        <f t="shared" ref="D92:Z92" ca="1" si="45">D89+D87+D78+D69+D46+D45+D70+D81</f>
        <v>1552</v>
      </c>
      <c r="E92" s="305"/>
      <c r="F92" s="139">
        <f t="shared" ca="1" si="45"/>
        <v>1552</v>
      </c>
      <c r="G92" s="909">
        <f t="shared" ca="1" si="32"/>
        <v>0.56889999999999996</v>
      </c>
      <c r="H92" s="139">
        <f t="shared" ca="1" si="45"/>
        <v>-382</v>
      </c>
      <c r="I92" s="910">
        <f t="shared" ca="1" si="33"/>
        <v>-0.14000000000000001</v>
      </c>
      <c r="J92" s="139" t="e">
        <f t="shared" si="45"/>
        <v>#REF!</v>
      </c>
      <c r="K92" s="907">
        <f t="shared" si="34"/>
        <v>0</v>
      </c>
      <c r="L92" s="139" t="e">
        <f t="shared" si="45"/>
        <v>#REF!</v>
      </c>
      <c r="M92" s="907">
        <f t="shared" si="35"/>
        <v>0</v>
      </c>
      <c r="N92" s="139" t="e">
        <f t="shared" si="45"/>
        <v>#REF!</v>
      </c>
      <c r="O92" s="907">
        <f t="shared" si="36"/>
        <v>0</v>
      </c>
      <c r="P92" s="139" t="e">
        <f t="shared" si="45"/>
        <v>#REF!</v>
      </c>
      <c r="Q92" s="907">
        <f t="shared" si="37"/>
        <v>0</v>
      </c>
      <c r="R92" s="139" t="e">
        <f t="shared" si="45"/>
        <v>#REF!</v>
      </c>
      <c r="S92" s="910">
        <f t="shared" si="38"/>
        <v>0</v>
      </c>
      <c r="T92" s="139" t="e">
        <f t="shared" si="45"/>
        <v>#REF!</v>
      </c>
      <c r="U92" s="910">
        <f t="shared" si="39"/>
        <v>0</v>
      </c>
      <c r="V92" s="139" t="e">
        <f t="shared" si="45"/>
        <v>#REF!</v>
      </c>
      <c r="W92" s="910">
        <f t="shared" si="40"/>
        <v>0</v>
      </c>
      <c r="X92" s="139" t="e">
        <f t="shared" si="45"/>
        <v>#REF!</v>
      </c>
      <c r="Y92" s="910">
        <f t="shared" si="41"/>
        <v>0</v>
      </c>
      <c r="Z92" s="139" t="e">
        <f t="shared" ca="1" si="45"/>
        <v>#REF!</v>
      </c>
      <c r="AA92" s="940"/>
      <c r="AB92" s="105"/>
      <c r="AC92" s="105"/>
      <c r="AD92" s="138"/>
      <c r="AE92" s="941"/>
    </row>
    <row r="93" spans="1:31">
      <c r="C93" s="494"/>
      <c r="E93" s="494"/>
      <c r="G93" s="909">
        <f t="shared" ca="1" si="32"/>
        <v>0</v>
      </c>
      <c r="I93" s="910">
        <f t="shared" ca="1" si="33"/>
        <v>0</v>
      </c>
      <c r="K93" s="907">
        <f t="shared" si="34"/>
        <v>0</v>
      </c>
      <c r="M93" s="907">
        <f t="shared" si="35"/>
        <v>0</v>
      </c>
      <c r="O93" s="907">
        <f t="shared" si="36"/>
        <v>0</v>
      </c>
      <c r="Q93" s="907">
        <f t="shared" si="37"/>
        <v>0</v>
      </c>
      <c r="S93" s="910">
        <f t="shared" si="38"/>
        <v>0</v>
      </c>
      <c r="U93" s="910">
        <f t="shared" si="39"/>
        <v>0</v>
      </c>
      <c r="W93" s="910">
        <f t="shared" si="40"/>
        <v>0</v>
      </c>
      <c r="Y93" s="910">
        <f t="shared" si="41"/>
        <v>0</v>
      </c>
      <c r="AB93" s="104"/>
      <c r="AC93" s="104"/>
      <c r="AE93" s="149"/>
    </row>
    <row r="94" spans="1:31">
      <c r="B94" s="142">
        <f t="shared" ref="B94:Z94" ca="1" si="46">(B89+B87)/B13</f>
        <v>0.03</v>
      </c>
      <c r="C94" s="913"/>
      <c r="D94" s="142">
        <f t="shared" ca="1" si="46"/>
        <v>0.16</v>
      </c>
      <c r="E94" s="913"/>
      <c r="F94" s="142">
        <f t="shared" ca="1" si="46"/>
        <v>0.16</v>
      </c>
      <c r="G94" s="909">
        <f t="shared" ca="1" si="32"/>
        <v>1E-4</v>
      </c>
      <c r="H94" s="142">
        <f t="shared" ca="1" si="46"/>
        <v>-0.25</v>
      </c>
      <c r="I94" s="910">
        <f t="shared" ca="1" si="33"/>
        <v>0</v>
      </c>
      <c r="J94" s="142" t="e">
        <f t="shared" si="46"/>
        <v>#REF!</v>
      </c>
      <c r="K94" s="907">
        <f t="shared" si="34"/>
        <v>0</v>
      </c>
      <c r="L94" s="142" t="e">
        <f t="shared" si="46"/>
        <v>#REF!</v>
      </c>
      <c r="M94" s="907">
        <f t="shared" si="35"/>
        <v>0</v>
      </c>
      <c r="N94" s="142" t="e">
        <f t="shared" si="46"/>
        <v>#REF!</v>
      </c>
      <c r="O94" s="907">
        <f t="shared" si="36"/>
        <v>0</v>
      </c>
      <c r="P94" s="142" t="e">
        <f t="shared" si="46"/>
        <v>#REF!</v>
      </c>
      <c r="Q94" s="907">
        <f t="shared" si="37"/>
        <v>0</v>
      </c>
      <c r="R94" s="142" t="e">
        <f t="shared" si="46"/>
        <v>#REF!</v>
      </c>
      <c r="S94" s="910">
        <f t="shared" si="38"/>
        <v>0</v>
      </c>
      <c r="T94" s="142" t="e">
        <f t="shared" si="46"/>
        <v>#REF!</v>
      </c>
      <c r="U94" s="910">
        <f t="shared" si="39"/>
        <v>0</v>
      </c>
      <c r="V94" s="142" t="e">
        <f t="shared" si="46"/>
        <v>#REF!</v>
      </c>
      <c r="W94" s="910">
        <f t="shared" si="40"/>
        <v>0</v>
      </c>
      <c r="X94" s="142" t="e">
        <f t="shared" si="46"/>
        <v>#REF!</v>
      </c>
      <c r="Y94" s="910">
        <f t="shared" si="41"/>
        <v>0</v>
      </c>
      <c r="Z94" s="142" t="e">
        <f t="shared" ca="1" si="46"/>
        <v>#REF!</v>
      </c>
      <c r="AB94" s="104"/>
      <c r="AC94" s="104"/>
      <c r="AE94" s="149"/>
    </row>
    <row r="95" spans="1:31">
      <c r="C95" s="494"/>
      <c r="D95" s="21"/>
      <c r="E95" s="21"/>
      <c r="F95" s="192"/>
      <c r="G95" s="909">
        <f t="shared" ca="1" si="32"/>
        <v>0</v>
      </c>
      <c r="H95" s="21"/>
      <c r="I95" s="910">
        <f t="shared" ca="1" si="33"/>
        <v>0</v>
      </c>
      <c r="J95" s="21"/>
      <c r="K95" s="907">
        <f t="shared" si="34"/>
        <v>0</v>
      </c>
      <c r="L95" s="21"/>
      <c r="M95" s="907">
        <f t="shared" si="35"/>
        <v>0</v>
      </c>
      <c r="N95" s="73"/>
      <c r="O95" s="907">
        <f t="shared" si="36"/>
        <v>0</v>
      </c>
      <c r="P95" s="73"/>
      <c r="Q95" s="907">
        <f t="shared" si="37"/>
        <v>0</v>
      </c>
      <c r="R95" s="73"/>
      <c r="S95" s="910">
        <f t="shared" si="38"/>
        <v>0</v>
      </c>
      <c r="T95" s="21"/>
      <c r="U95" s="910">
        <f t="shared" si="39"/>
        <v>0</v>
      </c>
      <c r="V95" s="192"/>
      <c r="W95" s="910">
        <f t="shared" si="40"/>
        <v>0</v>
      </c>
      <c r="X95" s="21"/>
      <c r="Y95" s="910">
        <f t="shared" si="41"/>
        <v>0</v>
      </c>
      <c r="Z95" s="21"/>
    </row>
    <row r="96" spans="1:31">
      <c r="C96" s="494"/>
      <c r="E96" s="494"/>
      <c r="G96" s="909">
        <f t="shared" ca="1" si="32"/>
        <v>0</v>
      </c>
      <c r="I96" s="910">
        <f t="shared" ca="1" si="33"/>
        <v>0</v>
      </c>
      <c r="J96" s="8"/>
      <c r="K96" s="907">
        <f t="shared" si="34"/>
        <v>0</v>
      </c>
      <c r="M96" s="907">
        <f t="shared" si="35"/>
        <v>0</v>
      </c>
      <c r="N96" s="63"/>
      <c r="O96" s="907">
        <f t="shared" si="36"/>
        <v>0</v>
      </c>
      <c r="Q96" s="907">
        <f t="shared" si="37"/>
        <v>0</v>
      </c>
      <c r="R96" s="8"/>
      <c r="S96" s="910">
        <f t="shared" si="38"/>
        <v>0</v>
      </c>
      <c r="U96" s="910">
        <f t="shared" si="39"/>
        <v>0</v>
      </c>
      <c r="W96" s="910">
        <f t="shared" si="40"/>
        <v>0</v>
      </c>
      <c r="X96" s="8"/>
      <c r="Y96" s="910">
        <f t="shared" si="41"/>
        <v>0</v>
      </c>
    </row>
    <row r="97" spans="1:27">
      <c r="C97" s="494"/>
      <c r="D97" s="21"/>
      <c r="E97" s="21"/>
      <c r="F97" s="21"/>
      <c r="G97" s="909">
        <f t="shared" ca="1" si="32"/>
        <v>0</v>
      </c>
      <c r="H97" s="21"/>
      <c r="I97" s="910">
        <f t="shared" ca="1" si="33"/>
        <v>0</v>
      </c>
      <c r="J97" s="21"/>
      <c r="K97" s="907">
        <f t="shared" si="34"/>
        <v>0</v>
      </c>
      <c r="L97" s="21"/>
      <c r="M97" s="907">
        <f t="shared" si="35"/>
        <v>0</v>
      </c>
      <c r="N97" s="21"/>
      <c r="O97" s="907">
        <f t="shared" si="36"/>
        <v>0</v>
      </c>
      <c r="P97" s="21"/>
      <c r="Q97" s="907">
        <f t="shared" si="37"/>
        <v>0</v>
      </c>
      <c r="R97" s="21"/>
      <c r="S97" s="910">
        <f t="shared" si="38"/>
        <v>0</v>
      </c>
      <c r="T97" s="21"/>
      <c r="U97" s="910">
        <f t="shared" si="39"/>
        <v>0</v>
      </c>
      <c r="V97" s="21"/>
      <c r="W97" s="910">
        <f t="shared" si="40"/>
        <v>0</v>
      </c>
      <c r="X97" s="21"/>
      <c r="Y97" s="910">
        <f t="shared" si="41"/>
        <v>0</v>
      </c>
      <c r="Z97" s="21"/>
    </row>
    <row r="98" spans="1:27">
      <c r="A98" s="493" t="s">
        <v>618</v>
      </c>
      <c r="B98" s="156">
        <f ca="1">+B13</f>
        <v>2728</v>
      </c>
      <c r="C98" s="156"/>
      <c r="D98" s="156">
        <f t="shared" ref="D98:Z98" ca="1" si="47">+D13</f>
        <v>2728</v>
      </c>
      <c r="E98" s="156"/>
      <c r="F98" s="156">
        <f t="shared" ca="1" si="47"/>
        <v>2728</v>
      </c>
      <c r="G98" s="909">
        <f t="shared" ca="1" si="32"/>
        <v>1</v>
      </c>
      <c r="H98" s="156">
        <f t="shared" ca="1" si="47"/>
        <v>2728</v>
      </c>
      <c r="I98" s="910">
        <f t="shared" ca="1" si="33"/>
        <v>1</v>
      </c>
      <c r="J98" s="156" t="e">
        <f t="shared" si="47"/>
        <v>#REF!</v>
      </c>
      <c r="K98" s="907">
        <f t="shared" si="34"/>
        <v>0</v>
      </c>
      <c r="L98" s="156" t="e">
        <f t="shared" si="47"/>
        <v>#REF!</v>
      </c>
      <c r="M98" s="907">
        <f t="shared" si="35"/>
        <v>0</v>
      </c>
      <c r="N98" s="156" t="e">
        <f t="shared" si="47"/>
        <v>#REF!</v>
      </c>
      <c r="O98" s="907">
        <f t="shared" si="36"/>
        <v>0</v>
      </c>
      <c r="P98" s="156" t="e">
        <f t="shared" si="47"/>
        <v>#REF!</v>
      </c>
      <c r="Q98" s="907">
        <f t="shared" si="37"/>
        <v>0</v>
      </c>
      <c r="R98" s="156" t="e">
        <f t="shared" si="47"/>
        <v>#REF!</v>
      </c>
      <c r="S98" s="910">
        <f t="shared" si="38"/>
        <v>0</v>
      </c>
      <c r="T98" s="156" t="e">
        <f t="shared" si="47"/>
        <v>#REF!</v>
      </c>
      <c r="U98" s="910">
        <f t="shared" si="39"/>
        <v>0</v>
      </c>
      <c r="V98" s="156" t="e">
        <f t="shared" si="47"/>
        <v>#REF!</v>
      </c>
      <c r="W98" s="910">
        <f t="shared" si="40"/>
        <v>0</v>
      </c>
      <c r="X98" s="156" t="e">
        <f t="shared" si="47"/>
        <v>#REF!</v>
      </c>
      <c r="Y98" s="910">
        <f t="shared" si="41"/>
        <v>0</v>
      </c>
      <c r="Z98" s="156" t="e">
        <f t="shared" ca="1" si="47"/>
        <v>#REF!</v>
      </c>
    </row>
    <row r="99" spans="1:27">
      <c r="B99" s="21">
        <f>'SPL 25 USD'!B128</f>
        <v>0</v>
      </c>
      <c r="C99" s="21"/>
      <c r="D99" s="21">
        <f>B99</f>
        <v>0</v>
      </c>
      <c r="E99" s="21"/>
      <c r="F99" s="21">
        <f>D99</f>
        <v>0</v>
      </c>
      <c r="G99" s="909">
        <f t="shared" ca="1" si="32"/>
        <v>0</v>
      </c>
      <c r="H99" s="21">
        <f>F99</f>
        <v>0</v>
      </c>
      <c r="I99" s="910">
        <f t="shared" ca="1" si="33"/>
        <v>0</v>
      </c>
      <c r="J99" s="21">
        <f>H99</f>
        <v>0</v>
      </c>
      <c r="K99" s="907">
        <f t="shared" si="34"/>
        <v>0</v>
      </c>
      <c r="L99" s="21">
        <f>J99</f>
        <v>0</v>
      </c>
      <c r="M99" s="907">
        <f t="shared" si="35"/>
        <v>0</v>
      </c>
      <c r="N99" s="21">
        <f>L99</f>
        <v>0</v>
      </c>
      <c r="O99" s="907">
        <f t="shared" si="36"/>
        <v>0</v>
      </c>
      <c r="P99" s="21">
        <f>N99</f>
        <v>0</v>
      </c>
      <c r="Q99" s="907">
        <f t="shared" si="37"/>
        <v>0</v>
      </c>
      <c r="R99" s="21">
        <f>P99</f>
        <v>0</v>
      </c>
      <c r="S99" s="910">
        <f t="shared" si="38"/>
        <v>0</v>
      </c>
      <c r="T99" s="21">
        <f>R99</f>
        <v>0</v>
      </c>
      <c r="U99" s="910">
        <f t="shared" si="39"/>
        <v>0</v>
      </c>
      <c r="V99" s="21">
        <f>T99</f>
        <v>0</v>
      </c>
      <c r="W99" s="910">
        <f t="shared" si="40"/>
        <v>0</v>
      </c>
      <c r="X99" s="21">
        <f>V99</f>
        <v>0</v>
      </c>
      <c r="Y99" s="910">
        <f t="shared" si="41"/>
        <v>0</v>
      </c>
      <c r="Z99" s="21">
        <f>X99</f>
        <v>0</v>
      </c>
    </row>
    <row r="100" spans="1:27">
      <c r="A100" s="229" t="s">
        <v>54</v>
      </c>
      <c r="B100" s="21" t="s">
        <v>3</v>
      </c>
      <c r="C100" s="21"/>
      <c r="D100" s="21" t="s">
        <v>4</v>
      </c>
      <c r="E100" s="21"/>
      <c r="F100" s="21" t="s">
        <v>5</v>
      </c>
      <c r="G100" s="909">
        <f t="shared" ca="1" si="32"/>
        <v>0</v>
      </c>
      <c r="H100" s="21" t="s">
        <v>6</v>
      </c>
      <c r="I100" s="910">
        <f t="shared" ca="1" si="33"/>
        <v>0</v>
      </c>
      <c r="J100" s="21" t="s">
        <v>7</v>
      </c>
      <c r="K100" s="907">
        <f t="shared" si="34"/>
        <v>0</v>
      </c>
      <c r="L100" s="21" t="s">
        <v>8</v>
      </c>
      <c r="M100" s="907">
        <f t="shared" si="35"/>
        <v>0</v>
      </c>
      <c r="N100" s="21" t="s">
        <v>9</v>
      </c>
      <c r="O100" s="907">
        <f t="shared" si="36"/>
        <v>0</v>
      </c>
      <c r="P100" s="21" t="s">
        <v>10</v>
      </c>
      <c r="Q100" s="907">
        <f t="shared" si="37"/>
        <v>0</v>
      </c>
      <c r="R100" s="21" t="s">
        <v>11</v>
      </c>
      <c r="S100" s="910">
        <f t="shared" si="38"/>
        <v>0</v>
      </c>
      <c r="T100" s="21" t="s">
        <v>12</v>
      </c>
      <c r="U100" s="910">
        <f t="shared" si="39"/>
        <v>0</v>
      </c>
      <c r="V100" s="21" t="s">
        <v>13</v>
      </c>
      <c r="W100" s="910">
        <f t="shared" si="40"/>
        <v>0</v>
      </c>
      <c r="X100" s="21" t="s">
        <v>14</v>
      </c>
      <c r="Y100" s="910">
        <f t="shared" si="41"/>
        <v>0</v>
      </c>
      <c r="Z100" s="21" t="s">
        <v>51</v>
      </c>
    </row>
    <row r="101" spans="1:27">
      <c r="A101" s="172" t="s">
        <v>424</v>
      </c>
      <c r="B101" s="20">
        <f t="shared" ref="B101:Z101" si="48">+B16+B17+B18+B19+B20+B21+B22+B23+B24+B25+B26+B37</f>
        <v>30</v>
      </c>
      <c r="C101" s="913">
        <f t="shared" ref="C101:C106" ca="1" si="49">+B101/$B$13</f>
        <v>0.01</v>
      </c>
      <c r="D101" s="20">
        <f t="shared" si="48"/>
        <v>30</v>
      </c>
      <c r="E101" s="909">
        <f t="shared" ref="E101:E106" ca="1" si="50">IFERROR(D101/$D$13,0)</f>
        <v>1.0999999999999999E-2</v>
      </c>
      <c r="F101" s="20">
        <f t="shared" si="48"/>
        <v>30</v>
      </c>
      <c r="G101" s="909">
        <f t="shared" ca="1" si="32"/>
        <v>1.0999999999999999E-2</v>
      </c>
      <c r="H101" s="20">
        <f t="shared" si="48"/>
        <v>12</v>
      </c>
      <c r="I101" s="910">
        <f t="shared" ca="1" si="33"/>
        <v>4.0000000000000001E-3</v>
      </c>
      <c r="J101" s="20">
        <f t="shared" si="48"/>
        <v>0</v>
      </c>
      <c r="K101" s="907">
        <f t="shared" si="34"/>
        <v>0</v>
      </c>
      <c r="L101" s="20">
        <f t="shared" si="48"/>
        <v>0</v>
      </c>
      <c r="M101" s="907">
        <f t="shared" si="35"/>
        <v>0</v>
      </c>
      <c r="N101" s="20">
        <f t="shared" si="48"/>
        <v>0</v>
      </c>
      <c r="O101" s="907">
        <f t="shared" si="36"/>
        <v>0</v>
      </c>
      <c r="P101" s="20">
        <f t="shared" si="48"/>
        <v>0</v>
      </c>
      <c r="Q101" s="907">
        <f t="shared" si="37"/>
        <v>0</v>
      </c>
      <c r="R101" s="20">
        <f t="shared" si="48"/>
        <v>0</v>
      </c>
      <c r="S101" s="910">
        <f t="shared" si="38"/>
        <v>0</v>
      </c>
      <c r="T101" s="20">
        <f t="shared" si="48"/>
        <v>0</v>
      </c>
      <c r="U101" s="910">
        <f t="shared" si="39"/>
        <v>0</v>
      </c>
      <c r="V101" s="20">
        <f t="shared" si="48"/>
        <v>0</v>
      </c>
      <c r="W101" s="910">
        <f t="shared" si="40"/>
        <v>0</v>
      </c>
      <c r="X101" s="20">
        <f t="shared" si="48"/>
        <v>0</v>
      </c>
      <c r="Y101" s="910">
        <f t="shared" si="41"/>
        <v>0</v>
      </c>
      <c r="Z101" s="20">
        <f t="shared" si="48"/>
        <v>102</v>
      </c>
      <c r="AA101" s="913" t="e">
        <f t="shared" ref="AA101:AA106" ca="1" si="51">+Z101/$Z$13</f>
        <v>#REF!</v>
      </c>
    </row>
    <row r="102" spans="1:27">
      <c r="A102" s="172" t="s">
        <v>425</v>
      </c>
      <c r="B102" s="20">
        <f ca="1">+B29+B30+B31+B32+B33+B35+B36+B28+B40</f>
        <v>381</v>
      </c>
      <c r="C102" s="913">
        <f t="shared" ca="1" si="49"/>
        <v>0.14000000000000001</v>
      </c>
      <c r="D102" s="20">
        <f ca="1">+D29+D30+D31+D32+D33+D35+D36+D28+D40</f>
        <v>67</v>
      </c>
      <c r="E102" s="909">
        <f t="shared" ca="1" si="50"/>
        <v>2.46E-2</v>
      </c>
      <c r="F102" s="20">
        <f ca="1">+F29+F30+F31+F32+F33+F35+F36+F28+F40</f>
        <v>67</v>
      </c>
      <c r="G102" s="909">
        <f t="shared" ca="1" si="32"/>
        <v>2.46E-2</v>
      </c>
      <c r="H102" s="20">
        <f ca="1">+H29+H30+H31+H32+H33+H35+H36+H28+H40</f>
        <v>1844</v>
      </c>
      <c r="I102" s="910">
        <f t="shared" ca="1" si="33"/>
        <v>0.67600000000000005</v>
      </c>
      <c r="J102" s="20">
        <f>+J29+J30+J31+J32+J33+J35+J36+J28+J40</f>
        <v>0</v>
      </c>
      <c r="K102" s="907">
        <f t="shared" si="34"/>
        <v>0</v>
      </c>
      <c r="L102" s="20">
        <f>+L29+L30+L31+L32+L33+L35+L36+L28+L40</f>
        <v>0</v>
      </c>
      <c r="M102" s="907">
        <f t="shared" si="35"/>
        <v>0</v>
      </c>
      <c r="N102" s="20">
        <f>+N29+N30+N31+N32+N33+N35+N36+N28+N40</f>
        <v>0</v>
      </c>
      <c r="O102" s="907">
        <f t="shared" si="36"/>
        <v>0</v>
      </c>
      <c r="P102" s="20">
        <f>+P29+P30+P31+P32+P33+P35+P36+P28+P40</f>
        <v>0</v>
      </c>
      <c r="Q102" s="907">
        <f t="shared" si="37"/>
        <v>0</v>
      </c>
      <c r="R102" s="20">
        <f>+R29+R30+R31+R32+R33+R35+R36+R28+R40</f>
        <v>0</v>
      </c>
      <c r="S102" s="910">
        <f t="shared" si="38"/>
        <v>0</v>
      </c>
      <c r="T102" s="20">
        <f>+T29+T30+T31+T32+T33+T35+T36+T28+T40</f>
        <v>0</v>
      </c>
      <c r="U102" s="910">
        <f t="shared" si="39"/>
        <v>0</v>
      </c>
      <c r="V102" s="20">
        <f>+V29+V30+V31+V32+V33+V35+V36+V28+V40</f>
        <v>0</v>
      </c>
      <c r="W102" s="910">
        <f t="shared" si="40"/>
        <v>0</v>
      </c>
      <c r="X102" s="20">
        <f>+X29+X30+X31+X32+X33+X35+X36+X28+X40</f>
        <v>0</v>
      </c>
      <c r="Y102" s="910">
        <f t="shared" si="41"/>
        <v>0</v>
      </c>
      <c r="Z102" s="20">
        <f ca="1">+Z29+Z30+Z31+Z32+Z33+Z35+Z36+Z28</f>
        <v>2359</v>
      </c>
      <c r="AA102" s="913" t="e">
        <f t="shared" ca="1" si="51"/>
        <v>#REF!</v>
      </c>
    </row>
    <row r="103" spans="1:27">
      <c r="A103" s="172" t="s">
        <v>426</v>
      </c>
      <c r="B103" s="20">
        <f t="shared" ref="B103:Z103" si="52">+B34+B38+B42</f>
        <v>0</v>
      </c>
      <c r="C103" s="913">
        <f t="shared" ca="1" si="49"/>
        <v>0</v>
      </c>
      <c r="D103" s="20">
        <f t="shared" si="52"/>
        <v>0</v>
      </c>
      <c r="E103" s="909">
        <f t="shared" ca="1" si="50"/>
        <v>0</v>
      </c>
      <c r="F103" s="20">
        <f t="shared" si="52"/>
        <v>0</v>
      </c>
      <c r="G103" s="909">
        <f t="shared" ca="1" si="32"/>
        <v>0</v>
      </c>
      <c r="H103" s="20">
        <f t="shared" si="52"/>
        <v>0</v>
      </c>
      <c r="I103" s="910">
        <f t="shared" ca="1" si="33"/>
        <v>0</v>
      </c>
      <c r="J103" s="20">
        <f t="shared" si="52"/>
        <v>0</v>
      </c>
      <c r="K103" s="907">
        <f t="shared" si="34"/>
        <v>0</v>
      </c>
      <c r="L103" s="20">
        <f t="shared" si="52"/>
        <v>0</v>
      </c>
      <c r="M103" s="907">
        <f t="shared" si="35"/>
        <v>0</v>
      </c>
      <c r="N103" s="20">
        <f t="shared" si="52"/>
        <v>0</v>
      </c>
      <c r="O103" s="907">
        <f t="shared" si="36"/>
        <v>0</v>
      </c>
      <c r="P103" s="20">
        <f t="shared" si="52"/>
        <v>0</v>
      </c>
      <c r="Q103" s="907">
        <f t="shared" si="37"/>
        <v>0</v>
      </c>
      <c r="R103" s="20">
        <f t="shared" si="52"/>
        <v>0</v>
      </c>
      <c r="S103" s="910">
        <f t="shared" si="38"/>
        <v>0</v>
      </c>
      <c r="T103" s="20">
        <f t="shared" si="52"/>
        <v>0</v>
      </c>
      <c r="U103" s="910">
        <f t="shared" si="39"/>
        <v>0</v>
      </c>
      <c r="V103" s="20">
        <f t="shared" si="52"/>
        <v>0</v>
      </c>
      <c r="W103" s="910">
        <f t="shared" si="40"/>
        <v>0</v>
      </c>
      <c r="X103" s="20">
        <f t="shared" si="52"/>
        <v>0</v>
      </c>
      <c r="Y103" s="910">
        <f t="shared" si="41"/>
        <v>0</v>
      </c>
      <c r="Z103" s="20">
        <f t="shared" si="52"/>
        <v>0</v>
      </c>
      <c r="AA103" s="913" t="e">
        <f t="shared" ca="1" si="51"/>
        <v>#REF!</v>
      </c>
    </row>
    <row r="104" spans="1:27">
      <c r="A104" s="172" t="s">
        <v>427</v>
      </c>
      <c r="B104" s="20">
        <f t="shared" ref="B104:Z104" si="53">+B46</f>
        <v>0</v>
      </c>
      <c r="C104" s="913">
        <f t="shared" ca="1" si="49"/>
        <v>0</v>
      </c>
      <c r="D104" s="20">
        <f t="shared" si="53"/>
        <v>0</v>
      </c>
      <c r="E104" s="909">
        <f t="shared" ca="1" si="50"/>
        <v>0</v>
      </c>
      <c r="F104" s="20">
        <f t="shared" si="53"/>
        <v>0</v>
      </c>
      <c r="G104" s="909">
        <f t="shared" ca="1" si="32"/>
        <v>0</v>
      </c>
      <c r="H104" s="20">
        <f t="shared" si="53"/>
        <v>0</v>
      </c>
      <c r="I104" s="910">
        <f t="shared" ca="1" si="33"/>
        <v>0</v>
      </c>
      <c r="J104" s="20">
        <f t="shared" si="53"/>
        <v>0</v>
      </c>
      <c r="K104" s="907">
        <f t="shared" si="34"/>
        <v>0</v>
      </c>
      <c r="L104" s="20">
        <f t="shared" si="53"/>
        <v>0</v>
      </c>
      <c r="M104" s="907">
        <f t="shared" si="35"/>
        <v>0</v>
      </c>
      <c r="N104" s="20">
        <f t="shared" si="53"/>
        <v>0</v>
      </c>
      <c r="O104" s="907">
        <f t="shared" si="36"/>
        <v>0</v>
      </c>
      <c r="P104" s="20">
        <f t="shared" si="53"/>
        <v>0</v>
      </c>
      <c r="Q104" s="907">
        <f t="shared" si="37"/>
        <v>0</v>
      </c>
      <c r="R104" s="20">
        <f t="shared" si="53"/>
        <v>0</v>
      </c>
      <c r="S104" s="910">
        <f t="shared" si="38"/>
        <v>0</v>
      </c>
      <c r="T104" s="20">
        <f t="shared" si="53"/>
        <v>0</v>
      </c>
      <c r="U104" s="910">
        <f t="shared" si="39"/>
        <v>0</v>
      </c>
      <c r="V104" s="20">
        <f t="shared" si="53"/>
        <v>0</v>
      </c>
      <c r="W104" s="910">
        <f t="shared" si="40"/>
        <v>0</v>
      </c>
      <c r="X104" s="20">
        <f t="shared" si="53"/>
        <v>0</v>
      </c>
      <c r="Y104" s="910">
        <f t="shared" si="41"/>
        <v>0</v>
      </c>
      <c r="Z104" s="20">
        <f t="shared" si="53"/>
        <v>0</v>
      </c>
      <c r="AA104" s="913" t="e">
        <f t="shared" ca="1" si="51"/>
        <v>#REF!</v>
      </c>
    </row>
    <row r="105" spans="1:27">
      <c r="A105" s="1" t="s">
        <v>428</v>
      </c>
      <c r="B105" s="20">
        <f t="shared" ref="B105:Z105" ca="1" si="54">+B43+B44+B41+B47+B39</f>
        <v>64</v>
      </c>
      <c r="C105" s="913">
        <f t="shared" ca="1" si="49"/>
        <v>0.02</v>
      </c>
      <c r="D105" s="20">
        <f t="shared" ca="1" si="54"/>
        <v>29</v>
      </c>
      <c r="E105" s="909">
        <f t="shared" ca="1" si="50"/>
        <v>1.06E-2</v>
      </c>
      <c r="F105" s="20">
        <f t="shared" ca="1" si="54"/>
        <v>29</v>
      </c>
      <c r="G105" s="909">
        <f t="shared" ca="1" si="32"/>
        <v>1.06E-2</v>
      </c>
      <c r="H105" s="20">
        <f t="shared" ca="1" si="54"/>
        <v>204</v>
      </c>
      <c r="I105" s="910">
        <f t="shared" ca="1" si="33"/>
        <v>7.4999999999999997E-2</v>
      </c>
      <c r="J105" s="20">
        <f t="shared" si="54"/>
        <v>0</v>
      </c>
      <c r="K105" s="907">
        <f t="shared" si="34"/>
        <v>0</v>
      </c>
      <c r="L105" s="20">
        <f t="shared" si="54"/>
        <v>0</v>
      </c>
      <c r="M105" s="907">
        <f t="shared" si="35"/>
        <v>0</v>
      </c>
      <c r="N105" s="20">
        <f t="shared" si="54"/>
        <v>0</v>
      </c>
      <c r="O105" s="907">
        <f t="shared" si="36"/>
        <v>0</v>
      </c>
      <c r="P105" s="20">
        <f t="shared" si="54"/>
        <v>0</v>
      </c>
      <c r="Q105" s="907">
        <f t="shared" si="37"/>
        <v>0</v>
      </c>
      <c r="R105" s="20">
        <f t="shared" si="54"/>
        <v>0</v>
      </c>
      <c r="S105" s="910">
        <f t="shared" si="38"/>
        <v>0</v>
      </c>
      <c r="T105" s="20">
        <f t="shared" si="54"/>
        <v>0</v>
      </c>
      <c r="U105" s="910">
        <f t="shared" si="39"/>
        <v>0</v>
      </c>
      <c r="V105" s="20">
        <f t="shared" si="54"/>
        <v>0</v>
      </c>
      <c r="W105" s="910">
        <f t="shared" si="40"/>
        <v>0</v>
      </c>
      <c r="X105" s="20">
        <f t="shared" si="54"/>
        <v>0</v>
      </c>
      <c r="Y105" s="910">
        <f t="shared" si="41"/>
        <v>0</v>
      </c>
      <c r="Z105" s="20">
        <f t="shared" ca="1" si="54"/>
        <v>326</v>
      </c>
      <c r="AA105" s="913" t="e">
        <f t="shared" ca="1" si="51"/>
        <v>#REF!</v>
      </c>
    </row>
    <row r="106" spans="1:27" ht="13.5" thickBot="1">
      <c r="B106" s="173">
        <f ca="1">SUM(B101:B105)</f>
        <v>475</v>
      </c>
      <c r="C106" s="913">
        <f t="shared" ca="1" si="49"/>
        <v>0.17</v>
      </c>
      <c r="D106" s="173">
        <f t="shared" ref="D106:Z106" ca="1" si="55">SUM(D101:D105)</f>
        <v>126</v>
      </c>
      <c r="E106" s="909">
        <f t="shared" ca="1" si="50"/>
        <v>4.6199999999999998E-2</v>
      </c>
      <c r="F106" s="173">
        <f t="shared" ca="1" si="55"/>
        <v>126</v>
      </c>
      <c r="G106" s="909">
        <f t="shared" ca="1" si="32"/>
        <v>4.6199999999999998E-2</v>
      </c>
      <c r="H106" s="173">
        <f t="shared" ca="1" si="55"/>
        <v>2060</v>
      </c>
      <c r="I106" s="910">
        <f t="shared" ca="1" si="33"/>
        <v>0.755</v>
      </c>
      <c r="J106" s="173">
        <f t="shared" si="55"/>
        <v>0</v>
      </c>
      <c r="K106" s="907">
        <f t="shared" si="34"/>
        <v>0</v>
      </c>
      <c r="L106" s="173">
        <f t="shared" si="55"/>
        <v>0</v>
      </c>
      <c r="M106" s="907">
        <f t="shared" si="35"/>
        <v>0</v>
      </c>
      <c r="N106" s="173">
        <f t="shared" si="55"/>
        <v>0</v>
      </c>
      <c r="O106" s="907">
        <f t="shared" si="36"/>
        <v>0</v>
      </c>
      <c r="P106" s="173">
        <f t="shared" si="55"/>
        <v>0</v>
      </c>
      <c r="Q106" s="907">
        <f t="shared" si="37"/>
        <v>0</v>
      </c>
      <c r="R106" s="173">
        <f t="shared" si="55"/>
        <v>0</v>
      </c>
      <c r="S106" s="910">
        <f t="shared" si="38"/>
        <v>0</v>
      </c>
      <c r="T106" s="173">
        <f t="shared" si="55"/>
        <v>0</v>
      </c>
      <c r="U106" s="910">
        <f t="shared" si="39"/>
        <v>0</v>
      </c>
      <c r="V106" s="173">
        <f t="shared" si="55"/>
        <v>0</v>
      </c>
      <c r="W106" s="910">
        <f t="shared" si="40"/>
        <v>0</v>
      </c>
      <c r="X106" s="173">
        <f t="shared" si="55"/>
        <v>0</v>
      </c>
      <c r="Y106" s="910">
        <f t="shared" si="41"/>
        <v>0</v>
      </c>
      <c r="Z106" s="173">
        <f t="shared" ca="1" si="55"/>
        <v>2787</v>
      </c>
      <c r="AA106" s="913" t="e">
        <f t="shared" ca="1" si="51"/>
        <v>#REF!</v>
      </c>
    </row>
    <row r="107" spans="1:27">
      <c r="C107" s="494"/>
      <c r="E107" s="494"/>
      <c r="G107" s="909">
        <f t="shared" ca="1" si="32"/>
        <v>0</v>
      </c>
      <c r="I107" s="910">
        <f t="shared" ca="1" si="33"/>
        <v>0</v>
      </c>
      <c r="K107" s="907">
        <f t="shared" si="34"/>
        <v>0</v>
      </c>
      <c r="M107" s="907">
        <f t="shared" si="35"/>
        <v>0</v>
      </c>
      <c r="O107" s="907">
        <f t="shared" si="36"/>
        <v>0</v>
      </c>
      <c r="Q107" s="907">
        <f t="shared" si="37"/>
        <v>0</v>
      </c>
      <c r="S107" s="910">
        <f t="shared" si="38"/>
        <v>0</v>
      </c>
      <c r="U107" s="910">
        <f t="shared" si="39"/>
        <v>0</v>
      </c>
      <c r="W107" s="910">
        <f t="shared" si="40"/>
        <v>0</v>
      </c>
      <c r="Y107" s="910">
        <f t="shared" si="41"/>
        <v>0</v>
      </c>
    </row>
    <row r="108" spans="1:27">
      <c r="A108" s="187"/>
      <c r="B108" s="179">
        <f ca="1">+B106-B49</f>
        <v>0</v>
      </c>
      <c r="C108" s="902"/>
      <c r="D108" s="179">
        <f t="shared" ref="D108:Z108" ca="1" si="56">+D106-D49</f>
        <v>0</v>
      </c>
      <c r="E108" s="902"/>
      <c r="F108" s="179">
        <f t="shared" ca="1" si="56"/>
        <v>0</v>
      </c>
      <c r="G108" s="909">
        <f t="shared" ca="1" si="32"/>
        <v>0</v>
      </c>
      <c r="H108" s="179">
        <f t="shared" ca="1" si="56"/>
        <v>0</v>
      </c>
      <c r="I108" s="910">
        <f t="shared" ca="1" si="33"/>
        <v>0</v>
      </c>
      <c r="J108" s="179">
        <f t="shared" si="56"/>
        <v>0</v>
      </c>
      <c r="K108" s="907">
        <f t="shared" si="34"/>
        <v>0</v>
      </c>
      <c r="L108" s="179">
        <f t="shared" si="56"/>
        <v>0</v>
      </c>
      <c r="M108" s="907">
        <f t="shared" si="35"/>
        <v>0</v>
      </c>
      <c r="N108" s="179">
        <f t="shared" si="56"/>
        <v>0</v>
      </c>
      <c r="O108" s="907">
        <f t="shared" si="36"/>
        <v>0</v>
      </c>
      <c r="P108" s="179">
        <f t="shared" si="56"/>
        <v>0</v>
      </c>
      <c r="Q108" s="907">
        <f t="shared" si="37"/>
        <v>0</v>
      </c>
      <c r="R108" s="179">
        <f t="shared" si="56"/>
        <v>0</v>
      </c>
      <c r="S108" s="910">
        <f t="shared" si="38"/>
        <v>0</v>
      </c>
      <c r="T108" s="179">
        <f t="shared" si="56"/>
        <v>0</v>
      </c>
      <c r="U108" s="910">
        <f t="shared" si="39"/>
        <v>0</v>
      </c>
      <c r="V108" s="179">
        <f t="shared" si="56"/>
        <v>0</v>
      </c>
      <c r="W108" s="910">
        <f t="shared" si="40"/>
        <v>0</v>
      </c>
      <c r="X108" s="179">
        <f t="shared" si="56"/>
        <v>0</v>
      </c>
      <c r="Y108" s="910">
        <f t="shared" si="41"/>
        <v>0</v>
      </c>
      <c r="Z108" s="179">
        <f t="shared" ca="1" si="56"/>
        <v>0</v>
      </c>
    </row>
    <row r="109" spans="1:27">
      <c r="A109" s="326" t="s">
        <v>619</v>
      </c>
      <c r="C109" s="494"/>
      <c r="E109" s="494"/>
      <c r="G109" s="909">
        <f t="shared" ca="1" si="32"/>
        <v>0</v>
      </c>
      <c r="I109" s="910">
        <f t="shared" ca="1" si="33"/>
        <v>0</v>
      </c>
      <c r="K109" s="907">
        <f t="shared" si="34"/>
        <v>0</v>
      </c>
      <c r="M109" s="907">
        <f t="shared" si="35"/>
        <v>0</v>
      </c>
      <c r="O109" s="907">
        <f t="shared" si="36"/>
        <v>0</v>
      </c>
      <c r="Q109" s="907">
        <f t="shared" si="37"/>
        <v>0</v>
      </c>
      <c r="S109" s="910">
        <f t="shared" si="38"/>
        <v>0</v>
      </c>
      <c r="U109" s="910">
        <f t="shared" si="39"/>
        <v>0</v>
      </c>
      <c r="W109" s="910">
        <f t="shared" si="40"/>
        <v>0</v>
      </c>
      <c r="Y109" s="910">
        <f t="shared" si="41"/>
        <v>0</v>
      </c>
    </row>
    <row r="110" spans="1:27">
      <c r="C110" s="494"/>
      <c r="E110" s="494"/>
      <c r="G110" s="909">
        <f t="shared" ca="1" si="32"/>
        <v>0</v>
      </c>
      <c r="I110" s="910">
        <f t="shared" ca="1" si="33"/>
        <v>0</v>
      </c>
      <c r="K110" s="907">
        <f t="shared" si="34"/>
        <v>0</v>
      </c>
      <c r="M110" s="907">
        <f t="shared" si="35"/>
        <v>0</v>
      </c>
      <c r="O110" s="907">
        <f t="shared" si="36"/>
        <v>0</v>
      </c>
      <c r="Q110" s="907">
        <f t="shared" si="37"/>
        <v>0</v>
      </c>
      <c r="S110" s="910">
        <f t="shared" si="38"/>
        <v>0</v>
      </c>
      <c r="U110" s="910">
        <f t="shared" si="39"/>
        <v>0</v>
      </c>
      <c r="W110" s="910">
        <f t="shared" si="40"/>
        <v>0</v>
      </c>
      <c r="Y110" s="910">
        <f t="shared" si="41"/>
        <v>0</v>
      </c>
    </row>
    <row r="111" spans="1:27">
      <c r="A111" s="172" t="s">
        <v>424</v>
      </c>
      <c r="B111" s="20">
        <f t="shared" ref="B111:Z111" si="57">+B53+B54+B55+B56+B70</f>
        <v>1000</v>
      </c>
      <c r="C111" s="908">
        <f t="shared" ref="C111:C117" ca="1" si="58">+B111/$B$13</f>
        <v>0.36699999999999999</v>
      </c>
      <c r="D111" s="20">
        <f t="shared" si="57"/>
        <v>1000</v>
      </c>
      <c r="E111" s="909">
        <f t="shared" ref="E111:E117" ca="1" si="59">IFERROR(D111/$D$13,0)</f>
        <v>0.36659999999999998</v>
      </c>
      <c r="F111" s="20">
        <f t="shared" si="57"/>
        <v>1000</v>
      </c>
      <c r="G111" s="909">
        <f t="shared" ca="1" si="32"/>
        <v>0.36659999999999998</v>
      </c>
      <c r="H111" s="20">
        <f t="shared" si="57"/>
        <v>1000</v>
      </c>
      <c r="I111" s="910">
        <f t="shared" ca="1" si="33"/>
        <v>0.36699999999999999</v>
      </c>
      <c r="J111" s="20">
        <f t="shared" si="57"/>
        <v>1000</v>
      </c>
      <c r="K111" s="907">
        <f t="shared" si="34"/>
        <v>0</v>
      </c>
      <c r="L111" s="20">
        <f t="shared" si="57"/>
        <v>1000</v>
      </c>
      <c r="M111" s="907">
        <f t="shared" si="35"/>
        <v>0</v>
      </c>
      <c r="N111" s="20">
        <f t="shared" si="57"/>
        <v>1000</v>
      </c>
      <c r="O111" s="907">
        <f t="shared" si="36"/>
        <v>0</v>
      </c>
      <c r="P111" s="20">
        <f t="shared" si="57"/>
        <v>1000</v>
      </c>
      <c r="Q111" s="907">
        <f t="shared" si="37"/>
        <v>0</v>
      </c>
      <c r="R111" s="20">
        <f t="shared" si="57"/>
        <v>1000</v>
      </c>
      <c r="S111" s="910">
        <f t="shared" si="38"/>
        <v>0</v>
      </c>
      <c r="T111" s="20">
        <f t="shared" si="57"/>
        <v>1000</v>
      </c>
      <c r="U111" s="910">
        <f t="shared" si="39"/>
        <v>0</v>
      </c>
      <c r="V111" s="20">
        <f t="shared" si="57"/>
        <v>1000</v>
      </c>
      <c r="W111" s="910">
        <f t="shared" si="40"/>
        <v>0</v>
      </c>
      <c r="X111" s="20">
        <f t="shared" si="57"/>
        <v>1000</v>
      </c>
      <c r="Y111" s="910">
        <f t="shared" si="41"/>
        <v>0</v>
      </c>
      <c r="Z111" s="20">
        <f t="shared" si="57"/>
        <v>12000</v>
      </c>
      <c r="AA111" s="908" t="e">
        <f t="shared" ref="AA111:AA117" ca="1" si="60">+Z111/$Z$13</f>
        <v>#REF!</v>
      </c>
    </row>
    <row r="112" spans="1:27">
      <c r="A112" s="172" t="s">
        <v>64</v>
      </c>
      <c r="B112" s="20">
        <f t="shared" ref="B112:Z112" si="61">+B59+B60+B61+B64+B65+B68</f>
        <v>0</v>
      </c>
      <c r="C112" s="908">
        <f t="shared" ca="1" si="58"/>
        <v>0</v>
      </c>
      <c r="D112" s="20">
        <f t="shared" si="61"/>
        <v>0</v>
      </c>
      <c r="E112" s="909">
        <f t="shared" ca="1" si="59"/>
        <v>0</v>
      </c>
      <c r="F112" s="20">
        <f t="shared" si="61"/>
        <v>0</v>
      </c>
      <c r="G112" s="909">
        <f t="shared" ca="1" si="32"/>
        <v>0</v>
      </c>
      <c r="H112" s="20">
        <f t="shared" si="61"/>
        <v>0</v>
      </c>
      <c r="I112" s="910">
        <f t="shared" ca="1" si="33"/>
        <v>0</v>
      </c>
      <c r="J112" s="20">
        <f t="shared" si="61"/>
        <v>0</v>
      </c>
      <c r="K112" s="907">
        <f t="shared" si="34"/>
        <v>0</v>
      </c>
      <c r="L112" s="20">
        <f t="shared" si="61"/>
        <v>0</v>
      </c>
      <c r="M112" s="907">
        <f t="shared" si="35"/>
        <v>0</v>
      </c>
      <c r="N112" s="20">
        <f t="shared" si="61"/>
        <v>0</v>
      </c>
      <c r="O112" s="907">
        <f t="shared" si="36"/>
        <v>0</v>
      </c>
      <c r="P112" s="20">
        <f t="shared" si="61"/>
        <v>0</v>
      </c>
      <c r="Q112" s="907">
        <f t="shared" si="37"/>
        <v>0</v>
      </c>
      <c r="R112" s="20">
        <f t="shared" si="61"/>
        <v>0</v>
      </c>
      <c r="S112" s="910">
        <f t="shared" si="38"/>
        <v>0</v>
      </c>
      <c r="T112" s="20">
        <f t="shared" si="61"/>
        <v>0</v>
      </c>
      <c r="U112" s="910">
        <f t="shared" si="39"/>
        <v>0</v>
      </c>
      <c r="V112" s="20">
        <f t="shared" si="61"/>
        <v>0</v>
      </c>
      <c r="W112" s="910">
        <f t="shared" si="40"/>
        <v>0</v>
      </c>
      <c r="X112" s="20">
        <f t="shared" si="61"/>
        <v>0</v>
      </c>
      <c r="Y112" s="910">
        <f t="shared" si="41"/>
        <v>0</v>
      </c>
      <c r="Z112" s="20">
        <f t="shared" si="61"/>
        <v>0</v>
      </c>
      <c r="AA112" s="908" t="e">
        <f t="shared" ca="1" si="60"/>
        <v>#REF!</v>
      </c>
    </row>
    <row r="113" spans="1:27">
      <c r="A113" s="172" t="s">
        <v>430</v>
      </c>
      <c r="B113" s="20">
        <f>+B63</f>
        <v>0</v>
      </c>
      <c r="C113" s="908">
        <f t="shared" ca="1" si="58"/>
        <v>0</v>
      </c>
      <c r="D113" s="20">
        <f t="shared" ref="D113:Z113" si="62">+D63</f>
        <v>0</v>
      </c>
      <c r="E113" s="909">
        <f t="shared" ca="1" si="59"/>
        <v>0</v>
      </c>
      <c r="F113" s="20">
        <f t="shared" si="62"/>
        <v>0</v>
      </c>
      <c r="G113" s="909">
        <f t="shared" ca="1" si="32"/>
        <v>0</v>
      </c>
      <c r="H113" s="20">
        <f t="shared" si="62"/>
        <v>0</v>
      </c>
      <c r="I113" s="910">
        <f t="shared" ca="1" si="33"/>
        <v>0</v>
      </c>
      <c r="J113" s="20">
        <f t="shared" si="62"/>
        <v>0</v>
      </c>
      <c r="K113" s="907">
        <f t="shared" si="34"/>
        <v>0</v>
      </c>
      <c r="L113" s="20">
        <f t="shared" si="62"/>
        <v>0</v>
      </c>
      <c r="M113" s="907">
        <f t="shared" si="35"/>
        <v>0</v>
      </c>
      <c r="N113" s="20">
        <f t="shared" si="62"/>
        <v>0</v>
      </c>
      <c r="O113" s="907">
        <f t="shared" si="36"/>
        <v>0</v>
      </c>
      <c r="P113" s="20">
        <f t="shared" si="62"/>
        <v>0</v>
      </c>
      <c r="Q113" s="907">
        <f t="shared" si="37"/>
        <v>0</v>
      </c>
      <c r="R113" s="20">
        <f t="shared" si="62"/>
        <v>0</v>
      </c>
      <c r="S113" s="910">
        <f t="shared" si="38"/>
        <v>0</v>
      </c>
      <c r="T113" s="20">
        <f t="shared" si="62"/>
        <v>0</v>
      </c>
      <c r="U113" s="910">
        <f t="shared" si="39"/>
        <v>0</v>
      </c>
      <c r="V113" s="20">
        <f t="shared" si="62"/>
        <v>0</v>
      </c>
      <c r="W113" s="910">
        <f t="shared" si="40"/>
        <v>0</v>
      </c>
      <c r="X113" s="20">
        <f t="shared" si="62"/>
        <v>0</v>
      </c>
      <c r="Y113" s="910">
        <f t="shared" si="41"/>
        <v>0</v>
      </c>
      <c r="Z113" s="20">
        <f t="shared" si="62"/>
        <v>0</v>
      </c>
      <c r="AA113" s="908" t="e">
        <f t="shared" ca="1" si="60"/>
        <v>#REF!</v>
      </c>
    </row>
    <row r="114" spans="1:27">
      <c r="A114" s="172" t="s">
        <v>63</v>
      </c>
      <c r="B114" s="20">
        <f t="shared" ref="B114:Z114" si="63">+B57+B58</f>
        <v>50</v>
      </c>
      <c r="C114" s="908">
        <f t="shared" ca="1" si="58"/>
        <v>1.7999999999999999E-2</v>
      </c>
      <c r="D114" s="20">
        <f t="shared" si="63"/>
        <v>50</v>
      </c>
      <c r="E114" s="909">
        <f t="shared" ca="1" si="59"/>
        <v>1.83E-2</v>
      </c>
      <c r="F114" s="20">
        <f t="shared" si="63"/>
        <v>50</v>
      </c>
      <c r="G114" s="909">
        <f t="shared" ca="1" si="32"/>
        <v>1.83E-2</v>
      </c>
      <c r="H114" s="20">
        <f t="shared" si="63"/>
        <v>50</v>
      </c>
      <c r="I114" s="910">
        <f t="shared" ca="1" si="33"/>
        <v>1.7999999999999999E-2</v>
      </c>
      <c r="J114" s="20">
        <f t="shared" si="63"/>
        <v>50</v>
      </c>
      <c r="K114" s="907">
        <f t="shared" si="34"/>
        <v>0</v>
      </c>
      <c r="L114" s="20">
        <f t="shared" si="63"/>
        <v>50</v>
      </c>
      <c r="M114" s="907">
        <f t="shared" si="35"/>
        <v>0</v>
      </c>
      <c r="N114" s="20">
        <f t="shared" si="63"/>
        <v>50</v>
      </c>
      <c r="O114" s="907">
        <f t="shared" si="36"/>
        <v>0</v>
      </c>
      <c r="P114" s="20">
        <f t="shared" si="63"/>
        <v>50</v>
      </c>
      <c r="Q114" s="907">
        <f t="shared" si="37"/>
        <v>0</v>
      </c>
      <c r="R114" s="20">
        <f t="shared" si="63"/>
        <v>50</v>
      </c>
      <c r="S114" s="910">
        <f t="shared" si="38"/>
        <v>0</v>
      </c>
      <c r="T114" s="20">
        <f t="shared" si="63"/>
        <v>50</v>
      </c>
      <c r="U114" s="910">
        <f t="shared" si="39"/>
        <v>0</v>
      </c>
      <c r="V114" s="20">
        <f t="shared" si="63"/>
        <v>50</v>
      </c>
      <c r="W114" s="910">
        <f t="shared" si="40"/>
        <v>0</v>
      </c>
      <c r="X114" s="20">
        <f t="shared" si="63"/>
        <v>50</v>
      </c>
      <c r="Y114" s="910">
        <f t="shared" si="41"/>
        <v>0</v>
      </c>
      <c r="Z114" s="20">
        <f t="shared" si="63"/>
        <v>600</v>
      </c>
      <c r="AA114" s="908" t="e">
        <f t="shared" ca="1" si="60"/>
        <v>#REF!</v>
      </c>
    </row>
    <row r="115" spans="1:27">
      <c r="A115" s="172" t="s">
        <v>431</v>
      </c>
      <c r="B115" s="20">
        <f t="shared" ref="B115:Z115" si="64">+B66+B67</f>
        <v>0</v>
      </c>
      <c r="C115" s="908">
        <f t="shared" ca="1" si="58"/>
        <v>0</v>
      </c>
      <c r="D115" s="20">
        <f t="shared" si="64"/>
        <v>0</v>
      </c>
      <c r="E115" s="909">
        <f t="shared" ca="1" si="59"/>
        <v>0</v>
      </c>
      <c r="F115" s="20">
        <f t="shared" si="64"/>
        <v>0</v>
      </c>
      <c r="G115" s="909">
        <f t="shared" ca="1" si="32"/>
        <v>0</v>
      </c>
      <c r="H115" s="20">
        <f t="shared" si="64"/>
        <v>0</v>
      </c>
      <c r="I115" s="910">
        <f t="shared" ca="1" si="33"/>
        <v>0</v>
      </c>
      <c r="J115" s="20">
        <f t="shared" si="64"/>
        <v>0</v>
      </c>
      <c r="K115" s="907">
        <f t="shared" si="34"/>
        <v>0</v>
      </c>
      <c r="L115" s="20">
        <f t="shared" si="64"/>
        <v>0</v>
      </c>
      <c r="M115" s="907">
        <f t="shared" si="35"/>
        <v>0</v>
      </c>
      <c r="N115" s="20">
        <f t="shared" si="64"/>
        <v>0</v>
      </c>
      <c r="O115" s="907">
        <f t="shared" si="36"/>
        <v>0</v>
      </c>
      <c r="P115" s="20">
        <f t="shared" si="64"/>
        <v>0</v>
      </c>
      <c r="Q115" s="907">
        <f t="shared" si="37"/>
        <v>0</v>
      </c>
      <c r="R115" s="20">
        <f t="shared" si="64"/>
        <v>0</v>
      </c>
      <c r="S115" s="910">
        <f t="shared" si="38"/>
        <v>0</v>
      </c>
      <c r="T115" s="20">
        <f t="shared" si="64"/>
        <v>0</v>
      </c>
      <c r="U115" s="910">
        <f t="shared" si="39"/>
        <v>0</v>
      </c>
      <c r="V115" s="20">
        <f t="shared" si="64"/>
        <v>0</v>
      </c>
      <c r="W115" s="910">
        <f t="shared" si="40"/>
        <v>0</v>
      </c>
      <c r="X115" s="20">
        <f t="shared" si="64"/>
        <v>0</v>
      </c>
      <c r="Y115" s="910">
        <f t="shared" si="41"/>
        <v>0</v>
      </c>
      <c r="Z115" s="20">
        <f t="shared" si="64"/>
        <v>0</v>
      </c>
      <c r="AA115" s="908" t="e">
        <f t="shared" ca="1" si="60"/>
        <v>#REF!</v>
      </c>
    </row>
    <row r="116" spans="1:27">
      <c r="A116" s="172" t="s">
        <v>427</v>
      </c>
      <c r="B116" s="20">
        <f>+B69</f>
        <v>0</v>
      </c>
      <c r="C116" s="908">
        <f t="shared" ca="1" si="58"/>
        <v>0</v>
      </c>
      <c r="D116" s="20">
        <f t="shared" ref="D116:Z116" si="65">+D69</f>
        <v>0</v>
      </c>
      <c r="E116" s="909">
        <f t="shared" ca="1" si="59"/>
        <v>0</v>
      </c>
      <c r="F116" s="20">
        <f t="shared" si="65"/>
        <v>0</v>
      </c>
      <c r="G116" s="909">
        <f t="shared" ca="1" si="32"/>
        <v>0</v>
      </c>
      <c r="H116" s="20">
        <f t="shared" si="65"/>
        <v>0</v>
      </c>
      <c r="I116" s="910">
        <f t="shared" ca="1" si="33"/>
        <v>0</v>
      </c>
      <c r="J116" s="20">
        <f t="shared" si="65"/>
        <v>0</v>
      </c>
      <c r="K116" s="907">
        <f t="shared" si="34"/>
        <v>0</v>
      </c>
      <c r="L116" s="20">
        <f t="shared" si="65"/>
        <v>0</v>
      </c>
      <c r="M116" s="907">
        <f t="shared" si="35"/>
        <v>0</v>
      </c>
      <c r="N116" s="20">
        <f t="shared" si="65"/>
        <v>0</v>
      </c>
      <c r="O116" s="907">
        <f t="shared" si="36"/>
        <v>0</v>
      </c>
      <c r="P116" s="20">
        <f t="shared" si="65"/>
        <v>0</v>
      </c>
      <c r="Q116" s="907">
        <f t="shared" si="37"/>
        <v>0</v>
      </c>
      <c r="R116" s="20">
        <f t="shared" si="65"/>
        <v>0</v>
      </c>
      <c r="S116" s="910">
        <f t="shared" si="38"/>
        <v>0</v>
      </c>
      <c r="T116" s="20">
        <f t="shared" si="65"/>
        <v>0</v>
      </c>
      <c r="U116" s="910">
        <f t="shared" si="39"/>
        <v>0</v>
      </c>
      <c r="V116" s="20">
        <f t="shared" si="65"/>
        <v>0</v>
      </c>
      <c r="W116" s="910">
        <f t="shared" si="40"/>
        <v>0</v>
      </c>
      <c r="X116" s="20">
        <f t="shared" si="65"/>
        <v>0</v>
      </c>
      <c r="Y116" s="910">
        <f t="shared" si="41"/>
        <v>0</v>
      </c>
      <c r="Z116" s="20">
        <f t="shared" si="65"/>
        <v>0</v>
      </c>
      <c r="AA116" s="908" t="e">
        <f t="shared" ca="1" si="60"/>
        <v>#REF!</v>
      </c>
    </row>
    <row r="117" spans="1:27" ht="13.5" thickBot="1">
      <c r="B117" s="173">
        <f>SUM(B111:B116)</f>
        <v>1050</v>
      </c>
      <c r="C117" s="908">
        <f t="shared" ca="1" si="58"/>
        <v>0.38500000000000001</v>
      </c>
      <c r="D117" s="173">
        <f t="shared" ref="D117:Z117" si="66">SUM(D111:D116)</f>
        <v>1050</v>
      </c>
      <c r="E117" s="909">
        <f t="shared" ca="1" si="59"/>
        <v>0.38490000000000002</v>
      </c>
      <c r="F117" s="173">
        <f t="shared" si="66"/>
        <v>1050</v>
      </c>
      <c r="G117" s="909">
        <f t="shared" ca="1" si="32"/>
        <v>0.38490000000000002</v>
      </c>
      <c r="H117" s="173">
        <f t="shared" si="66"/>
        <v>1050</v>
      </c>
      <c r="I117" s="910">
        <f t="shared" ca="1" si="33"/>
        <v>0.38500000000000001</v>
      </c>
      <c r="J117" s="173">
        <f t="shared" si="66"/>
        <v>1050</v>
      </c>
      <c r="K117" s="907">
        <f t="shared" si="34"/>
        <v>0</v>
      </c>
      <c r="L117" s="173">
        <f t="shared" si="66"/>
        <v>1050</v>
      </c>
      <c r="M117" s="907">
        <f t="shared" si="35"/>
        <v>0</v>
      </c>
      <c r="N117" s="173">
        <f t="shared" si="66"/>
        <v>1050</v>
      </c>
      <c r="O117" s="907">
        <f t="shared" si="36"/>
        <v>0</v>
      </c>
      <c r="P117" s="173">
        <f t="shared" si="66"/>
        <v>1050</v>
      </c>
      <c r="Q117" s="907">
        <f t="shared" si="37"/>
        <v>0</v>
      </c>
      <c r="R117" s="173">
        <f t="shared" si="66"/>
        <v>1050</v>
      </c>
      <c r="S117" s="910">
        <f t="shared" si="38"/>
        <v>0</v>
      </c>
      <c r="T117" s="173">
        <f t="shared" si="66"/>
        <v>1050</v>
      </c>
      <c r="U117" s="910">
        <f t="shared" si="39"/>
        <v>0</v>
      </c>
      <c r="V117" s="173">
        <f t="shared" si="66"/>
        <v>1050</v>
      </c>
      <c r="W117" s="910">
        <f t="shared" si="40"/>
        <v>0</v>
      </c>
      <c r="X117" s="173">
        <f t="shared" si="66"/>
        <v>1050</v>
      </c>
      <c r="Y117" s="910">
        <f t="shared" si="41"/>
        <v>0</v>
      </c>
      <c r="Z117" s="173">
        <f t="shared" si="66"/>
        <v>12600</v>
      </c>
      <c r="AA117" s="908" t="e">
        <f t="shared" ca="1" si="60"/>
        <v>#REF!</v>
      </c>
    </row>
    <row r="118" spans="1:27">
      <c r="C118" s="494"/>
      <c r="E118" s="494"/>
      <c r="G118" s="494"/>
      <c r="I118" s="910">
        <f t="shared" ca="1" si="33"/>
        <v>0</v>
      </c>
      <c r="Z118"/>
    </row>
    <row r="119" spans="1:27">
      <c r="A119" s="187"/>
      <c r="B119" s="179">
        <f t="shared" ref="B119:Z119" si="67">+B72-B117</f>
        <v>0</v>
      </c>
      <c r="C119" s="902"/>
      <c r="D119" s="179">
        <f t="shared" si="67"/>
        <v>0</v>
      </c>
      <c r="E119" s="902"/>
      <c r="F119" s="179">
        <f t="shared" si="67"/>
        <v>0</v>
      </c>
      <c r="G119" s="902"/>
      <c r="H119" s="179">
        <f t="shared" si="67"/>
        <v>0</v>
      </c>
      <c r="I119" s="910">
        <f t="shared" ca="1" si="33"/>
        <v>0</v>
      </c>
      <c r="J119" s="179">
        <f t="shared" si="67"/>
        <v>0</v>
      </c>
      <c r="K119" s="20"/>
      <c r="L119" s="179">
        <f t="shared" si="67"/>
        <v>0</v>
      </c>
      <c r="M119" s="20"/>
      <c r="N119" s="179">
        <f t="shared" si="67"/>
        <v>0</v>
      </c>
      <c r="O119" s="179"/>
      <c r="P119" s="179">
        <f t="shared" si="67"/>
        <v>0</v>
      </c>
      <c r="Q119" s="179"/>
      <c r="R119" s="179">
        <f t="shared" si="67"/>
        <v>0</v>
      </c>
      <c r="S119" s="20"/>
      <c r="T119" s="179">
        <f t="shared" si="67"/>
        <v>0</v>
      </c>
      <c r="U119" s="179"/>
      <c r="V119" s="179">
        <f t="shared" si="67"/>
        <v>0</v>
      </c>
      <c r="W119" s="179"/>
      <c r="X119" s="179">
        <f t="shared" si="67"/>
        <v>0</v>
      </c>
      <c r="Y119" s="20"/>
      <c r="Z119" s="179">
        <f t="shared" ca="1" si="67"/>
        <v>0</v>
      </c>
    </row>
    <row r="120" spans="1:27">
      <c r="A120" s="493" t="s">
        <v>620</v>
      </c>
      <c r="B120" s="20">
        <f ca="1">+B13</f>
        <v>2728</v>
      </c>
      <c r="C120" s="902"/>
      <c r="D120" s="20">
        <f ca="1">+D13</f>
        <v>2728</v>
      </c>
      <c r="E120" s="902"/>
      <c r="F120" s="20">
        <f ca="1">+F13</f>
        <v>2728</v>
      </c>
      <c r="G120" s="902"/>
    </row>
    <row r="121" spans="1:27">
      <c r="C121" s="494"/>
      <c r="E121" s="494"/>
      <c r="F121" s="179">
        <f ca="1">SUM(B120:F120)</f>
        <v>8184</v>
      </c>
      <c r="G121" s="902"/>
    </row>
  </sheetData>
  <phoneticPr fontId="29" type="noConversion"/>
  <conditionalFormatting sqref="Z17:Z47">
    <cfRule type="dataBar" priority="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{C0D1AAC3-3705-4807-A69D-6DDEDAED2346}</x14:id>
        </ext>
      </extLst>
    </cfRule>
  </conditionalFormatting>
  <pageMargins left="0.75" right="0.75" top="1" bottom="1" header="0.5" footer="0.5"/>
  <pageSetup paperSize="9" scale="41" fitToHeight="3" orientation="landscape" horizontalDpi="300" verticalDpi="300" r:id="rId1"/>
  <headerFooter alignWithMargins="0"/>
  <ignoredErrors>
    <ignoredError sqref="C103:D104 C107:F110 C106:D106 T106 T103:T105 C111:D117 T111:T117 T101 V101 V106 V103:V105 V111:V117 C101:D101 F101 F103:F104 F106 F111:F117 H107:H110 H101 H103:H104 H106 H111:H117 J107:J110 J101 J103:J104 J106 J111:J117 L107:L110 L101 L103:L105 L106 L111:L117 N107:N110 N101 N103:N105 N106 N111:N117 P107:P110 P101 P103:P105 P106 P111:P117 R107:R110 R101 R103:R105 R106 R111:R117 T107:T110 V107:V110 X101 X106 X103:X105 X111:X117 X107:X110 Z101 Z106 Z102:Z105 Z111:Z117 Z107:Z110 C105 C102" formula="1"/>
  </ignoredErrors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0D1AAC3-3705-4807-A69D-6DDEDAED2346}">
            <x14:dataBar minLength="0" maxLength="100" negativeBarColorSameAsPositive="1" axisPosition="none">
              <x14:cfvo type="min"/>
              <x14:cfvo type="max"/>
            </x14:dataBar>
          </x14:cfRule>
          <xm:sqref>Z17:Z47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D4BE3-3B3B-4D60-8943-1252FD36689B}">
  <sheetPr codeName="Hoja13">
    <tabColor rgb="FF66FF99"/>
    <pageSetUpPr fitToPage="1"/>
  </sheetPr>
  <dimension ref="A1:AG121"/>
  <sheetViews>
    <sheetView workbookViewId="0"/>
  </sheetViews>
  <sheetFormatPr baseColWidth="10" defaultColWidth="11.42578125" defaultRowHeight="12.75"/>
  <cols>
    <col min="1" max="1" width="39.140625" bestFit="1" customWidth="1"/>
    <col min="2" max="2" width="13.42578125" customWidth="1"/>
    <col min="3" max="3" width="8.140625" style="230" customWidth="1"/>
    <col min="4" max="4" width="13.42578125" customWidth="1"/>
    <col min="5" max="5" width="8.140625" style="230" customWidth="1"/>
    <col min="6" max="6" width="14.42578125" customWidth="1"/>
    <col min="7" max="7" width="10.42578125" style="230" customWidth="1"/>
    <col min="8" max="8" width="12.85546875" customWidth="1"/>
    <col min="9" max="9" width="9.42578125" customWidth="1"/>
    <col min="10" max="10" width="13.140625" customWidth="1"/>
    <col min="11" max="11" width="6.140625" customWidth="1"/>
    <col min="12" max="12" width="13.42578125" customWidth="1"/>
    <col min="13" max="13" width="7.42578125" customWidth="1"/>
    <col min="14" max="14" width="13.42578125" customWidth="1"/>
    <col min="15" max="15" width="7.42578125" customWidth="1"/>
    <col min="16" max="16" width="15.140625" customWidth="1"/>
    <col min="17" max="17" width="8.42578125" customWidth="1"/>
    <col min="18" max="18" width="13.85546875" customWidth="1"/>
    <col min="19" max="19" width="7.85546875" customWidth="1"/>
    <col min="20" max="20" width="15.140625" customWidth="1"/>
    <col min="21" max="21" width="6.85546875" customWidth="1"/>
    <col min="22" max="22" width="13.85546875" customWidth="1"/>
    <col min="23" max="23" width="7.85546875" customWidth="1"/>
    <col min="24" max="24" width="12.5703125" customWidth="1"/>
    <col min="25" max="25" width="8.42578125" customWidth="1"/>
    <col min="26" max="26" width="13.42578125" style="8" customWidth="1"/>
    <col min="27" max="27" width="8" style="240" customWidth="1"/>
    <col min="28" max="29" width="12.42578125" style="100" customWidth="1"/>
    <col min="30" max="30" width="13.140625" customWidth="1"/>
    <col min="31" max="31" width="9.42578125" bestFit="1" customWidth="1"/>
    <col min="32" max="32" width="11.85546875" bestFit="1" customWidth="1"/>
  </cols>
  <sheetData>
    <row r="1" spans="1:33" ht="15.75">
      <c r="A1" s="11" t="e">
        <f>#REF!</f>
        <v>#REF!</v>
      </c>
      <c r="C1" s="494"/>
      <c r="E1" s="494"/>
      <c r="G1" s="494"/>
    </row>
    <row r="2" spans="1:33" s="4" customFormat="1" ht="15.75">
      <c r="A2" s="11">
        <f>+'SPL 25 USD'!A2</f>
        <v>0</v>
      </c>
      <c r="B2"/>
      <c r="C2" s="494"/>
      <c r="D2"/>
      <c r="E2" s="494"/>
      <c r="F2"/>
      <c r="G2" s="494"/>
      <c r="H2"/>
      <c r="I2"/>
      <c r="J2"/>
      <c r="K2"/>
      <c r="L2"/>
      <c r="M2"/>
      <c r="N2"/>
      <c r="O2"/>
      <c r="P2"/>
      <c r="Q2"/>
      <c r="R2" s="20"/>
      <c r="S2" s="20"/>
      <c r="T2"/>
      <c r="U2"/>
      <c r="V2"/>
      <c r="W2"/>
      <c r="X2"/>
      <c r="Y2"/>
      <c r="Z2" s="8"/>
      <c r="AA2" s="245"/>
      <c r="AB2" s="101"/>
      <c r="AC2" s="101"/>
    </row>
    <row r="3" spans="1:33" ht="15.75">
      <c r="A3" s="18" t="s">
        <v>589</v>
      </c>
      <c r="B3" s="60">
        <f>'FX Rates'!B3</f>
        <v>1</v>
      </c>
      <c r="C3" s="235"/>
      <c r="D3" s="60">
        <f>'FX Rates'!C3</f>
        <v>1</v>
      </c>
      <c r="E3" s="235"/>
      <c r="F3" s="60">
        <f>'FX Rates'!D3</f>
        <v>1</v>
      </c>
      <c r="G3" s="235"/>
      <c r="H3" s="60">
        <f>'FX Rates'!E3</f>
        <v>1</v>
      </c>
      <c r="I3" s="60"/>
      <c r="J3" s="60">
        <f>'FX Rates'!F3</f>
        <v>1</v>
      </c>
      <c r="K3" s="60"/>
      <c r="L3" s="60">
        <f>'FX Rates'!G3</f>
        <v>1</v>
      </c>
      <c r="M3" s="60"/>
      <c r="N3" s="60">
        <f>'FX Rates'!H3</f>
        <v>1</v>
      </c>
      <c r="O3" s="60"/>
      <c r="P3" s="60">
        <f>'FX Rates'!I3</f>
        <v>1</v>
      </c>
      <c r="Q3" s="60"/>
      <c r="R3" s="60">
        <f>'FX Rates'!J3</f>
        <v>1</v>
      </c>
      <c r="S3" s="60"/>
      <c r="T3" s="60">
        <f>'FX Rates'!K3</f>
        <v>1</v>
      </c>
      <c r="U3" s="60"/>
      <c r="V3" s="60">
        <f>'FX Rates'!L3</f>
        <v>1</v>
      </c>
      <c r="W3" s="60"/>
      <c r="X3" s="60">
        <f>'FX Rates'!M3</f>
        <v>1</v>
      </c>
      <c r="Y3" s="60"/>
      <c r="Z3" s="9"/>
    </row>
    <row r="4" spans="1:33">
      <c r="B4" s="21">
        <v>2024</v>
      </c>
      <c r="C4" s="21"/>
      <c r="D4" s="21">
        <f>B4</f>
        <v>2024</v>
      </c>
      <c r="E4" s="21"/>
      <c r="F4" s="21">
        <f>D4</f>
        <v>2024</v>
      </c>
      <c r="G4" s="21"/>
      <c r="H4" s="21">
        <f>F4</f>
        <v>2024</v>
      </c>
      <c r="I4" s="21"/>
      <c r="J4" s="21">
        <f>H4</f>
        <v>2024</v>
      </c>
      <c r="K4" s="21"/>
      <c r="L4" s="21">
        <f>J4</f>
        <v>2024</v>
      </c>
      <c r="M4" s="21"/>
      <c r="N4" s="21">
        <f>L4</f>
        <v>2024</v>
      </c>
      <c r="O4" s="21"/>
      <c r="P4" s="21">
        <f>N4</f>
        <v>2024</v>
      </c>
      <c r="Q4" s="21"/>
      <c r="R4" s="21">
        <f>P4</f>
        <v>2024</v>
      </c>
      <c r="S4" s="21"/>
      <c r="T4" s="21">
        <f>R4</f>
        <v>2024</v>
      </c>
      <c r="U4" s="21"/>
      <c r="V4" s="21">
        <f>T4</f>
        <v>2024</v>
      </c>
      <c r="W4" s="21"/>
      <c r="X4" s="21">
        <f>V4</f>
        <v>2024</v>
      </c>
      <c r="Y4" s="21"/>
      <c r="Z4" s="21">
        <f>X4</f>
        <v>2024</v>
      </c>
      <c r="AB4" s="927" t="str">
        <f>'SPL 25 USD'!AC4</f>
        <v>2024YTD</v>
      </c>
      <c r="AC4" s="927"/>
    </row>
    <row r="5" spans="1:33" ht="15.75">
      <c r="A5" s="18" t="s">
        <v>2</v>
      </c>
      <c r="B5" s="21" t="s">
        <v>3</v>
      </c>
      <c r="C5" s="21"/>
      <c r="D5" s="21" t="s">
        <v>4</v>
      </c>
      <c r="E5" s="21"/>
      <c r="F5" s="21" t="s">
        <v>5</v>
      </c>
      <c r="G5" s="21"/>
      <c r="H5" s="21" t="s">
        <v>6</v>
      </c>
      <c r="I5" s="21"/>
      <c r="J5" s="21" t="s">
        <v>7</v>
      </c>
      <c r="K5" s="21"/>
      <c r="L5" s="21" t="s">
        <v>8</v>
      </c>
      <c r="M5" s="21"/>
      <c r="N5" s="21" t="s">
        <v>9</v>
      </c>
      <c r="O5" s="21"/>
      <c r="P5" s="21" t="s">
        <v>10</v>
      </c>
      <c r="Q5" s="21"/>
      <c r="R5" s="21" t="s">
        <v>11</v>
      </c>
      <c r="S5" s="21"/>
      <c r="T5" s="21" t="s">
        <v>12</v>
      </c>
      <c r="U5" s="21"/>
      <c r="V5" s="21" t="s">
        <v>13</v>
      </c>
      <c r="W5" s="21"/>
      <c r="X5" s="21" t="s">
        <v>14</v>
      </c>
      <c r="Y5" s="21"/>
      <c r="Z5" s="21" t="s">
        <v>51</v>
      </c>
      <c r="AB5" s="927" t="s">
        <v>52</v>
      </c>
      <c r="AC5" s="927"/>
    </row>
    <row r="6" spans="1:33">
      <c r="A6" s="6" t="s">
        <v>376</v>
      </c>
      <c r="C6" s="494"/>
      <c r="E6" s="494"/>
      <c r="G6" s="494"/>
      <c r="AA6" s="167"/>
      <c r="AB6" s="96"/>
      <c r="AC6" s="96"/>
    </row>
    <row r="7" spans="1:33">
      <c r="A7" s="757" t="s">
        <v>590</v>
      </c>
      <c r="B7" s="122" t="e">
        <f>IF(B$3=0,#REF!,#REF!/B$3)</f>
        <v>#REF!</v>
      </c>
      <c r="C7" s="907" t="e">
        <f>+B7/$B$13</f>
        <v>#REF!</v>
      </c>
      <c r="D7" s="122" t="e">
        <f>IF(D$3=0,#REF!,#REF!/D$3)</f>
        <v>#REF!</v>
      </c>
      <c r="E7" s="907">
        <f>IFERROR(D7/D13,0)</f>
        <v>0</v>
      </c>
      <c r="F7" s="122" t="e">
        <f>IF(F$3=0,#REF!,#REF!/F$3)</f>
        <v>#REF!</v>
      </c>
      <c r="G7" s="907">
        <f>IFERROR(F7/F13,0)</f>
        <v>0</v>
      </c>
      <c r="H7" s="122" t="e">
        <f>IF(H$3=0,#REF!,#REF!/H$3)</f>
        <v>#REF!</v>
      </c>
      <c r="I7" s="907">
        <f>IFERROR(H7/H13,0)</f>
        <v>0</v>
      </c>
      <c r="J7" s="122" t="e">
        <f>IF(J$3=0,#REF!,#REF!/J$3)</f>
        <v>#REF!</v>
      </c>
      <c r="K7" s="907">
        <f>IFERROR(J7/J13,0)</f>
        <v>0</v>
      </c>
      <c r="L7" s="122" t="e">
        <f>IF(L$3=0,#REF!,#REF!/L$3)</f>
        <v>#REF!</v>
      </c>
      <c r="M7" s="907">
        <f>IFERROR(L7/L13,0)</f>
        <v>0</v>
      </c>
      <c r="N7" s="122" t="e">
        <f>IF(N$3=0,#REF!,#REF!/N$3)</f>
        <v>#REF!</v>
      </c>
      <c r="O7" s="907">
        <f>IFERROR(N7/N13,0)</f>
        <v>0</v>
      </c>
      <c r="P7" s="122" t="e">
        <f>IF(P$3=0,#REF!,#REF!/P$3)</f>
        <v>#REF!</v>
      </c>
      <c r="Q7" s="907">
        <f>IFERROR(P7/P13,0)</f>
        <v>0</v>
      </c>
      <c r="R7" s="122" t="e">
        <f>IF(R$3=0,#REF!,#REF!/R$3)</f>
        <v>#REF!</v>
      </c>
      <c r="S7" s="907">
        <f>IFERROR(R7/R13,0)</f>
        <v>0</v>
      </c>
      <c r="T7" s="122" t="e">
        <f>IF(T$3=0,#REF!,#REF!/T$3)</f>
        <v>#REF!</v>
      </c>
      <c r="U7" s="907">
        <f>IFERROR(T7/T13,0)</f>
        <v>0</v>
      </c>
      <c r="V7" s="122" t="e">
        <f>IF(V$3=0,#REF!,#REF!/V$3)</f>
        <v>#REF!</v>
      </c>
      <c r="W7" s="907">
        <f>IFERROR(V7/V13,0)</f>
        <v>0</v>
      </c>
      <c r="X7" s="122" t="e">
        <f>IF(X$3=0,#REF!,#REF!/X$3)</f>
        <v>#REF!</v>
      </c>
      <c r="Y7" s="907">
        <f>IFERROR(X7/X13,0)</f>
        <v>0</v>
      </c>
      <c r="Z7" s="123" t="e">
        <f>+B7+D7+F7+H7+J7+L7+N7+P7+R7+T7+V7+X7</f>
        <v>#REF!</v>
      </c>
      <c r="AA7" s="241" t="e">
        <f>+Z7/$Z$13</f>
        <v>#REF!</v>
      </c>
      <c r="AB7" s="104">
        <f>SUM('DPL24-Budget'!B7:$M7)</f>
        <v>9962378</v>
      </c>
      <c r="AC7" s="928">
        <f>+AB7/$AB$13</f>
        <v>1</v>
      </c>
      <c r="AD7" s="169" t="e">
        <f t="shared" ref="AD7:AD49" si="0">+Z7-AB7</f>
        <v>#REF!</v>
      </c>
      <c r="AE7" s="149"/>
      <c r="AF7" s="149">
        <f>(1205352+1352048+1440979+1467601+1577997+1891004+1544190+1244352)/8</f>
        <v>1465440</v>
      </c>
      <c r="AG7">
        <v>240</v>
      </c>
    </row>
    <row r="8" spans="1:33">
      <c r="A8" s="757" t="s">
        <v>591</v>
      </c>
      <c r="B8" s="122" t="e">
        <f>IF(B$3=0,#REF!,#REF!/B$3)</f>
        <v>#REF!</v>
      </c>
      <c r="C8" s="907" t="e">
        <f>+B8/$B$13</f>
        <v>#REF!</v>
      </c>
      <c r="D8" s="122" t="e">
        <f>IF(D$3=0,#REF!,#REF!/D$3)</f>
        <v>#REF!</v>
      </c>
      <c r="E8" s="907">
        <f t="shared" ref="E8:G11" si="1">IFERROR(D8/D14,0)</f>
        <v>0</v>
      </c>
      <c r="F8" s="122" t="e">
        <f>IF(F$3=0,#REF!,#REF!/F$3)</f>
        <v>#REF!</v>
      </c>
      <c r="G8" s="907">
        <f t="shared" si="1"/>
        <v>0</v>
      </c>
      <c r="H8" s="122" t="e">
        <f>IF(H$3=0,#REF!,#REF!/H$3)</f>
        <v>#REF!</v>
      </c>
      <c r="I8" s="907">
        <f>IFERROR(H8/H14,0)</f>
        <v>0</v>
      </c>
      <c r="J8" s="122" t="e">
        <f>IF(J$3=0,#REF!,#REF!/J$3)</f>
        <v>#REF!</v>
      </c>
      <c r="K8" s="907">
        <f>IFERROR(J8/J14,0)</f>
        <v>0</v>
      </c>
      <c r="L8" s="122" t="e">
        <f>IF(L$3=0,#REF!,#REF!/L$3)</f>
        <v>#REF!</v>
      </c>
      <c r="M8" s="907">
        <f>IFERROR(L8/L14,0)</f>
        <v>0</v>
      </c>
      <c r="N8" s="122" t="e">
        <f>IF(N$3=0,#REF!,#REF!/N$3)</f>
        <v>#REF!</v>
      </c>
      <c r="O8" s="907">
        <f>IFERROR(N8/N14,0)</f>
        <v>0</v>
      </c>
      <c r="P8" s="122" t="e">
        <f>IF(P$3=0,#REF!,#REF!/P$3)</f>
        <v>#REF!</v>
      </c>
      <c r="Q8" s="907">
        <f>IFERROR(P8/P14,0)</f>
        <v>0</v>
      </c>
      <c r="R8" s="122" t="e">
        <f>IF(R$3=0,#REF!,#REF!/R$3)</f>
        <v>#REF!</v>
      </c>
      <c r="S8" s="907">
        <f>IFERROR(R8/R14,0)</f>
        <v>0</v>
      </c>
      <c r="T8" s="122" t="e">
        <f>IF(T$3=0,#REF!,#REF!/T$3)</f>
        <v>#REF!</v>
      </c>
      <c r="U8" s="907">
        <f>IFERROR(T8/T14,0)</f>
        <v>0</v>
      </c>
      <c r="V8" s="122" t="e">
        <f>IF(V$3=0,#REF!,#REF!/V$3)</f>
        <v>#REF!</v>
      </c>
      <c r="W8" s="907">
        <f>IFERROR(V8/V14,0)</f>
        <v>0</v>
      </c>
      <c r="X8" s="122" t="e">
        <f>IF(X$3=0,#REF!,#REF!/X$3)</f>
        <v>#REF!</v>
      </c>
      <c r="Y8" s="907">
        <f>IFERROR(X8/X14,0)</f>
        <v>0</v>
      </c>
      <c r="Z8" s="123" t="e">
        <f>+B8+D8+F8+H8+J8+L8+N8+P8+R8+T8+V8+X8</f>
        <v>#REF!</v>
      </c>
      <c r="AA8" s="241" t="e">
        <f>+Z8/$Z$13</f>
        <v>#REF!</v>
      </c>
      <c r="AB8" s="104">
        <f>SUM('DPL24-Budget'!B8:$M8)</f>
        <v>0</v>
      </c>
      <c r="AC8" s="104"/>
      <c r="AD8" s="169" t="e">
        <f t="shared" si="0"/>
        <v>#REF!</v>
      </c>
      <c r="AE8" s="149"/>
    </row>
    <row r="9" spans="1:33">
      <c r="A9" s="757" t="s">
        <v>378</v>
      </c>
      <c r="B9" s="122" t="e">
        <f>IF(B$3=0,#REF!,#REF!/B$3)</f>
        <v>#REF!</v>
      </c>
      <c r="C9" s="907" t="e">
        <f>+B9/$B$13</f>
        <v>#REF!</v>
      </c>
      <c r="D9" s="122" t="e">
        <f>IF(D$3=0,#REF!,#REF!/D$3)</f>
        <v>#REF!</v>
      </c>
      <c r="E9" s="907">
        <f t="shared" si="1"/>
        <v>0</v>
      </c>
      <c r="F9" s="122" t="e">
        <f>IF(F$3=0,#REF!,#REF!/F$3)</f>
        <v>#REF!</v>
      </c>
      <c r="G9" s="907">
        <f t="shared" si="1"/>
        <v>0</v>
      </c>
      <c r="H9" s="122" t="e">
        <f>IF(H$3=0,#REF!,#REF!/H$3)</f>
        <v>#REF!</v>
      </c>
      <c r="I9" s="907">
        <f>IFERROR(H9/H15,0)</f>
        <v>0</v>
      </c>
      <c r="J9" s="122" t="e">
        <f>IF(J$3=0,#REF!,#REF!/J$3)</f>
        <v>#REF!</v>
      </c>
      <c r="K9" s="907">
        <f>IFERROR(J9/J15,0)</f>
        <v>0</v>
      </c>
      <c r="L9" s="122" t="e">
        <f>IF(L$3=0,#REF!,#REF!/L$3)</f>
        <v>#REF!</v>
      </c>
      <c r="M9" s="907">
        <f>IFERROR(L9/L15,0)</f>
        <v>0</v>
      </c>
      <c r="N9" s="122" t="e">
        <f>IF(N$3=0,#REF!,#REF!/N$3)</f>
        <v>#REF!</v>
      </c>
      <c r="O9" s="907">
        <f>IFERROR(N9/N15,0)</f>
        <v>0</v>
      </c>
      <c r="P9" s="122" t="e">
        <f>IF(P$3=0,#REF!,#REF!/P$3)</f>
        <v>#REF!</v>
      </c>
      <c r="Q9" s="907">
        <f>IFERROR(P9/P15,0)</f>
        <v>0</v>
      </c>
      <c r="R9" s="122" t="e">
        <f>IF(R$3=0,#REF!,#REF!/R$3)</f>
        <v>#REF!</v>
      </c>
      <c r="S9" s="907">
        <f>IFERROR(R9/R15,0)</f>
        <v>0</v>
      </c>
      <c r="T9" s="122" t="e">
        <f>IF(T$3=0,#REF!,#REF!/T$3)</f>
        <v>#REF!</v>
      </c>
      <c r="U9" s="907">
        <f>IFERROR(T9/T15,0)</f>
        <v>0</v>
      </c>
      <c r="V9" s="122" t="e">
        <f>IF(V$3=0,#REF!,#REF!/V$3)</f>
        <v>#REF!</v>
      </c>
      <c r="W9" s="907">
        <f>IFERROR(V9/V15,0)</f>
        <v>0</v>
      </c>
      <c r="X9" s="122" t="e">
        <f>IF(X$3=0,#REF!,#REF!/X$3)</f>
        <v>#REF!</v>
      </c>
      <c r="Y9" s="907">
        <f>IFERROR(X9/X15,0)</f>
        <v>0</v>
      </c>
      <c r="Z9" s="123" t="e">
        <f>+B9+D9+F9+H9+J9+L9+N9+P9+R9+T9+V9+X9</f>
        <v>#REF!</v>
      </c>
      <c r="AA9" s="241" t="e">
        <f>+Z9/$Z$13</f>
        <v>#REF!</v>
      </c>
      <c r="AB9" s="104">
        <f>SUM('DPL24-Budget'!B9:$M9)</f>
        <v>0</v>
      </c>
      <c r="AC9" s="929">
        <f>+AB9/$AB$13</f>
        <v>0</v>
      </c>
      <c r="AD9" s="169" t="e">
        <f t="shared" si="0"/>
        <v>#REF!</v>
      </c>
      <c r="AE9" s="149"/>
      <c r="AF9" s="178" t="e">
        <f>(AF7*AG7)/Z7</f>
        <v>#REF!</v>
      </c>
    </row>
    <row r="10" spans="1:33">
      <c r="A10" s="757" t="s">
        <v>592</v>
      </c>
      <c r="B10" s="122" t="e">
        <f>IF(B$3=0,#REF!,#REF!/B$3)</f>
        <v>#REF!</v>
      </c>
      <c r="C10" s="907" t="e">
        <f>+B10/$B$13</f>
        <v>#REF!</v>
      </c>
      <c r="D10" s="122" t="e">
        <f>IF(D$3=0,#REF!,#REF!/D$3)</f>
        <v>#REF!</v>
      </c>
      <c r="E10" s="907">
        <f t="shared" si="1"/>
        <v>0</v>
      </c>
      <c r="F10" s="122" t="e">
        <f>IF(F$3=0,#REF!,#REF!/F$3)</f>
        <v>#REF!</v>
      </c>
      <c r="G10" s="907">
        <f t="shared" si="1"/>
        <v>0</v>
      </c>
      <c r="H10" s="122" t="e">
        <f>IF(H$3=0,#REF!,#REF!/H$3)</f>
        <v>#REF!</v>
      </c>
      <c r="I10" s="907">
        <f>IFERROR(H10/H16,0)</f>
        <v>0</v>
      </c>
      <c r="J10" s="122" t="e">
        <f>IF(J$3=0,#REF!,#REF!/J$3)</f>
        <v>#REF!</v>
      </c>
      <c r="K10" s="907">
        <f>IFERROR(J10/J16,0)</f>
        <v>0</v>
      </c>
      <c r="L10" s="122" t="e">
        <f>IF(L$3=0,#REF!,#REF!/L$3)</f>
        <v>#REF!</v>
      </c>
      <c r="M10" s="907">
        <f>IFERROR(L10/L16,0)</f>
        <v>0</v>
      </c>
      <c r="N10" s="122" t="e">
        <f>IF(N$3=0,#REF!,#REF!/N$3)</f>
        <v>#REF!</v>
      </c>
      <c r="O10" s="907">
        <f>IFERROR(N10/N16,0)</f>
        <v>0</v>
      </c>
      <c r="P10" s="122" t="e">
        <f>IF(P$3=0,#REF!,#REF!/P$3)</f>
        <v>#REF!</v>
      </c>
      <c r="Q10" s="907">
        <f>IFERROR(P10/P16,0)</f>
        <v>0</v>
      </c>
      <c r="R10" s="122" t="e">
        <f>IF(R$3=0,#REF!,#REF!/R$3)</f>
        <v>#REF!</v>
      </c>
      <c r="S10" s="907">
        <f>IFERROR(R10/R16,0)</f>
        <v>0</v>
      </c>
      <c r="T10" s="122" t="e">
        <f>IF(T$3=0,#REF!,#REF!/T$3)</f>
        <v>#REF!</v>
      </c>
      <c r="U10" s="907">
        <f>IFERROR(T10/T16,0)</f>
        <v>0</v>
      </c>
      <c r="V10" s="122" t="e">
        <f>IF(V$3=0,#REF!,#REF!/V$3)</f>
        <v>#REF!</v>
      </c>
      <c r="W10" s="907">
        <f>IFERROR(V10/V16,0)</f>
        <v>0</v>
      </c>
      <c r="X10" s="122" t="e">
        <f>IF(X$3=0,#REF!,#REF!/X$3)</f>
        <v>#REF!</v>
      </c>
      <c r="Y10" s="907">
        <f>IFERROR(X10/X16,0)</f>
        <v>0</v>
      </c>
      <c r="Z10" s="123" t="e">
        <f>+B10+D10+F10+H10+J10+L10+N10+P10+R10+T10+V10+X10</f>
        <v>#REF!</v>
      </c>
      <c r="AA10" s="241" t="e">
        <f>+Z10/$Z$13</f>
        <v>#REF!</v>
      </c>
      <c r="AB10" s="104">
        <f>SUM('DPL24-Budget'!B10:$M10)</f>
        <v>0</v>
      </c>
      <c r="AC10" s="104"/>
      <c r="AD10" s="169" t="e">
        <f t="shared" si="0"/>
        <v>#REF!</v>
      </c>
      <c r="AE10" s="149"/>
    </row>
    <row r="11" spans="1:33" s="35" customFormat="1">
      <c r="A11" s="32" t="s">
        <v>380</v>
      </c>
      <c r="B11" s="122" t="e">
        <f>IF(B$3=0,#REF!,#REF!/B$3)</f>
        <v>#REF!</v>
      </c>
      <c r="C11" s="907" t="e">
        <f>+B11/$B$13</f>
        <v>#REF!</v>
      </c>
      <c r="D11" s="122" t="e">
        <f>IF(D$3=0,#REF!,#REF!/D$3)</f>
        <v>#REF!</v>
      </c>
      <c r="E11" s="907">
        <f t="shared" si="1"/>
        <v>0</v>
      </c>
      <c r="F11" s="122" t="e">
        <f>IF(F$3=0,#REF!,#REF!/F$3)</f>
        <v>#REF!</v>
      </c>
      <c r="G11" s="907">
        <f t="shared" si="1"/>
        <v>0</v>
      </c>
      <c r="H11" s="122" t="e">
        <f>IF(H$3=0,#REF!,#REF!/H$3)</f>
        <v>#REF!</v>
      </c>
      <c r="I11" s="907">
        <f>IFERROR(H11/H17,0)</f>
        <v>0</v>
      </c>
      <c r="J11" s="122" t="e">
        <f>IF(J$3=0,#REF!,#REF!/J$3)</f>
        <v>#REF!</v>
      </c>
      <c r="K11" s="907">
        <f>IFERROR(J11/J17,0)</f>
        <v>0</v>
      </c>
      <c r="L11" s="122" t="e">
        <f>IF(L$3=0,#REF!,#REF!/L$3)</f>
        <v>#REF!</v>
      </c>
      <c r="M11" s="907">
        <f>IFERROR(L11/L17,0)</f>
        <v>0</v>
      </c>
      <c r="N11" s="122" t="e">
        <f>IF(N$3=0,#REF!,#REF!/N$3)</f>
        <v>#REF!</v>
      </c>
      <c r="O11" s="907">
        <f>IFERROR(N11/N17,0)</f>
        <v>0</v>
      </c>
      <c r="P11" s="122" t="e">
        <f>IF(P$3=0,#REF!,#REF!/P$3)</f>
        <v>#REF!</v>
      </c>
      <c r="Q11" s="907">
        <f>IFERROR(P11/P17,0)</f>
        <v>0</v>
      </c>
      <c r="R11" s="122" t="e">
        <f>IF(R$3=0,#REF!,#REF!/R$3)</f>
        <v>#REF!</v>
      </c>
      <c r="S11" s="907">
        <f>IFERROR(R11/R17,0)</f>
        <v>0</v>
      </c>
      <c r="T11" s="122" t="e">
        <f>IF(T$3=0,#REF!,#REF!/T$3)</f>
        <v>#REF!</v>
      </c>
      <c r="U11" s="907">
        <f>IFERROR(T11/T17,0)</f>
        <v>0</v>
      </c>
      <c r="V11" s="122" t="e">
        <f>IF(V$3=0,#REF!,#REF!/V$3)</f>
        <v>#REF!</v>
      </c>
      <c r="W11" s="907">
        <f>IFERROR(V11/V17,0)</f>
        <v>0</v>
      </c>
      <c r="X11" s="122" t="e">
        <f>IF(X$3=0,#REF!,#REF!/X$3)</f>
        <v>#REF!</v>
      </c>
      <c r="Y11" s="907">
        <f>IFERROR(X11/X17,0)</f>
        <v>0</v>
      </c>
      <c r="Z11" s="123" t="e">
        <f>+B11+D11+F11+H11+J11+L11+N11+P11+R11+T11+V11+X11</f>
        <v>#REF!</v>
      </c>
      <c r="AA11" s="241" t="e">
        <f>+Z11/$Z$13</f>
        <v>#REF!</v>
      </c>
      <c r="AB11" s="104">
        <f>SUM('DPL24-Budget'!B11:$M11)</f>
        <v>41855</v>
      </c>
      <c r="AC11" s="104"/>
      <c r="AD11" s="169" t="e">
        <f t="shared" si="0"/>
        <v>#REF!</v>
      </c>
      <c r="AE11" s="153"/>
    </row>
    <row r="12" spans="1:33">
      <c r="A12" s="757" t="s">
        <v>59</v>
      </c>
      <c r="B12" s="20"/>
      <c r="C12" s="902"/>
      <c r="D12" s="20"/>
      <c r="E12" s="902"/>
      <c r="F12" s="20"/>
      <c r="G12" s="902"/>
      <c r="H12" s="20"/>
      <c r="I12" s="902"/>
      <c r="J12" s="20"/>
      <c r="K12" s="902"/>
      <c r="L12" s="20"/>
      <c r="M12" s="902"/>
      <c r="N12" s="20"/>
      <c r="O12" s="902"/>
      <c r="P12" s="20"/>
      <c r="Q12" s="902"/>
      <c r="R12" s="20"/>
      <c r="S12" s="902"/>
      <c r="T12" s="20"/>
      <c r="U12" s="902"/>
      <c r="V12" s="20"/>
      <c r="W12" s="902"/>
      <c r="X12" s="20"/>
      <c r="Y12" s="902"/>
      <c r="Z12" s="15"/>
      <c r="AA12" s="167"/>
      <c r="AB12" s="104"/>
      <c r="AC12" s="104"/>
      <c r="AD12" s="169">
        <f t="shared" si="0"/>
        <v>0</v>
      </c>
      <c r="AE12" s="149"/>
    </row>
    <row r="13" spans="1:33" s="1" customFormat="1" ht="13.5" thickBot="1">
      <c r="A13" s="6" t="s">
        <v>381</v>
      </c>
      <c r="B13" s="38" t="e">
        <f>SUM(B7:B12)</f>
        <v>#REF!</v>
      </c>
      <c r="C13" s="907" t="e">
        <f>B13/B13</f>
        <v>#REF!</v>
      </c>
      <c r="D13" s="38" t="e">
        <f t="shared" ref="D13:Z13" si="2">SUM(D7:D12)</f>
        <v>#REF!</v>
      </c>
      <c r="E13" s="907">
        <f>IFERROR(D13/D13,0)</f>
        <v>0</v>
      </c>
      <c r="F13" s="38" t="e">
        <f t="shared" si="2"/>
        <v>#REF!</v>
      </c>
      <c r="G13" s="907">
        <f>IFERROR(F13/F13,0)</f>
        <v>0</v>
      </c>
      <c r="H13" s="38" t="e">
        <f t="shared" si="2"/>
        <v>#REF!</v>
      </c>
      <c r="I13" s="907">
        <f>IFERROR(H13/H13,0)</f>
        <v>0</v>
      </c>
      <c r="J13" s="38" t="e">
        <f t="shared" si="2"/>
        <v>#REF!</v>
      </c>
      <c r="K13" s="907">
        <f>IFERROR(J13/J13,0)</f>
        <v>0</v>
      </c>
      <c r="L13" s="38" t="e">
        <f t="shared" si="2"/>
        <v>#REF!</v>
      </c>
      <c r="M13" s="907">
        <f>IFERROR(L13/L13,0)</f>
        <v>0</v>
      </c>
      <c r="N13" s="38" t="e">
        <f t="shared" si="2"/>
        <v>#REF!</v>
      </c>
      <c r="O13" s="907">
        <f>IFERROR(N13/N13,0)</f>
        <v>0</v>
      </c>
      <c r="P13" s="38" t="e">
        <f t="shared" si="2"/>
        <v>#REF!</v>
      </c>
      <c r="Q13" s="907">
        <f>IFERROR(P13/P13,0)</f>
        <v>0</v>
      </c>
      <c r="R13" s="38" t="e">
        <f t="shared" si="2"/>
        <v>#REF!</v>
      </c>
      <c r="S13" s="907">
        <f>IFERROR(R13/R13,0)</f>
        <v>0</v>
      </c>
      <c r="T13" s="38" t="e">
        <f t="shared" si="2"/>
        <v>#REF!</v>
      </c>
      <c r="U13" s="907">
        <f>IFERROR(T13/T13,0)</f>
        <v>0</v>
      </c>
      <c r="V13" s="38" t="e">
        <f t="shared" si="2"/>
        <v>#REF!</v>
      </c>
      <c r="W13" s="907">
        <f>IFERROR(V13/V13,0)</f>
        <v>0</v>
      </c>
      <c r="X13" s="38" t="e">
        <f t="shared" si="2"/>
        <v>#REF!</v>
      </c>
      <c r="Y13" s="907">
        <f>IFERROR(X13/X13,0)</f>
        <v>0</v>
      </c>
      <c r="Z13" s="16" t="e">
        <f t="shared" si="2"/>
        <v>#REF!</v>
      </c>
      <c r="AA13" s="241" t="e">
        <f>+Z13/$Z$13</f>
        <v>#REF!</v>
      </c>
      <c r="AB13" s="107">
        <f>SUM(AB7:AB12)</f>
        <v>10004233</v>
      </c>
      <c r="AC13" s="248"/>
      <c r="AD13" s="169" t="e">
        <f t="shared" si="0"/>
        <v>#REF!</v>
      </c>
      <c r="AE13" s="154"/>
    </row>
    <row r="14" spans="1:33" ht="13.5" thickTop="1">
      <c r="A14" s="757"/>
      <c r="B14" s="20"/>
      <c r="C14" s="902"/>
      <c r="D14" s="20"/>
      <c r="E14" s="902"/>
      <c r="F14" s="20"/>
      <c r="G14" s="902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15"/>
      <c r="AA14" s="167"/>
      <c r="AB14" s="104"/>
      <c r="AC14" s="104"/>
      <c r="AD14" s="169">
        <f t="shared" si="0"/>
        <v>0</v>
      </c>
      <c r="AE14" s="149"/>
    </row>
    <row r="15" spans="1:33">
      <c r="A15" s="6" t="s">
        <v>382</v>
      </c>
      <c r="B15" s="20"/>
      <c r="C15" s="902"/>
      <c r="D15" s="20"/>
      <c r="E15" s="902"/>
      <c r="F15" s="20"/>
      <c r="G15" s="902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15"/>
      <c r="AA15" s="167"/>
      <c r="AB15" s="104"/>
      <c r="AC15" s="104"/>
      <c r="AD15" s="169">
        <f t="shared" si="0"/>
        <v>0</v>
      </c>
      <c r="AE15" s="149"/>
    </row>
    <row r="16" spans="1:33">
      <c r="A16" s="757" t="s">
        <v>266</v>
      </c>
      <c r="B16" s="122" t="e">
        <f>IF(B$3=0,#REF!,#REF!/B$3)</f>
        <v>#REF!</v>
      </c>
      <c r="C16" s="910" t="e">
        <f>+B16/$B$13</f>
        <v>#REF!</v>
      </c>
      <c r="D16" s="122" t="e">
        <f>IF(D$3=0,#REF!,#REF!/D$3)</f>
        <v>#REF!</v>
      </c>
      <c r="E16" s="909">
        <f>IFERROR(D16/$D$13,0)</f>
        <v>0</v>
      </c>
      <c r="F16" s="122" t="e">
        <f>IF(F$3=0,#REF!,#REF!/F$3)</f>
        <v>#REF!</v>
      </c>
      <c r="G16" s="909">
        <f>IFERROR(F16/$F$13,0)</f>
        <v>0</v>
      </c>
      <c r="H16" s="122" t="e">
        <f>IF(H$3=0,#REF!,#REF!/H$3)</f>
        <v>#REF!</v>
      </c>
      <c r="I16" s="910">
        <f>IFERROR(H16/$H$13,0)</f>
        <v>0</v>
      </c>
      <c r="J16" s="122" t="e">
        <f>IF(J$3=0,#REF!,#REF!/J$3)</f>
        <v>#REF!</v>
      </c>
      <c r="K16" s="907">
        <f>IFERROR(J16/$J$13,0)</f>
        <v>0</v>
      </c>
      <c r="L16" s="122" t="e">
        <f>IF(L$3=0,#REF!,#REF!/L$3)</f>
        <v>#REF!</v>
      </c>
      <c r="M16" s="907">
        <f>IFERROR(L16/$L$13,0)</f>
        <v>0</v>
      </c>
      <c r="N16" s="122" t="e">
        <f>IF(N$3=0,#REF!,#REF!/N$3)</f>
        <v>#REF!</v>
      </c>
      <c r="O16" s="907">
        <f>IFERROR(N16/$N$13,0)</f>
        <v>0</v>
      </c>
      <c r="P16" s="122" t="e">
        <f>IF(P$3=0,#REF!,#REF!/P$3)</f>
        <v>#REF!</v>
      </c>
      <c r="Q16" s="907">
        <f>IFERROR(P16/$P$13,0)</f>
        <v>0</v>
      </c>
      <c r="R16" s="122" t="e">
        <f>IF(R$3=0,#REF!,#REF!/R$3)</f>
        <v>#REF!</v>
      </c>
      <c r="S16" s="910">
        <f>IFERROR(R16/$R$13,0)</f>
        <v>0</v>
      </c>
      <c r="T16" s="122" t="e">
        <f>IF(T$3=0,#REF!,#REF!/T$3)</f>
        <v>#REF!</v>
      </c>
      <c r="U16" s="910">
        <f>IFERROR(T16/$T$13,0)</f>
        <v>0</v>
      </c>
      <c r="V16" s="122" t="e">
        <f>IF(V$3=0,#REF!,#REF!/V$3)</f>
        <v>#REF!</v>
      </c>
      <c r="W16" s="910">
        <f>IFERROR(V16/$V$13,0)</f>
        <v>0</v>
      </c>
      <c r="X16" s="122" t="e">
        <f>IF(X$3=0,#REF!,#REF!/X$3)</f>
        <v>#REF!</v>
      </c>
      <c r="Y16" s="910">
        <f>IFERROR(X16/$X$13,0)</f>
        <v>0</v>
      </c>
      <c r="Z16" s="123" t="e">
        <f>+B16+D16+F16+H16+J16+L16+N16+P16+R16+T16+V16+X16</f>
        <v>#REF!</v>
      </c>
      <c r="AA16" s="930" t="e">
        <f t="shared" ref="AA16:AA47" si="3">+Z16/$Z$13</f>
        <v>#REF!</v>
      </c>
      <c r="AB16" s="104">
        <f>SUM('DPL24-Budget'!B16:$M16)</f>
        <v>1818588</v>
      </c>
      <c r="AC16" s="929">
        <f t="shared" ref="AC16:AC49" si="4">+AB16/$AB$13</f>
        <v>0.18179999999999999</v>
      </c>
      <c r="AD16" s="169" t="e">
        <f t="shared" si="0"/>
        <v>#REF!</v>
      </c>
      <c r="AE16" s="931">
        <f>+AB16/$AB$13</f>
        <v>0.182</v>
      </c>
    </row>
    <row r="17" spans="1:31">
      <c r="A17" s="757" t="s">
        <v>268</v>
      </c>
      <c r="B17" s="122" t="e">
        <f>IF(B$3=0,#REF!,#REF!/B$3)</f>
        <v>#REF!</v>
      </c>
      <c r="C17" s="910" t="e">
        <f t="shared" ref="C17:C47" si="5">+B17/$B$13</f>
        <v>#REF!</v>
      </c>
      <c r="D17" s="122" t="e">
        <f>IF(D$3=0,#REF!,#REF!/D$3)</f>
        <v>#REF!</v>
      </c>
      <c r="E17" s="909">
        <f t="shared" ref="E17:E80" si="6">IFERROR(D17/$D$13,0)</f>
        <v>0</v>
      </c>
      <c r="F17" s="122" t="e">
        <f>IF(F$3=0,#REF!,#REF!/F$3)</f>
        <v>#REF!</v>
      </c>
      <c r="G17" s="909">
        <f t="shared" ref="G17:G80" si="7">IFERROR(F17/$F$13,0)</f>
        <v>0</v>
      </c>
      <c r="H17" s="122" t="e">
        <f>IF(H$3=0,#REF!,#REF!/H$3)</f>
        <v>#REF!</v>
      </c>
      <c r="I17" s="910">
        <f t="shared" ref="I17:I80" si="8">IFERROR(H17/$H$13,0)</f>
        <v>0</v>
      </c>
      <c r="J17" s="122" t="e">
        <f>IF(J$3=0,#REF!,#REF!/J$3)</f>
        <v>#REF!</v>
      </c>
      <c r="K17" s="907">
        <f t="shared" ref="K17:K80" si="9">IFERROR(J17/$J$13,0)</f>
        <v>0</v>
      </c>
      <c r="L17" s="122" t="e">
        <f>IF(L$3=0,#REF!,#REF!/L$3)</f>
        <v>#REF!</v>
      </c>
      <c r="M17" s="907">
        <f t="shared" ref="M17:M80" si="10">IFERROR(L17/$L$13,0)</f>
        <v>0</v>
      </c>
      <c r="N17" s="122" t="e">
        <f>IF(N$3=0,#REF!,#REF!/N$3)</f>
        <v>#REF!</v>
      </c>
      <c r="O17" s="907">
        <f t="shared" ref="O17:O80" si="11">IFERROR(N17/$N$13,0)</f>
        <v>0</v>
      </c>
      <c r="P17" s="122" t="e">
        <f>IF(P$3=0,#REF!,#REF!/P$3)</f>
        <v>#REF!</v>
      </c>
      <c r="Q17" s="907">
        <f t="shared" ref="Q17:Q80" si="12">IFERROR(P17/$P$13,0)</f>
        <v>0</v>
      </c>
      <c r="R17" s="122" t="e">
        <f>IF(R$3=0,#REF!,#REF!/R$3)</f>
        <v>#REF!</v>
      </c>
      <c r="S17" s="910">
        <f t="shared" ref="S17:S80" si="13">IFERROR(R17/$R$13,0)</f>
        <v>0</v>
      </c>
      <c r="T17" s="122" t="e">
        <f>IF(T$3=0,#REF!,#REF!/T$3)</f>
        <v>#REF!</v>
      </c>
      <c r="U17" s="910">
        <f t="shared" ref="U17:U80" si="14">IFERROR(T17/$T$13,0)</f>
        <v>0</v>
      </c>
      <c r="V17" s="122" t="e">
        <f>IF(V$3=0,#REF!,#REF!/V$3)</f>
        <v>#REF!</v>
      </c>
      <c r="W17" s="910">
        <f t="shared" ref="W17:W80" si="15">IFERROR(V17/$V$13,0)</f>
        <v>0</v>
      </c>
      <c r="X17" s="122" t="e">
        <f>IF(X$3=0,#REF!,#REF!/X$3)</f>
        <v>#REF!</v>
      </c>
      <c r="Y17" s="910">
        <f t="shared" ref="Y17:Y80" si="16">IFERROR(X17/$X$13,0)</f>
        <v>0</v>
      </c>
      <c r="Z17" s="123" t="e">
        <f t="shared" ref="Z17:Z47" si="17">+B17+D17+F17+H17+J17+L17+N17+P17+R17+T17+V17+X17</f>
        <v>#REF!</v>
      </c>
      <c r="AA17" s="930" t="e">
        <f t="shared" si="3"/>
        <v>#REF!</v>
      </c>
      <c r="AB17" s="104">
        <f>SUM('DPL24-Budget'!B17:$M17)</f>
        <v>1226986</v>
      </c>
      <c r="AC17" s="929">
        <f t="shared" si="4"/>
        <v>0.1226</v>
      </c>
      <c r="AD17" s="169" t="e">
        <f t="shared" si="0"/>
        <v>#REF!</v>
      </c>
      <c r="AE17" s="931">
        <f t="shared" ref="AE17:AE49" si="18">+AB17/$AB$13</f>
        <v>0.123</v>
      </c>
    </row>
    <row r="18" spans="1:31">
      <c r="A18" s="932" t="s">
        <v>383</v>
      </c>
      <c r="B18" s="122" t="e">
        <f>IF(B$3=0,#REF!,#REF!/B$3)</f>
        <v>#REF!</v>
      </c>
      <c r="C18" s="910" t="e">
        <f t="shared" si="5"/>
        <v>#REF!</v>
      </c>
      <c r="D18" s="122" t="e">
        <f>IF(D$3=0,#REF!,#REF!/D$3)</f>
        <v>#REF!</v>
      </c>
      <c r="E18" s="909">
        <f t="shared" si="6"/>
        <v>0</v>
      </c>
      <c r="F18" s="122" t="e">
        <f>IF(F$3=0,#REF!,#REF!/F$3)</f>
        <v>#REF!</v>
      </c>
      <c r="G18" s="909">
        <f t="shared" si="7"/>
        <v>0</v>
      </c>
      <c r="H18" s="122" t="e">
        <f>IF(H$3=0,#REF!,#REF!/H$3)</f>
        <v>#REF!</v>
      </c>
      <c r="I18" s="910">
        <f t="shared" si="8"/>
        <v>0</v>
      </c>
      <c r="J18" s="122" t="e">
        <f>IF(J$3=0,#REF!,#REF!/J$3)</f>
        <v>#REF!</v>
      </c>
      <c r="K18" s="907">
        <f t="shared" si="9"/>
        <v>0</v>
      </c>
      <c r="L18" s="122" t="e">
        <f>IF(L$3=0,#REF!,#REF!/L$3)</f>
        <v>#REF!</v>
      </c>
      <c r="M18" s="907">
        <f t="shared" si="10"/>
        <v>0</v>
      </c>
      <c r="N18" s="122" t="e">
        <f>IF(N$3=0,#REF!,#REF!/N$3)</f>
        <v>#REF!</v>
      </c>
      <c r="O18" s="907">
        <f t="shared" si="11"/>
        <v>0</v>
      </c>
      <c r="P18" s="122" t="e">
        <f>IF(P$3=0,#REF!,#REF!/P$3)</f>
        <v>#REF!</v>
      </c>
      <c r="Q18" s="907">
        <f t="shared" si="12"/>
        <v>0</v>
      </c>
      <c r="R18" s="122" t="e">
        <f>IF(R$3=0,#REF!,#REF!/R$3)</f>
        <v>#REF!</v>
      </c>
      <c r="S18" s="910">
        <f t="shared" si="13"/>
        <v>0</v>
      </c>
      <c r="T18" s="122" t="e">
        <f>IF(T$3=0,#REF!,#REF!/T$3)</f>
        <v>#REF!</v>
      </c>
      <c r="U18" s="910">
        <f t="shared" si="14"/>
        <v>0</v>
      </c>
      <c r="V18" s="122" t="e">
        <f>IF(V$3=0,#REF!,#REF!/V$3)</f>
        <v>#REF!</v>
      </c>
      <c r="W18" s="910">
        <f t="shared" si="15"/>
        <v>0</v>
      </c>
      <c r="X18" s="122" t="e">
        <f>IF(X$3=0,#REF!,#REF!/X$3)</f>
        <v>#REF!</v>
      </c>
      <c r="Y18" s="910">
        <f t="shared" si="16"/>
        <v>0</v>
      </c>
      <c r="Z18" s="123" t="e">
        <f t="shared" si="17"/>
        <v>#REF!</v>
      </c>
      <c r="AA18" s="930" t="e">
        <f t="shared" si="3"/>
        <v>#REF!</v>
      </c>
      <c r="AB18" s="104">
        <f>SUM('DPL24-Budget'!B18:$M18)</f>
        <v>50425</v>
      </c>
      <c r="AC18" s="929">
        <f t="shared" si="4"/>
        <v>5.0000000000000001E-3</v>
      </c>
      <c r="AD18" s="169" t="e">
        <f t="shared" si="0"/>
        <v>#REF!</v>
      </c>
      <c r="AE18" s="931">
        <f t="shared" si="18"/>
        <v>5.0000000000000001E-3</v>
      </c>
    </row>
    <row r="19" spans="1:31">
      <c r="A19" s="757" t="s">
        <v>269</v>
      </c>
      <c r="B19" s="122" t="e">
        <f>IF(B$3=0,#REF!,#REF!/B$3)</f>
        <v>#REF!</v>
      </c>
      <c r="C19" s="910" t="e">
        <f t="shared" si="5"/>
        <v>#REF!</v>
      </c>
      <c r="D19" s="122" t="e">
        <f>IF(D$3=0,#REF!,#REF!/D$3)</f>
        <v>#REF!</v>
      </c>
      <c r="E19" s="909">
        <f t="shared" si="6"/>
        <v>0</v>
      </c>
      <c r="F19" s="122" t="e">
        <f>IF(F$3=0,#REF!,#REF!/F$3)</f>
        <v>#REF!</v>
      </c>
      <c r="G19" s="909">
        <f t="shared" si="7"/>
        <v>0</v>
      </c>
      <c r="H19" s="122" t="e">
        <f>IF(H$3=0,#REF!,#REF!/H$3)</f>
        <v>#REF!</v>
      </c>
      <c r="I19" s="910">
        <f t="shared" si="8"/>
        <v>0</v>
      </c>
      <c r="J19" s="122" t="e">
        <f>IF(J$3=0,#REF!,#REF!/J$3)</f>
        <v>#REF!</v>
      </c>
      <c r="K19" s="907">
        <f t="shared" si="9"/>
        <v>0</v>
      </c>
      <c r="L19" s="122" t="e">
        <f>IF(L$3=0,#REF!,#REF!/L$3)</f>
        <v>#REF!</v>
      </c>
      <c r="M19" s="907">
        <f t="shared" si="10"/>
        <v>0</v>
      </c>
      <c r="N19" s="122" t="e">
        <f>IF(N$3=0,#REF!,#REF!/N$3)</f>
        <v>#REF!</v>
      </c>
      <c r="O19" s="907">
        <f t="shared" si="11"/>
        <v>0</v>
      </c>
      <c r="P19" s="122" t="e">
        <f>IF(P$3=0,#REF!,#REF!/P$3)</f>
        <v>#REF!</v>
      </c>
      <c r="Q19" s="907">
        <f t="shared" si="12"/>
        <v>0</v>
      </c>
      <c r="R19" s="122" t="e">
        <f>IF(R$3=0,#REF!,#REF!/R$3)</f>
        <v>#REF!</v>
      </c>
      <c r="S19" s="910">
        <f t="shared" si="13"/>
        <v>0</v>
      </c>
      <c r="T19" s="122" t="e">
        <f>IF(T$3=0,#REF!,#REF!/T$3)</f>
        <v>#REF!</v>
      </c>
      <c r="U19" s="910">
        <f t="shared" si="14"/>
        <v>0</v>
      </c>
      <c r="V19" s="122" t="e">
        <f>IF(V$3=0,#REF!,#REF!/V$3)</f>
        <v>#REF!</v>
      </c>
      <c r="W19" s="910">
        <f t="shared" si="15"/>
        <v>0</v>
      </c>
      <c r="X19" s="122" t="e">
        <f>IF(X$3=0,#REF!,#REF!/X$3)</f>
        <v>#REF!</v>
      </c>
      <c r="Y19" s="910">
        <f t="shared" si="16"/>
        <v>0</v>
      </c>
      <c r="Z19" s="123" t="e">
        <f t="shared" si="17"/>
        <v>#REF!</v>
      </c>
      <c r="AA19" s="930" t="e">
        <f t="shared" si="3"/>
        <v>#REF!</v>
      </c>
      <c r="AB19" s="104">
        <f>SUM('DPL24-Budget'!B19:$M19)</f>
        <v>157890</v>
      </c>
      <c r="AC19" s="929">
        <f t="shared" si="4"/>
        <v>1.5800000000000002E-2</v>
      </c>
      <c r="AD19" s="169" t="e">
        <f t="shared" si="0"/>
        <v>#REF!</v>
      </c>
      <c r="AE19" s="931">
        <f t="shared" si="18"/>
        <v>1.6E-2</v>
      </c>
    </row>
    <row r="20" spans="1:31">
      <c r="A20" s="757" t="s">
        <v>384</v>
      </c>
      <c r="B20" s="122" t="e">
        <f>IF(B$3=0,#REF!,#REF!/B$3)</f>
        <v>#REF!</v>
      </c>
      <c r="C20" s="910" t="e">
        <f t="shared" si="5"/>
        <v>#REF!</v>
      </c>
      <c r="D20" s="122" t="e">
        <f>IF(D$3=0,#REF!,#REF!/D$3)</f>
        <v>#REF!</v>
      </c>
      <c r="E20" s="909">
        <f t="shared" si="6"/>
        <v>0</v>
      </c>
      <c r="F20" s="122" t="e">
        <f>IF(F$3=0,#REF!,#REF!/F$3)</f>
        <v>#REF!</v>
      </c>
      <c r="G20" s="909">
        <f t="shared" si="7"/>
        <v>0</v>
      </c>
      <c r="H20" s="122" t="e">
        <f>IF(H$3=0,#REF!,#REF!/H$3)</f>
        <v>#REF!</v>
      </c>
      <c r="I20" s="910">
        <f t="shared" si="8"/>
        <v>0</v>
      </c>
      <c r="J20" s="122" t="e">
        <f>IF(J$3=0,#REF!,#REF!/J$3)</f>
        <v>#REF!</v>
      </c>
      <c r="K20" s="907">
        <f t="shared" si="9"/>
        <v>0</v>
      </c>
      <c r="L20" s="122" t="e">
        <f>IF(L$3=0,#REF!,#REF!/L$3)</f>
        <v>#REF!</v>
      </c>
      <c r="M20" s="907">
        <f t="shared" si="10"/>
        <v>0</v>
      </c>
      <c r="N20" s="122" t="e">
        <f>IF(N$3=0,#REF!,#REF!/N$3)</f>
        <v>#REF!</v>
      </c>
      <c r="O20" s="907">
        <f t="shared" si="11"/>
        <v>0</v>
      </c>
      <c r="P20" s="122" t="e">
        <f>IF(P$3=0,#REF!,#REF!/P$3)</f>
        <v>#REF!</v>
      </c>
      <c r="Q20" s="907">
        <f t="shared" si="12"/>
        <v>0</v>
      </c>
      <c r="R20" s="122" t="e">
        <f>IF(R$3=0,#REF!,#REF!/R$3)</f>
        <v>#REF!</v>
      </c>
      <c r="S20" s="910">
        <f t="shared" si="13"/>
        <v>0</v>
      </c>
      <c r="T20" s="122" t="e">
        <f>IF(T$3=0,#REF!,#REF!/T$3)</f>
        <v>#REF!</v>
      </c>
      <c r="U20" s="910">
        <f t="shared" si="14"/>
        <v>0</v>
      </c>
      <c r="V20" s="122" t="e">
        <f>IF(V$3=0,#REF!,#REF!/V$3)</f>
        <v>#REF!</v>
      </c>
      <c r="W20" s="910">
        <f t="shared" si="15"/>
        <v>0</v>
      </c>
      <c r="X20" s="122" t="e">
        <f>IF(X$3=0,#REF!,#REF!/X$3)</f>
        <v>#REF!</v>
      </c>
      <c r="Y20" s="910">
        <f t="shared" si="16"/>
        <v>0</v>
      </c>
      <c r="Z20" s="123" t="e">
        <f t="shared" si="17"/>
        <v>#REF!</v>
      </c>
      <c r="AA20" s="930" t="e">
        <f t="shared" si="3"/>
        <v>#REF!</v>
      </c>
      <c r="AB20" s="104">
        <f>SUM('DPL24-Budget'!B20:$M20)</f>
        <v>55111</v>
      </c>
      <c r="AC20" s="929">
        <f t="shared" si="4"/>
        <v>5.4999999999999997E-3</v>
      </c>
      <c r="AD20" s="169" t="e">
        <f t="shared" si="0"/>
        <v>#REF!</v>
      </c>
      <c r="AE20" s="931">
        <f t="shared" si="18"/>
        <v>6.0000000000000001E-3</v>
      </c>
    </row>
    <row r="21" spans="1:31">
      <c r="A21" s="757" t="s">
        <v>385</v>
      </c>
      <c r="B21" s="122" t="e">
        <f>IF(B$3=0,#REF!,#REF!/B$3)</f>
        <v>#REF!</v>
      </c>
      <c r="C21" s="910" t="e">
        <f t="shared" si="5"/>
        <v>#REF!</v>
      </c>
      <c r="D21" s="122" t="e">
        <f>IF(D$3=0,#REF!,#REF!/D$3)</f>
        <v>#REF!</v>
      </c>
      <c r="E21" s="909">
        <f t="shared" si="6"/>
        <v>0</v>
      </c>
      <c r="F21" s="122" t="e">
        <f>IF(F$3=0,#REF!,#REF!/F$3)</f>
        <v>#REF!</v>
      </c>
      <c r="G21" s="909">
        <f t="shared" si="7"/>
        <v>0</v>
      </c>
      <c r="H21" s="122" t="e">
        <f>IF(H$3=0,#REF!,#REF!/H$3)</f>
        <v>#REF!</v>
      </c>
      <c r="I21" s="910">
        <f t="shared" si="8"/>
        <v>0</v>
      </c>
      <c r="J21" s="122" t="e">
        <f>IF(J$3=0,#REF!,#REF!/J$3)</f>
        <v>#REF!</v>
      </c>
      <c r="K21" s="907">
        <f t="shared" si="9"/>
        <v>0</v>
      </c>
      <c r="L21" s="122" t="e">
        <f>IF(L$3=0,#REF!,#REF!/L$3)</f>
        <v>#REF!</v>
      </c>
      <c r="M21" s="907">
        <f t="shared" si="10"/>
        <v>0</v>
      </c>
      <c r="N21" s="122" t="e">
        <f>IF(N$3=0,#REF!,#REF!/N$3)</f>
        <v>#REF!</v>
      </c>
      <c r="O21" s="907">
        <f t="shared" si="11"/>
        <v>0</v>
      </c>
      <c r="P21" s="122" t="e">
        <f>IF(P$3=0,#REF!,#REF!/P$3)</f>
        <v>#REF!</v>
      </c>
      <c r="Q21" s="907">
        <f t="shared" si="12"/>
        <v>0</v>
      </c>
      <c r="R21" s="122" t="e">
        <f>IF(R$3=0,#REF!,#REF!/R$3)</f>
        <v>#REF!</v>
      </c>
      <c r="S21" s="910">
        <f t="shared" si="13"/>
        <v>0</v>
      </c>
      <c r="T21" s="122" t="e">
        <f>IF(T$3=0,#REF!,#REF!/T$3)</f>
        <v>#REF!</v>
      </c>
      <c r="U21" s="910">
        <f t="shared" si="14"/>
        <v>0</v>
      </c>
      <c r="V21" s="122" t="e">
        <f>IF(V$3=0,#REF!,#REF!/V$3)</f>
        <v>#REF!</v>
      </c>
      <c r="W21" s="910">
        <f t="shared" si="15"/>
        <v>0</v>
      </c>
      <c r="X21" s="122" t="e">
        <f>IF(X$3=0,#REF!,#REF!/X$3)</f>
        <v>#REF!</v>
      </c>
      <c r="Y21" s="910">
        <f t="shared" si="16"/>
        <v>0</v>
      </c>
      <c r="Z21" s="123" t="e">
        <f t="shared" si="17"/>
        <v>#REF!</v>
      </c>
      <c r="AA21" s="930" t="e">
        <f t="shared" si="3"/>
        <v>#REF!</v>
      </c>
      <c r="AB21" s="104">
        <f>SUM('DPL24-Budget'!B21:$M21)</f>
        <v>82714</v>
      </c>
      <c r="AC21" s="929">
        <f t="shared" si="4"/>
        <v>8.3000000000000001E-3</v>
      </c>
      <c r="AD21" s="169" t="e">
        <f t="shared" si="0"/>
        <v>#REF!</v>
      </c>
      <c r="AE21" s="931">
        <f t="shared" si="18"/>
        <v>8.0000000000000002E-3</v>
      </c>
    </row>
    <row r="22" spans="1:31">
      <c r="A22" s="757" t="s">
        <v>386</v>
      </c>
      <c r="B22" s="122" t="e">
        <f>IF(B$3=0,#REF!,#REF!/B$3)</f>
        <v>#REF!</v>
      </c>
      <c r="C22" s="910" t="e">
        <f t="shared" si="5"/>
        <v>#REF!</v>
      </c>
      <c r="D22" s="122" t="e">
        <f>IF(D$3=0,#REF!,#REF!/D$3)</f>
        <v>#REF!</v>
      </c>
      <c r="E22" s="909">
        <f t="shared" si="6"/>
        <v>0</v>
      </c>
      <c r="F22" s="122" t="e">
        <f>IF(F$3=0,#REF!,#REF!/F$3)</f>
        <v>#REF!</v>
      </c>
      <c r="G22" s="909">
        <f t="shared" si="7"/>
        <v>0</v>
      </c>
      <c r="H22" s="122" t="e">
        <f>IF(H$3=0,#REF!,#REF!/H$3)</f>
        <v>#REF!</v>
      </c>
      <c r="I22" s="910">
        <f t="shared" si="8"/>
        <v>0</v>
      </c>
      <c r="J22" s="122" t="e">
        <f>IF(J$3=0,#REF!,#REF!/J$3)</f>
        <v>#REF!</v>
      </c>
      <c r="K22" s="907">
        <f t="shared" si="9"/>
        <v>0</v>
      </c>
      <c r="L22" s="122" t="e">
        <f>IF(L$3=0,#REF!,#REF!/L$3)</f>
        <v>#REF!</v>
      </c>
      <c r="M22" s="907">
        <f t="shared" si="10"/>
        <v>0</v>
      </c>
      <c r="N22" s="122" t="e">
        <f>IF(N$3=0,#REF!,#REF!/N$3)</f>
        <v>#REF!</v>
      </c>
      <c r="O22" s="907">
        <f t="shared" si="11"/>
        <v>0</v>
      </c>
      <c r="P22" s="122" t="e">
        <f>IF(P$3=0,#REF!,#REF!/P$3)</f>
        <v>#REF!</v>
      </c>
      <c r="Q22" s="907">
        <f t="shared" si="12"/>
        <v>0</v>
      </c>
      <c r="R22" s="122" t="e">
        <f>IF(R$3=0,#REF!,#REF!/R$3)</f>
        <v>#REF!</v>
      </c>
      <c r="S22" s="910">
        <f t="shared" si="13"/>
        <v>0</v>
      </c>
      <c r="T22" s="122" t="e">
        <f>IF(T$3=0,#REF!,#REF!/T$3)</f>
        <v>#REF!</v>
      </c>
      <c r="U22" s="910">
        <f t="shared" si="14"/>
        <v>0</v>
      </c>
      <c r="V22" s="122" t="e">
        <f>IF(V$3=0,#REF!,#REF!/V$3)</f>
        <v>#REF!</v>
      </c>
      <c r="W22" s="910">
        <f t="shared" si="15"/>
        <v>0</v>
      </c>
      <c r="X22" s="122" t="e">
        <f>IF(X$3=0,#REF!,#REF!/X$3)</f>
        <v>#REF!</v>
      </c>
      <c r="Y22" s="910">
        <f t="shared" si="16"/>
        <v>0</v>
      </c>
      <c r="Z22" s="123" t="e">
        <f t="shared" si="17"/>
        <v>#REF!</v>
      </c>
      <c r="AA22" s="930" t="e">
        <f t="shared" si="3"/>
        <v>#REF!</v>
      </c>
      <c r="AB22" s="104">
        <f>SUM('DPL24-Budget'!B22:$M22)</f>
        <v>38003</v>
      </c>
      <c r="AC22" s="929">
        <f t="shared" si="4"/>
        <v>3.8E-3</v>
      </c>
      <c r="AD22" s="169" t="e">
        <f t="shared" si="0"/>
        <v>#REF!</v>
      </c>
      <c r="AE22" s="931">
        <f t="shared" si="18"/>
        <v>4.0000000000000001E-3</v>
      </c>
    </row>
    <row r="23" spans="1:31">
      <c r="A23" s="757" t="s">
        <v>387</v>
      </c>
      <c r="B23" s="122" t="e">
        <f>IF(B$3=0,#REF!,#REF!/B$3)</f>
        <v>#REF!</v>
      </c>
      <c r="C23" s="910" t="e">
        <f t="shared" si="5"/>
        <v>#REF!</v>
      </c>
      <c r="D23" s="122" t="e">
        <f>IF(D$3=0,#REF!,#REF!/D$3)</f>
        <v>#REF!</v>
      </c>
      <c r="E23" s="909">
        <f t="shared" si="6"/>
        <v>0</v>
      </c>
      <c r="F23" s="122" t="e">
        <f>IF(F$3=0,#REF!,#REF!/F$3)</f>
        <v>#REF!</v>
      </c>
      <c r="G23" s="909">
        <f t="shared" si="7"/>
        <v>0</v>
      </c>
      <c r="H23" s="122" t="e">
        <f>IF(H$3=0,#REF!,#REF!/H$3)</f>
        <v>#REF!</v>
      </c>
      <c r="I23" s="910">
        <f t="shared" si="8"/>
        <v>0</v>
      </c>
      <c r="J23" s="122" t="e">
        <f>IF(J$3=0,#REF!,#REF!/J$3)</f>
        <v>#REF!</v>
      </c>
      <c r="K23" s="907">
        <f t="shared" si="9"/>
        <v>0</v>
      </c>
      <c r="L23" s="122" t="e">
        <f>IF(L$3=0,#REF!,#REF!/L$3)</f>
        <v>#REF!</v>
      </c>
      <c r="M23" s="907">
        <f t="shared" si="10"/>
        <v>0</v>
      </c>
      <c r="N23" s="122" t="e">
        <f>IF(N$3=0,#REF!,#REF!/N$3)</f>
        <v>#REF!</v>
      </c>
      <c r="O23" s="907">
        <f t="shared" si="11"/>
        <v>0</v>
      </c>
      <c r="P23" s="122" t="e">
        <f>IF(P$3=0,#REF!,#REF!/P$3)</f>
        <v>#REF!</v>
      </c>
      <c r="Q23" s="907">
        <f t="shared" si="12"/>
        <v>0</v>
      </c>
      <c r="R23" s="122" t="e">
        <f>IF(R$3=0,#REF!,#REF!/R$3)</f>
        <v>#REF!</v>
      </c>
      <c r="S23" s="910">
        <f t="shared" si="13"/>
        <v>0</v>
      </c>
      <c r="T23" s="122" t="e">
        <f>IF(T$3=0,#REF!,#REF!/T$3)</f>
        <v>#REF!</v>
      </c>
      <c r="U23" s="910">
        <f t="shared" si="14"/>
        <v>0</v>
      </c>
      <c r="V23" s="122" t="e">
        <f>IF(V$3=0,#REF!,#REF!/V$3)</f>
        <v>#REF!</v>
      </c>
      <c r="W23" s="910">
        <f t="shared" si="15"/>
        <v>0</v>
      </c>
      <c r="X23" s="122" t="e">
        <f>IF(X$3=0,#REF!,#REF!/X$3)</f>
        <v>#REF!</v>
      </c>
      <c r="Y23" s="910">
        <f t="shared" si="16"/>
        <v>0</v>
      </c>
      <c r="Z23" s="123" t="e">
        <f t="shared" si="17"/>
        <v>#REF!</v>
      </c>
      <c r="AA23" s="930" t="e">
        <f t="shared" si="3"/>
        <v>#REF!</v>
      </c>
      <c r="AB23" s="104">
        <f>SUM('DPL24-Budget'!B23:$M23)</f>
        <v>64062</v>
      </c>
      <c r="AC23" s="929">
        <f t="shared" si="4"/>
        <v>6.4000000000000003E-3</v>
      </c>
      <c r="AD23" s="169" t="e">
        <f t="shared" si="0"/>
        <v>#REF!</v>
      </c>
      <c r="AE23" s="931">
        <f t="shared" si="18"/>
        <v>6.0000000000000001E-3</v>
      </c>
    </row>
    <row r="24" spans="1:31">
      <c r="A24" s="757" t="s">
        <v>388</v>
      </c>
      <c r="B24" s="122" t="e">
        <f>IF(B$3=0,#REF!,#REF!/B$3)</f>
        <v>#REF!</v>
      </c>
      <c r="C24" s="910" t="e">
        <f t="shared" si="5"/>
        <v>#REF!</v>
      </c>
      <c r="D24" s="122" t="e">
        <f>IF(D$3=0,#REF!,#REF!/D$3)</f>
        <v>#REF!</v>
      </c>
      <c r="E24" s="909">
        <f t="shared" si="6"/>
        <v>0</v>
      </c>
      <c r="F24" s="122" t="e">
        <f>IF(F$3=0,#REF!,#REF!/F$3)</f>
        <v>#REF!</v>
      </c>
      <c r="G24" s="909">
        <f t="shared" si="7"/>
        <v>0</v>
      </c>
      <c r="H24" s="122" t="e">
        <f>IF(H$3=0,#REF!,#REF!/H$3)</f>
        <v>#REF!</v>
      </c>
      <c r="I24" s="910">
        <f t="shared" si="8"/>
        <v>0</v>
      </c>
      <c r="J24" s="122" t="e">
        <f>IF(J$3=0,#REF!,#REF!/J$3)</f>
        <v>#REF!</v>
      </c>
      <c r="K24" s="907">
        <f t="shared" si="9"/>
        <v>0</v>
      </c>
      <c r="L24" s="122" t="e">
        <f>IF(L$3=0,#REF!,#REF!/L$3)</f>
        <v>#REF!</v>
      </c>
      <c r="M24" s="907">
        <f t="shared" si="10"/>
        <v>0</v>
      </c>
      <c r="N24" s="122" t="e">
        <f>IF(N$3=0,#REF!,#REF!/N$3)</f>
        <v>#REF!</v>
      </c>
      <c r="O24" s="907">
        <f t="shared" si="11"/>
        <v>0</v>
      </c>
      <c r="P24" s="122" t="e">
        <f>IF(P$3=0,#REF!,#REF!/P$3)</f>
        <v>#REF!</v>
      </c>
      <c r="Q24" s="907">
        <f t="shared" si="12"/>
        <v>0</v>
      </c>
      <c r="R24" s="122" t="e">
        <f>IF(R$3=0,#REF!,#REF!/R$3)</f>
        <v>#REF!</v>
      </c>
      <c r="S24" s="910">
        <f t="shared" si="13"/>
        <v>0</v>
      </c>
      <c r="T24" s="122" t="e">
        <f>IF(T$3=0,#REF!,#REF!/T$3)</f>
        <v>#REF!</v>
      </c>
      <c r="U24" s="910">
        <f t="shared" si="14"/>
        <v>0</v>
      </c>
      <c r="V24" s="122" t="e">
        <f>IF(V$3=0,#REF!,#REF!/V$3)</f>
        <v>#REF!</v>
      </c>
      <c r="W24" s="910">
        <f t="shared" si="15"/>
        <v>0</v>
      </c>
      <c r="X24" s="122" t="e">
        <f>IF(X$3=0,#REF!,#REF!/X$3)</f>
        <v>#REF!</v>
      </c>
      <c r="Y24" s="910">
        <f t="shared" si="16"/>
        <v>0</v>
      </c>
      <c r="Z24" s="123" t="e">
        <f t="shared" si="17"/>
        <v>#REF!</v>
      </c>
      <c r="AA24" s="930" t="e">
        <f t="shared" si="3"/>
        <v>#REF!</v>
      </c>
      <c r="AB24" s="104">
        <f>SUM('DPL24-Budget'!B24:$M24)</f>
        <v>36773</v>
      </c>
      <c r="AC24" s="929">
        <f t="shared" si="4"/>
        <v>3.7000000000000002E-3</v>
      </c>
      <c r="AD24" s="169" t="e">
        <f t="shared" si="0"/>
        <v>#REF!</v>
      </c>
      <c r="AE24" s="931">
        <f t="shared" si="18"/>
        <v>4.0000000000000001E-3</v>
      </c>
    </row>
    <row r="25" spans="1:31">
      <c r="A25" s="757" t="s">
        <v>389</v>
      </c>
      <c r="B25" s="122" t="e">
        <f>IF(B$3=0,#REF!,#REF!/B$3)</f>
        <v>#REF!</v>
      </c>
      <c r="C25" s="910" t="e">
        <f t="shared" si="5"/>
        <v>#REF!</v>
      </c>
      <c r="D25" s="122" t="e">
        <f>IF(D$3=0,#REF!,#REF!/D$3)</f>
        <v>#REF!</v>
      </c>
      <c r="E25" s="909">
        <f t="shared" si="6"/>
        <v>0</v>
      </c>
      <c r="F25" s="122" t="e">
        <f>IF(F$3=0,#REF!,#REF!/F$3)</f>
        <v>#REF!</v>
      </c>
      <c r="G25" s="909">
        <f t="shared" si="7"/>
        <v>0</v>
      </c>
      <c r="H25" s="122" t="e">
        <f>IF(H$3=0,#REF!,#REF!/H$3)</f>
        <v>#REF!</v>
      </c>
      <c r="I25" s="910">
        <f t="shared" si="8"/>
        <v>0</v>
      </c>
      <c r="J25" s="122" t="e">
        <f>IF(J$3=0,#REF!,#REF!/J$3)</f>
        <v>#REF!</v>
      </c>
      <c r="K25" s="907">
        <f t="shared" si="9"/>
        <v>0</v>
      </c>
      <c r="L25" s="122" t="e">
        <f>IF(L$3=0,#REF!,#REF!/L$3)</f>
        <v>#REF!</v>
      </c>
      <c r="M25" s="907">
        <f t="shared" si="10"/>
        <v>0</v>
      </c>
      <c r="N25" s="122" t="e">
        <f>IF(N$3=0,#REF!,#REF!/N$3)</f>
        <v>#REF!</v>
      </c>
      <c r="O25" s="907">
        <f t="shared" si="11"/>
        <v>0</v>
      </c>
      <c r="P25" s="122" t="e">
        <f>IF(P$3=0,#REF!,#REF!/P$3)</f>
        <v>#REF!</v>
      </c>
      <c r="Q25" s="907">
        <f t="shared" si="12"/>
        <v>0</v>
      </c>
      <c r="R25" s="122" t="e">
        <f>IF(R$3=0,#REF!,#REF!/R$3)</f>
        <v>#REF!</v>
      </c>
      <c r="S25" s="910">
        <f t="shared" si="13"/>
        <v>0</v>
      </c>
      <c r="T25" s="122" t="e">
        <f>IF(T$3=0,#REF!,#REF!/T$3)</f>
        <v>#REF!</v>
      </c>
      <c r="U25" s="910">
        <f t="shared" si="14"/>
        <v>0</v>
      </c>
      <c r="V25" s="122" t="e">
        <f>IF(V$3=0,#REF!,#REF!/V$3)</f>
        <v>#REF!</v>
      </c>
      <c r="W25" s="910">
        <f t="shared" si="15"/>
        <v>0</v>
      </c>
      <c r="X25" s="122" t="e">
        <f>IF(X$3=0,#REF!,#REF!/X$3)</f>
        <v>#REF!</v>
      </c>
      <c r="Y25" s="910">
        <f t="shared" si="16"/>
        <v>0</v>
      </c>
      <c r="Z25" s="123" t="e">
        <f t="shared" si="17"/>
        <v>#REF!</v>
      </c>
      <c r="AA25" s="930" t="e">
        <f t="shared" si="3"/>
        <v>#REF!</v>
      </c>
      <c r="AB25" s="104">
        <f>SUM('DPL24-Budget'!B25:$M25)</f>
        <v>38206</v>
      </c>
      <c r="AC25" s="929">
        <f t="shared" si="4"/>
        <v>3.8E-3</v>
      </c>
      <c r="AD25" s="169" t="e">
        <f t="shared" si="0"/>
        <v>#REF!</v>
      </c>
      <c r="AE25" s="931">
        <f t="shared" si="18"/>
        <v>4.0000000000000001E-3</v>
      </c>
    </row>
    <row r="26" spans="1:31" s="4" customFormat="1">
      <c r="A26" s="757" t="s">
        <v>390</v>
      </c>
      <c r="B26" s="122" t="e">
        <f>IF(B$3=0,#REF!,#REF!/B$3)</f>
        <v>#REF!</v>
      </c>
      <c r="C26" s="910" t="e">
        <f t="shared" si="5"/>
        <v>#REF!</v>
      </c>
      <c r="D26" s="122" t="e">
        <f>IF(D$3=0,#REF!,#REF!/D$3)</f>
        <v>#REF!</v>
      </c>
      <c r="E26" s="909">
        <f t="shared" si="6"/>
        <v>0</v>
      </c>
      <c r="F26" s="122" t="e">
        <f>IF(F$3=0,#REF!,#REF!/F$3)</f>
        <v>#REF!</v>
      </c>
      <c r="G26" s="909">
        <f t="shared" si="7"/>
        <v>0</v>
      </c>
      <c r="H26" s="122" t="e">
        <f>IF(H$3=0,#REF!,#REF!/H$3)</f>
        <v>#REF!</v>
      </c>
      <c r="I26" s="910">
        <f t="shared" si="8"/>
        <v>0</v>
      </c>
      <c r="J26" s="122" t="e">
        <f>IF(J$3=0,#REF!,#REF!/J$3)</f>
        <v>#REF!</v>
      </c>
      <c r="K26" s="907">
        <f t="shared" si="9"/>
        <v>0</v>
      </c>
      <c r="L26" s="122" t="e">
        <f>IF(L$3=0,#REF!,#REF!/L$3)</f>
        <v>#REF!</v>
      </c>
      <c r="M26" s="907">
        <f t="shared" si="10"/>
        <v>0</v>
      </c>
      <c r="N26" s="122" t="e">
        <f>IF(N$3=0,#REF!,#REF!/N$3)</f>
        <v>#REF!</v>
      </c>
      <c r="O26" s="907">
        <f t="shared" si="11"/>
        <v>0</v>
      </c>
      <c r="P26" s="122" t="e">
        <f>IF(P$3=0,#REF!,#REF!/P$3)</f>
        <v>#REF!</v>
      </c>
      <c r="Q26" s="907">
        <f t="shared" si="12"/>
        <v>0</v>
      </c>
      <c r="R26" s="122" t="e">
        <f>IF(R$3=0,#REF!,#REF!/R$3)</f>
        <v>#REF!</v>
      </c>
      <c r="S26" s="910">
        <f t="shared" si="13"/>
        <v>0</v>
      </c>
      <c r="T26" s="122" t="e">
        <f>IF(T$3=0,#REF!,#REF!/T$3)</f>
        <v>#REF!</v>
      </c>
      <c r="U26" s="910">
        <f t="shared" si="14"/>
        <v>0</v>
      </c>
      <c r="V26" s="122" t="e">
        <f>IF(V$3=0,#REF!,#REF!/V$3)</f>
        <v>#REF!</v>
      </c>
      <c r="W26" s="910">
        <f t="shared" si="15"/>
        <v>0</v>
      </c>
      <c r="X26" s="122" t="e">
        <f>IF(X$3=0,#REF!,#REF!/X$3)</f>
        <v>#REF!</v>
      </c>
      <c r="Y26" s="910">
        <f t="shared" si="16"/>
        <v>0</v>
      </c>
      <c r="Z26" s="123" t="e">
        <f t="shared" si="17"/>
        <v>#REF!</v>
      </c>
      <c r="AA26" s="241" t="e">
        <f t="shared" si="3"/>
        <v>#REF!</v>
      </c>
      <c r="AB26" s="104">
        <f>SUM('DPL24-Budget'!B26:$M26)</f>
        <v>39008</v>
      </c>
      <c r="AC26" s="929">
        <f t="shared" si="4"/>
        <v>3.8999999999999998E-3</v>
      </c>
      <c r="AD26" s="169" t="e">
        <f t="shared" si="0"/>
        <v>#REF!</v>
      </c>
      <c r="AE26" s="725">
        <f t="shared" si="18"/>
        <v>4.0000000000000001E-3</v>
      </c>
    </row>
    <row r="27" spans="1:31" s="4" customFormat="1">
      <c r="A27" s="757" t="s">
        <v>391</v>
      </c>
      <c r="B27" s="122" t="e">
        <f>IF(B$3=0,#REF!,#REF!/B$3)</f>
        <v>#REF!</v>
      </c>
      <c r="C27" s="910" t="e">
        <f t="shared" si="5"/>
        <v>#REF!</v>
      </c>
      <c r="D27" s="122" t="e">
        <f>IF(D$3=0,#REF!,#REF!/D$3)</f>
        <v>#REF!</v>
      </c>
      <c r="E27" s="909">
        <f t="shared" si="6"/>
        <v>0</v>
      </c>
      <c r="F27" s="122" t="e">
        <f>IF(F$3=0,#REF!,#REF!/F$3)</f>
        <v>#REF!</v>
      </c>
      <c r="G27" s="909">
        <f t="shared" si="7"/>
        <v>0</v>
      </c>
      <c r="H27" s="122" t="e">
        <f>IF(H$3=0,#REF!,#REF!/H$3)</f>
        <v>#REF!</v>
      </c>
      <c r="I27" s="910">
        <f t="shared" si="8"/>
        <v>0</v>
      </c>
      <c r="J27" s="122" t="e">
        <f>IF(J$3=0,#REF!,#REF!/J$3)</f>
        <v>#REF!</v>
      </c>
      <c r="K27" s="907">
        <f t="shared" si="9"/>
        <v>0</v>
      </c>
      <c r="L27" s="122" t="e">
        <f>IF(L$3=0,#REF!,#REF!/L$3)</f>
        <v>#REF!</v>
      </c>
      <c r="M27" s="907">
        <f t="shared" si="10"/>
        <v>0</v>
      </c>
      <c r="N27" s="122" t="e">
        <f>IF(N$3=0,#REF!,#REF!/N$3)</f>
        <v>#REF!</v>
      </c>
      <c r="O27" s="907">
        <f t="shared" si="11"/>
        <v>0</v>
      </c>
      <c r="P27" s="122" t="e">
        <f>IF(P$3=0,#REF!,#REF!/P$3)</f>
        <v>#REF!</v>
      </c>
      <c r="Q27" s="907">
        <f t="shared" si="12"/>
        <v>0</v>
      </c>
      <c r="R27" s="122" t="e">
        <f>IF(R$3=0,#REF!,#REF!/R$3)</f>
        <v>#REF!</v>
      </c>
      <c r="S27" s="910">
        <f t="shared" si="13"/>
        <v>0</v>
      </c>
      <c r="T27" s="122" t="e">
        <f>IF(T$3=0,#REF!,#REF!/T$3)</f>
        <v>#REF!</v>
      </c>
      <c r="U27" s="910">
        <f t="shared" si="14"/>
        <v>0</v>
      </c>
      <c r="V27" s="122" t="e">
        <f>IF(V$3=0,#REF!,#REF!/V$3)</f>
        <v>#REF!</v>
      </c>
      <c r="W27" s="910">
        <f t="shared" si="15"/>
        <v>0</v>
      </c>
      <c r="X27" s="122" t="e">
        <f>IF(X$3=0,#REF!,#REF!/X$3)</f>
        <v>#REF!</v>
      </c>
      <c r="Y27" s="910">
        <f t="shared" si="16"/>
        <v>0</v>
      </c>
      <c r="Z27" s="123" t="e">
        <f t="shared" si="17"/>
        <v>#REF!</v>
      </c>
      <c r="AA27" s="241" t="e">
        <f t="shared" si="3"/>
        <v>#REF!</v>
      </c>
      <c r="AB27" s="104">
        <f>SUM('DPL24-Budget'!B27:$M27)</f>
        <v>0</v>
      </c>
      <c r="AC27" s="929">
        <f t="shared" si="4"/>
        <v>0</v>
      </c>
      <c r="AD27" s="169" t="e">
        <f t="shared" si="0"/>
        <v>#REF!</v>
      </c>
      <c r="AE27" s="725">
        <f t="shared" si="18"/>
        <v>0</v>
      </c>
    </row>
    <row r="28" spans="1:31" s="4" customFormat="1">
      <c r="A28" s="933" t="s">
        <v>392</v>
      </c>
      <c r="B28" s="122" t="e">
        <f>IF(B$3=0,#REF!,#REF!/B$3)</f>
        <v>#REF!</v>
      </c>
      <c r="C28" s="910" t="e">
        <f t="shared" si="5"/>
        <v>#REF!</v>
      </c>
      <c r="D28" s="122" t="e">
        <f>IF(D$3=0,#REF!,#REF!/D$3)</f>
        <v>#REF!</v>
      </c>
      <c r="E28" s="909">
        <f t="shared" si="6"/>
        <v>0</v>
      </c>
      <c r="F28" s="122" t="e">
        <f>IF(F$3=0,#REF!,#REF!/F$3)</f>
        <v>#REF!</v>
      </c>
      <c r="G28" s="909">
        <f t="shared" si="7"/>
        <v>0</v>
      </c>
      <c r="H28" s="122" t="e">
        <f>IF(H$3=0,#REF!,#REF!/H$3)</f>
        <v>#REF!</v>
      </c>
      <c r="I28" s="910">
        <f t="shared" si="8"/>
        <v>0</v>
      </c>
      <c r="J28" s="122" t="e">
        <f>IF(J$3=0,#REF!,#REF!/J$3)</f>
        <v>#REF!</v>
      </c>
      <c r="K28" s="907">
        <f t="shared" si="9"/>
        <v>0</v>
      </c>
      <c r="L28" s="122" t="e">
        <f>IF(L$3=0,#REF!,#REF!/L$3)</f>
        <v>#REF!</v>
      </c>
      <c r="M28" s="907">
        <f t="shared" si="10"/>
        <v>0</v>
      </c>
      <c r="N28" s="122" t="e">
        <f>IF(N$3=0,#REF!,#REF!/N$3)</f>
        <v>#REF!</v>
      </c>
      <c r="O28" s="907">
        <f t="shared" si="11"/>
        <v>0</v>
      </c>
      <c r="P28" s="122" t="e">
        <f>IF(P$3=0,#REF!,#REF!/P$3)</f>
        <v>#REF!</v>
      </c>
      <c r="Q28" s="907">
        <f t="shared" si="12"/>
        <v>0</v>
      </c>
      <c r="R28" s="122" t="e">
        <f>IF(R$3=0,#REF!,#REF!/R$3)</f>
        <v>#REF!</v>
      </c>
      <c r="S28" s="910">
        <f t="shared" si="13"/>
        <v>0</v>
      </c>
      <c r="T28" s="122" t="e">
        <f>IF(T$3=0,#REF!,#REF!/T$3)</f>
        <v>#REF!</v>
      </c>
      <c r="U28" s="910">
        <f t="shared" si="14"/>
        <v>0</v>
      </c>
      <c r="V28" s="122" t="e">
        <f>IF(V$3=0,#REF!,#REF!/V$3)</f>
        <v>#REF!</v>
      </c>
      <c r="W28" s="910">
        <f t="shared" si="15"/>
        <v>0</v>
      </c>
      <c r="X28" s="122" t="e">
        <f>IF(X$3=0,#REF!,#REF!/X$3)</f>
        <v>#REF!</v>
      </c>
      <c r="Y28" s="910">
        <f t="shared" si="16"/>
        <v>0</v>
      </c>
      <c r="Z28" s="123" t="e">
        <f t="shared" si="17"/>
        <v>#REF!</v>
      </c>
      <c r="AA28" s="241" t="e">
        <f t="shared" si="3"/>
        <v>#REF!</v>
      </c>
      <c r="AB28" s="104">
        <f>SUM('DPL24-Budget'!B28:$M28)</f>
        <v>61520</v>
      </c>
      <c r="AC28" s="929">
        <f t="shared" si="4"/>
        <v>6.1000000000000004E-3</v>
      </c>
      <c r="AD28" s="934" t="e">
        <f t="shared" si="0"/>
        <v>#REF!</v>
      </c>
      <c r="AE28" s="725">
        <f t="shared" si="18"/>
        <v>6.0000000000000001E-3</v>
      </c>
    </row>
    <row r="29" spans="1:31" s="4" customFormat="1">
      <c r="A29" s="933" t="s">
        <v>501</v>
      </c>
      <c r="B29" s="122" t="e">
        <f>IF(B$3=0,#REF!,#REF!/B$3)</f>
        <v>#REF!</v>
      </c>
      <c r="C29" s="910" t="e">
        <f t="shared" si="5"/>
        <v>#REF!</v>
      </c>
      <c r="D29" s="122" t="e">
        <f>IF(D$3=0,#REF!,#REF!/D$3)</f>
        <v>#REF!</v>
      </c>
      <c r="E29" s="909">
        <f t="shared" si="6"/>
        <v>0</v>
      </c>
      <c r="F29" s="122" t="e">
        <f>IF(F$3=0,#REF!,#REF!/F$3)</f>
        <v>#REF!</v>
      </c>
      <c r="G29" s="909">
        <f t="shared" si="7"/>
        <v>0</v>
      </c>
      <c r="H29" s="122" t="e">
        <f>IF(H$3=0,#REF!,#REF!/H$3)</f>
        <v>#REF!</v>
      </c>
      <c r="I29" s="910">
        <f t="shared" si="8"/>
        <v>0</v>
      </c>
      <c r="J29" s="122" t="e">
        <f>IF(J$3=0,#REF!,#REF!/J$3)</f>
        <v>#REF!</v>
      </c>
      <c r="K29" s="907">
        <f t="shared" si="9"/>
        <v>0</v>
      </c>
      <c r="L29" s="122" t="e">
        <f>IF(L$3=0,#REF!,#REF!/L$3)</f>
        <v>#REF!</v>
      </c>
      <c r="M29" s="907">
        <f t="shared" si="10"/>
        <v>0</v>
      </c>
      <c r="N29" s="122" t="e">
        <f>IF(N$3=0,#REF!,#REF!/N$3)</f>
        <v>#REF!</v>
      </c>
      <c r="O29" s="907">
        <f t="shared" si="11"/>
        <v>0</v>
      </c>
      <c r="P29" s="122" t="e">
        <f>IF(P$3=0,#REF!,#REF!/P$3)</f>
        <v>#REF!</v>
      </c>
      <c r="Q29" s="907">
        <f t="shared" si="12"/>
        <v>0</v>
      </c>
      <c r="R29" s="122" t="e">
        <f>IF(R$3=0,#REF!,#REF!/R$3)</f>
        <v>#REF!</v>
      </c>
      <c r="S29" s="910">
        <f t="shared" si="13"/>
        <v>0</v>
      </c>
      <c r="T29" s="122" t="e">
        <f>IF(T$3=0,#REF!,#REF!/T$3)</f>
        <v>#REF!</v>
      </c>
      <c r="U29" s="910">
        <f t="shared" si="14"/>
        <v>0</v>
      </c>
      <c r="V29" s="122" t="e">
        <f>IF(V$3=0,#REF!,#REF!/V$3)</f>
        <v>#REF!</v>
      </c>
      <c r="W29" s="910">
        <f t="shared" si="15"/>
        <v>0</v>
      </c>
      <c r="X29" s="122" t="e">
        <f>IF(X$3=0,#REF!,#REF!/X$3)</f>
        <v>#REF!</v>
      </c>
      <c r="Y29" s="910">
        <f t="shared" si="16"/>
        <v>0</v>
      </c>
      <c r="Z29" s="123" t="e">
        <f t="shared" si="17"/>
        <v>#REF!</v>
      </c>
      <c r="AA29" s="241" t="e">
        <f t="shared" si="3"/>
        <v>#REF!</v>
      </c>
      <c r="AB29" s="104">
        <f>SUM('DPL24-Budget'!B29:$M29)</f>
        <v>394438</v>
      </c>
      <c r="AC29" s="929">
        <f t="shared" si="4"/>
        <v>3.9399999999999998E-2</v>
      </c>
      <c r="AD29" s="934" t="e">
        <f t="shared" si="0"/>
        <v>#REF!</v>
      </c>
      <c r="AE29" s="725">
        <f t="shared" si="18"/>
        <v>3.9E-2</v>
      </c>
    </row>
    <row r="30" spans="1:31" s="4" customFormat="1">
      <c r="A30" s="933" t="s">
        <v>393</v>
      </c>
      <c r="B30" s="122" t="e">
        <f>IF(B$3=0,#REF!,#REF!/B$3)</f>
        <v>#REF!</v>
      </c>
      <c r="C30" s="910" t="e">
        <f t="shared" si="5"/>
        <v>#REF!</v>
      </c>
      <c r="D30" s="122" t="e">
        <f>IF(D$3=0,#REF!,#REF!/D$3)</f>
        <v>#REF!</v>
      </c>
      <c r="E30" s="909">
        <f t="shared" si="6"/>
        <v>0</v>
      </c>
      <c r="F30" s="122" t="e">
        <f>IF(F$3=0,#REF!,#REF!/F$3)</f>
        <v>#REF!</v>
      </c>
      <c r="G30" s="909">
        <f t="shared" si="7"/>
        <v>0</v>
      </c>
      <c r="H30" s="122" t="e">
        <f>IF(H$3=0,#REF!,#REF!/H$3)</f>
        <v>#REF!</v>
      </c>
      <c r="I30" s="910">
        <f t="shared" si="8"/>
        <v>0</v>
      </c>
      <c r="J30" s="122" t="e">
        <f>IF(J$3=0,#REF!,#REF!/J$3)</f>
        <v>#REF!</v>
      </c>
      <c r="K30" s="907">
        <f t="shared" si="9"/>
        <v>0</v>
      </c>
      <c r="L30" s="122" t="e">
        <f>IF(L$3=0,#REF!,#REF!/L$3)</f>
        <v>#REF!</v>
      </c>
      <c r="M30" s="907">
        <f t="shared" si="10"/>
        <v>0</v>
      </c>
      <c r="N30" s="122" t="e">
        <f>IF(N$3=0,#REF!,#REF!/N$3)</f>
        <v>#REF!</v>
      </c>
      <c r="O30" s="907">
        <f t="shared" si="11"/>
        <v>0</v>
      </c>
      <c r="P30" s="122" t="e">
        <f>IF(P$3=0,#REF!,#REF!/P$3)</f>
        <v>#REF!</v>
      </c>
      <c r="Q30" s="907">
        <f t="shared" si="12"/>
        <v>0</v>
      </c>
      <c r="R30" s="122" t="e">
        <f>IF(R$3=0,#REF!,#REF!/R$3)</f>
        <v>#REF!</v>
      </c>
      <c r="S30" s="910">
        <f t="shared" si="13"/>
        <v>0</v>
      </c>
      <c r="T30" s="122" t="e">
        <f>IF(T$3=0,#REF!,#REF!/T$3)</f>
        <v>#REF!</v>
      </c>
      <c r="U30" s="910">
        <f t="shared" si="14"/>
        <v>0</v>
      </c>
      <c r="V30" s="122" t="e">
        <f>IF(V$3=0,#REF!,#REF!/V$3)</f>
        <v>#REF!</v>
      </c>
      <c r="W30" s="910">
        <f t="shared" si="15"/>
        <v>0</v>
      </c>
      <c r="X30" s="122" t="e">
        <f>IF(X$3=0,#REF!,#REF!/X$3)</f>
        <v>#REF!</v>
      </c>
      <c r="Y30" s="910">
        <f t="shared" si="16"/>
        <v>0</v>
      </c>
      <c r="Z30" s="123" t="e">
        <f t="shared" si="17"/>
        <v>#REF!</v>
      </c>
      <c r="AA30" s="241" t="e">
        <f t="shared" si="3"/>
        <v>#REF!</v>
      </c>
      <c r="AB30" s="104">
        <f>SUM('DPL24-Budget'!B30:$M30)</f>
        <v>-9493</v>
      </c>
      <c r="AC30" s="929">
        <f t="shared" si="4"/>
        <v>-8.9999999999999998E-4</v>
      </c>
      <c r="AD30" s="934" t="e">
        <f t="shared" si="0"/>
        <v>#REF!</v>
      </c>
      <c r="AE30" s="725">
        <f t="shared" si="18"/>
        <v>-1E-3</v>
      </c>
    </row>
    <row r="31" spans="1:31" s="4" customFormat="1">
      <c r="A31" s="933" t="s">
        <v>394</v>
      </c>
      <c r="B31" s="122" t="e">
        <f>IF(B$3=0,#REF!,#REF!/B$3)</f>
        <v>#REF!</v>
      </c>
      <c r="C31" s="910" t="e">
        <f t="shared" si="5"/>
        <v>#REF!</v>
      </c>
      <c r="D31" s="122" t="e">
        <f>IF(D$3=0,#REF!,#REF!/D$3)</f>
        <v>#REF!</v>
      </c>
      <c r="E31" s="909">
        <f t="shared" si="6"/>
        <v>0</v>
      </c>
      <c r="F31" s="122" t="e">
        <f>IF(F$3=0,#REF!,#REF!/F$3)</f>
        <v>#REF!</v>
      </c>
      <c r="G31" s="909">
        <f t="shared" si="7"/>
        <v>0</v>
      </c>
      <c r="H31" s="122" t="e">
        <f>IF(H$3=0,#REF!,#REF!/H$3)</f>
        <v>#REF!</v>
      </c>
      <c r="I31" s="910">
        <f t="shared" si="8"/>
        <v>0</v>
      </c>
      <c r="J31" s="122" t="e">
        <f>IF(J$3=0,#REF!,#REF!/J$3)</f>
        <v>#REF!</v>
      </c>
      <c r="K31" s="907">
        <f t="shared" si="9"/>
        <v>0</v>
      </c>
      <c r="L31" s="122" t="e">
        <f>IF(L$3=0,#REF!,#REF!/L$3)</f>
        <v>#REF!</v>
      </c>
      <c r="M31" s="907">
        <f t="shared" si="10"/>
        <v>0</v>
      </c>
      <c r="N31" s="122" t="e">
        <f>IF(N$3=0,#REF!,#REF!/N$3)</f>
        <v>#REF!</v>
      </c>
      <c r="O31" s="907">
        <f t="shared" si="11"/>
        <v>0</v>
      </c>
      <c r="P31" s="122" t="e">
        <f>IF(P$3=0,#REF!,#REF!/P$3)</f>
        <v>#REF!</v>
      </c>
      <c r="Q31" s="907">
        <f t="shared" si="12"/>
        <v>0</v>
      </c>
      <c r="R31" s="122" t="e">
        <f>IF(R$3=0,#REF!,#REF!/R$3)</f>
        <v>#REF!</v>
      </c>
      <c r="S31" s="910">
        <f t="shared" si="13"/>
        <v>0</v>
      </c>
      <c r="T31" s="122" t="e">
        <f>IF(T$3=0,#REF!,#REF!/T$3)</f>
        <v>#REF!</v>
      </c>
      <c r="U31" s="910">
        <f t="shared" si="14"/>
        <v>0</v>
      </c>
      <c r="V31" s="122" t="e">
        <f>IF(V$3=0,#REF!,#REF!/V$3)</f>
        <v>#REF!</v>
      </c>
      <c r="W31" s="910">
        <f t="shared" si="15"/>
        <v>0</v>
      </c>
      <c r="X31" s="122" t="e">
        <f>IF(X$3=0,#REF!,#REF!/X$3)</f>
        <v>#REF!</v>
      </c>
      <c r="Y31" s="910">
        <f t="shared" si="16"/>
        <v>0</v>
      </c>
      <c r="Z31" s="123" t="e">
        <f t="shared" si="17"/>
        <v>#REF!</v>
      </c>
      <c r="AA31" s="241" t="e">
        <f t="shared" si="3"/>
        <v>#REF!</v>
      </c>
      <c r="AB31" s="104">
        <f>SUM('DPL24-Budget'!B31:$M31)</f>
        <v>403367</v>
      </c>
      <c r="AC31" s="929">
        <f t="shared" si="4"/>
        <v>4.0300000000000002E-2</v>
      </c>
      <c r="AD31" s="934" t="e">
        <f t="shared" si="0"/>
        <v>#REF!</v>
      </c>
      <c r="AE31" s="725">
        <f t="shared" si="18"/>
        <v>0.04</v>
      </c>
    </row>
    <row r="32" spans="1:31" s="4" customFormat="1">
      <c r="A32" s="933" t="s">
        <v>307</v>
      </c>
      <c r="B32" s="122" t="e">
        <f>IF(B$3=0,#REF!,#REF!/B$3)</f>
        <v>#REF!</v>
      </c>
      <c r="C32" s="910" t="e">
        <f t="shared" si="5"/>
        <v>#REF!</v>
      </c>
      <c r="D32" s="122" t="e">
        <f>IF(D$3=0,#REF!,#REF!/D$3)</f>
        <v>#REF!</v>
      </c>
      <c r="E32" s="909">
        <f t="shared" si="6"/>
        <v>0</v>
      </c>
      <c r="F32" s="122" t="e">
        <f>IF(F$3=0,#REF!,#REF!/F$3)</f>
        <v>#REF!</v>
      </c>
      <c r="G32" s="909">
        <f t="shared" si="7"/>
        <v>0</v>
      </c>
      <c r="H32" s="122" t="e">
        <f>IF(H$3=0,#REF!,#REF!/H$3)</f>
        <v>#REF!</v>
      </c>
      <c r="I32" s="910">
        <f t="shared" si="8"/>
        <v>0</v>
      </c>
      <c r="J32" s="122" t="e">
        <f>IF(J$3=0,#REF!,#REF!/J$3)</f>
        <v>#REF!</v>
      </c>
      <c r="K32" s="907">
        <f t="shared" si="9"/>
        <v>0</v>
      </c>
      <c r="L32" s="122" t="e">
        <f>IF(L$3=0,#REF!,#REF!/L$3)</f>
        <v>#REF!</v>
      </c>
      <c r="M32" s="907">
        <f t="shared" si="10"/>
        <v>0</v>
      </c>
      <c r="N32" s="122" t="e">
        <f>IF(N$3=0,#REF!,#REF!/N$3)</f>
        <v>#REF!</v>
      </c>
      <c r="O32" s="907">
        <f t="shared" si="11"/>
        <v>0</v>
      </c>
      <c r="P32" s="122" t="e">
        <f>IF(P$3=0,#REF!,#REF!/P$3)</f>
        <v>#REF!</v>
      </c>
      <c r="Q32" s="907">
        <f t="shared" si="12"/>
        <v>0</v>
      </c>
      <c r="R32" s="122" t="e">
        <f>IF(R$3=0,#REF!,#REF!/R$3)</f>
        <v>#REF!</v>
      </c>
      <c r="S32" s="910">
        <f t="shared" si="13"/>
        <v>0</v>
      </c>
      <c r="T32" s="122" t="e">
        <f>IF(T$3=0,#REF!,#REF!/T$3)</f>
        <v>#REF!</v>
      </c>
      <c r="U32" s="910">
        <f t="shared" si="14"/>
        <v>0</v>
      </c>
      <c r="V32" s="122" t="e">
        <f>IF(V$3=0,#REF!,#REF!/V$3)</f>
        <v>#REF!</v>
      </c>
      <c r="W32" s="910">
        <f t="shared" si="15"/>
        <v>0</v>
      </c>
      <c r="X32" s="122" t="e">
        <f>IF(X$3=0,#REF!,#REF!/X$3)</f>
        <v>#REF!</v>
      </c>
      <c r="Y32" s="910">
        <f t="shared" si="16"/>
        <v>0</v>
      </c>
      <c r="Z32" s="123" t="e">
        <f t="shared" si="17"/>
        <v>#REF!</v>
      </c>
      <c r="AA32" s="241" t="e">
        <f t="shared" si="3"/>
        <v>#REF!</v>
      </c>
      <c r="AB32" s="104">
        <f>SUM('DPL24-Budget'!B32:$M32)</f>
        <v>273097</v>
      </c>
      <c r="AC32" s="929">
        <f t="shared" si="4"/>
        <v>2.7300000000000001E-2</v>
      </c>
      <c r="AD32" s="169" t="e">
        <f t="shared" si="0"/>
        <v>#REF!</v>
      </c>
      <c r="AE32" s="725">
        <f t="shared" si="18"/>
        <v>2.7E-2</v>
      </c>
    </row>
    <row r="33" spans="1:31" s="4" customFormat="1">
      <c r="A33" s="933" t="s">
        <v>395</v>
      </c>
      <c r="B33" s="122" t="e">
        <f>IF(B$3=0,#REF!,#REF!/B$3)</f>
        <v>#REF!</v>
      </c>
      <c r="C33" s="910" t="e">
        <f t="shared" si="5"/>
        <v>#REF!</v>
      </c>
      <c r="D33" s="122" t="e">
        <f>IF(D$3=0,#REF!,#REF!/D$3)</f>
        <v>#REF!</v>
      </c>
      <c r="E33" s="909">
        <f t="shared" si="6"/>
        <v>0</v>
      </c>
      <c r="F33" s="122" t="e">
        <f>IF(F$3=0,#REF!,#REF!/F$3)</f>
        <v>#REF!</v>
      </c>
      <c r="G33" s="909">
        <f t="shared" si="7"/>
        <v>0</v>
      </c>
      <c r="H33" s="122" t="e">
        <f>IF(H$3=0,#REF!,#REF!/H$3)</f>
        <v>#REF!</v>
      </c>
      <c r="I33" s="910">
        <f t="shared" si="8"/>
        <v>0</v>
      </c>
      <c r="J33" s="122" t="e">
        <f>IF(J$3=0,#REF!,#REF!/J$3)</f>
        <v>#REF!</v>
      </c>
      <c r="K33" s="907">
        <f t="shared" si="9"/>
        <v>0</v>
      </c>
      <c r="L33" s="122" t="e">
        <f>IF(L$3=0,#REF!,#REF!/L$3)</f>
        <v>#REF!</v>
      </c>
      <c r="M33" s="907">
        <f t="shared" si="10"/>
        <v>0</v>
      </c>
      <c r="N33" s="122" t="e">
        <f>IF(N$3=0,#REF!,#REF!/N$3)</f>
        <v>#REF!</v>
      </c>
      <c r="O33" s="907">
        <f t="shared" si="11"/>
        <v>0</v>
      </c>
      <c r="P33" s="122" t="e">
        <f>IF(P$3=0,#REF!,#REF!/P$3)</f>
        <v>#REF!</v>
      </c>
      <c r="Q33" s="907">
        <f t="shared" si="12"/>
        <v>0</v>
      </c>
      <c r="R33" s="122" t="e">
        <f>IF(R$3=0,#REF!,#REF!/R$3)</f>
        <v>#REF!</v>
      </c>
      <c r="S33" s="910">
        <f t="shared" si="13"/>
        <v>0</v>
      </c>
      <c r="T33" s="122" t="e">
        <f>IF(T$3=0,#REF!,#REF!/T$3)</f>
        <v>#REF!</v>
      </c>
      <c r="U33" s="910">
        <f t="shared" si="14"/>
        <v>0</v>
      </c>
      <c r="V33" s="122" t="e">
        <f>IF(V$3=0,#REF!,#REF!/V$3)</f>
        <v>#REF!</v>
      </c>
      <c r="W33" s="910">
        <f t="shared" si="15"/>
        <v>0</v>
      </c>
      <c r="X33" s="122" t="e">
        <f>IF(X$3=0,#REF!,#REF!/X$3)</f>
        <v>#REF!</v>
      </c>
      <c r="Y33" s="910">
        <f t="shared" si="16"/>
        <v>0</v>
      </c>
      <c r="Z33" s="123" t="e">
        <f t="shared" si="17"/>
        <v>#REF!</v>
      </c>
      <c r="AA33" s="241" t="e">
        <f t="shared" si="3"/>
        <v>#REF!</v>
      </c>
      <c r="AB33" s="104">
        <f>SUM('DPL24-Budget'!B33:$M33)</f>
        <v>397264</v>
      </c>
      <c r="AC33" s="929">
        <f t="shared" si="4"/>
        <v>3.9699999999999999E-2</v>
      </c>
      <c r="AD33" s="169" t="e">
        <f t="shared" si="0"/>
        <v>#REF!</v>
      </c>
      <c r="AE33" s="725">
        <f t="shared" si="18"/>
        <v>0.04</v>
      </c>
    </row>
    <row r="34" spans="1:31" s="4" customFormat="1">
      <c r="A34" s="757" t="s">
        <v>396</v>
      </c>
      <c r="B34" s="122" t="e">
        <f>IF(B$3=0,#REF!,#REF!/B$3)</f>
        <v>#REF!</v>
      </c>
      <c r="C34" s="910" t="e">
        <f t="shared" si="5"/>
        <v>#REF!</v>
      </c>
      <c r="D34" s="122" t="e">
        <f>IF(D$3=0,#REF!,#REF!/D$3)</f>
        <v>#REF!</v>
      </c>
      <c r="E34" s="909">
        <f t="shared" si="6"/>
        <v>0</v>
      </c>
      <c r="F34" s="122" t="e">
        <f>IF(F$3=0,#REF!,#REF!/F$3)</f>
        <v>#REF!</v>
      </c>
      <c r="G34" s="909">
        <f t="shared" si="7"/>
        <v>0</v>
      </c>
      <c r="H34" s="122" t="e">
        <f>IF(H$3=0,#REF!,#REF!/H$3)</f>
        <v>#REF!</v>
      </c>
      <c r="I34" s="910">
        <f t="shared" si="8"/>
        <v>0</v>
      </c>
      <c r="J34" s="122" t="e">
        <f>IF(J$3=0,#REF!,#REF!/J$3)</f>
        <v>#REF!</v>
      </c>
      <c r="K34" s="907">
        <f t="shared" si="9"/>
        <v>0</v>
      </c>
      <c r="L34" s="122" t="e">
        <f>IF(L$3=0,#REF!,#REF!/L$3)</f>
        <v>#REF!</v>
      </c>
      <c r="M34" s="907">
        <f t="shared" si="10"/>
        <v>0</v>
      </c>
      <c r="N34" s="122" t="e">
        <f>IF(N$3=0,#REF!,#REF!/N$3)</f>
        <v>#REF!</v>
      </c>
      <c r="O34" s="907">
        <f t="shared" si="11"/>
        <v>0</v>
      </c>
      <c r="P34" s="122" t="e">
        <f>IF(P$3=0,#REF!,#REF!/P$3)</f>
        <v>#REF!</v>
      </c>
      <c r="Q34" s="907">
        <f t="shared" si="12"/>
        <v>0</v>
      </c>
      <c r="R34" s="122" t="e">
        <f>IF(R$3=0,#REF!,#REF!/R$3)</f>
        <v>#REF!</v>
      </c>
      <c r="S34" s="910">
        <f t="shared" si="13"/>
        <v>0</v>
      </c>
      <c r="T34" s="122" t="e">
        <f>IF(T$3=0,#REF!,#REF!/T$3)</f>
        <v>#REF!</v>
      </c>
      <c r="U34" s="910">
        <f t="shared" si="14"/>
        <v>0</v>
      </c>
      <c r="V34" s="122" t="e">
        <f>IF(V$3=0,#REF!,#REF!/V$3)</f>
        <v>#REF!</v>
      </c>
      <c r="W34" s="910">
        <f t="shared" si="15"/>
        <v>0</v>
      </c>
      <c r="X34" s="122" t="e">
        <f>IF(X$3=0,#REF!,#REF!/X$3)</f>
        <v>#REF!</v>
      </c>
      <c r="Y34" s="910">
        <f t="shared" si="16"/>
        <v>0</v>
      </c>
      <c r="Z34" s="123" t="e">
        <f t="shared" si="17"/>
        <v>#REF!</v>
      </c>
      <c r="AA34" s="241" t="e">
        <f t="shared" si="3"/>
        <v>#REF!</v>
      </c>
      <c r="AB34" s="104">
        <f>SUM('DPL24-Budget'!B34:$M34)</f>
        <v>17747</v>
      </c>
      <c r="AC34" s="929">
        <f t="shared" si="4"/>
        <v>1.8E-3</v>
      </c>
      <c r="AD34" s="169" t="e">
        <f t="shared" si="0"/>
        <v>#REF!</v>
      </c>
      <c r="AE34" s="725">
        <f t="shared" si="18"/>
        <v>2E-3</v>
      </c>
    </row>
    <row r="35" spans="1:31" s="4" customFormat="1">
      <c r="A35" s="933" t="s">
        <v>290</v>
      </c>
      <c r="B35" s="122" t="e">
        <f>IF(B$3=0,#REF!,#REF!/B$3)</f>
        <v>#REF!</v>
      </c>
      <c r="C35" s="910" t="e">
        <f t="shared" si="5"/>
        <v>#REF!</v>
      </c>
      <c r="D35" s="122" t="e">
        <f>IF(D$3=0,#REF!,#REF!/D$3)</f>
        <v>#REF!</v>
      </c>
      <c r="E35" s="909">
        <f t="shared" si="6"/>
        <v>0</v>
      </c>
      <c r="F35" s="122" t="e">
        <f>IF(F$3=0,#REF!,#REF!/F$3)</f>
        <v>#REF!</v>
      </c>
      <c r="G35" s="909">
        <f t="shared" si="7"/>
        <v>0</v>
      </c>
      <c r="H35" s="122" t="e">
        <f>IF(H$3=0,#REF!,#REF!/H$3)</f>
        <v>#REF!</v>
      </c>
      <c r="I35" s="910">
        <f t="shared" si="8"/>
        <v>0</v>
      </c>
      <c r="J35" s="122" t="e">
        <f>IF(J$3=0,#REF!,#REF!/J$3)</f>
        <v>#REF!</v>
      </c>
      <c r="K35" s="907">
        <f t="shared" si="9"/>
        <v>0</v>
      </c>
      <c r="L35" s="122" t="e">
        <f>IF(L$3=0,#REF!,#REF!/L$3)</f>
        <v>#REF!</v>
      </c>
      <c r="M35" s="907">
        <f t="shared" si="10"/>
        <v>0</v>
      </c>
      <c r="N35" s="122" t="e">
        <f>IF(N$3=0,#REF!,#REF!/N$3)</f>
        <v>#REF!</v>
      </c>
      <c r="O35" s="907">
        <f t="shared" si="11"/>
        <v>0</v>
      </c>
      <c r="P35" s="122" t="e">
        <f>IF(P$3=0,#REF!,#REF!/P$3)</f>
        <v>#REF!</v>
      </c>
      <c r="Q35" s="907">
        <f t="shared" si="12"/>
        <v>0</v>
      </c>
      <c r="R35" s="122" t="e">
        <f>IF(R$3=0,#REF!,#REF!/R$3)</f>
        <v>#REF!</v>
      </c>
      <c r="S35" s="910">
        <f t="shared" si="13"/>
        <v>0</v>
      </c>
      <c r="T35" s="122" t="e">
        <f>IF(T$3=0,#REF!,#REF!/T$3)</f>
        <v>#REF!</v>
      </c>
      <c r="U35" s="910">
        <f t="shared" si="14"/>
        <v>0</v>
      </c>
      <c r="V35" s="122" t="e">
        <f>IF(V$3=0,#REF!,#REF!/V$3)</f>
        <v>#REF!</v>
      </c>
      <c r="W35" s="910">
        <f t="shared" si="15"/>
        <v>0</v>
      </c>
      <c r="X35" s="122" t="e">
        <f>IF(X$3=0,#REF!,#REF!/X$3)</f>
        <v>#REF!</v>
      </c>
      <c r="Y35" s="910">
        <f t="shared" si="16"/>
        <v>0</v>
      </c>
      <c r="Z35" s="123" t="e">
        <f t="shared" si="17"/>
        <v>#REF!</v>
      </c>
      <c r="AA35" s="241" t="e">
        <f t="shared" si="3"/>
        <v>#REF!</v>
      </c>
      <c r="AB35" s="104">
        <f>SUM('DPL24-Budget'!B35:$M35)</f>
        <v>98350</v>
      </c>
      <c r="AC35" s="929">
        <f t="shared" si="4"/>
        <v>9.7999999999999997E-3</v>
      </c>
      <c r="AD35" s="934" t="e">
        <f t="shared" si="0"/>
        <v>#REF!</v>
      </c>
      <c r="AE35" s="725">
        <f t="shared" si="18"/>
        <v>0.01</v>
      </c>
    </row>
    <row r="36" spans="1:31" s="4" customFormat="1">
      <c r="A36" s="933" t="s">
        <v>297</v>
      </c>
      <c r="B36" s="122" t="e">
        <f>IF(B$3=0,#REF!,#REF!/B$3)</f>
        <v>#REF!</v>
      </c>
      <c r="C36" s="910" t="e">
        <f t="shared" si="5"/>
        <v>#REF!</v>
      </c>
      <c r="D36" s="122" t="e">
        <f>IF(D$3=0,#REF!,#REF!/D$3)</f>
        <v>#REF!</v>
      </c>
      <c r="E36" s="909">
        <f t="shared" si="6"/>
        <v>0</v>
      </c>
      <c r="F36" s="122" t="e">
        <f>IF(F$3=0,#REF!,#REF!/F$3)</f>
        <v>#REF!</v>
      </c>
      <c r="G36" s="909">
        <f t="shared" si="7"/>
        <v>0</v>
      </c>
      <c r="H36" s="122" t="e">
        <f>IF(H$3=0,#REF!,#REF!/H$3)</f>
        <v>#REF!</v>
      </c>
      <c r="I36" s="910">
        <f t="shared" si="8"/>
        <v>0</v>
      </c>
      <c r="J36" s="122" t="e">
        <f>IF(J$3=0,#REF!,#REF!/J$3)</f>
        <v>#REF!</v>
      </c>
      <c r="K36" s="907">
        <f t="shared" si="9"/>
        <v>0</v>
      </c>
      <c r="L36" s="122" t="e">
        <f>IF(L$3=0,#REF!,#REF!/L$3)</f>
        <v>#REF!</v>
      </c>
      <c r="M36" s="907">
        <f t="shared" si="10"/>
        <v>0</v>
      </c>
      <c r="N36" s="122" t="e">
        <f>IF(N$3=0,#REF!,#REF!/N$3)</f>
        <v>#REF!</v>
      </c>
      <c r="O36" s="907">
        <f t="shared" si="11"/>
        <v>0</v>
      </c>
      <c r="P36" s="122" t="e">
        <f>IF(P$3=0,#REF!,#REF!/P$3)</f>
        <v>#REF!</v>
      </c>
      <c r="Q36" s="907">
        <f t="shared" si="12"/>
        <v>0</v>
      </c>
      <c r="R36" s="122" t="e">
        <f>IF(R$3=0,#REF!,#REF!/R$3)</f>
        <v>#REF!</v>
      </c>
      <c r="S36" s="910">
        <f t="shared" si="13"/>
        <v>0</v>
      </c>
      <c r="T36" s="122" t="e">
        <f>IF(T$3=0,#REF!,#REF!/T$3)</f>
        <v>#REF!</v>
      </c>
      <c r="U36" s="910">
        <f t="shared" si="14"/>
        <v>0</v>
      </c>
      <c r="V36" s="122" t="e">
        <f>IF(V$3=0,#REF!,#REF!/V$3)</f>
        <v>#REF!</v>
      </c>
      <c r="W36" s="910">
        <f t="shared" si="15"/>
        <v>0</v>
      </c>
      <c r="X36" s="122" t="e">
        <f>IF(X$3=0,#REF!,#REF!/X$3)</f>
        <v>#REF!</v>
      </c>
      <c r="Y36" s="910">
        <f t="shared" si="16"/>
        <v>0</v>
      </c>
      <c r="Z36" s="123" t="e">
        <f t="shared" si="17"/>
        <v>#REF!</v>
      </c>
      <c r="AA36" s="241" t="e">
        <f t="shared" si="3"/>
        <v>#REF!</v>
      </c>
      <c r="AB36" s="104">
        <f>SUM('DPL24-Budget'!B36:$M36)</f>
        <v>95230</v>
      </c>
      <c r="AC36" s="929">
        <f t="shared" si="4"/>
        <v>9.4999999999999998E-3</v>
      </c>
      <c r="AD36" s="934" t="e">
        <f t="shared" si="0"/>
        <v>#REF!</v>
      </c>
      <c r="AE36" s="725">
        <f t="shared" si="18"/>
        <v>0.01</v>
      </c>
    </row>
    <row r="37" spans="1:31" s="4" customFormat="1">
      <c r="A37" s="757" t="s">
        <v>299</v>
      </c>
      <c r="B37" s="122" t="e">
        <f>IF(B$3=0,#REF!,#REF!/B$3)</f>
        <v>#REF!</v>
      </c>
      <c r="C37" s="910" t="e">
        <f t="shared" si="5"/>
        <v>#REF!</v>
      </c>
      <c r="D37" s="122" t="e">
        <f>IF(D$3=0,#REF!,#REF!/D$3)</f>
        <v>#REF!</v>
      </c>
      <c r="E37" s="909">
        <f t="shared" si="6"/>
        <v>0</v>
      </c>
      <c r="F37" s="122" t="e">
        <f>IF(F$3=0,#REF!,#REF!/F$3)</f>
        <v>#REF!</v>
      </c>
      <c r="G37" s="909">
        <f t="shared" si="7"/>
        <v>0</v>
      </c>
      <c r="H37" s="122" t="e">
        <f>IF(H$3=0,#REF!,#REF!/H$3)</f>
        <v>#REF!</v>
      </c>
      <c r="I37" s="910">
        <f t="shared" si="8"/>
        <v>0</v>
      </c>
      <c r="J37" s="122" t="e">
        <f>IF(J$3=0,#REF!,#REF!/J$3)</f>
        <v>#REF!</v>
      </c>
      <c r="K37" s="907">
        <f t="shared" si="9"/>
        <v>0</v>
      </c>
      <c r="L37" s="122" t="e">
        <f>IF(L$3=0,#REF!,#REF!/L$3)</f>
        <v>#REF!</v>
      </c>
      <c r="M37" s="907">
        <f t="shared" si="10"/>
        <v>0</v>
      </c>
      <c r="N37" s="122" t="e">
        <f>IF(N$3=0,#REF!,#REF!/N$3)</f>
        <v>#REF!</v>
      </c>
      <c r="O37" s="907">
        <f t="shared" si="11"/>
        <v>0</v>
      </c>
      <c r="P37" s="122" t="e">
        <f>IF(P$3=0,#REF!,#REF!/P$3)</f>
        <v>#REF!</v>
      </c>
      <c r="Q37" s="907">
        <f t="shared" si="12"/>
        <v>0</v>
      </c>
      <c r="R37" s="122" t="e">
        <f>IF(R$3=0,#REF!,#REF!/R$3)</f>
        <v>#REF!</v>
      </c>
      <c r="S37" s="910">
        <f t="shared" si="13"/>
        <v>0</v>
      </c>
      <c r="T37" s="122" t="e">
        <f>IF(T$3=0,#REF!,#REF!/T$3)</f>
        <v>#REF!</v>
      </c>
      <c r="U37" s="910">
        <f t="shared" si="14"/>
        <v>0</v>
      </c>
      <c r="V37" s="122" t="e">
        <f>IF(V$3=0,#REF!,#REF!/V$3)</f>
        <v>#REF!</v>
      </c>
      <c r="W37" s="910">
        <f t="shared" si="15"/>
        <v>0</v>
      </c>
      <c r="X37" s="122" t="e">
        <f>IF(X$3=0,#REF!,#REF!/X$3)</f>
        <v>#REF!</v>
      </c>
      <c r="Y37" s="910">
        <f t="shared" si="16"/>
        <v>0</v>
      </c>
      <c r="Z37" s="123" t="e">
        <f t="shared" si="17"/>
        <v>#REF!</v>
      </c>
      <c r="AA37" s="241" t="e">
        <f t="shared" si="3"/>
        <v>#REF!</v>
      </c>
      <c r="AB37" s="104">
        <f>SUM('DPL24-Budget'!B37:$M37)</f>
        <v>104506</v>
      </c>
      <c r="AC37" s="929">
        <f t="shared" si="4"/>
        <v>1.04E-2</v>
      </c>
      <c r="AD37" s="169" t="e">
        <f t="shared" si="0"/>
        <v>#REF!</v>
      </c>
      <c r="AE37" s="725">
        <f t="shared" si="18"/>
        <v>0.01</v>
      </c>
    </row>
    <row r="38" spans="1:31" s="4" customFormat="1">
      <c r="A38" s="757" t="s">
        <v>397</v>
      </c>
      <c r="B38" s="122" t="e">
        <f>IF(B$3=0,#REF!,#REF!/B$3)</f>
        <v>#REF!</v>
      </c>
      <c r="C38" s="910" t="e">
        <f t="shared" si="5"/>
        <v>#REF!</v>
      </c>
      <c r="D38" s="122" t="e">
        <f>IF(D$3=0,#REF!,#REF!/D$3)</f>
        <v>#REF!</v>
      </c>
      <c r="E38" s="909">
        <f t="shared" si="6"/>
        <v>0</v>
      </c>
      <c r="F38" s="122" t="e">
        <f>IF(F$3=0,#REF!,#REF!/F$3)</f>
        <v>#REF!</v>
      </c>
      <c r="G38" s="909">
        <f t="shared" si="7"/>
        <v>0</v>
      </c>
      <c r="H38" s="122" t="e">
        <f>IF(H$3=0,#REF!,#REF!/H$3)</f>
        <v>#REF!</v>
      </c>
      <c r="I38" s="910">
        <f t="shared" si="8"/>
        <v>0</v>
      </c>
      <c r="J38" s="122" t="e">
        <f>IF(J$3=0,#REF!,#REF!/J$3)</f>
        <v>#REF!</v>
      </c>
      <c r="K38" s="907">
        <f t="shared" si="9"/>
        <v>0</v>
      </c>
      <c r="L38" s="122" t="e">
        <f>IF(L$3=0,#REF!,#REF!/L$3)</f>
        <v>#REF!</v>
      </c>
      <c r="M38" s="907">
        <f t="shared" si="10"/>
        <v>0</v>
      </c>
      <c r="N38" s="122" t="e">
        <f>IF(N$3=0,#REF!,#REF!/N$3)</f>
        <v>#REF!</v>
      </c>
      <c r="O38" s="907">
        <f t="shared" si="11"/>
        <v>0</v>
      </c>
      <c r="P38" s="122" t="e">
        <f>IF(P$3=0,#REF!,#REF!/P$3)</f>
        <v>#REF!</v>
      </c>
      <c r="Q38" s="907">
        <f t="shared" si="12"/>
        <v>0</v>
      </c>
      <c r="R38" s="122" t="e">
        <f>IF(R$3=0,#REF!,#REF!/R$3)</f>
        <v>#REF!</v>
      </c>
      <c r="S38" s="910">
        <f t="shared" si="13"/>
        <v>0</v>
      </c>
      <c r="T38" s="122" t="e">
        <f>IF(T$3=0,#REF!,#REF!/T$3)</f>
        <v>#REF!</v>
      </c>
      <c r="U38" s="910">
        <f t="shared" si="14"/>
        <v>0</v>
      </c>
      <c r="V38" s="122" t="e">
        <f>IF(V$3=0,#REF!,#REF!/V$3)</f>
        <v>#REF!</v>
      </c>
      <c r="W38" s="910">
        <f t="shared" si="15"/>
        <v>0</v>
      </c>
      <c r="X38" s="122" t="e">
        <f>IF(X$3=0,#REF!,#REF!/X$3)</f>
        <v>#REF!</v>
      </c>
      <c r="Y38" s="910">
        <f t="shared" si="16"/>
        <v>0</v>
      </c>
      <c r="Z38" s="123" t="e">
        <f t="shared" si="17"/>
        <v>#REF!</v>
      </c>
      <c r="AA38" s="241" t="e">
        <f t="shared" si="3"/>
        <v>#REF!</v>
      </c>
      <c r="AB38" s="104">
        <f>SUM('DPL24-Budget'!B38:$M38)</f>
        <v>95799</v>
      </c>
      <c r="AC38" s="929">
        <f t="shared" si="4"/>
        <v>9.5999999999999992E-3</v>
      </c>
      <c r="AD38" s="934" t="e">
        <f t="shared" si="0"/>
        <v>#REF!</v>
      </c>
      <c r="AE38" s="725">
        <f t="shared" si="18"/>
        <v>0.01</v>
      </c>
    </row>
    <row r="39" spans="1:31" s="4" customFormat="1">
      <c r="A39" s="757" t="s">
        <v>593</v>
      </c>
      <c r="B39" s="122" t="e">
        <f>IF(B$3=0,#REF!,#REF!/B$3)</f>
        <v>#REF!</v>
      </c>
      <c r="C39" s="910" t="e">
        <f t="shared" si="5"/>
        <v>#REF!</v>
      </c>
      <c r="D39" s="122" t="e">
        <f>IF(D$3=0,#REF!,#REF!/D$3)</f>
        <v>#REF!</v>
      </c>
      <c r="E39" s="909">
        <f t="shared" si="6"/>
        <v>0</v>
      </c>
      <c r="F39" s="122" t="e">
        <f>IF(F$3=0,#REF!,#REF!/F$3)</f>
        <v>#REF!</v>
      </c>
      <c r="G39" s="909">
        <f t="shared" si="7"/>
        <v>0</v>
      </c>
      <c r="H39" s="122" t="e">
        <f>IF(H$3=0,#REF!,#REF!/H$3)</f>
        <v>#REF!</v>
      </c>
      <c r="I39" s="910">
        <f t="shared" si="8"/>
        <v>0</v>
      </c>
      <c r="J39" s="122" t="e">
        <f>IF(J$3=0,#REF!,#REF!/J$3)</f>
        <v>#REF!</v>
      </c>
      <c r="K39" s="907">
        <f t="shared" si="9"/>
        <v>0</v>
      </c>
      <c r="L39" s="122" t="e">
        <f>IF(L$3=0,#REF!,#REF!/L$3)</f>
        <v>#REF!</v>
      </c>
      <c r="M39" s="907">
        <f t="shared" si="10"/>
        <v>0</v>
      </c>
      <c r="N39" s="122" t="e">
        <f>IF(N$3=0,#REF!,#REF!/N$3)</f>
        <v>#REF!</v>
      </c>
      <c r="O39" s="907">
        <f t="shared" si="11"/>
        <v>0</v>
      </c>
      <c r="P39" s="122" t="e">
        <f>IF(P$3=0,#REF!,#REF!/P$3)</f>
        <v>#REF!</v>
      </c>
      <c r="Q39" s="907">
        <f t="shared" si="12"/>
        <v>0</v>
      </c>
      <c r="R39" s="122" t="e">
        <f>IF(R$3=0,#REF!,#REF!/R$3)</f>
        <v>#REF!</v>
      </c>
      <c r="S39" s="910">
        <f t="shared" si="13"/>
        <v>0</v>
      </c>
      <c r="T39" s="122" t="e">
        <f>IF(T$3=0,#REF!,#REF!/T$3)</f>
        <v>#REF!</v>
      </c>
      <c r="U39" s="910">
        <f t="shared" si="14"/>
        <v>0</v>
      </c>
      <c r="V39" s="122" t="e">
        <f>IF(V$3=0,#REF!,#REF!/V$3)</f>
        <v>#REF!</v>
      </c>
      <c r="W39" s="910">
        <f t="shared" si="15"/>
        <v>0</v>
      </c>
      <c r="X39" s="122" t="e">
        <f>IF(X$3=0,#REF!,#REF!/X$3)</f>
        <v>#REF!</v>
      </c>
      <c r="Y39" s="910">
        <f t="shared" si="16"/>
        <v>0</v>
      </c>
      <c r="Z39" s="123" t="e">
        <f t="shared" si="17"/>
        <v>#REF!</v>
      </c>
      <c r="AA39" s="241" t="e">
        <f t="shared" si="3"/>
        <v>#REF!</v>
      </c>
      <c r="AB39" s="104">
        <f>SUM('DPL24-Budget'!B39:$M39)</f>
        <v>-6</v>
      </c>
      <c r="AC39" s="929">
        <f t="shared" si="4"/>
        <v>0</v>
      </c>
      <c r="AD39" s="169" t="e">
        <f t="shared" si="0"/>
        <v>#REF!</v>
      </c>
      <c r="AE39" s="725">
        <f t="shared" si="18"/>
        <v>0</v>
      </c>
    </row>
    <row r="40" spans="1:31" s="4" customFormat="1">
      <c r="A40" s="757" t="s">
        <v>399</v>
      </c>
      <c r="B40" s="122" t="e">
        <f>IF(B$3=0,#REF!,#REF!/B$3)</f>
        <v>#REF!</v>
      </c>
      <c r="C40" s="910" t="e">
        <f t="shared" si="5"/>
        <v>#REF!</v>
      </c>
      <c r="D40" s="122" t="e">
        <f>IF(D$3=0,#REF!,#REF!/D$3)</f>
        <v>#REF!</v>
      </c>
      <c r="E40" s="909">
        <f t="shared" si="6"/>
        <v>0</v>
      </c>
      <c r="F40" s="122" t="e">
        <f>IF(F$3=0,#REF!,#REF!/F$3)</f>
        <v>#REF!</v>
      </c>
      <c r="G40" s="909">
        <f t="shared" si="7"/>
        <v>0</v>
      </c>
      <c r="H40" s="122" t="e">
        <f>IF(H$3=0,#REF!,#REF!/H$3)</f>
        <v>#REF!</v>
      </c>
      <c r="I40" s="910">
        <f t="shared" si="8"/>
        <v>0</v>
      </c>
      <c r="J40" s="122" t="e">
        <f>IF(J$3=0,#REF!,#REF!/J$3)</f>
        <v>#REF!</v>
      </c>
      <c r="K40" s="907">
        <f t="shared" si="9"/>
        <v>0</v>
      </c>
      <c r="L40" s="122" t="e">
        <f>IF(L$3=0,#REF!,#REF!/L$3)</f>
        <v>#REF!</v>
      </c>
      <c r="M40" s="907">
        <f t="shared" si="10"/>
        <v>0</v>
      </c>
      <c r="N40" s="122" t="e">
        <f>IF(N$3=0,#REF!,#REF!/N$3)</f>
        <v>#REF!</v>
      </c>
      <c r="O40" s="907">
        <f t="shared" si="11"/>
        <v>0</v>
      </c>
      <c r="P40" s="122" t="e">
        <f>IF(P$3=0,#REF!,#REF!/P$3)</f>
        <v>#REF!</v>
      </c>
      <c r="Q40" s="907">
        <f t="shared" si="12"/>
        <v>0</v>
      </c>
      <c r="R40" s="122" t="e">
        <f>IF(R$3=0,#REF!,#REF!/R$3)</f>
        <v>#REF!</v>
      </c>
      <c r="S40" s="910">
        <f t="shared" si="13"/>
        <v>0</v>
      </c>
      <c r="T40" s="122" t="e">
        <f>IF(T$3=0,#REF!,#REF!/T$3)</f>
        <v>#REF!</v>
      </c>
      <c r="U40" s="910">
        <f t="shared" si="14"/>
        <v>0</v>
      </c>
      <c r="V40" s="122" t="e">
        <f>IF(V$3=0,#REF!,#REF!/V$3)</f>
        <v>#REF!</v>
      </c>
      <c r="W40" s="910">
        <f t="shared" si="15"/>
        <v>0</v>
      </c>
      <c r="X40" s="122" t="e">
        <f>IF(X$3=0,#REF!,#REF!/X$3)</f>
        <v>#REF!</v>
      </c>
      <c r="Y40" s="910">
        <f t="shared" si="16"/>
        <v>0</v>
      </c>
      <c r="Z40" s="123" t="e">
        <f t="shared" si="17"/>
        <v>#REF!</v>
      </c>
      <c r="AA40" s="241" t="e">
        <f t="shared" si="3"/>
        <v>#REF!</v>
      </c>
      <c r="AB40" s="104">
        <f>SUM('DPL24-Budget'!B40:$M40)</f>
        <v>0</v>
      </c>
      <c r="AC40" s="929">
        <f t="shared" si="4"/>
        <v>0</v>
      </c>
      <c r="AD40" s="169" t="e">
        <f t="shared" si="0"/>
        <v>#REF!</v>
      </c>
      <c r="AE40" s="725">
        <f t="shared" si="18"/>
        <v>0</v>
      </c>
    </row>
    <row r="41" spans="1:31" s="4" customFormat="1">
      <c r="A41" s="757" t="s">
        <v>400</v>
      </c>
      <c r="B41" s="122" t="e">
        <f>IF(B$3=0,#REF!,#REF!/B$3)</f>
        <v>#REF!</v>
      </c>
      <c r="C41" s="910" t="e">
        <f t="shared" si="5"/>
        <v>#REF!</v>
      </c>
      <c r="D41" s="122" t="e">
        <f>IF(D$3=0,#REF!,#REF!/D$3)</f>
        <v>#REF!</v>
      </c>
      <c r="E41" s="909">
        <f t="shared" si="6"/>
        <v>0</v>
      </c>
      <c r="F41" s="122" t="e">
        <f>IF(F$3=0,#REF!,#REF!/F$3)</f>
        <v>#REF!</v>
      </c>
      <c r="G41" s="909">
        <f t="shared" si="7"/>
        <v>0</v>
      </c>
      <c r="H41" s="122" t="e">
        <f>IF(H$3=0,#REF!,#REF!/H$3)</f>
        <v>#REF!</v>
      </c>
      <c r="I41" s="910">
        <f t="shared" si="8"/>
        <v>0</v>
      </c>
      <c r="J41" s="122" t="e">
        <f>IF(J$3=0,#REF!,#REF!/J$3)</f>
        <v>#REF!</v>
      </c>
      <c r="K41" s="907">
        <f t="shared" si="9"/>
        <v>0</v>
      </c>
      <c r="L41" s="122" t="e">
        <f>IF(L$3=0,#REF!,#REF!/L$3)</f>
        <v>#REF!</v>
      </c>
      <c r="M41" s="907">
        <f t="shared" si="10"/>
        <v>0</v>
      </c>
      <c r="N41" s="122" t="e">
        <f>IF(N$3=0,#REF!,#REF!/N$3)</f>
        <v>#REF!</v>
      </c>
      <c r="O41" s="907">
        <f t="shared" si="11"/>
        <v>0</v>
      </c>
      <c r="P41" s="122" t="e">
        <f>IF(P$3=0,#REF!,#REF!/P$3)</f>
        <v>#REF!</v>
      </c>
      <c r="Q41" s="907">
        <f t="shared" si="12"/>
        <v>0</v>
      </c>
      <c r="R41" s="122" t="e">
        <f>IF(R$3=0,#REF!,#REF!/R$3)</f>
        <v>#REF!</v>
      </c>
      <c r="S41" s="910">
        <f t="shared" si="13"/>
        <v>0</v>
      </c>
      <c r="T41" s="122" t="e">
        <f>IF(T$3=0,#REF!,#REF!/T$3)</f>
        <v>#REF!</v>
      </c>
      <c r="U41" s="910">
        <f t="shared" si="14"/>
        <v>0</v>
      </c>
      <c r="V41" s="122" t="e">
        <f>IF(V$3=0,#REF!,#REF!/V$3)</f>
        <v>#REF!</v>
      </c>
      <c r="W41" s="910">
        <f t="shared" si="15"/>
        <v>0</v>
      </c>
      <c r="X41" s="122" t="e">
        <f>IF(X$3=0,#REF!,#REF!/X$3)</f>
        <v>#REF!</v>
      </c>
      <c r="Y41" s="910">
        <f t="shared" si="16"/>
        <v>0</v>
      </c>
      <c r="Z41" s="123" t="e">
        <f t="shared" si="17"/>
        <v>#REF!</v>
      </c>
      <c r="AA41" s="241" t="e">
        <f t="shared" si="3"/>
        <v>#REF!</v>
      </c>
      <c r="AB41" s="104">
        <f>SUM('DPL24-Budget'!B41:$M41)</f>
        <v>0</v>
      </c>
      <c r="AC41" s="929">
        <f t="shared" si="4"/>
        <v>0</v>
      </c>
      <c r="AD41" s="169" t="e">
        <f t="shared" si="0"/>
        <v>#REF!</v>
      </c>
      <c r="AE41" s="725">
        <f t="shared" si="18"/>
        <v>0</v>
      </c>
    </row>
    <row r="42" spans="1:31" s="4" customFormat="1">
      <c r="A42" s="757" t="s">
        <v>66</v>
      </c>
      <c r="B42" s="122" t="e">
        <f>IF(B$3=0,#REF!,#REF!/B$3)</f>
        <v>#REF!</v>
      </c>
      <c r="C42" s="910" t="e">
        <f t="shared" si="5"/>
        <v>#REF!</v>
      </c>
      <c r="D42" s="122" t="e">
        <f>IF(D$3=0,#REF!,#REF!/D$3)</f>
        <v>#REF!</v>
      </c>
      <c r="E42" s="909">
        <f t="shared" si="6"/>
        <v>0</v>
      </c>
      <c r="F42" s="122" t="e">
        <f>IF(F$3=0,#REF!,#REF!/F$3)</f>
        <v>#REF!</v>
      </c>
      <c r="G42" s="909">
        <f t="shared" si="7"/>
        <v>0</v>
      </c>
      <c r="H42" s="122" t="e">
        <f>IF(H$3=0,#REF!,#REF!/H$3)</f>
        <v>#REF!</v>
      </c>
      <c r="I42" s="910">
        <f t="shared" si="8"/>
        <v>0</v>
      </c>
      <c r="J42" s="122" t="e">
        <f>IF(J$3=0,#REF!,#REF!/J$3)</f>
        <v>#REF!</v>
      </c>
      <c r="K42" s="907">
        <f t="shared" si="9"/>
        <v>0</v>
      </c>
      <c r="L42" s="122" t="e">
        <f>IF(L$3=0,#REF!,#REF!/L$3)</f>
        <v>#REF!</v>
      </c>
      <c r="M42" s="907">
        <f t="shared" si="10"/>
        <v>0</v>
      </c>
      <c r="N42" s="122" t="e">
        <f>IF(N$3=0,#REF!,#REF!/N$3)</f>
        <v>#REF!</v>
      </c>
      <c r="O42" s="907">
        <f t="shared" si="11"/>
        <v>0</v>
      </c>
      <c r="P42" s="122" t="e">
        <f>IF(P$3=0,#REF!,#REF!/P$3)</f>
        <v>#REF!</v>
      </c>
      <c r="Q42" s="907">
        <f t="shared" si="12"/>
        <v>0</v>
      </c>
      <c r="R42" s="122" t="e">
        <f>IF(R$3=0,#REF!,#REF!/R$3)</f>
        <v>#REF!</v>
      </c>
      <c r="S42" s="910">
        <f t="shared" si="13"/>
        <v>0</v>
      </c>
      <c r="T42" s="122" t="e">
        <f>IF(T$3=0,#REF!,#REF!/T$3)</f>
        <v>#REF!</v>
      </c>
      <c r="U42" s="910">
        <f t="shared" si="14"/>
        <v>0</v>
      </c>
      <c r="V42" s="122" t="e">
        <f>IF(V$3=0,#REF!,#REF!/V$3)</f>
        <v>#REF!</v>
      </c>
      <c r="W42" s="910">
        <f t="shared" si="15"/>
        <v>0</v>
      </c>
      <c r="X42" s="122" t="e">
        <f>IF(X$3=0,#REF!,#REF!/X$3)</f>
        <v>#REF!</v>
      </c>
      <c r="Y42" s="910">
        <f t="shared" si="16"/>
        <v>0</v>
      </c>
      <c r="Z42" s="123" t="e">
        <f t="shared" si="17"/>
        <v>#REF!</v>
      </c>
      <c r="AA42" s="241" t="e">
        <f t="shared" si="3"/>
        <v>#REF!</v>
      </c>
      <c r="AB42" s="104">
        <f>SUM('DPL24-Budget'!B42:$M42)</f>
        <v>83099</v>
      </c>
      <c r="AC42" s="929">
        <f t="shared" si="4"/>
        <v>8.3000000000000001E-3</v>
      </c>
      <c r="AD42" s="169" t="e">
        <f t="shared" si="0"/>
        <v>#REF!</v>
      </c>
      <c r="AE42" s="725">
        <f t="shared" si="18"/>
        <v>8.0000000000000002E-3</v>
      </c>
    </row>
    <row r="43" spans="1:31" s="4" customFormat="1">
      <c r="A43" s="757" t="s">
        <v>401</v>
      </c>
      <c r="B43" s="122" t="e">
        <f>IF(B$3=0,#REF!,#REF!/B$3)</f>
        <v>#REF!</v>
      </c>
      <c r="C43" s="910" t="e">
        <f t="shared" si="5"/>
        <v>#REF!</v>
      </c>
      <c r="D43" s="122" t="e">
        <f>IF(D$3=0,#REF!,#REF!/D$3)</f>
        <v>#REF!</v>
      </c>
      <c r="E43" s="909">
        <f t="shared" si="6"/>
        <v>0</v>
      </c>
      <c r="F43" s="122" t="e">
        <f>IF(F$3=0,#REF!,#REF!/F$3)</f>
        <v>#REF!</v>
      </c>
      <c r="G43" s="909">
        <f t="shared" si="7"/>
        <v>0</v>
      </c>
      <c r="H43" s="122" t="e">
        <f>IF(H$3=0,#REF!,#REF!/H$3)</f>
        <v>#REF!</v>
      </c>
      <c r="I43" s="910">
        <f t="shared" si="8"/>
        <v>0</v>
      </c>
      <c r="J43" s="122" t="e">
        <f>IF(J$3=0,#REF!,#REF!/J$3)</f>
        <v>#REF!</v>
      </c>
      <c r="K43" s="907">
        <f t="shared" si="9"/>
        <v>0</v>
      </c>
      <c r="L43" s="122" t="e">
        <f>IF(L$3=0,#REF!,#REF!/L$3)</f>
        <v>#REF!</v>
      </c>
      <c r="M43" s="907">
        <f t="shared" si="10"/>
        <v>0</v>
      </c>
      <c r="N43" s="122" t="e">
        <f>IF(N$3=0,#REF!,#REF!/N$3)</f>
        <v>#REF!</v>
      </c>
      <c r="O43" s="907">
        <f t="shared" si="11"/>
        <v>0</v>
      </c>
      <c r="P43" s="122" t="e">
        <f>IF(P$3=0,#REF!,#REF!/P$3)</f>
        <v>#REF!</v>
      </c>
      <c r="Q43" s="907">
        <f t="shared" si="12"/>
        <v>0</v>
      </c>
      <c r="R43" s="122" t="e">
        <f>IF(R$3=0,#REF!,#REF!/R$3)</f>
        <v>#REF!</v>
      </c>
      <c r="S43" s="910">
        <f t="shared" si="13"/>
        <v>0</v>
      </c>
      <c r="T43" s="122" t="e">
        <f>IF(T$3=0,#REF!,#REF!/T$3)</f>
        <v>#REF!</v>
      </c>
      <c r="U43" s="910">
        <f t="shared" si="14"/>
        <v>0</v>
      </c>
      <c r="V43" s="122" t="e">
        <f>IF(V$3=0,#REF!,#REF!/V$3)</f>
        <v>#REF!</v>
      </c>
      <c r="W43" s="910">
        <f t="shared" si="15"/>
        <v>0</v>
      </c>
      <c r="X43" s="122" t="e">
        <f>IF(X$3=0,#REF!,#REF!/X$3)</f>
        <v>#REF!</v>
      </c>
      <c r="Y43" s="910">
        <f t="shared" si="16"/>
        <v>0</v>
      </c>
      <c r="Z43" s="123" t="e">
        <f t="shared" si="17"/>
        <v>#REF!</v>
      </c>
      <c r="AA43" s="241" t="e">
        <f t="shared" si="3"/>
        <v>#REF!</v>
      </c>
      <c r="AB43" s="104">
        <f>SUM('DPL24-Budget'!B43:$M43)</f>
        <v>0</v>
      </c>
      <c r="AC43" s="929">
        <f t="shared" si="4"/>
        <v>0</v>
      </c>
      <c r="AD43" s="169" t="e">
        <f t="shared" si="0"/>
        <v>#REF!</v>
      </c>
      <c r="AE43" s="725">
        <f t="shared" si="18"/>
        <v>0</v>
      </c>
    </row>
    <row r="44" spans="1:31" s="4" customFormat="1">
      <c r="A44" s="757" t="s">
        <v>402</v>
      </c>
      <c r="B44" s="122" t="e">
        <f>IF(B$3=0,#REF!,#REF!/B$3)</f>
        <v>#REF!</v>
      </c>
      <c r="C44" s="910" t="e">
        <f t="shared" si="5"/>
        <v>#REF!</v>
      </c>
      <c r="D44" s="122" t="e">
        <f>IF(D$3=0,#REF!,#REF!/D$3)</f>
        <v>#REF!</v>
      </c>
      <c r="E44" s="909">
        <f t="shared" si="6"/>
        <v>0</v>
      </c>
      <c r="F44" s="122" t="e">
        <f>IF(F$3=0,#REF!,#REF!/F$3)</f>
        <v>#REF!</v>
      </c>
      <c r="G44" s="909">
        <f t="shared" si="7"/>
        <v>0</v>
      </c>
      <c r="H44" s="122" t="e">
        <f>IF(H$3=0,#REF!,#REF!/H$3)</f>
        <v>#REF!</v>
      </c>
      <c r="I44" s="910">
        <f t="shared" si="8"/>
        <v>0</v>
      </c>
      <c r="J44" s="122" t="e">
        <f>IF(J$3=0,#REF!,#REF!/J$3)</f>
        <v>#REF!</v>
      </c>
      <c r="K44" s="907">
        <f t="shared" si="9"/>
        <v>0</v>
      </c>
      <c r="L44" s="122" t="e">
        <f>IF(L$3=0,#REF!,#REF!/L$3)</f>
        <v>#REF!</v>
      </c>
      <c r="M44" s="907">
        <f t="shared" si="10"/>
        <v>0</v>
      </c>
      <c r="N44" s="122" t="e">
        <f>IF(N$3=0,#REF!,#REF!/N$3)</f>
        <v>#REF!</v>
      </c>
      <c r="O44" s="907">
        <f t="shared" si="11"/>
        <v>0</v>
      </c>
      <c r="P44" s="122" t="e">
        <f>IF(P$3=0,#REF!,#REF!/P$3)</f>
        <v>#REF!</v>
      </c>
      <c r="Q44" s="907">
        <f t="shared" si="12"/>
        <v>0</v>
      </c>
      <c r="R44" s="122" t="e">
        <f>IF(R$3=0,#REF!,#REF!/R$3)</f>
        <v>#REF!</v>
      </c>
      <c r="S44" s="910">
        <f t="shared" si="13"/>
        <v>0</v>
      </c>
      <c r="T44" s="122" t="e">
        <f>IF(T$3=0,#REF!,#REF!/T$3)</f>
        <v>#REF!</v>
      </c>
      <c r="U44" s="910">
        <f t="shared" si="14"/>
        <v>0</v>
      </c>
      <c r="V44" s="122" t="e">
        <f>IF(V$3=0,#REF!,#REF!/V$3)</f>
        <v>#REF!</v>
      </c>
      <c r="W44" s="910">
        <f t="shared" si="15"/>
        <v>0</v>
      </c>
      <c r="X44" s="122" t="e">
        <f>IF(X$3=0,#REF!,#REF!/X$3)</f>
        <v>#REF!</v>
      </c>
      <c r="Y44" s="910">
        <f t="shared" si="16"/>
        <v>0</v>
      </c>
      <c r="Z44" s="123" t="e">
        <f t="shared" si="17"/>
        <v>#REF!</v>
      </c>
      <c r="AA44" s="241" t="e">
        <f t="shared" si="3"/>
        <v>#REF!</v>
      </c>
      <c r="AB44" s="104">
        <f>SUM('DPL24-Budget'!B44:$M44)</f>
        <v>0</v>
      </c>
      <c r="AC44" s="929">
        <f t="shared" si="4"/>
        <v>0</v>
      </c>
      <c r="AD44" s="169" t="e">
        <f t="shared" si="0"/>
        <v>#REF!</v>
      </c>
      <c r="AE44" s="725">
        <f t="shared" si="18"/>
        <v>0</v>
      </c>
    </row>
    <row r="45" spans="1:31" s="4" customFormat="1">
      <c r="A45" s="757" t="s">
        <v>403</v>
      </c>
      <c r="B45" s="122" t="e">
        <f>IF(B$3=0,#REF!,#REF!/B$3)</f>
        <v>#REF!</v>
      </c>
      <c r="C45" s="910" t="e">
        <f t="shared" si="5"/>
        <v>#REF!</v>
      </c>
      <c r="D45" s="122" t="e">
        <f>IF(D$3=0,#REF!,#REF!/D$3)</f>
        <v>#REF!</v>
      </c>
      <c r="E45" s="909">
        <f t="shared" si="6"/>
        <v>0</v>
      </c>
      <c r="F45" s="122" t="e">
        <f>IF(F$3=0,#REF!,#REF!/F$3)</f>
        <v>#REF!</v>
      </c>
      <c r="G45" s="909">
        <f t="shared" si="7"/>
        <v>0</v>
      </c>
      <c r="H45" s="122" t="e">
        <f>IF(H$3=0,#REF!,#REF!/H$3)</f>
        <v>#REF!</v>
      </c>
      <c r="I45" s="910">
        <f t="shared" si="8"/>
        <v>0</v>
      </c>
      <c r="J45" s="122" t="e">
        <f>IF(J$3=0,#REF!,#REF!/J$3)</f>
        <v>#REF!</v>
      </c>
      <c r="K45" s="907">
        <f t="shared" si="9"/>
        <v>0</v>
      </c>
      <c r="L45" s="122" t="e">
        <f>IF(L$3=0,#REF!,#REF!/L$3)</f>
        <v>#REF!</v>
      </c>
      <c r="M45" s="907">
        <f t="shared" si="10"/>
        <v>0</v>
      </c>
      <c r="N45" s="122" t="e">
        <f>IF(N$3=0,#REF!,#REF!/N$3)</f>
        <v>#REF!</v>
      </c>
      <c r="O45" s="907">
        <f t="shared" si="11"/>
        <v>0</v>
      </c>
      <c r="P45" s="122" t="e">
        <f>IF(P$3=0,#REF!,#REF!/P$3)</f>
        <v>#REF!</v>
      </c>
      <c r="Q45" s="907">
        <f t="shared" si="12"/>
        <v>0</v>
      </c>
      <c r="R45" s="122" t="e">
        <f>IF(R$3=0,#REF!,#REF!/R$3)</f>
        <v>#REF!</v>
      </c>
      <c r="S45" s="910">
        <f t="shared" si="13"/>
        <v>0</v>
      </c>
      <c r="T45" s="122" t="e">
        <f>IF(T$3=0,#REF!,#REF!/T$3)</f>
        <v>#REF!</v>
      </c>
      <c r="U45" s="910">
        <f t="shared" si="14"/>
        <v>0</v>
      </c>
      <c r="V45" s="122" t="e">
        <f>IF(V$3=0,#REF!,#REF!/V$3)</f>
        <v>#REF!</v>
      </c>
      <c r="W45" s="910">
        <f t="shared" si="15"/>
        <v>0</v>
      </c>
      <c r="X45" s="122" t="e">
        <f>IF(X$3=0,#REF!,#REF!/X$3)</f>
        <v>#REF!</v>
      </c>
      <c r="Y45" s="910">
        <f t="shared" si="16"/>
        <v>0</v>
      </c>
      <c r="Z45" s="123" t="e">
        <f t="shared" si="17"/>
        <v>#REF!</v>
      </c>
      <c r="AA45" s="241" t="e">
        <f t="shared" si="3"/>
        <v>#REF!</v>
      </c>
      <c r="AB45" s="104">
        <f>SUM('DPL24-Budget'!B45:$M45)</f>
        <v>0</v>
      </c>
      <c r="AC45" s="929">
        <f t="shared" si="4"/>
        <v>0</v>
      </c>
      <c r="AD45" s="169" t="e">
        <f t="shared" si="0"/>
        <v>#REF!</v>
      </c>
      <c r="AE45" s="725">
        <f t="shared" si="18"/>
        <v>0</v>
      </c>
    </row>
    <row r="46" spans="1:31" s="4" customFormat="1">
      <c r="A46" s="757" t="s">
        <v>404</v>
      </c>
      <c r="B46" s="122" t="e">
        <f>IF(B$3=0,#REF!,#REF!/B$3)</f>
        <v>#REF!</v>
      </c>
      <c r="C46" s="910" t="e">
        <f t="shared" si="5"/>
        <v>#REF!</v>
      </c>
      <c r="D46" s="122" t="e">
        <f>IF(D$3=0,#REF!,#REF!/D$3)</f>
        <v>#REF!</v>
      </c>
      <c r="E46" s="909">
        <f t="shared" si="6"/>
        <v>0</v>
      </c>
      <c r="F46" s="122" t="e">
        <f>IF(F$3=0,#REF!,#REF!/F$3)</f>
        <v>#REF!</v>
      </c>
      <c r="G46" s="909">
        <f t="shared" si="7"/>
        <v>0</v>
      </c>
      <c r="H46" s="122" t="e">
        <f>IF(H$3=0,#REF!,#REF!/H$3)</f>
        <v>#REF!</v>
      </c>
      <c r="I46" s="910">
        <f t="shared" si="8"/>
        <v>0</v>
      </c>
      <c r="J46" s="122" t="e">
        <f>IF(J$3=0,#REF!,#REF!/J$3)</f>
        <v>#REF!</v>
      </c>
      <c r="K46" s="907">
        <f t="shared" si="9"/>
        <v>0</v>
      </c>
      <c r="L46" s="122" t="e">
        <f>IF(L$3=0,#REF!,#REF!/L$3)</f>
        <v>#REF!</v>
      </c>
      <c r="M46" s="907">
        <f t="shared" si="10"/>
        <v>0</v>
      </c>
      <c r="N46" s="122" t="e">
        <f>IF(N$3=0,#REF!,#REF!/N$3)</f>
        <v>#REF!</v>
      </c>
      <c r="O46" s="907">
        <f t="shared" si="11"/>
        <v>0</v>
      </c>
      <c r="P46" s="122" t="e">
        <f>IF(P$3=0,#REF!,#REF!/P$3)</f>
        <v>#REF!</v>
      </c>
      <c r="Q46" s="907">
        <f t="shared" si="12"/>
        <v>0</v>
      </c>
      <c r="R46" s="122" t="e">
        <f>IF(R$3=0,#REF!,#REF!/R$3)</f>
        <v>#REF!</v>
      </c>
      <c r="S46" s="910">
        <f t="shared" si="13"/>
        <v>0</v>
      </c>
      <c r="T46" s="122" t="e">
        <f>IF(T$3=0,#REF!,#REF!/T$3)</f>
        <v>#REF!</v>
      </c>
      <c r="U46" s="910">
        <f t="shared" si="14"/>
        <v>0</v>
      </c>
      <c r="V46" s="122" t="e">
        <f>IF(V$3=0,#REF!,#REF!/V$3)</f>
        <v>#REF!</v>
      </c>
      <c r="W46" s="910">
        <f t="shared" si="15"/>
        <v>0</v>
      </c>
      <c r="X46" s="122" t="e">
        <f>IF(X$3=0,#REF!,#REF!/X$3)</f>
        <v>#REF!</v>
      </c>
      <c r="Y46" s="910">
        <f t="shared" si="16"/>
        <v>0</v>
      </c>
      <c r="Z46" s="123" t="e">
        <f t="shared" si="17"/>
        <v>#REF!</v>
      </c>
      <c r="AA46" s="241" t="e">
        <f t="shared" si="3"/>
        <v>#REF!</v>
      </c>
      <c r="AB46" s="104">
        <f>SUM('DPL24-Budget'!B46:$M46)</f>
        <v>328388</v>
      </c>
      <c r="AC46" s="929">
        <f t="shared" si="4"/>
        <v>3.2800000000000003E-2</v>
      </c>
      <c r="AD46" s="169" t="e">
        <f t="shared" si="0"/>
        <v>#REF!</v>
      </c>
      <c r="AE46" s="725">
        <f t="shared" si="18"/>
        <v>3.3000000000000002E-2</v>
      </c>
    </row>
    <row r="47" spans="1:31" s="37" customFormat="1">
      <c r="A47" s="32" t="s">
        <v>406</v>
      </c>
      <c r="B47" s="122" t="e">
        <f>IF(B$3=0,#REF!,#REF!/B$3)</f>
        <v>#REF!</v>
      </c>
      <c r="C47" s="910" t="e">
        <f t="shared" si="5"/>
        <v>#REF!</v>
      </c>
      <c r="D47" s="122" t="e">
        <f>IF(D$3=0,#REF!,#REF!/D$3)</f>
        <v>#REF!</v>
      </c>
      <c r="E47" s="909">
        <f t="shared" si="6"/>
        <v>0</v>
      </c>
      <c r="F47" s="122" t="e">
        <f>IF(F$3=0,#REF!,#REF!/F$3)</f>
        <v>#REF!</v>
      </c>
      <c r="G47" s="909">
        <f t="shared" si="7"/>
        <v>0</v>
      </c>
      <c r="H47" s="122" t="e">
        <f>IF(H$3=0,#REF!,#REF!/H$3)</f>
        <v>#REF!</v>
      </c>
      <c r="I47" s="910">
        <f t="shared" si="8"/>
        <v>0</v>
      </c>
      <c r="J47" s="122" t="e">
        <f>IF(J$3=0,#REF!,#REF!/J$3)</f>
        <v>#REF!</v>
      </c>
      <c r="K47" s="907">
        <f t="shared" si="9"/>
        <v>0</v>
      </c>
      <c r="L47" s="122" t="e">
        <f>IF(L$3=0,#REF!,#REF!/L$3)</f>
        <v>#REF!</v>
      </c>
      <c r="M47" s="907">
        <f t="shared" si="10"/>
        <v>0</v>
      </c>
      <c r="N47" s="122" t="e">
        <f>IF(N$3=0,#REF!,#REF!/N$3)</f>
        <v>#REF!</v>
      </c>
      <c r="O47" s="907">
        <f t="shared" si="11"/>
        <v>0</v>
      </c>
      <c r="P47" s="122" t="e">
        <f>IF(P$3=0,#REF!,#REF!/P$3)</f>
        <v>#REF!</v>
      </c>
      <c r="Q47" s="907">
        <f t="shared" si="12"/>
        <v>0</v>
      </c>
      <c r="R47" s="122" t="e">
        <f>IF(R$3=0,#REF!,#REF!/R$3)</f>
        <v>#REF!</v>
      </c>
      <c r="S47" s="910">
        <f t="shared" si="13"/>
        <v>0</v>
      </c>
      <c r="T47" s="122" t="e">
        <f>IF(T$3=0,#REF!,#REF!/T$3)</f>
        <v>#REF!</v>
      </c>
      <c r="U47" s="910">
        <f t="shared" si="14"/>
        <v>0</v>
      </c>
      <c r="V47" s="122" t="e">
        <f>IF(V$3=0,#REF!,#REF!/V$3)</f>
        <v>#REF!</v>
      </c>
      <c r="W47" s="910">
        <f t="shared" si="15"/>
        <v>0</v>
      </c>
      <c r="X47" s="122" t="e">
        <f>IF(X$3=0,#REF!,#REF!/X$3)</f>
        <v>#REF!</v>
      </c>
      <c r="Y47" s="910">
        <f t="shared" si="16"/>
        <v>0</v>
      </c>
      <c r="Z47" s="123" t="e">
        <f t="shared" si="17"/>
        <v>#REF!</v>
      </c>
      <c r="AA47" s="241" t="e">
        <f t="shared" si="3"/>
        <v>#REF!</v>
      </c>
      <c r="AB47" s="104">
        <f>SUM('DPL24-Budget'!B47:$M47)</f>
        <v>0</v>
      </c>
      <c r="AC47" s="929">
        <f t="shared" si="4"/>
        <v>0</v>
      </c>
      <c r="AD47" s="169" t="e">
        <f t="shared" si="0"/>
        <v>#REF!</v>
      </c>
      <c r="AE47" s="725">
        <f t="shared" si="18"/>
        <v>0</v>
      </c>
    </row>
    <row r="48" spans="1:31" s="4" customFormat="1">
      <c r="A48" s="757"/>
      <c r="B48" s="14"/>
      <c r="C48" s="902"/>
      <c r="D48" s="14"/>
      <c r="E48" s="909">
        <f t="shared" si="6"/>
        <v>0</v>
      </c>
      <c r="F48" s="14"/>
      <c r="G48" s="909">
        <f t="shared" si="7"/>
        <v>0</v>
      </c>
      <c r="H48" s="14"/>
      <c r="I48" s="910">
        <f t="shared" si="8"/>
        <v>0</v>
      </c>
      <c r="J48" s="14"/>
      <c r="K48" s="907">
        <f t="shared" si="9"/>
        <v>0</v>
      </c>
      <c r="L48" s="14"/>
      <c r="M48" s="907">
        <f t="shared" si="10"/>
        <v>0</v>
      </c>
      <c r="N48" s="14"/>
      <c r="O48" s="907">
        <f t="shared" si="11"/>
        <v>0</v>
      </c>
      <c r="P48" s="14"/>
      <c r="Q48" s="907">
        <f t="shared" si="12"/>
        <v>0</v>
      </c>
      <c r="R48" s="14"/>
      <c r="S48" s="910">
        <f t="shared" si="13"/>
        <v>0</v>
      </c>
      <c r="T48" s="14"/>
      <c r="U48" s="910">
        <f t="shared" si="14"/>
        <v>0</v>
      </c>
      <c r="V48" s="14"/>
      <c r="W48" s="910">
        <f t="shared" si="15"/>
        <v>0</v>
      </c>
      <c r="X48" s="14"/>
      <c r="Y48" s="910">
        <f t="shared" si="16"/>
        <v>0</v>
      </c>
      <c r="Z48" s="15"/>
      <c r="AA48" s="239"/>
      <c r="AB48" s="106"/>
      <c r="AC48" s="929">
        <f t="shared" si="4"/>
        <v>0</v>
      </c>
      <c r="AD48" s="169">
        <f t="shared" si="0"/>
        <v>0</v>
      </c>
      <c r="AE48" s="725">
        <f t="shared" si="18"/>
        <v>0</v>
      </c>
    </row>
    <row r="49" spans="1:31" s="1" customFormat="1" ht="13.5" thickBot="1">
      <c r="A49" s="6" t="s">
        <v>407</v>
      </c>
      <c r="B49" s="16" t="e">
        <f t="shared" ref="B49:Z49" si="19">SUM(B16:B48)</f>
        <v>#REF!</v>
      </c>
      <c r="C49" s="236"/>
      <c r="D49" s="16" t="e">
        <f t="shared" si="19"/>
        <v>#REF!</v>
      </c>
      <c r="E49" s="909">
        <f t="shared" si="6"/>
        <v>0</v>
      </c>
      <c r="F49" s="16" t="e">
        <f t="shared" si="19"/>
        <v>#REF!</v>
      </c>
      <c r="G49" s="909">
        <f t="shared" si="7"/>
        <v>0</v>
      </c>
      <c r="H49" s="16" t="e">
        <f t="shared" si="19"/>
        <v>#REF!</v>
      </c>
      <c r="I49" s="910">
        <f t="shared" si="8"/>
        <v>0</v>
      </c>
      <c r="J49" s="16" t="e">
        <f t="shared" si="19"/>
        <v>#REF!</v>
      </c>
      <c r="K49" s="907">
        <f t="shared" si="9"/>
        <v>0</v>
      </c>
      <c r="L49" s="16" t="e">
        <f t="shared" si="19"/>
        <v>#REF!</v>
      </c>
      <c r="M49" s="907">
        <f t="shared" si="10"/>
        <v>0</v>
      </c>
      <c r="N49" s="16" t="e">
        <f t="shared" si="19"/>
        <v>#REF!</v>
      </c>
      <c r="O49" s="907">
        <f t="shared" si="11"/>
        <v>0</v>
      </c>
      <c r="P49" s="16" t="e">
        <f t="shared" si="19"/>
        <v>#REF!</v>
      </c>
      <c r="Q49" s="907">
        <f t="shared" si="12"/>
        <v>0</v>
      </c>
      <c r="R49" s="16" t="e">
        <f t="shared" si="19"/>
        <v>#REF!</v>
      </c>
      <c r="S49" s="910">
        <f t="shared" si="13"/>
        <v>0</v>
      </c>
      <c r="T49" s="16" t="e">
        <f t="shared" si="19"/>
        <v>#REF!</v>
      </c>
      <c r="U49" s="910">
        <f t="shared" si="14"/>
        <v>0</v>
      </c>
      <c r="V49" s="16" t="e">
        <f t="shared" si="19"/>
        <v>#REF!</v>
      </c>
      <c r="W49" s="910">
        <f t="shared" si="15"/>
        <v>0</v>
      </c>
      <c r="X49" s="16" t="e">
        <f t="shared" si="19"/>
        <v>#REF!</v>
      </c>
      <c r="Y49" s="910">
        <f t="shared" si="16"/>
        <v>0</v>
      </c>
      <c r="Z49" s="16" t="e">
        <f t="shared" si="19"/>
        <v>#REF!</v>
      </c>
      <c r="AA49" s="241" t="e">
        <f>+Z49/$Z$13</f>
        <v>#REF!</v>
      </c>
      <c r="AB49" s="107">
        <f>SUM(AB16:AB48)</f>
        <v>5951072</v>
      </c>
      <c r="AC49" s="929">
        <f t="shared" si="4"/>
        <v>0.59489999999999998</v>
      </c>
      <c r="AD49" s="169" t="e">
        <f t="shared" si="0"/>
        <v>#REF!</v>
      </c>
      <c r="AE49" s="725">
        <f t="shared" si="18"/>
        <v>0.59499999999999997</v>
      </c>
    </row>
    <row r="50" spans="1:31" ht="13.5" thickTop="1">
      <c r="A50" s="118" t="s">
        <v>408</v>
      </c>
      <c r="B50" s="156" t="e">
        <f>+B13-B49</f>
        <v>#REF!</v>
      </c>
      <c r="C50" s="236"/>
      <c r="D50" s="156" t="e">
        <f t="shared" ref="D50:Z50" si="20">+D13-D49</f>
        <v>#REF!</v>
      </c>
      <c r="E50" s="909">
        <f t="shared" si="6"/>
        <v>0</v>
      </c>
      <c r="F50" s="156" t="e">
        <f t="shared" si="20"/>
        <v>#REF!</v>
      </c>
      <c r="G50" s="909">
        <f t="shared" si="7"/>
        <v>0</v>
      </c>
      <c r="H50" s="156" t="e">
        <f t="shared" si="20"/>
        <v>#REF!</v>
      </c>
      <c r="I50" s="910">
        <f t="shared" si="8"/>
        <v>0</v>
      </c>
      <c r="J50" s="156" t="e">
        <f t="shared" si="20"/>
        <v>#REF!</v>
      </c>
      <c r="K50" s="907">
        <f t="shared" si="9"/>
        <v>0</v>
      </c>
      <c r="L50" s="156" t="e">
        <f t="shared" si="20"/>
        <v>#REF!</v>
      </c>
      <c r="M50" s="907">
        <f t="shared" si="10"/>
        <v>0</v>
      </c>
      <c r="N50" s="156" t="e">
        <f t="shared" si="20"/>
        <v>#REF!</v>
      </c>
      <c r="O50" s="907">
        <f t="shared" si="11"/>
        <v>0</v>
      </c>
      <c r="P50" s="156" t="e">
        <f t="shared" si="20"/>
        <v>#REF!</v>
      </c>
      <c r="Q50" s="907">
        <f t="shared" si="12"/>
        <v>0</v>
      </c>
      <c r="R50" s="156" t="e">
        <f t="shared" si="20"/>
        <v>#REF!</v>
      </c>
      <c r="S50" s="910">
        <f t="shared" si="13"/>
        <v>0</v>
      </c>
      <c r="T50" s="156" t="e">
        <f t="shared" si="20"/>
        <v>#REF!</v>
      </c>
      <c r="U50" s="910">
        <f t="shared" si="14"/>
        <v>0</v>
      </c>
      <c r="V50" s="156" t="e">
        <f t="shared" si="20"/>
        <v>#REF!</v>
      </c>
      <c r="W50" s="910">
        <f t="shared" si="15"/>
        <v>0</v>
      </c>
      <c r="X50" s="156" t="e">
        <f t="shared" si="20"/>
        <v>#REF!</v>
      </c>
      <c r="Y50" s="910">
        <f t="shared" si="16"/>
        <v>0</v>
      </c>
      <c r="Z50" s="156" t="e">
        <f t="shared" si="20"/>
        <v>#REF!</v>
      </c>
      <c r="AB50" s="104"/>
      <c r="AC50" s="104"/>
      <c r="AE50" s="149"/>
    </row>
    <row r="51" spans="1:31">
      <c r="A51" s="6" t="s">
        <v>409</v>
      </c>
      <c r="B51" s="191" t="e">
        <f>+B50/B13</f>
        <v>#REF!</v>
      </c>
      <c r="C51" s="249"/>
      <c r="D51" s="191">
        <f>IFERROR(D50/D13,0)</f>
        <v>0</v>
      </c>
      <c r="E51" s="909">
        <f t="shared" si="6"/>
        <v>0</v>
      </c>
      <c r="F51" s="191">
        <f>IFERROR(F50/F13,0)</f>
        <v>0</v>
      </c>
      <c r="G51" s="909">
        <f t="shared" si="7"/>
        <v>0</v>
      </c>
      <c r="H51" s="191">
        <f>IFERROR(H50/H13,0)</f>
        <v>0</v>
      </c>
      <c r="I51" s="910">
        <f t="shared" si="8"/>
        <v>0</v>
      </c>
      <c r="J51" s="191">
        <f>IFERROR(J50/J13,0)</f>
        <v>0</v>
      </c>
      <c r="K51" s="907">
        <f t="shared" si="9"/>
        <v>0</v>
      </c>
      <c r="L51" s="191">
        <f>IFERROR(L50/L13,0)</f>
        <v>0</v>
      </c>
      <c r="M51" s="907">
        <f t="shared" si="10"/>
        <v>0</v>
      </c>
      <c r="N51" s="191">
        <f>IFERROR(N50/N13,0)</f>
        <v>0</v>
      </c>
      <c r="O51" s="907">
        <f t="shared" si="11"/>
        <v>0</v>
      </c>
      <c r="P51" s="191">
        <f>IFERROR(P50/P13,0)</f>
        <v>0</v>
      </c>
      <c r="Q51" s="907">
        <f t="shared" si="12"/>
        <v>0</v>
      </c>
      <c r="R51" s="191">
        <f>IFERROR(R50/R13,0)</f>
        <v>0</v>
      </c>
      <c r="S51" s="910">
        <f t="shared" si="13"/>
        <v>0</v>
      </c>
      <c r="T51" s="191">
        <f>IFERROR(T50/T13,0)</f>
        <v>0</v>
      </c>
      <c r="U51" s="910">
        <f t="shared" si="14"/>
        <v>0</v>
      </c>
      <c r="V51" s="191">
        <f>IFERROR(V50/V13,0)</f>
        <v>0</v>
      </c>
      <c r="W51" s="910">
        <f t="shared" si="15"/>
        <v>0</v>
      </c>
      <c r="X51" s="191">
        <f>IFERROR(X50/X13,0)</f>
        <v>0</v>
      </c>
      <c r="Y51" s="910">
        <f t="shared" si="16"/>
        <v>0</v>
      </c>
      <c r="Z51" s="191" t="e">
        <f>+Z50/Z13</f>
        <v>#REF!</v>
      </c>
      <c r="AB51" s="104"/>
      <c r="AC51" s="104"/>
      <c r="AE51" s="149"/>
    </row>
    <row r="52" spans="1:31">
      <c r="A52" s="6" t="s">
        <v>594</v>
      </c>
      <c r="B52" s="20"/>
      <c r="C52" s="902"/>
      <c r="D52" s="20"/>
      <c r="E52" s="909">
        <f t="shared" si="6"/>
        <v>0</v>
      </c>
      <c r="F52" s="20"/>
      <c r="G52" s="909">
        <f t="shared" si="7"/>
        <v>0</v>
      </c>
      <c r="H52" s="20"/>
      <c r="I52" s="910">
        <f t="shared" si="8"/>
        <v>0</v>
      </c>
      <c r="J52" s="20"/>
      <c r="K52" s="907">
        <f t="shared" si="9"/>
        <v>0</v>
      </c>
      <c r="L52" s="20"/>
      <c r="M52" s="907">
        <f t="shared" si="10"/>
        <v>0</v>
      </c>
      <c r="N52" s="20"/>
      <c r="O52" s="907">
        <f t="shared" si="11"/>
        <v>0</v>
      </c>
      <c r="P52" s="20"/>
      <c r="Q52" s="907">
        <f t="shared" si="12"/>
        <v>0</v>
      </c>
      <c r="R52" s="20"/>
      <c r="S52" s="910">
        <f t="shared" si="13"/>
        <v>0</v>
      </c>
      <c r="T52" s="20"/>
      <c r="U52" s="910">
        <f t="shared" si="14"/>
        <v>0</v>
      </c>
      <c r="V52" s="20"/>
      <c r="W52" s="910">
        <f t="shared" si="15"/>
        <v>0</v>
      </c>
      <c r="X52" s="28"/>
      <c r="Y52" s="910">
        <f t="shared" si="16"/>
        <v>0</v>
      </c>
      <c r="Z52" s="15">
        <f>SUM(B52:X52)</f>
        <v>0</v>
      </c>
      <c r="AB52" s="104"/>
      <c r="AC52" s="104"/>
      <c r="AE52" s="149"/>
    </row>
    <row r="53" spans="1:31">
      <c r="A53" s="757" t="s">
        <v>595</v>
      </c>
      <c r="B53" s="14" t="e">
        <f>IF(B$3=0,#REF!,#REF!/B$3)</f>
        <v>#REF!</v>
      </c>
      <c r="C53" s="909" t="e">
        <f>+B53/$B$13</f>
        <v>#REF!</v>
      </c>
      <c r="D53" s="14" t="e">
        <f>IF(D$3=0,#REF!,#REF!/D$3)</f>
        <v>#REF!</v>
      </c>
      <c r="E53" s="909">
        <f t="shared" si="6"/>
        <v>0</v>
      </c>
      <c r="F53" s="14" t="e">
        <f>IF(F$3=0,#REF!,#REF!/F$3)</f>
        <v>#REF!</v>
      </c>
      <c r="G53" s="909">
        <f t="shared" si="7"/>
        <v>0</v>
      </c>
      <c r="H53" s="14" t="e">
        <f>IF(H$3=0,#REF!,#REF!/H$3)</f>
        <v>#REF!</v>
      </c>
      <c r="I53" s="910">
        <f t="shared" si="8"/>
        <v>0</v>
      </c>
      <c r="J53" s="14" t="e">
        <f>IF(J$3=0,#REF!,#REF!/J$3)</f>
        <v>#REF!</v>
      </c>
      <c r="K53" s="907">
        <f t="shared" si="9"/>
        <v>0</v>
      </c>
      <c r="L53" s="14" t="e">
        <f>IF(L$3=0,#REF!,#REF!/L$3)</f>
        <v>#REF!</v>
      </c>
      <c r="M53" s="907">
        <f t="shared" si="10"/>
        <v>0</v>
      </c>
      <c r="N53" s="14" t="e">
        <f>IF(N$3=0,#REF!,#REF!/N$3)</f>
        <v>#REF!</v>
      </c>
      <c r="O53" s="907">
        <f t="shared" si="11"/>
        <v>0</v>
      </c>
      <c r="P53" s="14" t="e">
        <f>IF(P$3=0,#REF!,#REF!/P$3)</f>
        <v>#REF!</v>
      </c>
      <c r="Q53" s="907">
        <f t="shared" si="12"/>
        <v>0</v>
      </c>
      <c r="R53" s="14" t="e">
        <f>IF(R$3=0,#REF!,#REF!/R$3)</f>
        <v>#REF!</v>
      </c>
      <c r="S53" s="910">
        <f t="shared" si="13"/>
        <v>0</v>
      </c>
      <c r="T53" s="14" t="e">
        <f>IF(T$3=0,#REF!,#REF!/T$3)</f>
        <v>#REF!</v>
      </c>
      <c r="U53" s="910">
        <f t="shared" si="14"/>
        <v>0</v>
      </c>
      <c r="V53" s="14" t="e">
        <f>IF(V$3=0,#REF!,#REF!/V$3)</f>
        <v>#REF!</v>
      </c>
      <c r="W53" s="910">
        <f t="shared" si="15"/>
        <v>0</v>
      </c>
      <c r="X53" s="14" t="e">
        <f>IF(X$3=0,#REF!,#REF!/X$3)</f>
        <v>#REF!</v>
      </c>
      <c r="Y53" s="910">
        <f t="shared" si="16"/>
        <v>0</v>
      </c>
      <c r="Z53" s="15" t="e">
        <f t="shared" ref="Z53:Z70" si="21">+B53+D53+F53+H53+J53+L53+N53+P53+R53+T53+V53+X53</f>
        <v>#REF!</v>
      </c>
      <c r="AA53" s="242" t="e">
        <f t="shared" ref="AA53:AA72" si="22">+Z53/$Z$13</f>
        <v>#REF!</v>
      </c>
      <c r="AB53" s="104">
        <f>SUM('DPL24-Budget'!B53:$M53)</f>
        <v>259084</v>
      </c>
      <c r="AC53" s="929">
        <f t="shared" ref="AC53:AC72" si="23">+AB53/$AB$13</f>
        <v>2.5899999999999999E-2</v>
      </c>
      <c r="AD53" s="169" t="e">
        <f>+Z53-AB53</f>
        <v>#REF!</v>
      </c>
      <c r="AE53" s="149"/>
    </row>
    <row r="54" spans="1:31">
      <c r="A54" s="757" t="s">
        <v>596</v>
      </c>
      <c r="B54" s="14" t="e">
        <f>IF(B$3=0,#REF!,#REF!/B$3)</f>
        <v>#REF!</v>
      </c>
      <c r="C54" s="909" t="e">
        <f t="shared" ref="C54:C72" si="24">+B54/$B$13</f>
        <v>#REF!</v>
      </c>
      <c r="D54" s="14" t="e">
        <f>IF(D$3=0,#REF!,#REF!/D$3)</f>
        <v>#REF!</v>
      </c>
      <c r="E54" s="909">
        <f t="shared" si="6"/>
        <v>0</v>
      </c>
      <c r="F54" s="14" t="e">
        <f>IF(F$3=0,#REF!,#REF!/F$3)</f>
        <v>#REF!</v>
      </c>
      <c r="G54" s="909">
        <f t="shared" si="7"/>
        <v>0</v>
      </c>
      <c r="H54" s="14" t="e">
        <f>IF(H$3=0,#REF!,#REF!/H$3)</f>
        <v>#REF!</v>
      </c>
      <c r="I54" s="910">
        <f t="shared" si="8"/>
        <v>0</v>
      </c>
      <c r="J54" s="14" t="e">
        <f>IF(J$3=0,#REF!,#REF!/J$3)</f>
        <v>#REF!</v>
      </c>
      <c r="K54" s="907">
        <f t="shared" si="9"/>
        <v>0</v>
      </c>
      <c r="L54" s="14" t="e">
        <f>IF(L$3=0,#REF!,#REF!/L$3)</f>
        <v>#REF!</v>
      </c>
      <c r="M54" s="907">
        <f t="shared" si="10"/>
        <v>0</v>
      </c>
      <c r="N54" s="14" t="e">
        <f>IF(N$3=0,#REF!,#REF!/N$3)</f>
        <v>#REF!</v>
      </c>
      <c r="O54" s="907">
        <f t="shared" si="11"/>
        <v>0</v>
      </c>
      <c r="P54" s="14" t="e">
        <f>IF(P$3=0,#REF!,#REF!/P$3)</f>
        <v>#REF!</v>
      </c>
      <c r="Q54" s="907">
        <f t="shared" si="12"/>
        <v>0</v>
      </c>
      <c r="R54" s="14" t="e">
        <f>IF(R$3=0,#REF!,#REF!/R$3)</f>
        <v>#REF!</v>
      </c>
      <c r="S54" s="910">
        <f t="shared" si="13"/>
        <v>0</v>
      </c>
      <c r="T54" s="14" t="e">
        <f>IF(T$3=0,#REF!,#REF!/T$3)</f>
        <v>#REF!</v>
      </c>
      <c r="U54" s="910">
        <f t="shared" si="14"/>
        <v>0</v>
      </c>
      <c r="V54" s="14" t="e">
        <f>IF(V$3=0,#REF!,#REF!/V$3)</f>
        <v>#REF!</v>
      </c>
      <c r="W54" s="910">
        <f t="shared" si="15"/>
        <v>0</v>
      </c>
      <c r="X54" s="14" t="e">
        <f>IF(X$3=0,#REF!,#REF!/X$3)</f>
        <v>#REF!</v>
      </c>
      <c r="Y54" s="910">
        <f t="shared" si="16"/>
        <v>0</v>
      </c>
      <c r="Z54" s="15" t="e">
        <f t="shared" si="21"/>
        <v>#REF!</v>
      </c>
      <c r="AA54" s="242" t="e">
        <f t="shared" si="22"/>
        <v>#REF!</v>
      </c>
      <c r="AB54" s="104">
        <f>SUM('DPL24-Budget'!B54:$M54)</f>
        <v>185972</v>
      </c>
      <c r="AC54" s="929">
        <f t="shared" si="23"/>
        <v>1.8599999999999998E-2</v>
      </c>
      <c r="AD54" s="169" t="e">
        <f t="shared" ref="AD54:AD89" si="25">+Z54-AB54</f>
        <v>#REF!</v>
      </c>
      <c r="AE54" s="149"/>
    </row>
    <row r="55" spans="1:31" s="4" customFormat="1">
      <c r="A55" s="757" t="s">
        <v>597</v>
      </c>
      <c r="B55" s="14" t="e">
        <f>IF(B$3=0,#REF!,#REF!/B$3)</f>
        <v>#REF!</v>
      </c>
      <c r="C55" s="909" t="e">
        <f t="shared" si="24"/>
        <v>#REF!</v>
      </c>
      <c r="D55" s="14" t="e">
        <f>IF(D$3=0,#REF!,#REF!/D$3)</f>
        <v>#REF!</v>
      </c>
      <c r="E55" s="909">
        <f t="shared" si="6"/>
        <v>0</v>
      </c>
      <c r="F55" s="14" t="e">
        <f>IF(F$3=0,#REF!,#REF!/F$3)</f>
        <v>#REF!</v>
      </c>
      <c r="G55" s="909">
        <f t="shared" si="7"/>
        <v>0</v>
      </c>
      <c r="H55" s="14" t="e">
        <f>IF(H$3=0,#REF!,#REF!/H$3)</f>
        <v>#REF!</v>
      </c>
      <c r="I55" s="910">
        <f t="shared" si="8"/>
        <v>0</v>
      </c>
      <c r="J55" s="14" t="e">
        <f>IF(J$3=0,#REF!,#REF!/J$3)</f>
        <v>#REF!</v>
      </c>
      <c r="K55" s="907">
        <f t="shared" si="9"/>
        <v>0</v>
      </c>
      <c r="L55" s="14" t="e">
        <f>IF(L$3=0,#REF!,#REF!/L$3)</f>
        <v>#REF!</v>
      </c>
      <c r="M55" s="907">
        <f t="shared" si="10"/>
        <v>0</v>
      </c>
      <c r="N55" s="14" t="e">
        <f>IF(N$3=0,#REF!,#REF!/N$3)</f>
        <v>#REF!</v>
      </c>
      <c r="O55" s="907">
        <f t="shared" si="11"/>
        <v>0</v>
      </c>
      <c r="P55" s="14" t="e">
        <f>IF(P$3=0,#REF!,#REF!/P$3)</f>
        <v>#REF!</v>
      </c>
      <c r="Q55" s="907">
        <f t="shared" si="12"/>
        <v>0</v>
      </c>
      <c r="R55" s="14" t="e">
        <f>IF(R$3=0,#REF!,#REF!/R$3)</f>
        <v>#REF!</v>
      </c>
      <c r="S55" s="910">
        <f t="shared" si="13"/>
        <v>0</v>
      </c>
      <c r="T55" s="14" t="e">
        <f>IF(T$3=0,#REF!,#REF!/T$3)</f>
        <v>#REF!</v>
      </c>
      <c r="U55" s="910">
        <f t="shared" si="14"/>
        <v>0</v>
      </c>
      <c r="V55" s="14" t="e">
        <f>IF(V$3=0,#REF!,#REF!/V$3)</f>
        <v>#REF!</v>
      </c>
      <c r="W55" s="910">
        <f t="shared" si="15"/>
        <v>0</v>
      </c>
      <c r="X55" s="14" t="e">
        <f>IF(X$3=0,#REF!,#REF!/X$3)</f>
        <v>#REF!</v>
      </c>
      <c r="Y55" s="910">
        <f t="shared" si="16"/>
        <v>0</v>
      </c>
      <c r="Z55" s="15" t="e">
        <f t="shared" si="21"/>
        <v>#REF!</v>
      </c>
      <c r="AA55" s="242" t="e">
        <f t="shared" si="22"/>
        <v>#REF!</v>
      </c>
      <c r="AB55" s="104">
        <f>SUM('DPL24-Budget'!B55:$M55)</f>
        <v>19797</v>
      </c>
      <c r="AC55" s="929">
        <f t="shared" si="23"/>
        <v>2E-3</v>
      </c>
      <c r="AD55" s="169" t="e">
        <f t="shared" si="25"/>
        <v>#REF!</v>
      </c>
      <c r="AE55" s="150"/>
    </row>
    <row r="56" spans="1:31" s="4" customFormat="1">
      <c r="A56" s="757" t="s">
        <v>598</v>
      </c>
      <c r="B56" s="14" t="e">
        <f>IF(B$3=0,#REF!,#REF!/B$3)</f>
        <v>#REF!</v>
      </c>
      <c r="C56" s="909" t="e">
        <f t="shared" si="24"/>
        <v>#REF!</v>
      </c>
      <c r="D56" s="14" t="e">
        <f>IF(D$3=0,#REF!,#REF!/D$3)</f>
        <v>#REF!</v>
      </c>
      <c r="E56" s="909">
        <f t="shared" si="6"/>
        <v>0</v>
      </c>
      <c r="F56" s="14" t="e">
        <f>IF(F$3=0,#REF!,#REF!/F$3)</f>
        <v>#REF!</v>
      </c>
      <c r="G56" s="909">
        <f t="shared" si="7"/>
        <v>0</v>
      </c>
      <c r="H56" s="14" t="e">
        <f>IF(H$3=0,#REF!,#REF!/H$3)</f>
        <v>#REF!</v>
      </c>
      <c r="I56" s="910">
        <f t="shared" si="8"/>
        <v>0</v>
      </c>
      <c r="J56" s="14" t="e">
        <f>IF(J$3=0,#REF!,#REF!/J$3)</f>
        <v>#REF!</v>
      </c>
      <c r="K56" s="907">
        <f t="shared" si="9"/>
        <v>0</v>
      </c>
      <c r="L56" s="14" t="e">
        <f>IF(L$3=0,#REF!,#REF!/L$3)</f>
        <v>#REF!</v>
      </c>
      <c r="M56" s="907">
        <f t="shared" si="10"/>
        <v>0</v>
      </c>
      <c r="N56" s="14" t="e">
        <f>IF(N$3=0,#REF!,#REF!/N$3)</f>
        <v>#REF!</v>
      </c>
      <c r="O56" s="907">
        <f t="shared" si="11"/>
        <v>0</v>
      </c>
      <c r="P56" s="14" t="e">
        <f>IF(P$3=0,#REF!,#REF!/P$3)</f>
        <v>#REF!</v>
      </c>
      <c r="Q56" s="907">
        <f t="shared" si="12"/>
        <v>0</v>
      </c>
      <c r="R56" s="14" t="e">
        <f>IF(R$3=0,#REF!,#REF!/R$3)</f>
        <v>#REF!</v>
      </c>
      <c r="S56" s="910">
        <f t="shared" si="13"/>
        <v>0</v>
      </c>
      <c r="T56" s="14" t="e">
        <f>IF(T$3=0,#REF!,#REF!/T$3)</f>
        <v>#REF!</v>
      </c>
      <c r="U56" s="910">
        <f t="shared" si="14"/>
        <v>0</v>
      </c>
      <c r="V56" s="14" t="e">
        <f>IF(V$3=0,#REF!,#REF!/V$3)</f>
        <v>#REF!</v>
      </c>
      <c r="W56" s="910">
        <f t="shared" si="15"/>
        <v>0</v>
      </c>
      <c r="X56" s="14" t="e">
        <f>IF(X$3=0,#REF!,#REF!/X$3)</f>
        <v>#REF!</v>
      </c>
      <c r="Y56" s="910">
        <f t="shared" si="16"/>
        <v>0</v>
      </c>
      <c r="Z56" s="15" t="e">
        <f t="shared" si="21"/>
        <v>#REF!</v>
      </c>
      <c r="AA56" s="242" t="e">
        <f t="shared" si="22"/>
        <v>#REF!</v>
      </c>
      <c r="AB56" s="104">
        <f>SUM('DPL24-Budget'!B56:$M56)</f>
        <v>104187</v>
      </c>
      <c r="AC56" s="929">
        <f t="shared" si="23"/>
        <v>1.04E-2</v>
      </c>
      <c r="AD56" s="169" t="e">
        <f t="shared" si="25"/>
        <v>#REF!</v>
      </c>
      <c r="AE56" s="150"/>
    </row>
    <row r="57" spans="1:31" s="4" customFormat="1">
      <c r="A57" s="757" t="s">
        <v>599</v>
      </c>
      <c r="B57" s="14" t="e">
        <f>IF(B$3=0,#REF!,#REF!/B$3)</f>
        <v>#REF!</v>
      </c>
      <c r="C57" s="909" t="e">
        <f t="shared" si="24"/>
        <v>#REF!</v>
      </c>
      <c r="D57" s="14" t="e">
        <f>IF(D$3=0,#REF!,#REF!/D$3)</f>
        <v>#REF!</v>
      </c>
      <c r="E57" s="909">
        <f t="shared" si="6"/>
        <v>0</v>
      </c>
      <c r="F57" s="14" t="e">
        <f>IF(F$3=0,#REF!,#REF!/F$3)</f>
        <v>#REF!</v>
      </c>
      <c r="G57" s="909">
        <f t="shared" si="7"/>
        <v>0</v>
      </c>
      <c r="H57" s="14" t="e">
        <f>IF(H$3=0,#REF!,#REF!/H$3)</f>
        <v>#REF!</v>
      </c>
      <c r="I57" s="910">
        <f t="shared" si="8"/>
        <v>0</v>
      </c>
      <c r="J57" s="14" t="e">
        <f>IF(J$3=0,#REF!,#REF!/J$3)</f>
        <v>#REF!</v>
      </c>
      <c r="K57" s="907">
        <f t="shared" si="9"/>
        <v>0</v>
      </c>
      <c r="L57" s="14" t="e">
        <f>IF(L$3=0,#REF!,#REF!/L$3)</f>
        <v>#REF!</v>
      </c>
      <c r="M57" s="907">
        <f t="shared" si="10"/>
        <v>0</v>
      </c>
      <c r="N57" s="14" t="e">
        <f>IF(N$3=0,#REF!,#REF!/N$3)</f>
        <v>#REF!</v>
      </c>
      <c r="O57" s="907">
        <f t="shared" si="11"/>
        <v>0</v>
      </c>
      <c r="P57" s="14" t="e">
        <f>IF(P$3=0,#REF!,#REF!/P$3)</f>
        <v>#REF!</v>
      </c>
      <c r="Q57" s="907">
        <f t="shared" si="12"/>
        <v>0</v>
      </c>
      <c r="R57" s="14" t="e">
        <f>IF(R$3=0,#REF!,#REF!/R$3)</f>
        <v>#REF!</v>
      </c>
      <c r="S57" s="910">
        <f t="shared" si="13"/>
        <v>0</v>
      </c>
      <c r="T57" s="14" t="e">
        <f>IF(T$3=0,#REF!,#REF!/T$3)</f>
        <v>#REF!</v>
      </c>
      <c r="U57" s="910">
        <f t="shared" si="14"/>
        <v>0</v>
      </c>
      <c r="V57" s="14" t="e">
        <f>IF(V$3=0,#REF!,#REF!/V$3)</f>
        <v>#REF!</v>
      </c>
      <c r="W57" s="910">
        <f t="shared" si="15"/>
        <v>0</v>
      </c>
      <c r="X57" s="14" t="e">
        <f>IF(X$3=0,#REF!,#REF!/X$3)</f>
        <v>#REF!</v>
      </c>
      <c r="Y57" s="910">
        <f t="shared" si="16"/>
        <v>0</v>
      </c>
      <c r="Z57" s="15" t="e">
        <f t="shared" si="21"/>
        <v>#REF!</v>
      </c>
      <c r="AA57" s="242" t="e">
        <f t="shared" si="22"/>
        <v>#REF!</v>
      </c>
      <c r="AB57" s="104">
        <f>SUM('DPL24-Budget'!B57:$M57)</f>
        <v>2571</v>
      </c>
      <c r="AC57" s="929">
        <f t="shared" si="23"/>
        <v>2.9999999999999997E-4</v>
      </c>
      <c r="AD57" s="169" t="e">
        <f t="shared" si="25"/>
        <v>#REF!</v>
      </c>
      <c r="AE57" s="150"/>
    </row>
    <row r="58" spans="1:31" s="4" customFormat="1">
      <c r="A58" s="757" t="s">
        <v>600</v>
      </c>
      <c r="B58" s="14" t="e">
        <f>IF(B$3=0,#REF!,#REF!/B$3)</f>
        <v>#REF!</v>
      </c>
      <c r="C58" s="909" t="e">
        <f t="shared" si="24"/>
        <v>#REF!</v>
      </c>
      <c r="D58" s="14" t="e">
        <f>IF(D$3=0,#REF!,#REF!/D$3)</f>
        <v>#REF!</v>
      </c>
      <c r="E58" s="909">
        <f t="shared" si="6"/>
        <v>0</v>
      </c>
      <c r="F58" s="14" t="e">
        <f>IF(F$3=0,#REF!,#REF!/F$3)</f>
        <v>#REF!</v>
      </c>
      <c r="G58" s="909">
        <f t="shared" si="7"/>
        <v>0</v>
      </c>
      <c r="H58" s="14" t="e">
        <f>IF(H$3=0,#REF!,#REF!/H$3)</f>
        <v>#REF!</v>
      </c>
      <c r="I58" s="910">
        <f t="shared" si="8"/>
        <v>0</v>
      </c>
      <c r="J58" s="14" t="e">
        <f>IF(J$3=0,#REF!,#REF!/J$3)</f>
        <v>#REF!</v>
      </c>
      <c r="K58" s="907">
        <f t="shared" si="9"/>
        <v>0</v>
      </c>
      <c r="L58" s="14" t="e">
        <f>IF(L$3=0,#REF!,#REF!/L$3)</f>
        <v>#REF!</v>
      </c>
      <c r="M58" s="907">
        <f t="shared" si="10"/>
        <v>0</v>
      </c>
      <c r="N58" s="14" t="e">
        <f>IF(N$3=0,#REF!,#REF!/N$3)</f>
        <v>#REF!</v>
      </c>
      <c r="O58" s="907">
        <f t="shared" si="11"/>
        <v>0</v>
      </c>
      <c r="P58" s="14" t="e">
        <f>IF(P$3=0,#REF!,#REF!/P$3)</f>
        <v>#REF!</v>
      </c>
      <c r="Q58" s="907">
        <f t="shared" si="12"/>
        <v>0</v>
      </c>
      <c r="R58" s="14" t="e">
        <f>IF(R$3=0,#REF!,#REF!/R$3)</f>
        <v>#REF!</v>
      </c>
      <c r="S58" s="910">
        <f t="shared" si="13"/>
        <v>0</v>
      </c>
      <c r="T58" s="14" t="e">
        <f>IF(T$3=0,#REF!,#REF!/T$3)</f>
        <v>#REF!</v>
      </c>
      <c r="U58" s="910">
        <f t="shared" si="14"/>
        <v>0</v>
      </c>
      <c r="V58" s="14" t="e">
        <f>IF(V$3=0,#REF!,#REF!/V$3)</f>
        <v>#REF!</v>
      </c>
      <c r="W58" s="910">
        <f t="shared" si="15"/>
        <v>0</v>
      </c>
      <c r="X58" s="14" t="e">
        <f>IF(X$3=0,#REF!,#REF!/X$3)</f>
        <v>#REF!</v>
      </c>
      <c r="Y58" s="910">
        <f t="shared" si="16"/>
        <v>0</v>
      </c>
      <c r="Z58" s="15" t="e">
        <f t="shared" si="21"/>
        <v>#REF!</v>
      </c>
      <c r="AA58" s="935" t="e">
        <f t="shared" si="22"/>
        <v>#REF!</v>
      </c>
      <c r="AB58" s="104">
        <f>SUM('DPL24-Budget'!B58:$M58)</f>
        <v>2058</v>
      </c>
      <c r="AC58" s="929">
        <f t="shared" si="23"/>
        <v>2.0000000000000001E-4</v>
      </c>
      <c r="AD58" s="936" t="e">
        <f t="shared" si="25"/>
        <v>#REF!</v>
      </c>
      <c r="AE58" s="150"/>
    </row>
    <row r="59" spans="1:31" s="189" customFormat="1">
      <c r="A59" s="933" t="s">
        <v>601</v>
      </c>
      <c r="B59" s="14" t="e">
        <f>IF(B$3=0,#REF!,#REF!/B$3)</f>
        <v>#REF!</v>
      </c>
      <c r="C59" s="909" t="e">
        <f t="shared" si="24"/>
        <v>#REF!</v>
      </c>
      <c r="D59" s="14" t="e">
        <f>IF(D$3=0,#REF!,#REF!/D$3)</f>
        <v>#REF!</v>
      </c>
      <c r="E59" s="909">
        <f t="shared" si="6"/>
        <v>0</v>
      </c>
      <c r="F59" s="14" t="e">
        <f>IF(F$3=0,#REF!,#REF!/F$3)</f>
        <v>#REF!</v>
      </c>
      <c r="G59" s="909">
        <f t="shared" si="7"/>
        <v>0</v>
      </c>
      <c r="H59" s="14" t="e">
        <f>IF(H$3=0,#REF!,#REF!/H$3)</f>
        <v>#REF!</v>
      </c>
      <c r="I59" s="910">
        <f t="shared" si="8"/>
        <v>0</v>
      </c>
      <c r="J59" s="14" t="e">
        <f>IF(J$3=0,#REF!,#REF!/J$3)</f>
        <v>#REF!</v>
      </c>
      <c r="K59" s="907">
        <f t="shared" si="9"/>
        <v>0</v>
      </c>
      <c r="L59" s="14" t="e">
        <f>IF(L$3=0,#REF!,#REF!/L$3)</f>
        <v>#REF!</v>
      </c>
      <c r="M59" s="907">
        <f t="shared" si="10"/>
        <v>0</v>
      </c>
      <c r="N59" s="14" t="e">
        <f>IF(N$3=0,#REF!,#REF!/N$3)</f>
        <v>#REF!</v>
      </c>
      <c r="O59" s="907">
        <f t="shared" si="11"/>
        <v>0</v>
      </c>
      <c r="P59" s="14" t="e">
        <f>IF(P$3=0,#REF!,#REF!/P$3)</f>
        <v>#REF!</v>
      </c>
      <c r="Q59" s="907">
        <f t="shared" si="12"/>
        <v>0</v>
      </c>
      <c r="R59" s="14" t="e">
        <f>IF(R$3=0,#REF!,#REF!/R$3)</f>
        <v>#REF!</v>
      </c>
      <c r="S59" s="910">
        <f t="shared" si="13"/>
        <v>0</v>
      </c>
      <c r="T59" s="14" t="e">
        <f>IF(T$3=0,#REF!,#REF!/T$3)</f>
        <v>#REF!</v>
      </c>
      <c r="U59" s="910">
        <f t="shared" si="14"/>
        <v>0</v>
      </c>
      <c r="V59" s="14" t="e">
        <f>IF(V$3=0,#REF!,#REF!/V$3)</f>
        <v>#REF!</v>
      </c>
      <c r="W59" s="910">
        <f t="shared" si="15"/>
        <v>0</v>
      </c>
      <c r="X59" s="14" t="e">
        <f>IF(X$3=0,#REF!,#REF!/X$3)</f>
        <v>#REF!</v>
      </c>
      <c r="Y59" s="910">
        <f t="shared" si="16"/>
        <v>0</v>
      </c>
      <c r="Z59" s="15" t="e">
        <f t="shared" si="21"/>
        <v>#REF!</v>
      </c>
      <c r="AA59" s="937" t="e">
        <f t="shared" si="22"/>
        <v>#REF!</v>
      </c>
      <c r="AB59" s="104">
        <f>SUM('DPL24-Budget'!B59:$M59)</f>
        <v>2099</v>
      </c>
      <c r="AC59" s="929">
        <f t="shared" si="23"/>
        <v>2.0000000000000001E-4</v>
      </c>
      <c r="AD59" s="934" t="e">
        <f t="shared" si="25"/>
        <v>#REF!</v>
      </c>
      <c r="AE59" s="188"/>
    </row>
    <row r="60" spans="1:31" s="189" customFormat="1">
      <c r="A60" s="933" t="s">
        <v>602</v>
      </c>
      <c r="B60" s="14" t="e">
        <f>IF(B$3=0,#REF!,#REF!/B$3)</f>
        <v>#REF!</v>
      </c>
      <c r="C60" s="909" t="e">
        <f t="shared" si="24"/>
        <v>#REF!</v>
      </c>
      <c r="D60" s="14" t="e">
        <f>IF(D$3=0,#REF!,#REF!/D$3)</f>
        <v>#REF!</v>
      </c>
      <c r="E60" s="909">
        <f t="shared" si="6"/>
        <v>0</v>
      </c>
      <c r="F60" s="14" t="e">
        <f>IF(F$3=0,#REF!,#REF!/F$3)</f>
        <v>#REF!</v>
      </c>
      <c r="G60" s="909">
        <f t="shared" si="7"/>
        <v>0</v>
      </c>
      <c r="H60" s="14" t="e">
        <f>IF(H$3=0,#REF!,#REF!/H$3)</f>
        <v>#REF!</v>
      </c>
      <c r="I60" s="910">
        <f t="shared" si="8"/>
        <v>0</v>
      </c>
      <c r="J60" s="14" t="e">
        <f>IF(J$3=0,#REF!,#REF!/J$3)</f>
        <v>#REF!</v>
      </c>
      <c r="K60" s="907">
        <f t="shared" si="9"/>
        <v>0</v>
      </c>
      <c r="L60" s="14" t="e">
        <f>IF(L$3=0,#REF!,#REF!/L$3)</f>
        <v>#REF!</v>
      </c>
      <c r="M60" s="907">
        <f t="shared" si="10"/>
        <v>0</v>
      </c>
      <c r="N60" s="14" t="e">
        <f>IF(N$3=0,#REF!,#REF!/N$3)</f>
        <v>#REF!</v>
      </c>
      <c r="O60" s="907">
        <f t="shared" si="11"/>
        <v>0</v>
      </c>
      <c r="P60" s="14" t="e">
        <f>IF(P$3=0,#REF!,#REF!/P$3)</f>
        <v>#REF!</v>
      </c>
      <c r="Q60" s="907">
        <f t="shared" si="12"/>
        <v>0</v>
      </c>
      <c r="R60" s="14" t="e">
        <f>IF(R$3=0,#REF!,#REF!/R$3)</f>
        <v>#REF!</v>
      </c>
      <c r="S60" s="910">
        <f t="shared" si="13"/>
        <v>0</v>
      </c>
      <c r="T60" s="14" t="e">
        <f>IF(T$3=0,#REF!,#REF!/T$3)</f>
        <v>#REF!</v>
      </c>
      <c r="U60" s="910">
        <f t="shared" si="14"/>
        <v>0</v>
      </c>
      <c r="V60" s="14" t="e">
        <f>IF(V$3=0,#REF!,#REF!/V$3)</f>
        <v>#REF!</v>
      </c>
      <c r="W60" s="910">
        <f t="shared" si="15"/>
        <v>0</v>
      </c>
      <c r="X60" s="14" t="e">
        <f>IF(X$3=0,#REF!,#REF!/X$3)</f>
        <v>#REF!</v>
      </c>
      <c r="Y60" s="910">
        <f t="shared" si="16"/>
        <v>0</v>
      </c>
      <c r="Z60" s="15" t="e">
        <f t="shared" si="21"/>
        <v>#REF!</v>
      </c>
      <c r="AA60" s="938" t="e">
        <f t="shared" si="22"/>
        <v>#REF!</v>
      </c>
      <c r="AB60" s="104">
        <f>SUM('DPL24-Budget'!B60:$M60)</f>
        <v>61671</v>
      </c>
      <c r="AC60" s="929">
        <f t="shared" si="23"/>
        <v>6.1999999999999998E-3</v>
      </c>
      <c r="AD60" s="934" t="e">
        <f t="shared" si="25"/>
        <v>#REF!</v>
      </c>
      <c r="AE60" s="188"/>
    </row>
    <row r="61" spans="1:31" s="189" customFormat="1">
      <c r="A61" s="933" t="s">
        <v>603</v>
      </c>
      <c r="B61" s="14" t="e">
        <f>IF(B$3=0,#REF!,#REF!/B$3)</f>
        <v>#REF!</v>
      </c>
      <c r="C61" s="909" t="e">
        <f t="shared" si="24"/>
        <v>#REF!</v>
      </c>
      <c r="D61" s="14" t="e">
        <f>IF(D$3=0,#REF!,#REF!/D$3)</f>
        <v>#REF!</v>
      </c>
      <c r="E61" s="909">
        <f t="shared" si="6"/>
        <v>0</v>
      </c>
      <c r="F61" s="14" t="e">
        <f>IF(F$3=0,#REF!,#REF!/F$3)</f>
        <v>#REF!</v>
      </c>
      <c r="G61" s="909">
        <f t="shared" si="7"/>
        <v>0</v>
      </c>
      <c r="H61" s="14" t="e">
        <f>IF(H$3=0,#REF!,#REF!/H$3)</f>
        <v>#REF!</v>
      </c>
      <c r="I61" s="910">
        <f t="shared" si="8"/>
        <v>0</v>
      </c>
      <c r="J61" s="14" t="e">
        <f>IF(J$3=0,#REF!,#REF!/J$3)</f>
        <v>#REF!</v>
      </c>
      <c r="K61" s="907">
        <f t="shared" si="9"/>
        <v>0</v>
      </c>
      <c r="L61" s="14" t="e">
        <f>IF(L$3=0,#REF!,#REF!/L$3)</f>
        <v>#REF!</v>
      </c>
      <c r="M61" s="907">
        <f t="shared" si="10"/>
        <v>0</v>
      </c>
      <c r="N61" s="14" t="e">
        <f>IF(N$3=0,#REF!,#REF!/N$3)</f>
        <v>#REF!</v>
      </c>
      <c r="O61" s="907">
        <f t="shared" si="11"/>
        <v>0</v>
      </c>
      <c r="P61" s="14" t="e">
        <f>IF(P$3=0,#REF!,#REF!/P$3)</f>
        <v>#REF!</v>
      </c>
      <c r="Q61" s="907">
        <f t="shared" si="12"/>
        <v>0</v>
      </c>
      <c r="R61" s="14" t="e">
        <f>IF(R$3=0,#REF!,#REF!/R$3)</f>
        <v>#REF!</v>
      </c>
      <c r="S61" s="910">
        <f t="shared" si="13"/>
        <v>0</v>
      </c>
      <c r="T61" s="14" t="e">
        <f>IF(T$3=0,#REF!,#REF!/T$3)</f>
        <v>#REF!</v>
      </c>
      <c r="U61" s="910">
        <f t="shared" si="14"/>
        <v>0</v>
      </c>
      <c r="V61" s="14" t="e">
        <f>IF(V$3=0,#REF!,#REF!/V$3)</f>
        <v>#REF!</v>
      </c>
      <c r="W61" s="910">
        <f t="shared" si="15"/>
        <v>0</v>
      </c>
      <c r="X61" s="14" t="e">
        <f>IF(X$3=0,#REF!,#REF!/X$3)</f>
        <v>#REF!</v>
      </c>
      <c r="Y61" s="910">
        <f t="shared" si="16"/>
        <v>0</v>
      </c>
      <c r="Z61" s="15" t="e">
        <f t="shared" si="21"/>
        <v>#REF!</v>
      </c>
      <c r="AA61" s="938" t="e">
        <f t="shared" si="22"/>
        <v>#REF!</v>
      </c>
      <c r="AB61" s="104">
        <f>SUM('DPL24-Budget'!B61:$M61)</f>
        <v>32746</v>
      </c>
      <c r="AC61" s="929">
        <f t="shared" si="23"/>
        <v>3.3E-3</v>
      </c>
      <c r="AD61" s="934" t="e">
        <f t="shared" si="25"/>
        <v>#REF!</v>
      </c>
      <c r="AE61" s="188"/>
    </row>
    <row r="62" spans="1:31" s="189" customFormat="1">
      <c r="A62" s="933" t="s">
        <v>604</v>
      </c>
      <c r="B62" s="14" t="e">
        <f>IF(B$3=0,#REF!,#REF!/B$3)</f>
        <v>#REF!</v>
      </c>
      <c r="C62" s="909" t="e">
        <f t="shared" si="24"/>
        <v>#REF!</v>
      </c>
      <c r="D62" s="14" t="e">
        <f>IF(D$3=0,#REF!,#REF!/D$3)</f>
        <v>#REF!</v>
      </c>
      <c r="E62" s="909">
        <f t="shared" si="6"/>
        <v>0</v>
      </c>
      <c r="F62" s="14" t="e">
        <f>IF(F$3=0,#REF!,#REF!/F$3)</f>
        <v>#REF!</v>
      </c>
      <c r="G62" s="909">
        <f t="shared" si="7"/>
        <v>0</v>
      </c>
      <c r="H62" s="14" t="e">
        <f>IF(H$3=0,#REF!,#REF!/H$3)</f>
        <v>#REF!</v>
      </c>
      <c r="I62" s="910">
        <f t="shared" si="8"/>
        <v>0</v>
      </c>
      <c r="J62" s="14" t="e">
        <f>IF(J$3=0,#REF!,#REF!/J$3)</f>
        <v>#REF!</v>
      </c>
      <c r="K62" s="907">
        <f t="shared" si="9"/>
        <v>0</v>
      </c>
      <c r="L62" s="14" t="e">
        <f>IF(L$3=0,#REF!,#REF!/L$3)</f>
        <v>#REF!</v>
      </c>
      <c r="M62" s="907">
        <f t="shared" si="10"/>
        <v>0</v>
      </c>
      <c r="N62" s="14" t="e">
        <f>IF(N$3=0,#REF!,#REF!/N$3)</f>
        <v>#REF!</v>
      </c>
      <c r="O62" s="907">
        <f t="shared" si="11"/>
        <v>0</v>
      </c>
      <c r="P62" s="14" t="e">
        <f>IF(P$3=0,#REF!,#REF!/P$3)</f>
        <v>#REF!</v>
      </c>
      <c r="Q62" s="907">
        <f t="shared" si="12"/>
        <v>0</v>
      </c>
      <c r="R62" s="14" t="e">
        <f>IF(R$3=0,#REF!,#REF!/R$3)</f>
        <v>#REF!</v>
      </c>
      <c r="S62" s="910">
        <f t="shared" si="13"/>
        <v>0</v>
      </c>
      <c r="T62" s="14" t="e">
        <f>IF(T$3=0,#REF!,#REF!/T$3)</f>
        <v>#REF!</v>
      </c>
      <c r="U62" s="910">
        <f t="shared" si="14"/>
        <v>0</v>
      </c>
      <c r="V62" s="14" t="e">
        <f>IF(V$3=0,#REF!,#REF!/V$3)</f>
        <v>#REF!</v>
      </c>
      <c r="W62" s="910">
        <f t="shared" si="15"/>
        <v>0</v>
      </c>
      <c r="X62" s="14" t="e">
        <f>IF(X$3=0,#REF!,#REF!/X$3)</f>
        <v>#REF!</v>
      </c>
      <c r="Y62" s="910">
        <f t="shared" si="16"/>
        <v>0</v>
      </c>
      <c r="Z62" s="15" t="e">
        <f t="shared" si="21"/>
        <v>#REF!</v>
      </c>
      <c r="AA62" s="938" t="e">
        <f t="shared" si="22"/>
        <v>#REF!</v>
      </c>
      <c r="AB62" s="104">
        <f>SUM('DPL24-Budget'!B62:$M62)</f>
        <v>0</v>
      </c>
      <c r="AC62" s="929">
        <f t="shared" si="23"/>
        <v>0</v>
      </c>
      <c r="AD62" s="934" t="e">
        <f t="shared" si="25"/>
        <v>#REF!</v>
      </c>
      <c r="AE62" s="188"/>
    </row>
    <row r="63" spans="1:31" s="4" customFormat="1">
      <c r="A63" s="757" t="s">
        <v>605</v>
      </c>
      <c r="B63" s="14" t="e">
        <f>IF(B$3=0,#REF!,#REF!/B$3)</f>
        <v>#REF!</v>
      </c>
      <c r="C63" s="909" t="e">
        <f t="shared" si="24"/>
        <v>#REF!</v>
      </c>
      <c r="D63" s="14" t="e">
        <f>IF(D$3=0,#REF!,#REF!/D$3)</f>
        <v>#REF!</v>
      </c>
      <c r="E63" s="909">
        <f t="shared" si="6"/>
        <v>0</v>
      </c>
      <c r="F63" s="14" t="e">
        <f>IF(F$3=0,#REF!,#REF!/F$3)</f>
        <v>#REF!</v>
      </c>
      <c r="G63" s="909">
        <f t="shared" si="7"/>
        <v>0</v>
      </c>
      <c r="H63" s="14" t="e">
        <f>IF(H$3=0,#REF!,#REF!/H$3)</f>
        <v>#REF!</v>
      </c>
      <c r="I63" s="910">
        <f t="shared" si="8"/>
        <v>0</v>
      </c>
      <c r="J63" s="14" t="e">
        <f>IF(J$3=0,#REF!,#REF!/J$3)</f>
        <v>#REF!</v>
      </c>
      <c r="K63" s="907">
        <f t="shared" si="9"/>
        <v>0</v>
      </c>
      <c r="L63" s="14" t="e">
        <f>IF(L$3=0,#REF!,#REF!/L$3)</f>
        <v>#REF!</v>
      </c>
      <c r="M63" s="907">
        <f t="shared" si="10"/>
        <v>0</v>
      </c>
      <c r="N63" s="14" t="e">
        <f>IF(N$3=0,#REF!,#REF!/N$3)</f>
        <v>#REF!</v>
      </c>
      <c r="O63" s="907">
        <f t="shared" si="11"/>
        <v>0</v>
      </c>
      <c r="P63" s="14" t="e">
        <f>IF(P$3=0,#REF!,#REF!/P$3)</f>
        <v>#REF!</v>
      </c>
      <c r="Q63" s="907">
        <f t="shared" si="12"/>
        <v>0</v>
      </c>
      <c r="R63" s="14" t="e">
        <f>IF(R$3=0,#REF!,#REF!/R$3)</f>
        <v>#REF!</v>
      </c>
      <c r="S63" s="910">
        <f t="shared" si="13"/>
        <v>0</v>
      </c>
      <c r="T63" s="14" t="e">
        <f>IF(T$3=0,#REF!,#REF!/T$3)</f>
        <v>#REF!</v>
      </c>
      <c r="U63" s="910">
        <f t="shared" si="14"/>
        <v>0</v>
      </c>
      <c r="V63" s="14" t="e">
        <f>IF(V$3=0,#REF!,#REF!/V$3)</f>
        <v>#REF!</v>
      </c>
      <c r="W63" s="910">
        <f t="shared" si="15"/>
        <v>0</v>
      </c>
      <c r="X63" s="14" t="e">
        <f>IF(X$3=0,#REF!,#REF!/X$3)</f>
        <v>#REF!</v>
      </c>
      <c r="Y63" s="910">
        <f t="shared" si="16"/>
        <v>0</v>
      </c>
      <c r="Z63" s="15" t="e">
        <f t="shared" si="21"/>
        <v>#REF!</v>
      </c>
      <c r="AA63" s="242" t="e">
        <f t="shared" si="22"/>
        <v>#REF!</v>
      </c>
      <c r="AB63" s="104">
        <f>SUM('DPL24-Budget'!B63:$M63)</f>
        <v>39732</v>
      </c>
      <c r="AC63" s="929">
        <f t="shared" si="23"/>
        <v>4.0000000000000001E-3</v>
      </c>
      <c r="AD63" s="169" t="e">
        <f t="shared" si="25"/>
        <v>#REF!</v>
      </c>
      <c r="AE63" s="150"/>
    </row>
    <row r="64" spans="1:31" s="189" customFormat="1">
      <c r="A64" s="933" t="s">
        <v>606</v>
      </c>
      <c r="B64" s="14" t="e">
        <f>IF(B$3=0,#REF!,#REF!/B$3)</f>
        <v>#REF!</v>
      </c>
      <c r="C64" s="909" t="e">
        <f t="shared" si="24"/>
        <v>#REF!</v>
      </c>
      <c r="D64" s="14" t="e">
        <f>IF(D$3=0,#REF!,#REF!/D$3)</f>
        <v>#REF!</v>
      </c>
      <c r="E64" s="909">
        <f t="shared" si="6"/>
        <v>0</v>
      </c>
      <c r="F64" s="14" t="e">
        <f>IF(F$3=0,#REF!,#REF!/F$3)</f>
        <v>#REF!</v>
      </c>
      <c r="G64" s="909">
        <f t="shared" si="7"/>
        <v>0</v>
      </c>
      <c r="H64" s="14" t="e">
        <f>IF(H$3=0,#REF!,#REF!/H$3)</f>
        <v>#REF!</v>
      </c>
      <c r="I64" s="910">
        <f t="shared" si="8"/>
        <v>0</v>
      </c>
      <c r="J64" s="14" t="e">
        <f>IF(J$3=0,#REF!,#REF!/J$3)</f>
        <v>#REF!</v>
      </c>
      <c r="K64" s="907">
        <f t="shared" si="9"/>
        <v>0</v>
      </c>
      <c r="L64" s="14" t="e">
        <f>IF(L$3=0,#REF!,#REF!/L$3)</f>
        <v>#REF!</v>
      </c>
      <c r="M64" s="907">
        <f t="shared" si="10"/>
        <v>0</v>
      </c>
      <c r="N64" s="14" t="e">
        <f>IF(N$3=0,#REF!,#REF!/N$3)</f>
        <v>#REF!</v>
      </c>
      <c r="O64" s="907">
        <f t="shared" si="11"/>
        <v>0</v>
      </c>
      <c r="P64" s="14" t="e">
        <f>IF(P$3=0,#REF!,#REF!/P$3)</f>
        <v>#REF!</v>
      </c>
      <c r="Q64" s="907">
        <f t="shared" si="12"/>
        <v>0</v>
      </c>
      <c r="R64" s="14" t="e">
        <f>IF(R$3=0,#REF!,#REF!/R$3)</f>
        <v>#REF!</v>
      </c>
      <c r="S64" s="910">
        <f t="shared" si="13"/>
        <v>0</v>
      </c>
      <c r="T64" s="14" t="e">
        <f>IF(T$3=0,#REF!,#REF!/T$3)</f>
        <v>#REF!</v>
      </c>
      <c r="U64" s="910">
        <f t="shared" si="14"/>
        <v>0</v>
      </c>
      <c r="V64" s="14" t="e">
        <f>IF(V$3=0,#REF!,#REF!/V$3)</f>
        <v>#REF!</v>
      </c>
      <c r="W64" s="910">
        <f t="shared" si="15"/>
        <v>0</v>
      </c>
      <c r="X64" s="14" t="e">
        <f>IF(X$3=0,#REF!,#REF!/X$3)</f>
        <v>#REF!</v>
      </c>
      <c r="Y64" s="910">
        <f t="shared" si="16"/>
        <v>0</v>
      </c>
      <c r="Z64" s="15" t="e">
        <f t="shared" si="21"/>
        <v>#REF!</v>
      </c>
      <c r="AA64" s="938" t="e">
        <f t="shared" si="22"/>
        <v>#REF!</v>
      </c>
      <c r="AB64" s="104">
        <f>SUM('DPL24-Budget'!B64:$M64)</f>
        <v>0</v>
      </c>
      <c r="AC64" s="929">
        <f t="shared" si="23"/>
        <v>0</v>
      </c>
      <c r="AD64" s="934" t="e">
        <f t="shared" si="25"/>
        <v>#REF!</v>
      </c>
      <c r="AE64" s="188"/>
    </row>
    <row r="65" spans="1:31" s="189" customFormat="1">
      <c r="A65" s="187" t="s">
        <v>607</v>
      </c>
      <c r="B65" s="14" t="e">
        <f>IF(B$3=0,#REF!,#REF!/B$3)</f>
        <v>#REF!</v>
      </c>
      <c r="C65" s="909" t="e">
        <f t="shared" si="24"/>
        <v>#REF!</v>
      </c>
      <c r="D65" s="14" t="e">
        <f>IF(D$3=0,#REF!,#REF!/D$3)</f>
        <v>#REF!</v>
      </c>
      <c r="E65" s="909">
        <f t="shared" si="6"/>
        <v>0</v>
      </c>
      <c r="F65" s="14" t="e">
        <f>IF(F$3=0,#REF!,#REF!/F$3)</f>
        <v>#REF!</v>
      </c>
      <c r="G65" s="909">
        <f t="shared" si="7"/>
        <v>0</v>
      </c>
      <c r="H65" s="14" t="e">
        <f>IF(H$3=0,#REF!,#REF!/H$3)</f>
        <v>#REF!</v>
      </c>
      <c r="I65" s="910">
        <f t="shared" si="8"/>
        <v>0</v>
      </c>
      <c r="J65" s="14" t="e">
        <f>IF(J$3=0,#REF!,#REF!/J$3)</f>
        <v>#REF!</v>
      </c>
      <c r="K65" s="907">
        <f t="shared" si="9"/>
        <v>0</v>
      </c>
      <c r="L65" s="14" t="e">
        <f>IF(L$3=0,#REF!,#REF!/L$3)</f>
        <v>#REF!</v>
      </c>
      <c r="M65" s="907">
        <f t="shared" si="10"/>
        <v>0</v>
      </c>
      <c r="N65" s="14" t="e">
        <f>IF(N$3=0,#REF!,#REF!/N$3)</f>
        <v>#REF!</v>
      </c>
      <c r="O65" s="907">
        <f t="shared" si="11"/>
        <v>0</v>
      </c>
      <c r="P65" s="14" t="e">
        <f>IF(P$3=0,#REF!,#REF!/P$3)</f>
        <v>#REF!</v>
      </c>
      <c r="Q65" s="907">
        <f t="shared" si="12"/>
        <v>0</v>
      </c>
      <c r="R65" s="14" t="e">
        <f>IF(R$3=0,#REF!,#REF!/R$3)</f>
        <v>#REF!</v>
      </c>
      <c r="S65" s="910">
        <f t="shared" si="13"/>
        <v>0</v>
      </c>
      <c r="T65" s="14" t="e">
        <f>IF(T$3=0,#REF!,#REF!/T$3)</f>
        <v>#REF!</v>
      </c>
      <c r="U65" s="910">
        <f t="shared" si="14"/>
        <v>0</v>
      </c>
      <c r="V65" s="14" t="e">
        <f>IF(V$3=0,#REF!,#REF!/V$3)</f>
        <v>#REF!</v>
      </c>
      <c r="W65" s="910">
        <f t="shared" si="15"/>
        <v>0</v>
      </c>
      <c r="X65" s="14" t="e">
        <f>IF(X$3=0,#REF!,#REF!/X$3)</f>
        <v>#REF!</v>
      </c>
      <c r="Y65" s="910">
        <f t="shared" si="16"/>
        <v>0</v>
      </c>
      <c r="Z65" s="15" t="e">
        <f t="shared" si="21"/>
        <v>#REF!</v>
      </c>
      <c r="AA65" s="938" t="e">
        <f t="shared" si="22"/>
        <v>#REF!</v>
      </c>
      <c r="AB65" s="104">
        <f>SUM('DPL24-Budget'!B65:$M65)</f>
        <v>12451</v>
      </c>
      <c r="AC65" s="929">
        <f t="shared" si="23"/>
        <v>1.1999999999999999E-3</v>
      </c>
      <c r="AD65" s="934" t="e">
        <f t="shared" si="25"/>
        <v>#REF!</v>
      </c>
      <c r="AE65" s="188"/>
    </row>
    <row r="66" spans="1:31" s="4" customFormat="1">
      <c r="A66" s="757" t="s">
        <v>608</v>
      </c>
      <c r="B66" s="14" t="e">
        <f>IF(B$3=0,#REF!,#REF!/B$3)</f>
        <v>#REF!</v>
      </c>
      <c r="C66" s="909" t="e">
        <f t="shared" si="24"/>
        <v>#REF!</v>
      </c>
      <c r="D66" s="14" t="e">
        <f>IF(D$3=0,#REF!,#REF!/D$3)</f>
        <v>#REF!</v>
      </c>
      <c r="E66" s="909">
        <f t="shared" si="6"/>
        <v>0</v>
      </c>
      <c r="F66" s="14" t="e">
        <f>IF(F$3=0,#REF!,#REF!/F$3)</f>
        <v>#REF!</v>
      </c>
      <c r="G66" s="909">
        <f t="shared" si="7"/>
        <v>0</v>
      </c>
      <c r="H66" s="14" t="e">
        <f>IF(H$3=0,#REF!,#REF!/H$3)</f>
        <v>#REF!</v>
      </c>
      <c r="I66" s="910">
        <f t="shared" si="8"/>
        <v>0</v>
      </c>
      <c r="J66" s="14" t="e">
        <f>IF(J$3=0,#REF!,#REF!/J$3)</f>
        <v>#REF!</v>
      </c>
      <c r="K66" s="907">
        <f t="shared" si="9"/>
        <v>0</v>
      </c>
      <c r="L66" s="14" t="e">
        <f>IF(L$3=0,#REF!,#REF!/L$3)</f>
        <v>#REF!</v>
      </c>
      <c r="M66" s="907">
        <f t="shared" si="10"/>
        <v>0</v>
      </c>
      <c r="N66" s="14" t="e">
        <f>IF(N$3=0,#REF!,#REF!/N$3)</f>
        <v>#REF!</v>
      </c>
      <c r="O66" s="907">
        <f t="shared" si="11"/>
        <v>0</v>
      </c>
      <c r="P66" s="14" t="e">
        <f>IF(P$3=0,#REF!,#REF!/P$3)</f>
        <v>#REF!</v>
      </c>
      <c r="Q66" s="907">
        <f t="shared" si="12"/>
        <v>0</v>
      </c>
      <c r="R66" s="14" t="e">
        <f>IF(R$3=0,#REF!,#REF!/R$3)</f>
        <v>#REF!</v>
      </c>
      <c r="S66" s="910">
        <f t="shared" si="13"/>
        <v>0</v>
      </c>
      <c r="T66" s="14" t="e">
        <f>IF(T$3=0,#REF!,#REF!/T$3)</f>
        <v>#REF!</v>
      </c>
      <c r="U66" s="910">
        <f t="shared" si="14"/>
        <v>0</v>
      </c>
      <c r="V66" s="14" t="e">
        <f>IF(V$3=0,#REF!,#REF!/V$3)</f>
        <v>#REF!</v>
      </c>
      <c r="W66" s="910">
        <f t="shared" si="15"/>
        <v>0</v>
      </c>
      <c r="X66" s="14" t="e">
        <f>IF(X$3=0,#REF!,#REF!/X$3)</f>
        <v>#REF!</v>
      </c>
      <c r="Y66" s="910">
        <f t="shared" si="16"/>
        <v>0</v>
      </c>
      <c r="Z66" s="15" t="e">
        <f t="shared" si="21"/>
        <v>#REF!</v>
      </c>
      <c r="AA66" s="242" t="e">
        <f t="shared" si="22"/>
        <v>#REF!</v>
      </c>
      <c r="AB66" s="104">
        <f>SUM('DPL24-Budget'!B66:$M66)</f>
        <v>0</v>
      </c>
      <c r="AC66" s="929">
        <f t="shared" si="23"/>
        <v>0</v>
      </c>
      <c r="AD66" s="169" t="e">
        <f t="shared" si="25"/>
        <v>#REF!</v>
      </c>
      <c r="AE66" s="150"/>
    </row>
    <row r="67" spans="1:31" s="4" customFormat="1">
      <c r="A67" t="s">
        <v>609</v>
      </c>
      <c r="B67" s="14" t="e">
        <f>IF(B$3=0,#REF!,#REF!/B$3)</f>
        <v>#REF!</v>
      </c>
      <c r="C67" s="909" t="e">
        <f t="shared" si="24"/>
        <v>#REF!</v>
      </c>
      <c r="D67" s="14" t="e">
        <f>IF(D$3=0,#REF!,#REF!/D$3)</f>
        <v>#REF!</v>
      </c>
      <c r="E67" s="909">
        <f t="shared" si="6"/>
        <v>0</v>
      </c>
      <c r="F67" s="14" t="e">
        <f>IF(F$3=0,#REF!,#REF!/F$3)</f>
        <v>#REF!</v>
      </c>
      <c r="G67" s="909">
        <f t="shared" si="7"/>
        <v>0</v>
      </c>
      <c r="H67" s="14" t="e">
        <f>IF(H$3=0,#REF!,#REF!/H$3)</f>
        <v>#REF!</v>
      </c>
      <c r="I67" s="910">
        <f t="shared" si="8"/>
        <v>0</v>
      </c>
      <c r="J67" s="14" t="e">
        <f>IF(J$3=0,#REF!,#REF!/J$3)</f>
        <v>#REF!</v>
      </c>
      <c r="K67" s="907">
        <f t="shared" si="9"/>
        <v>0</v>
      </c>
      <c r="L67" s="14" t="e">
        <f>IF(L$3=0,#REF!,#REF!/L$3)</f>
        <v>#REF!</v>
      </c>
      <c r="M67" s="907">
        <f t="shared" si="10"/>
        <v>0</v>
      </c>
      <c r="N67" s="14" t="e">
        <f>IF(N$3=0,#REF!,#REF!/N$3)</f>
        <v>#REF!</v>
      </c>
      <c r="O67" s="907">
        <f t="shared" si="11"/>
        <v>0</v>
      </c>
      <c r="P67" s="14" t="e">
        <f>IF(P$3=0,#REF!,#REF!/P$3)</f>
        <v>#REF!</v>
      </c>
      <c r="Q67" s="907">
        <f t="shared" si="12"/>
        <v>0</v>
      </c>
      <c r="R67" s="14" t="e">
        <f>IF(R$3=0,#REF!,#REF!/R$3)</f>
        <v>#REF!</v>
      </c>
      <c r="S67" s="910">
        <f t="shared" si="13"/>
        <v>0</v>
      </c>
      <c r="T67" s="14" t="e">
        <f>IF(T$3=0,#REF!,#REF!/T$3)</f>
        <v>#REF!</v>
      </c>
      <c r="U67" s="910">
        <f t="shared" si="14"/>
        <v>0</v>
      </c>
      <c r="V67" s="14" t="e">
        <f>IF(V$3=0,#REF!,#REF!/V$3)</f>
        <v>#REF!</v>
      </c>
      <c r="W67" s="910">
        <f t="shared" si="15"/>
        <v>0</v>
      </c>
      <c r="X67" s="14" t="e">
        <f>IF(X$3=0,#REF!,#REF!/X$3)</f>
        <v>#REF!</v>
      </c>
      <c r="Y67" s="910">
        <f t="shared" si="16"/>
        <v>0</v>
      </c>
      <c r="Z67" s="15" t="e">
        <f t="shared" si="21"/>
        <v>#REF!</v>
      </c>
      <c r="AA67" s="242" t="e">
        <f t="shared" si="22"/>
        <v>#REF!</v>
      </c>
      <c r="AB67" s="104">
        <f>SUM('DPL24-Budget'!B67:$M67)</f>
        <v>46557</v>
      </c>
      <c r="AC67" s="929">
        <f t="shared" si="23"/>
        <v>4.7000000000000002E-3</v>
      </c>
      <c r="AD67" s="169" t="e">
        <f t="shared" si="25"/>
        <v>#REF!</v>
      </c>
      <c r="AE67" s="150"/>
    </row>
    <row r="68" spans="1:31" s="189" customFormat="1">
      <c r="A68" s="187" t="s">
        <v>610</v>
      </c>
      <c r="B68" s="14" t="e">
        <f>IF(B$3=0,#REF!,#REF!/B$3)</f>
        <v>#REF!</v>
      </c>
      <c r="C68" s="909" t="e">
        <f t="shared" si="24"/>
        <v>#REF!</v>
      </c>
      <c r="D68" s="14" t="e">
        <f>IF(D$3=0,#REF!,#REF!/D$3)</f>
        <v>#REF!</v>
      </c>
      <c r="E68" s="909">
        <f t="shared" si="6"/>
        <v>0</v>
      </c>
      <c r="F68" s="14" t="e">
        <f>IF(F$3=0,#REF!,#REF!/F$3)</f>
        <v>#REF!</v>
      </c>
      <c r="G68" s="909">
        <f t="shared" si="7"/>
        <v>0</v>
      </c>
      <c r="H68" s="14" t="e">
        <f>IF(H$3=0,#REF!,#REF!/H$3)</f>
        <v>#REF!</v>
      </c>
      <c r="I68" s="910">
        <f t="shared" si="8"/>
        <v>0</v>
      </c>
      <c r="J68" s="14" t="e">
        <f>IF(J$3=0,#REF!,#REF!/J$3)</f>
        <v>#REF!</v>
      </c>
      <c r="K68" s="907">
        <f t="shared" si="9"/>
        <v>0</v>
      </c>
      <c r="L68" s="14" t="e">
        <f>IF(L$3=0,#REF!,#REF!/L$3)</f>
        <v>#REF!</v>
      </c>
      <c r="M68" s="907">
        <f t="shared" si="10"/>
        <v>0</v>
      </c>
      <c r="N68" s="14" t="e">
        <f>IF(N$3=0,#REF!,#REF!/N$3)</f>
        <v>#REF!</v>
      </c>
      <c r="O68" s="907">
        <f t="shared" si="11"/>
        <v>0</v>
      </c>
      <c r="P68" s="14" t="e">
        <f>IF(P$3=0,#REF!,#REF!/P$3)</f>
        <v>#REF!</v>
      </c>
      <c r="Q68" s="907">
        <f t="shared" si="12"/>
        <v>0</v>
      </c>
      <c r="R68" s="14" t="e">
        <f>IF(R$3=0,#REF!,#REF!/R$3)</f>
        <v>#REF!</v>
      </c>
      <c r="S68" s="910">
        <f t="shared" si="13"/>
        <v>0</v>
      </c>
      <c r="T68" s="14" t="e">
        <f>IF(T$3=0,#REF!,#REF!/T$3)</f>
        <v>#REF!</v>
      </c>
      <c r="U68" s="910">
        <f t="shared" si="14"/>
        <v>0</v>
      </c>
      <c r="V68" s="14" t="e">
        <f>IF(V$3=0,#REF!,#REF!/V$3)</f>
        <v>#REF!</v>
      </c>
      <c r="W68" s="910">
        <f t="shared" si="15"/>
        <v>0</v>
      </c>
      <c r="X68" s="14" t="e">
        <f>IF(X$3=0,#REF!,#REF!/X$3)</f>
        <v>#REF!</v>
      </c>
      <c r="Y68" s="910">
        <f t="shared" si="16"/>
        <v>0</v>
      </c>
      <c r="Z68" s="15" t="e">
        <f t="shared" si="21"/>
        <v>#REF!</v>
      </c>
      <c r="AA68" s="938" t="e">
        <f t="shared" si="22"/>
        <v>#REF!</v>
      </c>
      <c r="AB68" s="104">
        <f>SUM('DPL24-Budget'!B68:$M68)</f>
        <v>0</v>
      </c>
      <c r="AC68" s="929">
        <f t="shared" si="23"/>
        <v>0</v>
      </c>
      <c r="AD68" s="934" t="e">
        <f t="shared" si="25"/>
        <v>#REF!</v>
      </c>
      <c r="AE68" s="188"/>
    </row>
    <row r="69" spans="1:31" s="4" customFormat="1">
      <c r="A69" s="757" t="s">
        <v>611</v>
      </c>
      <c r="B69" s="14" t="e">
        <f>IF(B$3=0,#REF!,#REF!/B$3)</f>
        <v>#REF!</v>
      </c>
      <c r="C69" s="909" t="e">
        <f t="shared" si="24"/>
        <v>#REF!</v>
      </c>
      <c r="D69" s="14" t="e">
        <f>IF(D$3=0,#REF!,#REF!/D$3)</f>
        <v>#REF!</v>
      </c>
      <c r="E69" s="909">
        <f t="shared" si="6"/>
        <v>0</v>
      </c>
      <c r="F69" s="14" t="e">
        <f>IF(F$3=0,#REF!,#REF!/F$3)</f>
        <v>#REF!</v>
      </c>
      <c r="G69" s="909">
        <f t="shared" si="7"/>
        <v>0</v>
      </c>
      <c r="H69" s="14" t="e">
        <f>IF(H$3=0,#REF!,#REF!/H$3)</f>
        <v>#REF!</v>
      </c>
      <c r="I69" s="910">
        <f t="shared" si="8"/>
        <v>0</v>
      </c>
      <c r="J69" s="14" t="e">
        <f>IF(J$3=0,#REF!,#REF!/J$3)</f>
        <v>#REF!</v>
      </c>
      <c r="K69" s="907">
        <f t="shared" si="9"/>
        <v>0</v>
      </c>
      <c r="L69" s="14" t="e">
        <f>IF(L$3=0,#REF!,#REF!/L$3)</f>
        <v>#REF!</v>
      </c>
      <c r="M69" s="907">
        <f t="shared" si="10"/>
        <v>0</v>
      </c>
      <c r="N69" s="14" t="e">
        <f>IF(N$3=0,#REF!,#REF!/N$3)</f>
        <v>#REF!</v>
      </c>
      <c r="O69" s="907">
        <f t="shared" si="11"/>
        <v>0</v>
      </c>
      <c r="P69" s="14" t="e">
        <f>IF(P$3=0,#REF!,#REF!/P$3)</f>
        <v>#REF!</v>
      </c>
      <c r="Q69" s="907">
        <f t="shared" si="12"/>
        <v>0</v>
      </c>
      <c r="R69" s="14" t="e">
        <f>IF(R$3=0,#REF!,#REF!/R$3)</f>
        <v>#REF!</v>
      </c>
      <c r="S69" s="910">
        <f t="shared" si="13"/>
        <v>0</v>
      </c>
      <c r="T69" s="14" t="e">
        <f>IF(T$3=0,#REF!,#REF!/T$3)</f>
        <v>#REF!</v>
      </c>
      <c r="U69" s="910">
        <f t="shared" si="14"/>
        <v>0</v>
      </c>
      <c r="V69" s="14" t="e">
        <f>IF(V$3=0,#REF!,#REF!/V$3)</f>
        <v>#REF!</v>
      </c>
      <c r="W69" s="910">
        <f t="shared" si="15"/>
        <v>0</v>
      </c>
      <c r="X69" s="14" t="e">
        <f>IF(X$3=0,#REF!,#REF!/X$3)</f>
        <v>#REF!</v>
      </c>
      <c r="Y69" s="910">
        <f t="shared" si="16"/>
        <v>0</v>
      </c>
      <c r="Z69" s="15" t="e">
        <f t="shared" si="21"/>
        <v>#REF!</v>
      </c>
      <c r="AA69" s="242" t="e">
        <f t="shared" si="22"/>
        <v>#REF!</v>
      </c>
      <c r="AB69" s="104">
        <f>SUM('DPL24-Budget'!B69:$M69)</f>
        <v>20298</v>
      </c>
      <c r="AC69" s="929">
        <f t="shared" si="23"/>
        <v>2E-3</v>
      </c>
      <c r="AD69" s="169" t="e">
        <f t="shared" si="25"/>
        <v>#REF!</v>
      </c>
      <c r="AE69" s="150"/>
    </row>
    <row r="70" spans="1:31" s="4" customFormat="1">
      <c r="A70" s="933" t="s">
        <v>612</v>
      </c>
      <c r="B70" s="14" t="e">
        <f>IF(B$3=0,#REF!,#REF!/B$3)</f>
        <v>#REF!</v>
      </c>
      <c r="C70" s="909" t="e">
        <f t="shared" si="24"/>
        <v>#REF!</v>
      </c>
      <c r="D70" s="14" t="e">
        <f>IF(D$3=0,#REF!,#REF!/D$3)</f>
        <v>#REF!</v>
      </c>
      <c r="E70" s="909">
        <f t="shared" si="6"/>
        <v>0</v>
      </c>
      <c r="F70" s="14" t="e">
        <f>IF(F$3=0,#REF!,#REF!/F$3)</f>
        <v>#REF!</v>
      </c>
      <c r="G70" s="909">
        <f t="shared" si="7"/>
        <v>0</v>
      </c>
      <c r="H70" s="14" t="e">
        <f>IF(H$3=0,#REF!,#REF!/H$3)</f>
        <v>#REF!</v>
      </c>
      <c r="I70" s="910">
        <f t="shared" si="8"/>
        <v>0</v>
      </c>
      <c r="J70" s="14" t="e">
        <f>IF(J$3=0,#REF!,#REF!/J$3)</f>
        <v>#REF!</v>
      </c>
      <c r="K70" s="907">
        <f t="shared" si="9"/>
        <v>0</v>
      </c>
      <c r="L70" s="14" t="e">
        <f>IF(L$3=0,#REF!,#REF!/L$3)</f>
        <v>#REF!</v>
      </c>
      <c r="M70" s="907">
        <f t="shared" si="10"/>
        <v>0</v>
      </c>
      <c r="N70" s="14" t="e">
        <f>IF(N$3=0,#REF!,#REF!/N$3)</f>
        <v>#REF!</v>
      </c>
      <c r="O70" s="907">
        <f t="shared" si="11"/>
        <v>0</v>
      </c>
      <c r="P70" s="14" t="e">
        <f>IF(P$3=0,#REF!,#REF!/P$3)</f>
        <v>#REF!</v>
      </c>
      <c r="Q70" s="907">
        <f t="shared" si="12"/>
        <v>0</v>
      </c>
      <c r="R70" s="14" t="e">
        <f>IF(R$3=0,#REF!,#REF!/R$3)</f>
        <v>#REF!</v>
      </c>
      <c r="S70" s="910">
        <f t="shared" si="13"/>
        <v>0</v>
      </c>
      <c r="T70" s="14" t="e">
        <f>IF(T$3=0,#REF!,#REF!/T$3)</f>
        <v>#REF!</v>
      </c>
      <c r="U70" s="910">
        <f t="shared" si="14"/>
        <v>0</v>
      </c>
      <c r="V70" s="14" t="e">
        <f>IF(V$3=0,#REF!,#REF!/V$3)</f>
        <v>#REF!</v>
      </c>
      <c r="W70" s="910">
        <f t="shared" si="15"/>
        <v>0</v>
      </c>
      <c r="X70" s="14" t="e">
        <f>IF(X$3=0,#REF!,#REF!/X$3)</f>
        <v>#REF!</v>
      </c>
      <c r="Y70" s="910">
        <f t="shared" si="16"/>
        <v>0</v>
      </c>
      <c r="Z70" s="15" t="e">
        <f t="shared" si="21"/>
        <v>#REF!</v>
      </c>
      <c r="AA70" s="242" t="e">
        <f t="shared" si="22"/>
        <v>#REF!</v>
      </c>
      <c r="AB70" s="104">
        <f>SUM('DPL24-Budget'!B70:$M70)</f>
        <v>43314</v>
      </c>
      <c r="AC70" s="929">
        <f t="shared" si="23"/>
        <v>4.3E-3</v>
      </c>
      <c r="AD70" s="169" t="e">
        <f t="shared" si="25"/>
        <v>#REF!</v>
      </c>
      <c r="AE70" s="150"/>
    </row>
    <row r="71" spans="1:31">
      <c r="A71" s="757"/>
      <c r="B71" s="14"/>
      <c r="C71" s="909" t="e">
        <f t="shared" si="24"/>
        <v>#REF!</v>
      </c>
      <c r="D71" s="14"/>
      <c r="E71" s="909">
        <f t="shared" si="6"/>
        <v>0</v>
      </c>
      <c r="F71" s="14"/>
      <c r="G71" s="909">
        <f t="shared" si="7"/>
        <v>0</v>
      </c>
      <c r="H71" s="14"/>
      <c r="I71" s="910">
        <f t="shared" si="8"/>
        <v>0</v>
      </c>
      <c r="J71" s="14"/>
      <c r="K71" s="907">
        <f t="shared" si="9"/>
        <v>0</v>
      </c>
      <c r="L71" s="14"/>
      <c r="M71" s="907">
        <f t="shared" si="10"/>
        <v>0</v>
      </c>
      <c r="N71" s="14"/>
      <c r="O71" s="907">
        <f t="shared" si="11"/>
        <v>0</v>
      </c>
      <c r="P71" s="14"/>
      <c r="Q71" s="907">
        <f t="shared" si="12"/>
        <v>0</v>
      </c>
      <c r="R71" s="14"/>
      <c r="S71" s="910">
        <f t="shared" si="13"/>
        <v>0</v>
      </c>
      <c r="T71" s="14"/>
      <c r="U71" s="910">
        <f t="shared" si="14"/>
        <v>0</v>
      </c>
      <c r="V71" s="14"/>
      <c r="W71" s="910">
        <f t="shared" si="15"/>
        <v>0</v>
      </c>
      <c r="X71" s="14"/>
      <c r="Y71" s="910">
        <f t="shared" si="16"/>
        <v>0</v>
      </c>
      <c r="Z71" s="15">
        <v>0</v>
      </c>
      <c r="AA71" s="242"/>
      <c r="AB71" s="104"/>
      <c r="AC71" s="929">
        <f t="shared" si="23"/>
        <v>0</v>
      </c>
      <c r="AD71" s="169">
        <f t="shared" si="25"/>
        <v>0</v>
      </c>
      <c r="AE71" s="149"/>
    </row>
    <row r="72" spans="1:31" ht="13.5" thickBot="1">
      <c r="A72" s="6" t="s">
        <v>613</v>
      </c>
      <c r="B72" s="38" t="e">
        <f t="shared" ref="B72:X72" si="26">SUM(B53:B71)</f>
        <v>#REF!</v>
      </c>
      <c r="C72" s="909" t="e">
        <f t="shared" si="24"/>
        <v>#REF!</v>
      </c>
      <c r="D72" s="38" t="e">
        <f t="shared" si="26"/>
        <v>#REF!</v>
      </c>
      <c r="E72" s="909">
        <f t="shared" si="6"/>
        <v>0</v>
      </c>
      <c r="F72" s="38" t="e">
        <f t="shared" si="26"/>
        <v>#REF!</v>
      </c>
      <c r="G72" s="909">
        <f t="shared" si="7"/>
        <v>0</v>
      </c>
      <c r="H72" s="38" t="e">
        <f t="shared" si="26"/>
        <v>#REF!</v>
      </c>
      <c r="I72" s="910">
        <f t="shared" si="8"/>
        <v>0</v>
      </c>
      <c r="J72" s="38" t="e">
        <f t="shared" si="26"/>
        <v>#REF!</v>
      </c>
      <c r="K72" s="907">
        <f t="shared" si="9"/>
        <v>0</v>
      </c>
      <c r="L72" s="38" t="e">
        <f t="shared" si="26"/>
        <v>#REF!</v>
      </c>
      <c r="M72" s="907">
        <f t="shared" si="10"/>
        <v>0</v>
      </c>
      <c r="N72" s="38" t="e">
        <f t="shared" si="26"/>
        <v>#REF!</v>
      </c>
      <c r="O72" s="907">
        <f t="shared" si="11"/>
        <v>0</v>
      </c>
      <c r="P72" s="38" t="e">
        <f t="shared" si="26"/>
        <v>#REF!</v>
      </c>
      <c r="Q72" s="907">
        <f t="shared" si="12"/>
        <v>0</v>
      </c>
      <c r="R72" s="38" t="e">
        <f t="shared" si="26"/>
        <v>#REF!</v>
      </c>
      <c r="S72" s="910">
        <f t="shared" si="13"/>
        <v>0</v>
      </c>
      <c r="T72" s="38" t="e">
        <f t="shared" si="26"/>
        <v>#REF!</v>
      </c>
      <c r="U72" s="910">
        <f t="shared" si="14"/>
        <v>0</v>
      </c>
      <c r="V72" s="38" t="e">
        <f t="shared" si="26"/>
        <v>#REF!</v>
      </c>
      <c r="W72" s="910">
        <f t="shared" si="15"/>
        <v>0</v>
      </c>
      <c r="X72" s="38" t="e">
        <f t="shared" si="26"/>
        <v>#REF!</v>
      </c>
      <c r="Y72" s="910">
        <f t="shared" si="16"/>
        <v>0</v>
      </c>
      <c r="Z72" s="16" t="e">
        <f>SUM(Z52:Z71)</f>
        <v>#REF!</v>
      </c>
      <c r="AA72" s="242" t="e">
        <f t="shared" si="22"/>
        <v>#REF!</v>
      </c>
      <c r="AB72" s="107">
        <f>SUM(AB53:AB71)</f>
        <v>832537</v>
      </c>
      <c r="AC72" s="929">
        <f t="shared" si="23"/>
        <v>8.3199999999999996E-2</v>
      </c>
      <c r="AD72" s="169" t="e">
        <f t="shared" si="25"/>
        <v>#REF!</v>
      </c>
    </row>
    <row r="73" spans="1:31" ht="13.5" thickTop="1">
      <c r="A73" s="6"/>
      <c r="B73" s="14"/>
      <c r="C73" s="902"/>
      <c r="D73" s="14"/>
      <c r="E73" s="909">
        <f t="shared" si="6"/>
        <v>0</v>
      </c>
      <c r="F73" s="14"/>
      <c r="G73" s="909">
        <f t="shared" si="7"/>
        <v>0</v>
      </c>
      <c r="H73" s="14"/>
      <c r="I73" s="910">
        <f t="shared" si="8"/>
        <v>0</v>
      </c>
      <c r="J73" s="14"/>
      <c r="K73" s="907">
        <f t="shared" si="9"/>
        <v>0</v>
      </c>
      <c r="L73" s="14"/>
      <c r="M73" s="907">
        <f t="shared" si="10"/>
        <v>0</v>
      </c>
      <c r="N73" s="14"/>
      <c r="O73" s="907">
        <f t="shared" si="11"/>
        <v>0</v>
      </c>
      <c r="P73" s="14"/>
      <c r="Q73" s="907">
        <f t="shared" si="12"/>
        <v>0</v>
      </c>
      <c r="R73" s="14"/>
      <c r="S73" s="910">
        <f t="shared" si="13"/>
        <v>0</v>
      </c>
      <c r="T73" s="14"/>
      <c r="U73" s="910">
        <f t="shared" si="14"/>
        <v>0</v>
      </c>
      <c r="V73" s="14"/>
      <c r="W73" s="910">
        <f t="shared" si="15"/>
        <v>0</v>
      </c>
      <c r="X73" s="14"/>
      <c r="Y73" s="910">
        <f t="shared" si="16"/>
        <v>0</v>
      </c>
      <c r="Z73" s="15"/>
      <c r="AB73" s="104"/>
      <c r="AC73" s="104"/>
      <c r="AD73" s="169">
        <f t="shared" si="25"/>
        <v>0</v>
      </c>
      <c r="AE73" s="149"/>
    </row>
    <row r="74" spans="1:31">
      <c r="A74" s="757"/>
      <c r="B74" s="13"/>
      <c r="C74" s="249"/>
      <c r="D74" s="13"/>
      <c r="E74" s="909">
        <f t="shared" si="6"/>
        <v>0</v>
      </c>
      <c r="F74" s="528" t="e">
        <f>+F72/F13</f>
        <v>#REF!</v>
      </c>
      <c r="G74" s="909">
        <f t="shared" si="7"/>
        <v>0</v>
      </c>
      <c r="H74" s="13"/>
      <c r="I74" s="910">
        <f t="shared" si="8"/>
        <v>0</v>
      </c>
      <c r="J74" s="13"/>
      <c r="K74" s="907">
        <f t="shared" si="9"/>
        <v>0</v>
      </c>
      <c r="L74" s="13"/>
      <c r="M74" s="907">
        <f t="shared" si="10"/>
        <v>0</v>
      </c>
      <c r="N74" s="13"/>
      <c r="O74" s="907">
        <f t="shared" si="11"/>
        <v>0</v>
      </c>
      <c r="P74" s="13"/>
      <c r="Q74" s="907">
        <f t="shared" si="12"/>
        <v>0</v>
      </c>
      <c r="R74" s="13"/>
      <c r="S74" s="910">
        <f t="shared" si="13"/>
        <v>0</v>
      </c>
      <c r="T74" s="13"/>
      <c r="U74" s="910">
        <f t="shared" si="14"/>
        <v>0</v>
      </c>
      <c r="V74" s="13"/>
      <c r="W74" s="910">
        <f t="shared" si="15"/>
        <v>0</v>
      </c>
      <c r="X74" s="13"/>
      <c r="Y74" s="910">
        <f t="shared" si="16"/>
        <v>0</v>
      </c>
      <c r="Z74" s="13"/>
      <c r="AB74" s="104"/>
      <c r="AC74" s="104"/>
      <c r="AD74" s="169">
        <f t="shared" si="25"/>
        <v>0</v>
      </c>
      <c r="AE74" s="149"/>
    </row>
    <row r="75" spans="1:31">
      <c r="A75" s="6" t="s">
        <v>411</v>
      </c>
      <c r="B75" s="2"/>
      <c r="C75" s="901"/>
      <c r="D75" s="2"/>
      <c r="E75" s="909">
        <f t="shared" si="6"/>
        <v>0</v>
      </c>
      <c r="F75" s="2"/>
      <c r="G75" s="909">
        <f t="shared" si="7"/>
        <v>0</v>
      </c>
      <c r="H75" s="2"/>
      <c r="I75" s="910">
        <f t="shared" si="8"/>
        <v>0</v>
      </c>
      <c r="J75" s="2"/>
      <c r="K75" s="907">
        <f t="shared" si="9"/>
        <v>0</v>
      </c>
      <c r="L75" s="2"/>
      <c r="M75" s="907">
        <f t="shared" si="10"/>
        <v>0</v>
      </c>
      <c r="N75" s="2"/>
      <c r="O75" s="907">
        <f t="shared" si="11"/>
        <v>0</v>
      </c>
      <c r="P75" s="2"/>
      <c r="Q75" s="907">
        <f t="shared" si="12"/>
        <v>0</v>
      </c>
      <c r="R75" s="2"/>
      <c r="S75" s="910">
        <f t="shared" si="13"/>
        <v>0</v>
      </c>
      <c r="T75" s="2"/>
      <c r="U75" s="910">
        <f t="shared" si="14"/>
        <v>0</v>
      </c>
      <c r="V75" s="2"/>
      <c r="W75" s="910">
        <f t="shared" si="15"/>
        <v>0</v>
      </c>
      <c r="X75" s="2"/>
      <c r="Y75" s="910">
        <f t="shared" si="16"/>
        <v>0</v>
      </c>
      <c r="Z75" s="7"/>
      <c r="AB75" s="104"/>
      <c r="AC75" s="104"/>
      <c r="AD75" s="169">
        <f t="shared" si="25"/>
        <v>0</v>
      </c>
      <c r="AE75" s="149"/>
    </row>
    <row r="76" spans="1:31" s="4" customFormat="1">
      <c r="A76" s="757" t="s">
        <v>614</v>
      </c>
      <c r="B76" s="14" t="e">
        <f>IF(B$3=0,#REF!,#REF!/B$3)</f>
        <v>#REF!</v>
      </c>
      <c r="C76" s="909" t="e">
        <f t="shared" ref="C76:C85" si="27">+B76/$B$13</f>
        <v>#REF!</v>
      </c>
      <c r="D76" s="14" t="e">
        <f>IF(D$3=0,#REF!,#REF!/D$3)</f>
        <v>#REF!</v>
      </c>
      <c r="E76" s="909">
        <f t="shared" si="6"/>
        <v>0</v>
      </c>
      <c r="F76" s="14" t="e">
        <f>IF(F$3=0,#REF!,#REF!/F$3)</f>
        <v>#REF!</v>
      </c>
      <c r="G76" s="909">
        <f t="shared" si="7"/>
        <v>0</v>
      </c>
      <c r="H76" s="14" t="e">
        <f>IF(H$3=0,#REF!,#REF!/H$3)</f>
        <v>#REF!</v>
      </c>
      <c r="I76" s="910">
        <f t="shared" si="8"/>
        <v>0</v>
      </c>
      <c r="J76" s="14" t="e">
        <f>IF(J$3=0,#REF!,#REF!/J$3)</f>
        <v>#REF!</v>
      </c>
      <c r="K76" s="907">
        <f t="shared" si="9"/>
        <v>0</v>
      </c>
      <c r="L76" s="14" t="e">
        <f>IF(L$3=0,#REF!,#REF!/L$3)</f>
        <v>#REF!</v>
      </c>
      <c r="M76" s="907">
        <f t="shared" si="10"/>
        <v>0</v>
      </c>
      <c r="N76" s="14" t="e">
        <f>IF(N$3=0,#REF!,#REF!/N$3)</f>
        <v>#REF!</v>
      </c>
      <c r="O76" s="907">
        <f t="shared" si="11"/>
        <v>0</v>
      </c>
      <c r="P76" s="14" t="e">
        <f>IF(P$3=0,#REF!,#REF!/P$3)</f>
        <v>#REF!</v>
      </c>
      <c r="Q76" s="907">
        <f t="shared" si="12"/>
        <v>0</v>
      </c>
      <c r="R76" s="14" t="e">
        <f>IF(R$3=0,#REF!,#REF!/R$3)</f>
        <v>#REF!</v>
      </c>
      <c r="S76" s="910">
        <f t="shared" si="13"/>
        <v>0</v>
      </c>
      <c r="T76" s="14" t="e">
        <f>IF(T$3=0,#REF!,#REF!/T$3)</f>
        <v>#REF!</v>
      </c>
      <c r="U76" s="910">
        <f t="shared" si="14"/>
        <v>0</v>
      </c>
      <c r="V76" s="14" t="e">
        <f>IF(V$3=0,#REF!,#REF!/V$3)</f>
        <v>#REF!</v>
      </c>
      <c r="W76" s="910">
        <f t="shared" si="15"/>
        <v>0</v>
      </c>
      <c r="X76" s="14" t="e">
        <f>IF(X$3=0,#REF!,#REF!/X$3)</f>
        <v>#REF!</v>
      </c>
      <c r="Y76" s="910">
        <f t="shared" si="16"/>
        <v>0</v>
      </c>
      <c r="Z76" s="15" t="e">
        <f t="shared" ref="Z76:Z83" si="28">+B76+D76+F76+H76+J76+L76+N76+P76+R76+T76+V76+X76</f>
        <v>#REF!</v>
      </c>
      <c r="AA76" s="242" t="e">
        <f t="shared" ref="AA76:AA89" si="29">+Z76/$Z$13</f>
        <v>#REF!</v>
      </c>
      <c r="AB76" s="104">
        <f>SUM('DPL24-Budget'!B76:$M76)</f>
        <v>-2093</v>
      </c>
      <c r="AC76" s="929">
        <f t="shared" ref="AC76:AC83" si="30">+AB76/$AB$13</f>
        <v>-2.0000000000000001E-4</v>
      </c>
      <c r="AD76" s="169" t="e">
        <f t="shared" si="25"/>
        <v>#REF!</v>
      </c>
      <c r="AE76" s="150"/>
    </row>
    <row r="77" spans="1:31" s="4" customFormat="1">
      <c r="A77" s="757" t="s">
        <v>615</v>
      </c>
      <c r="B77" s="14" t="e">
        <f>IF(B$3=0,#REF!,#REF!/B$3)</f>
        <v>#REF!</v>
      </c>
      <c r="C77" s="909" t="e">
        <f t="shared" si="27"/>
        <v>#REF!</v>
      </c>
      <c r="D77" s="14" t="e">
        <f>IF(D$3=0,#REF!,#REF!/D$3)</f>
        <v>#REF!</v>
      </c>
      <c r="E77" s="909">
        <f t="shared" si="6"/>
        <v>0</v>
      </c>
      <c r="F77" s="14" t="e">
        <f>IF(F$3=0,#REF!,#REF!/F$3)</f>
        <v>#REF!</v>
      </c>
      <c r="G77" s="909">
        <f t="shared" si="7"/>
        <v>0</v>
      </c>
      <c r="H77" s="14" t="e">
        <f>IF(H$3=0,#REF!,#REF!/H$3)</f>
        <v>#REF!</v>
      </c>
      <c r="I77" s="910">
        <f t="shared" si="8"/>
        <v>0</v>
      </c>
      <c r="J77" s="14" t="e">
        <f>IF(J$3=0,#REF!,#REF!/J$3)</f>
        <v>#REF!</v>
      </c>
      <c r="K77" s="907">
        <f t="shared" si="9"/>
        <v>0</v>
      </c>
      <c r="L77" s="14" t="e">
        <f>IF(L$3=0,#REF!,#REF!/L$3)</f>
        <v>#REF!</v>
      </c>
      <c r="M77" s="907">
        <f t="shared" si="10"/>
        <v>0</v>
      </c>
      <c r="N77" s="14" t="e">
        <f>IF(N$3=0,#REF!,#REF!/N$3)</f>
        <v>#REF!</v>
      </c>
      <c r="O77" s="907">
        <f t="shared" si="11"/>
        <v>0</v>
      </c>
      <c r="P77" s="14" t="e">
        <f>IF(P$3=0,#REF!,#REF!/P$3)</f>
        <v>#REF!</v>
      </c>
      <c r="Q77" s="907">
        <f t="shared" si="12"/>
        <v>0</v>
      </c>
      <c r="R77" s="14" t="e">
        <f>IF(R$3=0,#REF!,#REF!/R$3)</f>
        <v>#REF!</v>
      </c>
      <c r="S77" s="910">
        <f t="shared" si="13"/>
        <v>0</v>
      </c>
      <c r="T77" s="14" t="e">
        <f>IF(T$3=0,#REF!,#REF!/T$3)</f>
        <v>#REF!</v>
      </c>
      <c r="U77" s="910">
        <f t="shared" si="14"/>
        <v>0</v>
      </c>
      <c r="V77" s="14" t="e">
        <f>IF(V$3=0,#REF!,#REF!/V$3)</f>
        <v>#REF!</v>
      </c>
      <c r="W77" s="910">
        <f t="shared" si="15"/>
        <v>0</v>
      </c>
      <c r="X77" s="14" t="e">
        <f>IF(X$3=0,#REF!,#REF!/X$3)</f>
        <v>#REF!</v>
      </c>
      <c r="Y77" s="910">
        <f t="shared" si="16"/>
        <v>0</v>
      </c>
      <c r="Z77" s="15" t="e">
        <f t="shared" si="28"/>
        <v>#REF!</v>
      </c>
      <c r="AA77" s="242" t="e">
        <f t="shared" si="29"/>
        <v>#REF!</v>
      </c>
      <c r="AB77" s="104">
        <f>SUM('DPL24-Budget'!B77:$M77)</f>
        <v>0</v>
      </c>
      <c r="AC77" s="929">
        <f t="shared" si="30"/>
        <v>0</v>
      </c>
      <c r="AD77" s="169" t="e">
        <f t="shared" si="25"/>
        <v>#REF!</v>
      </c>
      <c r="AE77" s="150"/>
    </row>
    <row r="78" spans="1:31" s="4" customFormat="1">
      <c r="A78" s="757" t="s">
        <v>72</v>
      </c>
      <c r="B78" s="14" t="e">
        <f>IF(B$3=0,#REF!,#REF!/B$3)</f>
        <v>#REF!</v>
      </c>
      <c r="C78" s="909" t="e">
        <f t="shared" si="27"/>
        <v>#REF!</v>
      </c>
      <c r="D78" s="14" t="e">
        <f>IF(D$3=0,#REF!,#REF!/D$3)</f>
        <v>#REF!</v>
      </c>
      <c r="E78" s="909">
        <f t="shared" si="6"/>
        <v>0</v>
      </c>
      <c r="F78" s="14" t="e">
        <f>IF(F$3=0,#REF!,#REF!/F$3)</f>
        <v>#REF!</v>
      </c>
      <c r="G78" s="909">
        <f t="shared" si="7"/>
        <v>0</v>
      </c>
      <c r="H78" s="14" t="e">
        <f>IF(H$3=0,#REF!,#REF!/H$3)</f>
        <v>#REF!</v>
      </c>
      <c r="I78" s="910">
        <f t="shared" si="8"/>
        <v>0</v>
      </c>
      <c r="J78" s="14" t="e">
        <f>IF(J$3=0,#REF!,#REF!/J$3)</f>
        <v>#REF!</v>
      </c>
      <c r="K78" s="907">
        <f t="shared" si="9"/>
        <v>0</v>
      </c>
      <c r="L78" s="14" t="e">
        <f>IF(L$3=0,#REF!,#REF!/L$3)</f>
        <v>#REF!</v>
      </c>
      <c r="M78" s="907">
        <f t="shared" si="10"/>
        <v>0</v>
      </c>
      <c r="N78" s="14" t="e">
        <f>IF(N$3=0,#REF!,#REF!/N$3)</f>
        <v>#REF!</v>
      </c>
      <c r="O78" s="907">
        <f t="shared" si="11"/>
        <v>0</v>
      </c>
      <c r="P78" s="14" t="e">
        <f>IF(P$3=0,#REF!,#REF!/P$3)</f>
        <v>#REF!</v>
      </c>
      <c r="Q78" s="907">
        <f t="shared" si="12"/>
        <v>0</v>
      </c>
      <c r="R78" s="14" t="e">
        <f>IF(R$3=0,#REF!,#REF!/R$3)</f>
        <v>#REF!</v>
      </c>
      <c r="S78" s="910">
        <f t="shared" si="13"/>
        <v>0</v>
      </c>
      <c r="T78" s="14" t="e">
        <f>IF(T$3=0,#REF!,#REF!/T$3)</f>
        <v>#REF!</v>
      </c>
      <c r="U78" s="910">
        <f t="shared" si="14"/>
        <v>0</v>
      </c>
      <c r="V78" s="14" t="e">
        <f>IF(V$3=0,#REF!,#REF!/V$3)</f>
        <v>#REF!</v>
      </c>
      <c r="W78" s="910">
        <f t="shared" si="15"/>
        <v>0</v>
      </c>
      <c r="X78" s="14" t="e">
        <f>IF(X$3=0,#REF!,#REF!/X$3)</f>
        <v>#REF!</v>
      </c>
      <c r="Y78" s="910">
        <f t="shared" si="16"/>
        <v>0</v>
      </c>
      <c r="Z78" s="15" t="e">
        <f t="shared" si="28"/>
        <v>#REF!</v>
      </c>
      <c r="AA78" s="242" t="e">
        <f t="shared" si="29"/>
        <v>#REF!</v>
      </c>
      <c r="AB78" s="104">
        <f>SUM('DPL24-Budget'!B78:$M78)</f>
        <v>87867</v>
      </c>
      <c r="AC78" s="929">
        <f t="shared" si="30"/>
        <v>8.8000000000000005E-3</v>
      </c>
      <c r="AD78" s="169" t="e">
        <f t="shared" si="25"/>
        <v>#REF!</v>
      </c>
      <c r="AE78" s="150"/>
    </row>
    <row r="79" spans="1:31" s="4" customFormat="1">
      <c r="A79" s="757" t="s">
        <v>616</v>
      </c>
      <c r="B79" s="14" t="e">
        <f>IF(B$3=0,#REF!,#REF!/B$3)</f>
        <v>#REF!</v>
      </c>
      <c r="C79" s="909" t="e">
        <f t="shared" si="27"/>
        <v>#REF!</v>
      </c>
      <c r="D79" s="14" t="e">
        <f>IF(D$3=0,#REF!,#REF!/D$3)</f>
        <v>#REF!</v>
      </c>
      <c r="E79" s="909">
        <f t="shared" si="6"/>
        <v>0</v>
      </c>
      <c r="F79" s="14" t="e">
        <f>IF(F$3=0,#REF!,#REF!/F$3)</f>
        <v>#REF!</v>
      </c>
      <c r="G79" s="909">
        <f t="shared" si="7"/>
        <v>0</v>
      </c>
      <c r="H79" s="14" t="e">
        <f>IF(H$3=0,#REF!,#REF!/H$3)</f>
        <v>#REF!</v>
      </c>
      <c r="I79" s="910">
        <f t="shared" si="8"/>
        <v>0</v>
      </c>
      <c r="J79" s="14" t="e">
        <f>IF(J$3=0,#REF!,#REF!/J$3)</f>
        <v>#REF!</v>
      </c>
      <c r="K79" s="907">
        <f t="shared" si="9"/>
        <v>0</v>
      </c>
      <c r="L79" s="14" t="e">
        <f>IF(L$3=0,#REF!,#REF!/L$3)</f>
        <v>#REF!</v>
      </c>
      <c r="M79" s="907">
        <f t="shared" si="10"/>
        <v>0</v>
      </c>
      <c r="N79" s="14" t="e">
        <f>IF(N$3=0,#REF!,#REF!/N$3)</f>
        <v>#REF!</v>
      </c>
      <c r="O79" s="907">
        <f t="shared" si="11"/>
        <v>0</v>
      </c>
      <c r="P79" s="14" t="e">
        <f>IF(P$3=0,#REF!,#REF!/P$3)</f>
        <v>#REF!</v>
      </c>
      <c r="Q79" s="907">
        <f t="shared" si="12"/>
        <v>0</v>
      </c>
      <c r="R79" s="14" t="e">
        <f>IF(R$3=0,#REF!,#REF!/R$3)</f>
        <v>#REF!</v>
      </c>
      <c r="S79" s="910">
        <f t="shared" si="13"/>
        <v>0</v>
      </c>
      <c r="T79" s="14" t="e">
        <f>IF(T$3=0,#REF!,#REF!/T$3)</f>
        <v>#REF!</v>
      </c>
      <c r="U79" s="910">
        <f t="shared" si="14"/>
        <v>0</v>
      </c>
      <c r="V79" s="14" t="e">
        <f>IF(V$3=0,#REF!,#REF!/V$3)</f>
        <v>#REF!</v>
      </c>
      <c r="W79" s="910">
        <f t="shared" si="15"/>
        <v>0</v>
      </c>
      <c r="X79" s="14" t="e">
        <f>IF(X$3=0,#REF!,#REF!/X$3)</f>
        <v>#REF!</v>
      </c>
      <c r="Y79" s="910">
        <f t="shared" si="16"/>
        <v>0</v>
      </c>
      <c r="Z79" s="15" t="e">
        <f t="shared" si="28"/>
        <v>#REF!</v>
      </c>
      <c r="AA79" s="242" t="e">
        <f t="shared" si="29"/>
        <v>#REF!</v>
      </c>
      <c r="AB79" s="104">
        <f>SUM('DPL24-Budget'!B79:$M79)</f>
        <v>121650</v>
      </c>
      <c r="AC79" s="929">
        <f t="shared" si="30"/>
        <v>1.2200000000000001E-2</v>
      </c>
      <c r="AD79" s="169" t="e">
        <f t="shared" si="25"/>
        <v>#REF!</v>
      </c>
      <c r="AE79" s="150"/>
    </row>
    <row r="80" spans="1:31" s="4" customFormat="1">
      <c r="A80" s="757" t="s">
        <v>617</v>
      </c>
      <c r="B80" s="14" t="e">
        <f>IF(B$3=0,#REF!,#REF!/B$3)</f>
        <v>#REF!</v>
      </c>
      <c r="C80" s="909" t="e">
        <f t="shared" si="27"/>
        <v>#REF!</v>
      </c>
      <c r="D80" s="14" t="e">
        <f>IF(D$3=0,#REF!,#REF!/D$3)</f>
        <v>#REF!</v>
      </c>
      <c r="E80" s="909">
        <f t="shared" si="6"/>
        <v>0</v>
      </c>
      <c r="F80" s="14" t="e">
        <f>IF(F$3=0,#REF!,#REF!/F$3)</f>
        <v>#REF!</v>
      </c>
      <c r="G80" s="909">
        <f t="shared" si="7"/>
        <v>0</v>
      </c>
      <c r="H80" s="14" t="e">
        <f>IF(H$3=0,#REF!,#REF!/H$3)</f>
        <v>#REF!</v>
      </c>
      <c r="I80" s="910">
        <f t="shared" si="8"/>
        <v>0</v>
      </c>
      <c r="J80" s="14" t="e">
        <f>IF(J$3=0,#REF!,#REF!/J$3)</f>
        <v>#REF!</v>
      </c>
      <c r="K80" s="907">
        <f t="shared" si="9"/>
        <v>0</v>
      </c>
      <c r="L80" s="14" t="e">
        <f>IF(L$3=0,#REF!,#REF!/L$3)</f>
        <v>#REF!</v>
      </c>
      <c r="M80" s="907">
        <f t="shared" si="10"/>
        <v>0</v>
      </c>
      <c r="N80" s="14" t="e">
        <f>IF(N$3=0,#REF!,#REF!/N$3)</f>
        <v>#REF!</v>
      </c>
      <c r="O80" s="907">
        <f t="shared" si="11"/>
        <v>0</v>
      </c>
      <c r="P80" s="14" t="e">
        <f>IF(P$3=0,#REF!,#REF!/P$3)</f>
        <v>#REF!</v>
      </c>
      <c r="Q80" s="907">
        <f t="shared" si="12"/>
        <v>0</v>
      </c>
      <c r="R80" s="14" t="e">
        <f>IF(R$3=0,#REF!,#REF!/R$3)</f>
        <v>#REF!</v>
      </c>
      <c r="S80" s="910">
        <f t="shared" si="13"/>
        <v>0</v>
      </c>
      <c r="T80" s="14" t="e">
        <f>IF(T$3=0,#REF!,#REF!/T$3)</f>
        <v>#REF!</v>
      </c>
      <c r="U80" s="910">
        <f t="shared" si="14"/>
        <v>0</v>
      </c>
      <c r="V80" s="14" t="e">
        <f>IF(V$3=0,#REF!,#REF!/V$3)</f>
        <v>#REF!</v>
      </c>
      <c r="W80" s="910">
        <f t="shared" si="15"/>
        <v>0</v>
      </c>
      <c r="X80" s="14" t="e">
        <f>IF(X$3=0,#REF!,#REF!/X$3)</f>
        <v>#REF!</v>
      </c>
      <c r="Y80" s="910">
        <f t="shared" si="16"/>
        <v>0</v>
      </c>
      <c r="Z80" s="15" t="e">
        <f t="shared" si="28"/>
        <v>#REF!</v>
      </c>
      <c r="AA80" s="242" t="e">
        <f t="shared" si="29"/>
        <v>#REF!</v>
      </c>
      <c r="AB80" s="104">
        <f>SUM('DPL24-Budget'!B80:$M80)</f>
        <v>0</v>
      </c>
      <c r="AC80" s="929">
        <f t="shared" si="30"/>
        <v>0</v>
      </c>
      <c r="AD80" s="169" t="e">
        <f t="shared" si="25"/>
        <v>#REF!</v>
      </c>
      <c r="AE80" s="150"/>
    </row>
    <row r="81" spans="1:31" s="4" customFormat="1">
      <c r="A81" s="423" t="s">
        <v>74</v>
      </c>
      <c r="B81" s="14" t="e">
        <f>IF(B$3=0,#REF!,#REF!/B$3)</f>
        <v>#REF!</v>
      </c>
      <c r="C81" s="909" t="e">
        <f t="shared" si="27"/>
        <v>#REF!</v>
      </c>
      <c r="D81" s="14" t="e">
        <f>IF(D$3=0,#REF!,#REF!/D$3)</f>
        <v>#REF!</v>
      </c>
      <c r="E81" s="909">
        <f t="shared" ref="E81:E89" si="31">IFERROR(D81/$D$13,0)</f>
        <v>0</v>
      </c>
      <c r="F81" s="14" t="e">
        <f>IF(F$3=0,#REF!,#REF!/F$3)</f>
        <v>#REF!</v>
      </c>
      <c r="G81" s="909">
        <f t="shared" ref="G81:G117" si="32">IFERROR(F81/$F$13,0)</f>
        <v>0</v>
      </c>
      <c r="H81" s="14" t="e">
        <f>IF(H$3=0,#REF!,#REF!/H$3)</f>
        <v>#REF!</v>
      </c>
      <c r="I81" s="910">
        <f t="shared" ref="I81:I119" si="33">IFERROR(H81/$H$13,0)</f>
        <v>0</v>
      </c>
      <c r="J81" s="14" t="e">
        <f>IF(J$3=0,#REF!,#REF!/J$3)</f>
        <v>#REF!</v>
      </c>
      <c r="K81" s="907">
        <f t="shared" ref="K81:K117" si="34">IFERROR(J81/$J$13,0)</f>
        <v>0</v>
      </c>
      <c r="L81" s="14" t="e">
        <f>IF(L$3=0,#REF!,#REF!/L$3)</f>
        <v>#REF!</v>
      </c>
      <c r="M81" s="907">
        <f t="shared" ref="M81:M117" si="35">IFERROR(L81/$L$13,0)</f>
        <v>0</v>
      </c>
      <c r="N81" s="14" t="e">
        <f>IF(N$3=0,#REF!,#REF!/N$3)</f>
        <v>#REF!</v>
      </c>
      <c r="O81" s="907">
        <f t="shared" ref="O81:O117" si="36">IFERROR(N81/$N$13,0)</f>
        <v>0</v>
      </c>
      <c r="P81" s="14" t="e">
        <f>IF(P$3=0,#REF!,#REF!/P$3)</f>
        <v>#REF!</v>
      </c>
      <c r="Q81" s="907">
        <f t="shared" ref="Q81:Q117" si="37">IFERROR(P81/$P$13,0)</f>
        <v>0</v>
      </c>
      <c r="R81" s="14" t="e">
        <f>IF(R$3=0,#REF!,#REF!/R$3)</f>
        <v>#REF!</v>
      </c>
      <c r="S81" s="910">
        <f t="shared" ref="S81:S117" si="38">IFERROR(R81/$R$13,0)</f>
        <v>0</v>
      </c>
      <c r="T81" s="14" t="e">
        <f>IF(T$3=0,#REF!,#REF!/T$3)</f>
        <v>#REF!</v>
      </c>
      <c r="U81" s="910">
        <f t="shared" ref="U81:U117" si="39">IFERROR(T81/$T$13,0)</f>
        <v>0</v>
      </c>
      <c r="V81" s="14" t="e">
        <f>IF(V$3=0,#REF!,#REF!/V$3)</f>
        <v>#REF!</v>
      </c>
      <c r="W81" s="910">
        <f t="shared" ref="W81:W117" si="40">IFERROR(V81/$V$13,0)</f>
        <v>0</v>
      </c>
      <c r="X81" s="14" t="e">
        <f>IF(X$3=0,#REF!,#REF!/X$3)</f>
        <v>#REF!</v>
      </c>
      <c r="Y81" s="910">
        <f t="shared" ref="Y81:Y117" si="41">IFERROR(X81/$X$13,0)</f>
        <v>0</v>
      </c>
      <c r="Z81" s="15" t="e">
        <f t="shared" si="28"/>
        <v>#REF!</v>
      </c>
      <c r="AA81" s="242" t="e">
        <f t="shared" si="29"/>
        <v>#REF!</v>
      </c>
      <c r="AB81" s="104">
        <f>SUM('DPL24-Budget'!B81:$M81)</f>
        <v>0</v>
      </c>
      <c r="AC81" s="929">
        <f t="shared" si="30"/>
        <v>0</v>
      </c>
      <c r="AD81" s="169" t="e">
        <f t="shared" si="25"/>
        <v>#REF!</v>
      </c>
      <c r="AE81" s="150"/>
    </row>
    <row r="82" spans="1:31">
      <c r="A82" s="757" t="s">
        <v>75</v>
      </c>
      <c r="B82" s="14" t="e">
        <f>IF(B$3=0,#REF!,#REF!/B$3)</f>
        <v>#REF!</v>
      </c>
      <c r="C82" s="909" t="e">
        <f t="shared" si="27"/>
        <v>#REF!</v>
      </c>
      <c r="D82" s="14" t="e">
        <f>IF(D$3=0,#REF!,#REF!/D$3)</f>
        <v>#REF!</v>
      </c>
      <c r="E82" s="909">
        <f t="shared" si="31"/>
        <v>0</v>
      </c>
      <c r="F82" s="14" t="e">
        <f>IF(F$3=0,#REF!,#REF!/F$3)</f>
        <v>#REF!</v>
      </c>
      <c r="G82" s="909">
        <f t="shared" si="32"/>
        <v>0</v>
      </c>
      <c r="H82" s="14" t="e">
        <f>IF(H$3=0,#REF!,#REF!/H$3)</f>
        <v>#REF!</v>
      </c>
      <c r="I82" s="910">
        <f t="shared" si="33"/>
        <v>0</v>
      </c>
      <c r="J82" s="14" t="e">
        <f>IF(J$3=0,#REF!,#REF!/J$3)</f>
        <v>#REF!</v>
      </c>
      <c r="K82" s="907">
        <f t="shared" si="34"/>
        <v>0</v>
      </c>
      <c r="L82" s="14" t="e">
        <f>IF(L$3=0,#REF!,#REF!/L$3)</f>
        <v>#REF!</v>
      </c>
      <c r="M82" s="907">
        <f t="shared" si="35"/>
        <v>0</v>
      </c>
      <c r="N82" s="14" t="e">
        <f>IF(N$3=0,#REF!,#REF!/N$3)</f>
        <v>#REF!</v>
      </c>
      <c r="O82" s="907">
        <f t="shared" si="36"/>
        <v>0</v>
      </c>
      <c r="P82" s="14" t="e">
        <f>IF(P$3=0,#REF!,#REF!/P$3)</f>
        <v>#REF!</v>
      </c>
      <c r="Q82" s="907">
        <f t="shared" si="37"/>
        <v>0</v>
      </c>
      <c r="R82" s="14" t="e">
        <f>IF(R$3=0,#REF!,#REF!/R$3)</f>
        <v>#REF!</v>
      </c>
      <c r="S82" s="910">
        <f t="shared" si="38"/>
        <v>0</v>
      </c>
      <c r="T82" s="14" t="e">
        <f>IF(T$3=0,#REF!,#REF!/T$3)</f>
        <v>#REF!</v>
      </c>
      <c r="U82" s="910">
        <f t="shared" si="39"/>
        <v>0</v>
      </c>
      <c r="V82" s="14" t="e">
        <f>IF(V$3=0,#REF!,#REF!/V$3)</f>
        <v>#REF!</v>
      </c>
      <c r="W82" s="910">
        <f t="shared" si="40"/>
        <v>0</v>
      </c>
      <c r="X82" s="14" t="e">
        <f>IF(X$3=0,#REF!,#REF!/X$3)</f>
        <v>#REF!</v>
      </c>
      <c r="Y82" s="910">
        <f t="shared" si="41"/>
        <v>0</v>
      </c>
      <c r="Z82" s="15" t="e">
        <f t="shared" si="28"/>
        <v>#REF!</v>
      </c>
      <c r="AA82" s="242" t="e">
        <f t="shared" si="29"/>
        <v>#REF!</v>
      </c>
      <c r="AB82" s="104">
        <f>SUM('DPL24-Budget'!B82:$M82)</f>
        <v>35</v>
      </c>
      <c r="AC82" s="929">
        <f t="shared" si="30"/>
        <v>0</v>
      </c>
      <c r="AD82" s="169" t="e">
        <f t="shared" si="25"/>
        <v>#REF!</v>
      </c>
      <c r="AE82" s="149"/>
    </row>
    <row r="83" spans="1:31" ht="13.5" thickBot="1">
      <c r="A83" s="6" t="s">
        <v>412</v>
      </c>
      <c r="B83" s="38" t="e">
        <f t="shared" ref="B83:X83" si="42">SUM(B76:B82)</f>
        <v>#REF!</v>
      </c>
      <c r="C83" s="909" t="e">
        <f t="shared" si="27"/>
        <v>#REF!</v>
      </c>
      <c r="D83" s="38" t="e">
        <f t="shared" si="42"/>
        <v>#REF!</v>
      </c>
      <c r="E83" s="909">
        <f t="shared" si="31"/>
        <v>0</v>
      </c>
      <c r="F83" s="38" t="e">
        <f t="shared" si="42"/>
        <v>#REF!</v>
      </c>
      <c r="G83" s="909">
        <f t="shared" si="32"/>
        <v>0</v>
      </c>
      <c r="H83" s="38" t="e">
        <f t="shared" si="42"/>
        <v>#REF!</v>
      </c>
      <c r="I83" s="910">
        <f t="shared" si="33"/>
        <v>0</v>
      </c>
      <c r="J83" s="38" t="e">
        <f t="shared" si="42"/>
        <v>#REF!</v>
      </c>
      <c r="K83" s="907">
        <f t="shared" si="34"/>
        <v>0</v>
      </c>
      <c r="L83" s="38" t="e">
        <f t="shared" si="42"/>
        <v>#REF!</v>
      </c>
      <c r="M83" s="907">
        <f t="shared" si="35"/>
        <v>0</v>
      </c>
      <c r="N83" s="38" t="e">
        <f t="shared" si="42"/>
        <v>#REF!</v>
      </c>
      <c r="O83" s="907">
        <f t="shared" si="36"/>
        <v>0</v>
      </c>
      <c r="P83" s="38" t="e">
        <f t="shared" si="42"/>
        <v>#REF!</v>
      </c>
      <c r="Q83" s="907">
        <f t="shared" si="37"/>
        <v>0</v>
      </c>
      <c r="R83" s="38" t="e">
        <f t="shared" si="42"/>
        <v>#REF!</v>
      </c>
      <c r="S83" s="910">
        <f t="shared" si="38"/>
        <v>0</v>
      </c>
      <c r="T83" s="38" t="e">
        <f t="shared" si="42"/>
        <v>#REF!</v>
      </c>
      <c r="U83" s="910">
        <f t="shared" si="39"/>
        <v>0</v>
      </c>
      <c r="V83" s="38" t="e">
        <f t="shared" si="42"/>
        <v>#REF!</v>
      </c>
      <c r="W83" s="910">
        <f t="shared" si="40"/>
        <v>0</v>
      </c>
      <c r="X83" s="38" t="e">
        <f t="shared" si="42"/>
        <v>#REF!</v>
      </c>
      <c r="Y83" s="910">
        <f t="shared" si="41"/>
        <v>0</v>
      </c>
      <c r="Z83" s="38" t="e">
        <f t="shared" si="28"/>
        <v>#REF!</v>
      </c>
      <c r="AA83" s="242" t="e">
        <f t="shared" si="29"/>
        <v>#REF!</v>
      </c>
      <c r="AB83" s="107">
        <f>SUM(AB76:AB82)</f>
        <v>207459</v>
      </c>
      <c r="AC83" s="929">
        <f t="shared" si="30"/>
        <v>2.07E-2</v>
      </c>
      <c r="AD83" s="169" t="e">
        <f t="shared" si="25"/>
        <v>#REF!</v>
      </c>
      <c r="AE83" s="149"/>
    </row>
    <row r="84" spans="1:31" ht="13.5" thickTop="1">
      <c r="A84" s="757"/>
      <c r="B84" s="14"/>
      <c r="C84" s="902"/>
      <c r="D84" s="14"/>
      <c r="E84" s="909">
        <f t="shared" si="31"/>
        <v>0</v>
      </c>
      <c r="F84" s="14"/>
      <c r="G84" s="909">
        <f t="shared" si="32"/>
        <v>0</v>
      </c>
      <c r="H84" s="14"/>
      <c r="I84" s="910">
        <f t="shared" si="33"/>
        <v>0</v>
      </c>
      <c r="J84" s="14"/>
      <c r="K84" s="907">
        <f t="shared" si="34"/>
        <v>0</v>
      </c>
      <c r="L84" s="14"/>
      <c r="M84" s="907">
        <f t="shared" si="35"/>
        <v>0</v>
      </c>
      <c r="N84" s="14"/>
      <c r="O84" s="907">
        <f t="shared" si="36"/>
        <v>0</v>
      </c>
      <c r="P84" s="14"/>
      <c r="Q84" s="907">
        <f t="shared" si="37"/>
        <v>0</v>
      </c>
      <c r="R84" s="14"/>
      <c r="S84" s="910">
        <f t="shared" si="38"/>
        <v>0</v>
      </c>
      <c r="T84" s="14"/>
      <c r="U84" s="910">
        <f t="shared" si="39"/>
        <v>0</v>
      </c>
      <c r="V84" s="14"/>
      <c r="W84" s="910">
        <f t="shared" si="40"/>
        <v>0</v>
      </c>
      <c r="X84" s="14"/>
      <c r="Y84" s="910">
        <f t="shared" si="41"/>
        <v>0</v>
      </c>
      <c r="Z84" s="15"/>
      <c r="AA84" s="242"/>
      <c r="AB84" s="104"/>
      <c r="AC84" s="104"/>
      <c r="AD84" s="169">
        <f t="shared" si="25"/>
        <v>0</v>
      </c>
      <c r="AE84" s="149"/>
    </row>
    <row r="85" spans="1:31">
      <c r="A85" s="6" t="s">
        <v>413</v>
      </c>
      <c r="B85" s="14" t="e">
        <f>IF(B$3=0,#REF!,#REF!/B$3)</f>
        <v>#REF!</v>
      </c>
      <c r="C85" s="907" t="e">
        <f t="shared" si="27"/>
        <v>#REF!</v>
      </c>
      <c r="D85" s="14" t="e">
        <f>IF(D$3=0,#REF!,#REF!/D$3)</f>
        <v>#REF!</v>
      </c>
      <c r="E85" s="909">
        <f t="shared" si="31"/>
        <v>0</v>
      </c>
      <c r="F85" s="14" t="e">
        <f>IF(F$3=0,#REF!,#REF!/F$3)</f>
        <v>#REF!</v>
      </c>
      <c r="G85" s="909">
        <f t="shared" si="32"/>
        <v>0</v>
      </c>
      <c r="H85" s="14" t="e">
        <f>IF(H$3=0,#REF!,#REF!/H$3)</f>
        <v>#REF!</v>
      </c>
      <c r="I85" s="910">
        <f t="shared" si="33"/>
        <v>0</v>
      </c>
      <c r="J85" s="14" t="e">
        <f>IF(J$3=0,#REF!,#REF!/J$3)</f>
        <v>#REF!</v>
      </c>
      <c r="K85" s="907">
        <f t="shared" si="34"/>
        <v>0</v>
      </c>
      <c r="L85" s="14" t="e">
        <f>IF(L$3=0,#REF!,#REF!/L$3)</f>
        <v>#REF!</v>
      </c>
      <c r="M85" s="907">
        <f t="shared" si="35"/>
        <v>0</v>
      </c>
      <c r="N85" s="14" t="e">
        <f>IF(N$3=0,#REF!,#REF!/N$3)</f>
        <v>#REF!</v>
      </c>
      <c r="O85" s="907">
        <f t="shared" si="36"/>
        <v>0</v>
      </c>
      <c r="P85" s="14" t="e">
        <f>IF(P$3=0,#REF!,#REF!/P$3)</f>
        <v>#REF!</v>
      </c>
      <c r="Q85" s="907">
        <f t="shared" si="37"/>
        <v>0</v>
      </c>
      <c r="R85" s="14" t="e">
        <f>IF(R$3=0,#REF!,#REF!/R$3)</f>
        <v>#REF!</v>
      </c>
      <c r="S85" s="910">
        <f t="shared" si="38"/>
        <v>0</v>
      </c>
      <c r="T85" s="14" t="e">
        <f>IF(T$3=0,#REF!,#REF!/T$3)</f>
        <v>#REF!</v>
      </c>
      <c r="U85" s="910">
        <f t="shared" si="39"/>
        <v>0</v>
      </c>
      <c r="V85" s="14" t="e">
        <f>IF(V$3=0,#REF!,#REF!/V$3)</f>
        <v>#REF!</v>
      </c>
      <c r="W85" s="910">
        <f t="shared" si="40"/>
        <v>0</v>
      </c>
      <c r="X85" s="14" t="e">
        <f>IF(X$3=0,#REF!,#REF!/X$3)</f>
        <v>#REF!</v>
      </c>
      <c r="Y85" s="910">
        <f t="shared" si="41"/>
        <v>0</v>
      </c>
      <c r="Z85" s="15" t="e">
        <f>+Z13-Z49-Z72-Z83</f>
        <v>#REF!</v>
      </c>
      <c r="AA85" s="241" t="e">
        <f t="shared" si="29"/>
        <v>#REF!</v>
      </c>
      <c r="AB85" s="15">
        <f>+AB13-AB49-AB72-AB83</f>
        <v>3013165</v>
      </c>
      <c r="AC85" s="104"/>
      <c r="AD85" s="169"/>
      <c r="AE85" s="149"/>
    </row>
    <row r="86" spans="1:31">
      <c r="A86" s="757"/>
      <c r="B86" s="14"/>
      <c r="C86" s="902"/>
      <c r="D86" s="14"/>
      <c r="E86" s="909">
        <f t="shared" si="31"/>
        <v>0</v>
      </c>
      <c r="F86" s="14"/>
      <c r="G86" s="909">
        <f t="shared" si="32"/>
        <v>0</v>
      </c>
      <c r="H86" s="14"/>
      <c r="I86" s="910">
        <f t="shared" si="33"/>
        <v>0</v>
      </c>
      <c r="J86" s="14"/>
      <c r="K86" s="907">
        <f t="shared" si="34"/>
        <v>0</v>
      </c>
      <c r="L86" s="14"/>
      <c r="M86" s="907">
        <f t="shared" si="35"/>
        <v>0</v>
      </c>
      <c r="N86" s="14"/>
      <c r="O86" s="907">
        <f t="shared" si="36"/>
        <v>0</v>
      </c>
      <c r="P86" s="14"/>
      <c r="Q86" s="907">
        <f t="shared" si="37"/>
        <v>0</v>
      </c>
      <c r="R86" s="14"/>
      <c r="S86" s="910">
        <f t="shared" si="38"/>
        <v>0</v>
      </c>
      <c r="T86" s="14"/>
      <c r="U86" s="910">
        <f t="shared" si="39"/>
        <v>0</v>
      </c>
      <c r="V86" s="14"/>
      <c r="W86" s="910">
        <f t="shared" si="40"/>
        <v>0</v>
      </c>
      <c r="X86" s="14"/>
      <c r="Y86" s="910">
        <f t="shared" si="41"/>
        <v>0</v>
      </c>
      <c r="Z86" s="15"/>
      <c r="AA86" s="242"/>
      <c r="AB86" s="104"/>
      <c r="AC86" s="104"/>
      <c r="AD86" s="169"/>
      <c r="AE86" s="149"/>
    </row>
    <row r="87" spans="1:31" s="4" customFormat="1">
      <c r="A87" s="6" t="s">
        <v>415</v>
      </c>
      <c r="B87" s="14" t="e">
        <f>IF(B$3=0,#REF!,#REF!/B$3)</f>
        <v>#REF!</v>
      </c>
      <c r="C87" s="909" t="e">
        <f>+B87/$B$13</f>
        <v>#REF!</v>
      </c>
      <c r="D87" s="14" t="e">
        <f>IF(D$3=0,#REF!,#REF!/D$3)</f>
        <v>#REF!</v>
      </c>
      <c r="E87" s="909">
        <f t="shared" si="31"/>
        <v>0</v>
      </c>
      <c r="F87" s="14" t="e">
        <f>IF(F$3=0,#REF!,#REF!/F$3)</f>
        <v>#REF!</v>
      </c>
      <c r="G87" s="909">
        <f t="shared" si="32"/>
        <v>0</v>
      </c>
      <c r="H87" s="14" t="e">
        <f>IF(H$3=0,#REF!,#REF!/H$3)</f>
        <v>#REF!</v>
      </c>
      <c r="I87" s="910">
        <f t="shared" si="33"/>
        <v>0</v>
      </c>
      <c r="J87" s="14" t="e">
        <f>IF(J$3=0,#REF!,#REF!/J$3)</f>
        <v>#REF!</v>
      </c>
      <c r="K87" s="907">
        <f t="shared" si="34"/>
        <v>0</v>
      </c>
      <c r="L87" s="14" t="e">
        <f>IF(L$3=0,#REF!,#REF!/L$3)</f>
        <v>#REF!</v>
      </c>
      <c r="M87" s="907">
        <f t="shared" si="35"/>
        <v>0</v>
      </c>
      <c r="N87" s="14" t="e">
        <f>IF(N$3=0,#REF!,#REF!/N$3)</f>
        <v>#REF!</v>
      </c>
      <c r="O87" s="907">
        <f t="shared" si="36"/>
        <v>0</v>
      </c>
      <c r="P87" s="14" t="e">
        <f>IF(P$3=0,#REF!,#REF!/P$3)</f>
        <v>#REF!</v>
      </c>
      <c r="Q87" s="907">
        <f t="shared" si="37"/>
        <v>0</v>
      </c>
      <c r="R87" s="14" t="e">
        <f>IF(R$3=0,#REF!,#REF!/R$3)</f>
        <v>#REF!</v>
      </c>
      <c r="S87" s="910">
        <f t="shared" si="38"/>
        <v>0</v>
      </c>
      <c r="T87" s="14" t="e">
        <f>IF(T$3=0,#REF!,#REF!/T$3)</f>
        <v>#REF!</v>
      </c>
      <c r="U87" s="910">
        <f t="shared" si="39"/>
        <v>0</v>
      </c>
      <c r="V87" s="14" t="e">
        <f>IF(V$3=0,#REF!,#REF!/V$3)</f>
        <v>#REF!</v>
      </c>
      <c r="W87" s="910">
        <f t="shared" si="40"/>
        <v>0</v>
      </c>
      <c r="X87" s="14" t="e">
        <f>IF(X$3=0,#REF!,#REF!/X$3)</f>
        <v>#REF!</v>
      </c>
      <c r="Y87" s="910">
        <f t="shared" si="41"/>
        <v>0</v>
      </c>
      <c r="Z87" s="15" t="e">
        <f>+B87+D87+F87+H87+J87+L87+N87+P87+R87+T87+V87+X87</f>
        <v>#REF!</v>
      </c>
      <c r="AA87" s="241" t="e">
        <f t="shared" si="29"/>
        <v>#REF!</v>
      </c>
      <c r="AB87" s="104">
        <f>SUM('DPL24-Budget'!B85:$M85)</f>
        <v>1059833</v>
      </c>
      <c r="AC87" s="929">
        <f>+AB87/$AB$13</f>
        <v>0.10589999999999999</v>
      </c>
      <c r="AD87" s="169" t="e">
        <f t="shared" si="25"/>
        <v>#REF!</v>
      </c>
      <c r="AE87" s="150"/>
    </row>
    <row r="88" spans="1:31">
      <c r="A88" s="757" t="s">
        <v>59</v>
      </c>
      <c r="B88" s="20"/>
      <c r="C88" s="902"/>
      <c r="D88" s="20"/>
      <c r="E88" s="909">
        <f t="shared" si="31"/>
        <v>0</v>
      </c>
      <c r="F88" s="20"/>
      <c r="G88" s="909">
        <f t="shared" si="32"/>
        <v>0</v>
      </c>
      <c r="H88" s="20"/>
      <c r="I88" s="910">
        <f t="shared" si="33"/>
        <v>0</v>
      </c>
      <c r="J88" s="20"/>
      <c r="K88" s="907">
        <f t="shared" si="34"/>
        <v>0</v>
      </c>
      <c r="L88" s="20"/>
      <c r="M88" s="907">
        <f t="shared" si="35"/>
        <v>0</v>
      </c>
      <c r="N88" s="20"/>
      <c r="O88" s="907">
        <f t="shared" si="36"/>
        <v>0</v>
      </c>
      <c r="P88" s="20"/>
      <c r="Q88" s="907">
        <f t="shared" si="37"/>
        <v>0</v>
      </c>
      <c r="R88" s="20"/>
      <c r="S88" s="910">
        <f t="shared" si="38"/>
        <v>0</v>
      </c>
      <c r="T88" s="20"/>
      <c r="U88" s="910">
        <f t="shared" si="39"/>
        <v>0</v>
      </c>
      <c r="V88" s="20"/>
      <c r="W88" s="910">
        <f t="shared" si="40"/>
        <v>0</v>
      </c>
      <c r="X88" s="20"/>
      <c r="Y88" s="910">
        <f t="shared" si="41"/>
        <v>0</v>
      </c>
      <c r="Z88" s="15"/>
      <c r="AA88" s="241"/>
      <c r="AB88" s="104"/>
      <c r="AC88" s="104"/>
      <c r="AD88" s="169">
        <f t="shared" si="25"/>
        <v>0</v>
      </c>
      <c r="AE88" s="149"/>
    </row>
    <row r="89" spans="1:31" s="1" customFormat="1" ht="13.5" thickBot="1">
      <c r="A89" s="6" t="s">
        <v>416</v>
      </c>
      <c r="B89" s="26" t="e">
        <f t="shared" ref="B89:Z89" si="43">B13-B49-B72-B83-B87</f>
        <v>#REF!</v>
      </c>
      <c r="C89" s="907" t="e">
        <f>+B89/$B$13</f>
        <v>#REF!</v>
      </c>
      <c r="D89" s="26" t="e">
        <f t="shared" si="43"/>
        <v>#REF!</v>
      </c>
      <c r="E89" s="909">
        <f t="shared" si="31"/>
        <v>0</v>
      </c>
      <c r="F89" s="26" t="e">
        <f t="shared" si="43"/>
        <v>#REF!</v>
      </c>
      <c r="G89" s="909">
        <f t="shared" si="32"/>
        <v>0</v>
      </c>
      <c r="H89" s="26" t="e">
        <f t="shared" si="43"/>
        <v>#REF!</v>
      </c>
      <c r="I89" s="910">
        <f t="shared" si="33"/>
        <v>0</v>
      </c>
      <c r="J89" s="26" t="e">
        <f t="shared" si="43"/>
        <v>#REF!</v>
      </c>
      <c r="K89" s="907">
        <f t="shared" si="34"/>
        <v>0</v>
      </c>
      <c r="L89" s="26" t="e">
        <f t="shared" si="43"/>
        <v>#REF!</v>
      </c>
      <c r="M89" s="907">
        <f t="shared" si="35"/>
        <v>0</v>
      </c>
      <c r="N89" s="26" t="e">
        <f t="shared" si="43"/>
        <v>#REF!</v>
      </c>
      <c r="O89" s="907">
        <f t="shared" si="36"/>
        <v>0</v>
      </c>
      <c r="P89" s="26" t="e">
        <f t="shared" si="43"/>
        <v>#REF!</v>
      </c>
      <c r="Q89" s="907">
        <f t="shared" si="37"/>
        <v>0</v>
      </c>
      <c r="R89" s="26" t="e">
        <f t="shared" si="43"/>
        <v>#REF!</v>
      </c>
      <c r="S89" s="910">
        <f t="shared" si="38"/>
        <v>0</v>
      </c>
      <c r="T89" s="26" t="e">
        <f t="shared" si="43"/>
        <v>#REF!</v>
      </c>
      <c r="U89" s="910">
        <f t="shared" si="39"/>
        <v>0</v>
      </c>
      <c r="V89" s="26" t="e">
        <f t="shared" si="43"/>
        <v>#REF!</v>
      </c>
      <c r="W89" s="910">
        <f t="shared" si="40"/>
        <v>0</v>
      </c>
      <c r="X89" s="26" t="e">
        <f t="shared" si="43"/>
        <v>#REF!</v>
      </c>
      <c r="Y89" s="910">
        <f t="shared" si="41"/>
        <v>0</v>
      </c>
      <c r="Z89" s="26" t="e">
        <f t="shared" si="43"/>
        <v>#REF!</v>
      </c>
      <c r="AA89" s="241" t="e">
        <f t="shared" si="29"/>
        <v>#REF!</v>
      </c>
      <c r="AB89" s="108">
        <f>SUM('DPL24-Budget'!B87:$M87)</f>
        <v>1953332</v>
      </c>
      <c r="AC89" s="929">
        <f>+AB89/$AB$13</f>
        <v>0.1953</v>
      </c>
      <c r="AD89" s="169" t="e">
        <f t="shared" si="25"/>
        <v>#REF!</v>
      </c>
      <c r="AE89" s="154"/>
    </row>
    <row r="90" spans="1:31">
      <c r="B90" s="2"/>
      <c r="C90" s="901"/>
      <c r="D90" s="2"/>
      <c r="E90" s="901"/>
      <c r="F90" s="2"/>
      <c r="G90" s="909">
        <f t="shared" si="32"/>
        <v>0</v>
      </c>
      <c r="H90" s="2"/>
      <c r="I90" s="910">
        <f t="shared" si="33"/>
        <v>0</v>
      </c>
      <c r="J90" s="2"/>
      <c r="K90" s="907">
        <f t="shared" si="34"/>
        <v>0</v>
      </c>
      <c r="L90" s="2"/>
      <c r="M90" s="907">
        <f t="shared" si="35"/>
        <v>0</v>
      </c>
      <c r="N90" s="2"/>
      <c r="O90" s="907">
        <f t="shared" si="36"/>
        <v>0</v>
      </c>
      <c r="P90" s="2"/>
      <c r="Q90" s="907">
        <f t="shared" si="37"/>
        <v>0</v>
      </c>
      <c r="R90" s="2"/>
      <c r="S90" s="910">
        <f t="shared" si="38"/>
        <v>0</v>
      </c>
      <c r="T90" s="2"/>
      <c r="U90" s="910">
        <f t="shared" si="39"/>
        <v>0</v>
      </c>
      <c r="V90" s="2"/>
      <c r="W90" s="910">
        <f t="shared" si="40"/>
        <v>0</v>
      </c>
      <c r="X90" s="2"/>
      <c r="Y90" s="910">
        <f t="shared" si="41"/>
        <v>0</v>
      </c>
      <c r="Z90" s="7"/>
      <c r="AB90" s="104"/>
      <c r="AC90" s="104"/>
      <c r="AE90" s="149"/>
    </row>
    <row r="91" spans="1:31">
      <c r="B91" s="142" t="e">
        <f t="shared" ref="B91:Z91" si="44">+B89/B13</f>
        <v>#REF!</v>
      </c>
      <c r="C91" s="913"/>
      <c r="D91" s="12" t="e">
        <f t="shared" si="44"/>
        <v>#REF!</v>
      </c>
      <c r="E91" s="939"/>
      <c r="F91" s="12" t="e">
        <f t="shared" si="44"/>
        <v>#REF!</v>
      </c>
      <c r="G91" s="909">
        <f t="shared" si="32"/>
        <v>0</v>
      </c>
      <c r="H91" s="142" t="e">
        <f t="shared" si="44"/>
        <v>#REF!</v>
      </c>
      <c r="I91" s="910">
        <f t="shared" si="33"/>
        <v>0</v>
      </c>
      <c r="J91" s="142" t="e">
        <f t="shared" si="44"/>
        <v>#REF!</v>
      </c>
      <c r="K91" s="907">
        <f t="shared" si="34"/>
        <v>0</v>
      </c>
      <c r="L91" s="142" t="e">
        <f t="shared" si="44"/>
        <v>#REF!</v>
      </c>
      <c r="M91" s="907">
        <f t="shared" si="35"/>
        <v>0</v>
      </c>
      <c r="N91" s="142" t="e">
        <f t="shared" si="44"/>
        <v>#REF!</v>
      </c>
      <c r="O91" s="907">
        <f t="shared" si="36"/>
        <v>0</v>
      </c>
      <c r="P91" s="142" t="e">
        <f t="shared" si="44"/>
        <v>#REF!</v>
      </c>
      <c r="Q91" s="907">
        <f t="shared" si="37"/>
        <v>0</v>
      </c>
      <c r="R91" s="142" t="e">
        <f t="shared" si="44"/>
        <v>#REF!</v>
      </c>
      <c r="S91" s="910">
        <f t="shared" si="38"/>
        <v>0</v>
      </c>
      <c r="T91" s="142" t="e">
        <f t="shared" si="44"/>
        <v>#REF!</v>
      </c>
      <c r="U91" s="910">
        <f t="shared" si="39"/>
        <v>0</v>
      </c>
      <c r="V91" s="142" t="e">
        <f t="shared" si="44"/>
        <v>#REF!</v>
      </c>
      <c r="W91" s="910">
        <f t="shared" si="40"/>
        <v>0</v>
      </c>
      <c r="X91" s="142" t="e">
        <f t="shared" si="44"/>
        <v>#REF!</v>
      </c>
      <c r="Y91" s="910">
        <f t="shared" si="41"/>
        <v>0</v>
      </c>
      <c r="Z91" s="12" t="e">
        <f t="shared" si="44"/>
        <v>#REF!</v>
      </c>
      <c r="AB91" s="12">
        <f>+AB89/AB13</f>
        <v>0.1953</v>
      </c>
      <c r="AC91" s="12"/>
      <c r="AE91" s="149"/>
    </row>
    <row r="92" spans="1:31" s="48" customFormat="1">
      <c r="A92" s="138" t="s">
        <v>541</v>
      </c>
      <c r="B92" s="139" t="e">
        <f>B89+B87+B78+B69+B46+B45+B70+B81</f>
        <v>#REF!</v>
      </c>
      <c r="C92" s="305"/>
      <c r="D92" s="139" t="e">
        <f t="shared" ref="D92:Z92" si="45">D89+D87+D78+D69+D46+D45+D70+D81</f>
        <v>#REF!</v>
      </c>
      <c r="E92" s="305"/>
      <c r="F92" s="139" t="e">
        <f t="shared" si="45"/>
        <v>#REF!</v>
      </c>
      <c r="G92" s="909">
        <f t="shared" si="32"/>
        <v>0</v>
      </c>
      <c r="H92" s="139" t="e">
        <f t="shared" si="45"/>
        <v>#REF!</v>
      </c>
      <c r="I92" s="910">
        <f t="shared" si="33"/>
        <v>0</v>
      </c>
      <c r="J92" s="139" t="e">
        <f t="shared" si="45"/>
        <v>#REF!</v>
      </c>
      <c r="K92" s="907">
        <f t="shared" si="34"/>
        <v>0</v>
      </c>
      <c r="L92" s="139" t="e">
        <f t="shared" si="45"/>
        <v>#REF!</v>
      </c>
      <c r="M92" s="907">
        <f t="shared" si="35"/>
        <v>0</v>
      </c>
      <c r="N92" s="139" t="e">
        <f t="shared" si="45"/>
        <v>#REF!</v>
      </c>
      <c r="O92" s="907">
        <f t="shared" si="36"/>
        <v>0</v>
      </c>
      <c r="P92" s="139" t="e">
        <f t="shared" si="45"/>
        <v>#REF!</v>
      </c>
      <c r="Q92" s="907">
        <f t="shared" si="37"/>
        <v>0</v>
      </c>
      <c r="R92" s="139" t="e">
        <f t="shared" si="45"/>
        <v>#REF!</v>
      </c>
      <c r="S92" s="910">
        <f t="shared" si="38"/>
        <v>0</v>
      </c>
      <c r="T92" s="139" t="e">
        <f t="shared" si="45"/>
        <v>#REF!</v>
      </c>
      <c r="U92" s="910">
        <f t="shared" si="39"/>
        <v>0</v>
      </c>
      <c r="V92" s="139" t="e">
        <f t="shared" si="45"/>
        <v>#REF!</v>
      </c>
      <c r="W92" s="910">
        <f t="shared" si="40"/>
        <v>0</v>
      </c>
      <c r="X92" s="139" t="e">
        <f t="shared" si="45"/>
        <v>#REF!</v>
      </c>
      <c r="Y92" s="910">
        <f t="shared" si="41"/>
        <v>0</v>
      </c>
      <c r="Z92" s="139" t="e">
        <f t="shared" si="45"/>
        <v>#REF!</v>
      </c>
      <c r="AA92" s="940"/>
      <c r="AB92" s="105"/>
      <c r="AC92" s="105"/>
      <c r="AD92" s="138"/>
      <c r="AE92" s="941"/>
    </row>
    <row r="93" spans="1:31">
      <c r="C93" s="494"/>
      <c r="E93" s="494"/>
      <c r="G93" s="909">
        <f t="shared" si="32"/>
        <v>0</v>
      </c>
      <c r="I93" s="910">
        <f t="shared" si="33"/>
        <v>0</v>
      </c>
      <c r="K93" s="907">
        <f t="shared" si="34"/>
        <v>0</v>
      </c>
      <c r="M93" s="907">
        <f t="shared" si="35"/>
        <v>0</v>
      </c>
      <c r="O93" s="907">
        <f t="shared" si="36"/>
        <v>0</v>
      </c>
      <c r="Q93" s="907">
        <f t="shared" si="37"/>
        <v>0</v>
      </c>
      <c r="S93" s="910">
        <f t="shared" si="38"/>
        <v>0</v>
      </c>
      <c r="U93" s="910">
        <f t="shared" si="39"/>
        <v>0</v>
      </c>
      <c r="W93" s="910">
        <f t="shared" si="40"/>
        <v>0</v>
      </c>
      <c r="Y93" s="910">
        <f t="shared" si="41"/>
        <v>0</v>
      </c>
      <c r="AB93" s="104"/>
      <c r="AC93" s="104"/>
      <c r="AE93" s="149"/>
    </row>
    <row r="94" spans="1:31">
      <c r="B94" s="142" t="e">
        <f t="shared" ref="B94:Z94" si="46">(B89+B87)/B13</f>
        <v>#REF!</v>
      </c>
      <c r="C94" s="913"/>
      <c r="D94" s="142" t="e">
        <f t="shared" si="46"/>
        <v>#REF!</v>
      </c>
      <c r="E94" s="913"/>
      <c r="F94" s="142" t="e">
        <f t="shared" si="46"/>
        <v>#REF!</v>
      </c>
      <c r="G94" s="909">
        <f t="shared" si="32"/>
        <v>0</v>
      </c>
      <c r="H94" s="142" t="e">
        <f t="shared" si="46"/>
        <v>#REF!</v>
      </c>
      <c r="I94" s="910">
        <f t="shared" si="33"/>
        <v>0</v>
      </c>
      <c r="J94" s="142" t="e">
        <f t="shared" si="46"/>
        <v>#REF!</v>
      </c>
      <c r="K94" s="907">
        <f t="shared" si="34"/>
        <v>0</v>
      </c>
      <c r="L94" s="142" t="e">
        <f t="shared" si="46"/>
        <v>#REF!</v>
      </c>
      <c r="M94" s="907">
        <f t="shared" si="35"/>
        <v>0</v>
      </c>
      <c r="N94" s="142" t="e">
        <f t="shared" si="46"/>
        <v>#REF!</v>
      </c>
      <c r="O94" s="907">
        <f t="shared" si="36"/>
        <v>0</v>
      </c>
      <c r="P94" s="142" t="e">
        <f t="shared" si="46"/>
        <v>#REF!</v>
      </c>
      <c r="Q94" s="907">
        <f t="shared" si="37"/>
        <v>0</v>
      </c>
      <c r="R94" s="142" t="e">
        <f t="shared" si="46"/>
        <v>#REF!</v>
      </c>
      <c r="S94" s="910">
        <f t="shared" si="38"/>
        <v>0</v>
      </c>
      <c r="T94" s="142" t="e">
        <f t="shared" si="46"/>
        <v>#REF!</v>
      </c>
      <c r="U94" s="910">
        <f t="shared" si="39"/>
        <v>0</v>
      </c>
      <c r="V94" s="142" t="e">
        <f t="shared" si="46"/>
        <v>#REF!</v>
      </c>
      <c r="W94" s="910">
        <f t="shared" si="40"/>
        <v>0</v>
      </c>
      <c r="X94" s="142" t="e">
        <f t="shared" si="46"/>
        <v>#REF!</v>
      </c>
      <c r="Y94" s="910">
        <f t="shared" si="41"/>
        <v>0</v>
      </c>
      <c r="Z94" s="142" t="e">
        <f t="shared" si="46"/>
        <v>#REF!</v>
      </c>
      <c r="AB94" s="104"/>
      <c r="AC94" s="104"/>
      <c r="AE94" s="149"/>
    </row>
    <row r="95" spans="1:31">
      <c r="C95" s="494"/>
      <c r="D95" s="21"/>
      <c r="E95" s="21"/>
      <c r="F95" s="192"/>
      <c r="G95" s="909">
        <f t="shared" si="32"/>
        <v>0</v>
      </c>
      <c r="H95" s="21"/>
      <c r="I95" s="910">
        <f t="shared" si="33"/>
        <v>0</v>
      </c>
      <c r="J95" s="21"/>
      <c r="K95" s="907">
        <f t="shared" si="34"/>
        <v>0</v>
      </c>
      <c r="L95" s="21"/>
      <c r="M95" s="907">
        <f t="shared" si="35"/>
        <v>0</v>
      </c>
      <c r="N95" s="73"/>
      <c r="O95" s="907">
        <f t="shared" si="36"/>
        <v>0</v>
      </c>
      <c r="P95" s="73"/>
      <c r="Q95" s="907">
        <f t="shared" si="37"/>
        <v>0</v>
      </c>
      <c r="R95" s="73"/>
      <c r="S95" s="910">
        <f t="shared" si="38"/>
        <v>0</v>
      </c>
      <c r="T95" s="21"/>
      <c r="U95" s="910">
        <f t="shared" si="39"/>
        <v>0</v>
      </c>
      <c r="V95" s="192"/>
      <c r="W95" s="910">
        <f t="shared" si="40"/>
        <v>0</v>
      </c>
      <c r="X95" s="21"/>
      <c r="Y95" s="910">
        <f t="shared" si="41"/>
        <v>0</v>
      </c>
      <c r="Z95" s="21"/>
    </row>
    <row r="96" spans="1:31">
      <c r="C96" s="494"/>
      <c r="E96" s="494"/>
      <c r="G96" s="909">
        <f t="shared" si="32"/>
        <v>0</v>
      </c>
      <c r="I96" s="910">
        <f t="shared" si="33"/>
        <v>0</v>
      </c>
      <c r="J96" s="8"/>
      <c r="K96" s="907">
        <f t="shared" si="34"/>
        <v>0</v>
      </c>
      <c r="M96" s="907">
        <f t="shared" si="35"/>
        <v>0</v>
      </c>
      <c r="N96" s="63"/>
      <c r="O96" s="907">
        <f t="shared" si="36"/>
        <v>0</v>
      </c>
      <c r="Q96" s="907">
        <f t="shared" si="37"/>
        <v>0</v>
      </c>
      <c r="R96" s="8"/>
      <c r="S96" s="910">
        <f t="shared" si="38"/>
        <v>0</v>
      </c>
      <c r="U96" s="910">
        <f t="shared" si="39"/>
        <v>0</v>
      </c>
      <c r="W96" s="910">
        <f t="shared" si="40"/>
        <v>0</v>
      </c>
      <c r="X96" s="8"/>
      <c r="Y96" s="910">
        <f t="shared" si="41"/>
        <v>0</v>
      </c>
    </row>
    <row r="97" spans="1:27">
      <c r="C97" s="494"/>
      <c r="D97" s="21"/>
      <c r="E97" s="21"/>
      <c r="F97" s="21"/>
      <c r="G97" s="909">
        <f t="shared" si="32"/>
        <v>0</v>
      </c>
      <c r="H97" s="21"/>
      <c r="I97" s="910">
        <f t="shared" si="33"/>
        <v>0</v>
      </c>
      <c r="J97" s="21"/>
      <c r="K97" s="907">
        <f t="shared" si="34"/>
        <v>0</v>
      </c>
      <c r="L97" s="21"/>
      <c r="M97" s="907">
        <f t="shared" si="35"/>
        <v>0</v>
      </c>
      <c r="N97" s="21"/>
      <c r="O97" s="907">
        <f t="shared" si="36"/>
        <v>0</v>
      </c>
      <c r="P97" s="21"/>
      <c r="Q97" s="907">
        <f t="shared" si="37"/>
        <v>0</v>
      </c>
      <c r="R97" s="21"/>
      <c r="S97" s="910">
        <f t="shared" si="38"/>
        <v>0</v>
      </c>
      <c r="T97" s="21"/>
      <c r="U97" s="910">
        <f t="shared" si="39"/>
        <v>0</v>
      </c>
      <c r="V97" s="21"/>
      <c r="W97" s="910">
        <f t="shared" si="40"/>
        <v>0</v>
      </c>
      <c r="X97" s="21"/>
      <c r="Y97" s="910">
        <f t="shared" si="41"/>
        <v>0</v>
      </c>
      <c r="Z97" s="21"/>
    </row>
    <row r="98" spans="1:27">
      <c r="A98" s="493" t="s">
        <v>618</v>
      </c>
      <c r="B98" s="156" t="e">
        <f>+B13</f>
        <v>#REF!</v>
      </c>
      <c r="C98" s="156"/>
      <c r="D98" s="156" t="e">
        <f t="shared" ref="D98:Z98" si="47">+D13</f>
        <v>#REF!</v>
      </c>
      <c r="E98" s="156"/>
      <c r="F98" s="156" t="e">
        <f t="shared" si="47"/>
        <v>#REF!</v>
      </c>
      <c r="G98" s="909">
        <f t="shared" si="32"/>
        <v>0</v>
      </c>
      <c r="H98" s="156" t="e">
        <f t="shared" si="47"/>
        <v>#REF!</v>
      </c>
      <c r="I98" s="910">
        <f t="shared" si="33"/>
        <v>0</v>
      </c>
      <c r="J98" s="156" t="e">
        <f t="shared" si="47"/>
        <v>#REF!</v>
      </c>
      <c r="K98" s="907">
        <f t="shared" si="34"/>
        <v>0</v>
      </c>
      <c r="L98" s="156" t="e">
        <f t="shared" si="47"/>
        <v>#REF!</v>
      </c>
      <c r="M98" s="907">
        <f t="shared" si="35"/>
        <v>0</v>
      </c>
      <c r="N98" s="156" t="e">
        <f t="shared" si="47"/>
        <v>#REF!</v>
      </c>
      <c r="O98" s="907">
        <f t="shared" si="36"/>
        <v>0</v>
      </c>
      <c r="P98" s="156" t="e">
        <f t="shared" si="47"/>
        <v>#REF!</v>
      </c>
      <c r="Q98" s="907">
        <f t="shared" si="37"/>
        <v>0</v>
      </c>
      <c r="R98" s="156" t="e">
        <f t="shared" si="47"/>
        <v>#REF!</v>
      </c>
      <c r="S98" s="910">
        <f t="shared" si="38"/>
        <v>0</v>
      </c>
      <c r="T98" s="156" t="e">
        <f t="shared" si="47"/>
        <v>#REF!</v>
      </c>
      <c r="U98" s="910">
        <f t="shared" si="39"/>
        <v>0</v>
      </c>
      <c r="V98" s="156" t="e">
        <f t="shared" si="47"/>
        <v>#REF!</v>
      </c>
      <c r="W98" s="910">
        <f t="shared" si="40"/>
        <v>0</v>
      </c>
      <c r="X98" s="156" t="e">
        <f t="shared" si="47"/>
        <v>#REF!</v>
      </c>
      <c r="Y98" s="910">
        <f t="shared" si="41"/>
        <v>0</v>
      </c>
      <c r="Z98" s="156" t="e">
        <f t="shared" si="47"/>
        <v>#REF!</v>
      </c>
    </row>
    <row r="99" spans="1:27">
      <c r="B99" s="21">
        <f>'SPL 25 USD'!B128</f>
        <v>0</v>
      </c>
      <c r="C99" s="21"/>
      <c r="D99" s="21">
        <f>B99</f>
        <v>0</v>
      </c>
      <c r="E99" s="21"/>
      <c r="F99" s="21">
        <f>D99</f>
        <v>0</v>
      </c>
      <c r="G99" s="909">
        <f t="shared" si="32"/>
        <v>0</v>
      </c>
      <c r="H99" s="21">
        <f>F99</f>
        <v>0</v>
      </c>
      <c r="I99" s="910">
        <f t="shared" si="33"/>
        <v>0</v>
      </c>
      <c r="J99" s="21">
        <f>H99</f>
        <v>0</v>
      </c>
      <c r="K99" s="907">
        <f t="shared" si="34"/>
        <v>0</v>
      </c>
      <c r="L99" s="21">
        <f>J99</f>
        <v>0</v>
      </c>
      <c r="M99" s="907">
        <f t="shared" si="35"/>
        <v>0</v>
      </c>
      <c r="N99" s="21">
        <f>L99</f>
        <v>0</v>
      </c>
      <c r="O99" s="907">
        <f t="shared" si="36"/>
        <v>0</v>
      </c>
      <c r="P99" s="21">
        <f>N99</f>
        <v>0</v>
      </c>
      <c r="Q99" s="907">
        <f t="shared" si="37"/>
        <v>0</v>
      </c>
      <c r="R99" s="21">
        <f>P99</f>
        <v>0</v>
      </c>
      <c r="S99" s="910">
        <f t="shared" si="38"/>
        <v>0</v>
      </c>
      <c r="T99" s="21">
        <f>R99</f>
        <v>0</v>
      </c>
      <c r="U99" s="910">
        <f t="shared" si="39"/>
        <v>0</v>
      </c>
      <c r="V99" s="21">
        <f>T99</f>
        <v>0</v>
      </c>
      <c r="W99" s="910">
        <f t="shared" si="40"/>
        <v>0</v>
      </c>
      <c r="X99" s="21">
        <f>V99</f>
        <v>0</v>
      </c>
      <c r="Y99" s="910">
        <f t="shared" si="41"/>
        <v>0</v>
      </c>
      <c r="Z99" s="21">
        <f>X99</f>
        <v>0</v>
      </c>
    </row>
    <row r="100" spans="1:27">
      <c r="A100" s="229" t="s">
        <v>54</v>
      </c>
      <c r="B100" s="21" t="s">
        <v>3</v>
      </c>
      <c r="C100" s="21"/>
      <c r="D100" s="21" t="s">
        <v>4</v>
      </c>
      <c r="E100" s="21"/>
      <c r="F100" s="21" t="s">
        <v>5</v>
      </c>
      <c r="G100" s="909">
        <f t="shared" si="32"/>
        <v>0</v>
      </c>
      <c r="H100" s="21" t="s">
        <v>6</v>
      </c>
      <c r="I100" s="910">
        <f t="shared" si="33"/>
        <v>0</v>
      </c>
      <c r="J100" s="21" t="s">
        <v>7</v>
      </c>
      <c r="K100" s="907">
        <f t="shared" si="34"/>
        <v>0</v>
      </c>
      <c r="L100" s="21" t="s">
        <v>8</v>
      </c>
      <c r="M100" s="907">
        <f t="shared" si="35"/>
        <v>0</v>
      </c>
      <c r="N100" s="21" t="s">
        <v>9</v>
      </c>
      <c r="O100" s="907">
        <f t="shared" si="36"/>
        <v>0</v>
      </c>
      <c r="P100" s="21" t="s">
        <v>10</v>
      </c>
      <c r="Q100" s="907">
        <f t="shared" si="37"/>
        <v>0</v>
      </c>
      <c r="R100" s="21" t="s">
        <v>11</v>
      </c>
      <c r="S100" s="910">
        <f t="shared" si="38"/>
        <v>0</v>
      </c>
      <c r="T100" s="21" t="s">
        <v>12</v>
      </c>
      <c r="U100" s="910">
        <f t="shared" si="39"/>
        <v>0</v>
      </c>
      <c r="V100" s="21" t="s">
        <v>13</v>
      </c>
      <c r="W100" s="910">
        <f t="shared" si="40"/>
        <v>0</v>
      </c>
      <c r="X100" s="21" t="s">
        <v>14</v>
      </c>
      <c r="Y100" s="910">
        <f t="shared" si="41"/>
        <v>0</v>
      </c>
      <c r="Z100" s="21" t="s">
        <v>51</v>
      </c>
    </row>
    <row r="101" spans="1:27">
      <c r="A101" s="172" t="s">
        <v>424</v>
      </c>
      <c r="B101" s="20" t="e">
        <f t="shared" ref="B101:Z101" si="48">+B16+B17+B18+B19+B20+B21+B22+B23+B24+B25+B26+B37</f>
        <v>#REF!</v>
      </c>
      <c r="C101" s="913" t="e">
        <f t="shared" ref="C101:C106" si="49">+B101/$B$13</f>
        <v>#REF!</v>
      </c>
      <c r="D101" s="20" t="e">
        <f t="shared" si="48"/>
        <v>#REF!</v>
      </c>
      <c r="E101" s="909">
        <f t="shared" ref="E101:E106" si="50">IFERROR(D101/$D$13,0)</f>
        <v>0</v>
      </c>
      <c r="F101" s="20" t="e">
        <f t="shared" si="48"/>
        <v>#REF!</v>
      </c>
      <c r="G101" s="909">
        <f t="shared" si="32"/>
        <v>0</v>
      </c>
      <c r="H101" s="20" t="e">
        <f t="shared" si="48"/>
        <v>#REF!</v>
      </c>
      <c r="I101" s="910">
        <f t="shared" si="33"/>
        <v>0</v>
      </c>
      <c r="J101" s="20" t="e">
        <f t="shared" si="48"/>
        <v>#REF!</v>
      </c>
      <c r="K101" s="907">
        <f t="shared" si="34"/>
        <v>0</v>
      </c>
      <c r="L101" s="20" t="e">
        <f t="shared" si="48"/>
        <v>#REF!</v>
      </c>
      <c r="M101" s="907">
        <f t="shared" si="35"/>
        <v>0</v>
      </c>
      <c r="N101" s="20" t="e">
        <f t="shared" si="48"/>
        <v>#REF!</v>
      </c>
      <c r="O101" s="907">
        <f t="shared" si="36"/>
        <v>0</v>
      </c>
      <c r="P101" s="20" t="e">
        <f t="shared" si="48"/>
        <v>#REF!</v>
      </c>
      <c r="Q101" s="907">
        <f t="shared" si="37"/>
        <v>0</v>
      </c>
      <c r="R101" s="20" t="e">
        <f t="shared" si="48"/>
        <v>#REF!</v>
      </c>
      <c r="S101" s="910">
        <f t="shared" si="38"/>
        <v>0</v>
      </c>
      <c r="T101" s="20" t="e">
        <f t="shared" si="48"/>
        <v>#REF!</v>
      </c>
      <c r="U101" s="910">
        <f t="shared" si="39"/>
        <v>0</v>
      </c>
      <c r="V101" s="20" t="e">
        <f t="shared" si="48"/>
        <v>#REF!</v>
      </c>
      <c r="W101" s="910">
        <f t="shared" si="40"/>
        <v>0</v>
      </c>
      <c r="X101" s="20" t="e">
        <f t="shared" si="48"/>
        <v>#REF!</v>
      </c>
      <c r="Y101" s="910">
        <f t="shared" si="41"/>
        <v>0</v>
      </c>
      <c r="Z101" s="20" t="e">
        <f t="shared" si="48"/>
        <v>#REF!</v>
      </c>
      <c r="AA101" s="913" t="e">
        <f t="shared" ref="AA101:AA106" si="51">+Z101/$Z$13</f>
        <v>#REF!</v>
      </c>
    </row>
    <row r="102" spans="1:27">
      <c r="A102" s="172" t="s">
        <v>425</v>
      </c>
      <c r="B102" s="20" t="e">
        <f>+B29+B30+B31+B32+B33+B35+B36+B28+B40</f>
        <v>#REF!</v>
      </c>
      <c r="C102" s="913" t="e">
        <f t="shared" si="49"/>
        <v>#REF!</v>
      </c>
      <c r="D102" s="20" t="e">
        <f>+D29+D30+D31+D32+D33+D35+D36+D28+D40</f>
        <v>#REF!</v>
      </c>
      <c r="E102" s="909">
        <f t="shared" si="50"/>
        <v>0</v>
      </c>
      <c r="F102" s="20" t="e">
        <f>+F29+F30+F31+F32+F33+F35+F36+F28+F40</f>
        <v>#REF!</v>
      </c>
      <c r="G102" s="909">
        <f t="shared" si="32"/>
        <v>0</v>
      </c>
      <c r="H102" s="20" t="e">
        <f>+H29+H30+H31+H32+H33+H35+H36+H28+H40</f>
        <v>#REF!</v>
      </c>
      <c r="I102" s="910">
        <f t="shared" si="33"/>
        <v>0</v>
      </c>
      <c r="J102" s="20" t="e">
        <f>+J29+J30+J31+J32+J33+J35+J36+J28+J40</f>
        <v>#REF!</v>
      </c>
      <c r="K102" s="907">
        <f t="shared" si="34"/>
        <v>0</v>
      </c>
      <c r="L102" s="20" t="e">
        <f>+L29+L30+L31+L32+L33+L35+L36+L28+L40</f>
        <v>#REF!</v>
      </c>
      <c r="M102" s="907">
        <f t="shared" si="35"/>
        <v>0</v>
      </c>
      <c r="N102" s="20" t="e">
        <f>+N29+N30+N31+N32+N33+N35+N36+N28+N40</f>
        <v>#REF!</v>
      </c>
      <c r="O102" s="907">
        <f t="shared" si="36"/>
        <v>0</v>
      </c>
      <c r="P102" s="20" t="e">
        <f>+P29+P30+P31+P32+P33+P35+P36+P28+P40</f>
        <v>#REF!</v>
      </c>
      <c r="Q102" s="907">
        <f t="shared" si="37"/>
        <v>0</v>
      </c>
      <c r="R102" s="20" t="e">
        <f>+R29+R30+R31+R32+R33+R35+R36+R28+R40</f>
        <v>#REF!</v>
      </c>
      <c r="S102" s="910">
        <f t="shared" si="38"/>
        <v>0</v>
      </c>
      <c r="T102" s="20" t="e">
        <f>+T29+T30+T31+T32+T33+T35+T36+T28+T40</f>
        <v>#REF!</v>
      </c>
      <c r="U102" s="910">
        <f t="shared" si="39"/>
        <v>0</v>
      </c>
      <c r="V102" s="20" t="e">
        <f>+V29+V30+V31+V32+V33+V35+V36+V28+V40</f>
        <v>#REF!</v>
      </c>
      <c r="W102" s="910">
        <f t="shared" si="40"/>
        <v>0</v>
      </c>
      <c r="X102" s="20" t="e">
        <f>+X29+X30+X31+X32+X33+X35+X36+X28+X40</f>
        <v>#REF!</v>
      </c>
      <c r="Y102" s="910">
        <f t="shared" si="41"/>
        <v>0</v>
      </c>
      <c r="Z102" s="20" t="e">
        <f>+Z29+Z30+Z31+Z32+Z33+Z35+Z36+Z28</f>
        <v>#REF!</v>
      </c>
      <c r="AA102" s="913" t="e">
        <f t="shared" si="51"/>
        <v>#REF!</v>
      </c>
    </row>
    <row r="103" spans="1:27">
      <c r="A103" s="172" t="s">
        <v>426</v>
      </c>
      <c r="B103" s="20" t="e">
        <f t="shared" ref="B103:Z103" si="52">+B34+B38+B42</f>
        <v>#REF!</v>
      </c>
      <c r="C103" s="913" t="e">
        <f t="shared" si="49"/>
        <v>#REF!</v>
      </c>
      <c r="D103" s="20" t="e">
        <f t="shared" si="52"/>
        <v>#REF!</v>
      </c>
      <c r="E103" s="909">
        <f t="shared" si="50"/>
        <v>0</v>
      </c>
      <c r="F103" s="20" t="e">
        <f t="shared" si="52"/>
        <v>#REF!</v>
      </c>
      <c r="G103" s="909">
        <f t="shared" si="32"/>
        <v>0</v>
      </c>
      <c r="H103" s="20" t="e">
        <f t="shared" si="52"/>
        <v>#REF!</v>
      </c>
      <c r="I103" s="910">
        <f t="shared" si="33"/>
        <v>0</v>
      </c>
      <c r="J103" s="20" t="e">
        <f t="shared" si="52"/>
        <v>#REF!</v>
      </c>
      <c r="K103" s="907">
        <f t="shared" si="34"/>
        <v>0</v>
      </c>
      <c r="L103" s="20" t="e">
        <f t="shared" si="52"/>
        <v>#REF!</v>
      </c>
      <c r="M103" s="907">
        <f t="shared" si="35"/>
        <v>0</v>
      </c>
      <c r="N103" s="20" t="e">
        <f t="shared" si="52"/>
        <v>#REF!</v>
      </c>
      <c r="O103" s="907">
        <f t="shared" si="36"/>
        <v>0</v>
      </c>
      <c r="P103" s="20" t="e">
        <f t="shared" si="52"/>
        <v>#REF!</v>
      </c>
      <c r="Q103" s="907">
        <f t="shared" si="37"/>
        <v>0</v>
      </c>
      <c r="R103" s="20" t="e">
        <f t="shared" si="52"/>
        <v>#REF!</v>
      </c>
      <c r="S103" s="910">
        <f t="shared" si="38"/>
        <v>0</v>
      </c>
      <c r="T103" s="20" t="e">
        <f t="shared" si="52"/>
        <v>#REF!</v>
      </c>
      <c r="U103" s="910">
        <f t="shared" si="39"/>
        <v>0</v>
      </c>
      <c r="V103" s="20" t="e">
        <f t="shared" si="52"/>
        <v>#REF!</v>
      </c>
      <c r="W103" s="910">
        <f t="shared" si="40"/>
        <v>0</v>
      </c>
      <c r="X103" s="20" t="e">
        <f t="shared" si="52"/>
        <v>#REF!</v>
      </c>
      <c r="Y103" s="910">
        <f t="shared" si="41"/>
        <v>0</v>
      </c>
      <c r="Z103" s="20" t="e">
        <f t="shared" si="52"/>
        <v>#REF!</v>
      </c>
      <c r="AA103" s="913" t="e">
        <f t="shared" si="51"/>
        <v>#REF!</v>
      </c>
    </row>
    <row r="104" spans="1:27">
      <c r="A104" s="172" t="s">
        <v>427</v>
      </c>
      <c r="B104" s="20" t="e">
        <f t="shared" ref="B104:Z104" si="53">+B46</f>
        <v>#REF!</v>
      </c>
      <c r="C104" s="913" t="e">
        <f t="shared" si="49"/>
        <v>#REF!</v>
      </c>
      <c r="D104" s="20" t="e">
        <f t="shared" si="53"/>
        <v>#REF!</v>
      </c>
      <c r="E104" s="909">
        <f t="shared" si="50"/>
        <v>0</v>
      </c>
      <c r="F104" s="20" t="e">
        <f t="shared" si="53"/>
        <v>#REF!</v>
      </c>
      <c r="G104" s="909">
        <f t="shared" si="32"/>
        <v>0</v>
      </c>
      <c r="H104" s="20" t="e">
        <f t="shared" si="53"/>
        <v>#REF!</v>
      </c>
      <c r="I104" s="910">
        <f t="shared" si="33"/>
        <v>0</v>
      </c>
      <c r="J104" s="20" t="e">
        <f t="shared" si="53"/>
        <v>#REF!</v>
      </c>
      <c r="K104" s="907">
        <f t="shared" si="34"/>
        <v>0</v>
      </c>
      <c r="L104" s="20" t="e">
        <f t="shared" si="53"/>
        <v>#REF!</v>
      </c>
      <c r="M104" s="907">
        <f t="shared" si="35"/>
        <v>0</v>
      </c>
      <c r="N104" s="20" t="e">
        <f t="shared" si="53"/>
        <v>#REF!</v>
      </c>
      <c r="O104" s="907">
        <f t="shared" si="36"/>
        <v>0</v>
      </c>
      <c r="P104" s="20" t="e">
        <f t="shared" si="53"/>
        <v>#REF!</v>
      </c>
      <c r="Q104" s="907">
        <f t="shared" si="37"/>
        <v>0</v>
      </c>
      <c r="R104" s="20" t="e">
        <f t="shared" si="53"/>
        <v>#REF!</v>
      </c>
      <c r="S104" s="910">
        <f t="shared" si="38"/>
        <v>0</v>
      </c>
      <c r="T104" s="20" t="e">
        <f t="shared" si="53"/>
        <v>#REF!</v>
      </c>
      <c r="U104" s="910">
        <f t="shared" si="39"/>
        <v>0</v>
      </c>
      <c r="V104" s="20" t="e">
        <f t="shared" si="53"/>
        <v>#REF!</v>
      </c>
      <c r="W104" s="910">
        <f t="shared" si="40"/>
        <v>0</v>
      </c>
      <c r="X104" s="20" t="e">
        <f t="shared" si="53"/>
        <v>#REF!</v>
      </c>
      <c r="Y104" s="910">
        <f t="shared" si="41"/>
        <v>0</v>
      </c>
      <c r="Z104" s="20" t="e">
        <f t="shared" si="53"/>
        <v>#REF!</v>
      </c>
      <c r="AA104" s="913" t="e">
        <f t="shared" si="51"/>
        <v>#REF!</v>
      </c>
    </row>
    <row r="105" spans="1:27">
      <c r="A105" s="1" t="s">
        <v>428</v>
      </c>
      <c r="B105" s="20" t="e">
        <f t="shared" ref="B105:Z105" si="54">+B43+B44+B41+B47+B39</f>
        <v>#REF!</v>
      </c>
      <c r="C105" s="913" t="e">
        <f t="shared" si="49"/>
        <v>#REF!</v>
      </c>
      <c r="D105" s="20" t="e">
        <f t="shared" si="54"/>
        <v>#REF!</v>
      </c>
      <c r="E105" s="909">
        <f t="shared" si="50"/>
        <v>0</v>
      </c>
      <c r="F105" s="20" t="e">
        <f t="shared" si="54"/>
        <v>#REF!</v>
      </c>
      <c r="G105" s="909">
        <f t="shared" si="32"/>
        <v>0</v>
      </c>
      <c r="H105" s="20" t="e">
        <f t="shared" si="54"/>
        <v>#REF!</v>
      </c>
      <c r="I105" s="910">
        <f t="shared" si="33"/>
        <v>0</v>
      </c>
      <c r="J105" s="20" t="e">
        <f t="shared" si="54"/>
        <v>#REF!</v>
      </c>
      <c r="K105" s="907">
        <f t="shared" si="34"/>
        <v>0</v>
      </c>
      <c r="L105" s="20" t="e">
        <f t="shared" si="54"/>
        <v>#REF!</v>
      </c>
      <c r="M105" s="907">
        <f t="shared" si="35"/>
        <v>0</v>
      </c>
      <c r="N105" s="20" t="e">
        <f t="shared" si="54"/>
        <v>#REF!</v>
      </c>
      <c r="O105" s="907">
        <f t="shared" si="36"/>
        <v>0</v>
      </c>
      <c r="P105" s="20" t="e">
        <f t="shared" si="54"/>
        <v>#REF!</v>
      </c>
      <c r="Q105" s="907">
        <f t="shared" si="37"/>
        <v>0</v>
      </c>
      <c r="R105" s="20" t="e">
        <f t="shared" si="54"/>
        <v>#REF!</v>
      </c>
      <c r="S105" s="910">
        <f t="shared" si="38"/>
        <v>0</v>
      </c>
      <c r="T105" s="20" t="e">
        <f t="shared" si="54"/>
        <v>#REF!</v>
      </c>
      <c r="U105" s="910">
        <f t="shared" si="39"/>
        <v>0</v>
      </c>
      <c r="V105" s="20" t="e">
        <f t="shared" si="54"/>
        <v>#REF!</v>
      </c>
      <c r="W105" s="910">
        <f t="shared" si="40"/>
        <v>0</v>
      </c>
      <c r="X105" s="20" t="e">
        <f t="shared" si="54"/>
        <v>#REF!</v>
      </c>
      <c r="Y105" s="910">
        <f t="shared" si="41"/>
        <v>0</v>
      </c>
      <c r="Z105" s="20" t="e">
        <f t="shared" si="54"/>
        <v>#REF!</v>
      </c>
      <c r="AA105" s="913" t="e">
        <f t="shared" si="51"/>
        <v>#REF!</v>
      </c>
    </row>
    <row r="106" spans="1:27" ht="13.5" thickBot="1">
      <c r="B106" s="173" t="e">
        <f>SUM(B101:B105)</f>
        <v>#REF!</v>
      </c>
      <c r="C106" s="913" t="e">
        <f t="shared" si="49"/>
        <v>#REF!</v>
      </c>
      <c r="D106" s="173" t="e">
        <f t="shared" ref="D106:Z106" si="55">SUM(D101:D105)</f>
        <v>#REF!</v>
      </c>
      <c r="E106" s="909">
        <f t="shared" si="50"/>
        <v>0</v>
      </c>
      <c r="F106" s="173" t="e">
        <f t="shared" si="55"/>
        <v>#REF!</v>
      </c>
      <c r="G106" s="909">
        <f t="shared" si="32"/>
        <v>0</v>
      </c>
      <c r="H106" s="173" t="e">
        <f t="shared" si="55"/>
        <v>#REF!</v>
      </c>
      <c r="I106" s="910">
        <f t="shared" si="33"/>
        <v>0</v>
      </c>
      <c r="J106" s="173" t="e">
        <f t="shared" si="55"/>
        <v>#REF!</v>
      </c>
      <c r="K106" s="907">
        <f t="shared" si="34"/>
        <v>0</v>
      </c>
      <c r="L106" s="173" t="e">
        <f t="shared" si="55"/>
        <v>#REF!</v>
      </c>
      <c r="M106" s="907">
        <f t="shared" si="35"/>
        <v>0</v>
      </c>
      <c r="N106" s="173" t="e">
        <f t="shared" si="55"/>
        <v>#REF!</v>
      </c>
      <c r="O106" s="907">
        <f t="shared" si="36"/>
        <v>0</v>
      </c>
      <c r="P106" s="173" t="e">
        <f t="shared" si="55"/>
        <v>#REF!</v>
      </c>
      <c r="Q106" s="907">
        <f t="shared" si="37"/>
        <v>0</v>
      </c>
      <c r="R106" s="173" t="e">
        <f t="shared" si="55"/>
        <v>#REF!</v>
      </c>
      <c r="S106" s="910">
        <f t="shared" si="38"/>
        <v>0</v>
      </c>
      <c r="T106" s="173" t="e">
        <f t="shared" si="55"/>
        <v>#REF!</v>
      </c>
      <c r="U106" s="910">
        <f t="shared" si="39"/>
        <v>0</v>
      </c>
      <c r="V106" s="173" t="e">
        <f t="shared" si="55"/>
        <v>#REF!</v>
      </c>
      <c r="W106" s="910">
        <f t="shared" si="40"/>
        <v>0</v>
      </c>
      <c r="X106" s="173" t="e">
        <f t="shared" si="55"/>
        <v>#REF!</v>
      </c>
      <c r="Y106" s="910">
        <f t="shared" si="41"/>
        <v>0</v>
      </c>
      <c r="Z106" s="173" t="e">
        <f t="shared" si="55"/>
        <v>#REF!</v>
      </c>
      <c r="AA106" s="913" t="e">
        <f t="shared" si="51"/>
        <v>#REF!</v>
      </c>
    </row>
    <row r="107" spans="1:27">
      <c r="C107" s="494"/>
      <c r="E107" s="494"/>
      <c r="G107" s="909">
        <f t="shared" si="32"/>
        <v>0</v>
      </c>
      <c r="I107" s="910">
        <f t="shared" si="33"/>
        <v>0</v>
      </c>
      <c r="K107" s="907">
        <f t="shared" si="34"/>
        <v>0</v>
      </c>
      <c r="M107" s="907">
        <f t="shared" si="35"/>
        <v>0</v>
      </c>
      <c r="O107" s="907">
        <f t="shared" si="36"/>
        <v>0</v>
      </c>
      <c r="Q107" s="907">
        <f t="shared" si="37"/>
        <v>0</v>
      </c>
      <c r="S107" s="910">
        <f t="shared" si="38"/>
        <v>0</v>
      </c>
      <c r="U107" s="910">
        <f t="shared" si="39"/>
        <v>0</v>
      </c>
      <c r="W107" s="910">
        <f t="shared" si="40"/>
        <v>0</v>
      </c>
      <c r="Y107" s="910">
        <f t="shared" si="41"/>
        <v>0</v>
      </c>
    </row>
    <row r="108" spans="1:27">
      <c r="A108" s="187"/>
      <c r="B108" s="179" t="e">
        <f>+B106-B49</f>
        <v>#REF!</v>
      </c>
      <c r="C108" s="902"/>
      <c r="D108" s="179" t="e">
        <f t="shared" ref="D108:Z108" si="56">+D106-D49</f>
        <v>#REF!</v>
      </c>
      <c r="E108" s="902"/>
      <c r="F108" s="179" t="e">
        <f t="shared" si="56"/>
        <v>#REF!</v>
      </c>
      <c r="G108" s="909">
        <f t="shared" si="32"/>
        <v>0</v>
      </c>
      <c r="H108" s="179" t="e">
        <f t="shared" si="56"/>
        <v>#REF!</v>
      </c>
      <c r="I108" s="910">
        <f t="shared" si="33"/>
        <v>0</v>
      </c>
      <c r="J108" s="179" t="e">
        <f t="shared" si="56"/>
        <v>#REF!</v>
      </c>
      <c r="K108" s="907">
        <f t="shared" si="34"/>
        <v>0</v>
      </c>
      <c r="L108" s="179" t="e">
        <f t="shared" si="56"/>
        <v>#REF!</v>
      </c>
      <c r="M108" s="907">
        <f t="shared" si="35"/>
        <v>0</v>
      </c>
      <c r="N108" s="179" t="e">
        <f t="shared" si="56"/>
        <v>#REF!</v>
      </c>
      <c r="O108" s="907">
        <f t="shared" si="36"/>
        <v>0</v>
      </c>
      <c r="P108" s="179" t="e">
        <f t="shared" si="56"/>
        <v>#REF!</v>
      </c>
      <c r="Q108" s="907">
        <f t="shared" si="37"/>
        <v>0</v>
      </c>
      <c r="R108" s="179" t="e">
        <f t="shared" si="56"/>
        <v>#REF!</v>
      </c>
      <c r="S108" s="910">
        <f t="shared" si="38"/>
        <v>0</v>
      </c>
      <c r="T108" s="179" t="e">
        <f t="shared" si="56"/>
        <v>#REF!</v>
      </c>
      <c r="U108" s="910">
        <f t="shared" si="39"/>
        <v>0</v>
      </c>
      <c r="V108" s="179" t="e">
        <f t="shared" si="56"/>
        <v>#REF!</v>
      </c>
      <c r="W108" s="910">
        <f t="shared" si="40"/>
        <v>0</v>
      </c>
      <c r="X108" s="179" t="e">
        <f t="shared" si="56"/>
        <v>#REF!</v>
      </c>
      <c r="Y108" s="910">
        <f t="shared" si="41"/>
        <v>0</v>
      </c>
      <c r="Z108" s="179" t="e">
        <f t="shared" si="56"/>
        <v>#REF!</v>
      </c>
    </row>
    <row r="109" spans="1:27">
      <c r="A109" s="326" t="s">
        <v>619</v>
      </c>
      <c r="C109" s="494"/>
      <c r="E109" s="494"/>
      <c r="G109" s="909">
        <f t="shared" si="32"/>
        <v>0</v>
      </c>
      <c r="I109" s="910">
        <f t="shared" si="33"/>
        <v>0</v>
      </c>
      <c r="K109" s="907">
        <f t="shared" si="34"/>
        <v>0</v>
      </c>
      <c r="M109" s="907">
        <f t="shared" si="35"/>
        <v>0</v>
      </c>
      <c r="O109" s="907">
        <f t="shared" si="36"/>
        <v>0</v>
      </c>
      <c r="Q109" s="907">
        <f t="shared" si="37"/>
        <v>0</v>
      </c>
      <c r="S109" s="910">
        <f t="shared" si="38"/>
        <v>0</v>
      </c>
      <c r="U109" s="910">
        <f t="shared" si="39"/>
        <v>0</v>
      </c>
      <c r="W109" s="910">
        <f t="shared" si="40"/>
        <v>0</v>
      </c>
      <c r="Y109" s="910">
        <f t="shared" si="41"/>
        <v>0</v>
      </c>
    </row>
    <row r="110" spans="1:27">
      <c r="C110" s="494"/>
      <c r="E110" s="494"/>
      <c r="G110" s="909">
        <f t="shared" si="32"/>
        <v>0</v>
      </c>
      <c r="I110" s="910">
        <f t="shared" si="33"/>
        <v>0</v>
      </c>
      <c r="K110" s="907">
        <f t="shared" si="34"/>
        <v>0</v>
      </c>
      <c r="M110" s="907">
        <f t="shared" si="35"/>
        <v>0</v>
      </c>
      <c r="O110" s="907">
        <f t="shared" si="36"/>
        <v>0</v>
      </c>
      <c r="Q110" s="907">
        <f t="shared" si="37"/>
        <v>0</v>
      </c>
      <c r="S110" s="910">
        <f t="shared" si="38"/>
        <v>0</v>
      </c>
      <c r="U110" s="910">
        <f t="shared" si="39"/>
        <v>0</v>
      </c>
      <c r="W110" s="910">
        <f t="shared" si="40"/>
        <v>0</v>
      </c>
      <c r="Y110" s="910">
        <f t="shared" si="41"/>
        <v>0</v>
      </c>
    </row>
    <row r="111" spans="1:27">
      <c r="A111" s="172" t="s">
        <v>424</v>
      </c>
      <c r="B111" s="20" t="e">
        <f t="shared" ref="B111:Z111" si="57">+B53+B54+B55+B56+B70</f>
        <v>#REF!</v>
      </c>
      <c r="C111" s="908" t="e">
        <f t="shared" ref="C111:C117" si="58">+B111/$B$13</f>
        <v>#REF!</v>
      </c>
      <c r="D111" s="20" t="e">
        <f t="shared" si="57"/>
        <v>#REF!</v>
      </c>
      <c r="E111" s="909">
        <f t="shared" ref="E111:E117" si="59">IFERROR(D111/$D$13,0)</f>
        <v>0</v>
      </c>
      <c r="F111" s="20" t="e">
        <f t="shared" si="57"/>
        <v>#REF!</v>
      </c>
      <c r="G111" s="909">
        <f t="shared" si="32"/>
        <v>0</v>
      </c>
      <c r="H111" s="20" t="e">
        <f t="shared" si="57"/>
        <v>#REF!</v>
      </c>
      <c r="I111" s="910">
        <f t="shared" si="33"/>
        <v>0</v>
      </c>
      <c r="J111" s="20" t="e">
        <f t="shared" si="57"/>
        <v>#REF!</v>
      </c>
      <c r="K111" s="907">
        <f t="shared" si="34"/>
        <v>0</v>
      </c>
      <c r="L111" s="20" t="e">
        <f t="shared" si="57"/>
        <v>#REF!</v>
      </c>
      <c r="M111" s="907">
        <f t="shared" si="35"/>
        <v>0</v>
      </c>
      <c r="N111" s="20" t="e">
        <f t="shared" si="57"/>
        <v>#REF!</v>
      </c>
      <c r="O111" s="907">
        <f t="shared" si="36"/>
        <v>0</v>
      </c>
      <c r="P111" s="20" t="e">
        <f t="shared" si="57"/>
        <v>#REF!</v>
      </c>
      <c r="Q111" s="907">
        <f t="shared" si="37"/>
        <v>0</v>
      </c>
      <c r="R111" s="20" t="e">
        <f t="shared" si="57"/>
        <v>#REF!</v>
      </c>
      <c r="S111" s="910">
        <f t="shared" si="38"/>
        <v>0</v>
      </c>
      <c r="T111" s="20" t="e">
        <f t="shared" si="57"/>
        <v>#REF!</v>
      </c>
      <c r="U111" s="910">
        <f t="shared" si="39"/>
        <v>0</v>
      </c>
      <c r="V111" s="20" t="e">
        <f t="shared" si="57"/>
        <v>#REF!</v>
      </c>
      <c r="W111" s="910">
        <f t="shared" si="40"/>
        <v>0</v>
      </c>
      <c r="X111" s="20" t="e">
        <f t="shared" si="57"/>
        <v>#REF!</v>
      </c>
      <c r="Y111" s="910">
        <f t="shared" si="41"/>
        <v>0</v>
      </c>
      <c r="Z111" s="20" t="e">
        <f t="shared" si="57"/>
        <v>#REF!</v>
      </c>
      <c r="AA111" s="908" t="e">
        <f t="shared" ref="AA111:AA117" si="60">+Z111/$Z$13</f>
        <v>#REF!</v>
      </c>
    </row>
    <row r="112" spans="1:27">
      <c r="A112" s="172" t="s">
        <v>64</v>
      </c>
      <c r="B112" s="20" t="e">
        <f t="shared" ref="B112:Z112" si="61">+B59+B60+B61+B64+B65+B68</f>
        <v>#REF!</v>
      </c>
      <c r="C112" s="908" t="e">
        <f t="shared" si="58"/>
        <v>#REF!</v>
      </c>
      <c r="D112" s="20" t="e">
        <f t="shared" si="61"/>
        <v>#REF!</v>
      </c>
      <c r="E112" s="909">
        <f t="shared" si="59"/>
        <v>0</v>
      </c>
      <c r="F112" s="20" t="e">
        <f t="shared" si="61"/>
        <v>#REF!</v>
      </c>
      <c r="G112" s="909">
        <f t="shared" si="32"/>
        <v>0</v>
      </c>
      <c r="H112" s="20" t="e">
        <f t="shared" si="61"/>
        <v>#REF!</v>
      </c>
      <c r="I112" s="910">
        <f t="shared" si="33"/>
        <v>0</v>
      </c>
      <c r="J112" s="20" t="e">
        <f t="shared" si="61"/>
        <v>#REF!</v>
      </c>
      <c r="K112" s="907">
        <f t="shared" si="34"/>
        <v>0</v>
      </c>
      <c r="L112" s="20" t="e">
        <f t="shared" si="61"/>
        <v>#REF!</v>
      </c>
      <c r="M112" s="907">
        <f t="shared" si="35"/>
        <v>0</v>
      </c>
      <c r="N112" s="20" t="e">
        <f t="shared" si="61"/>
        <v>#REF!</v>
      </c>
      <c r="O112" s="907">
        <f t="shared" si="36"/>
        <v>0</v>
      </c>
      <c r="P112" s="20" t="e">
        <f t="shared" si="61"/>
        <v>#REF!</v>
      </c>
      <c r="Q112" s="907">
        <f t="shared" si="37"/>
        <v>0</v>
      </c>
      <c r="R112" s="20" t="e">
        <f t="shared" si="61"/>
        <v>#REF!</v>
      </c>
      <c r="S112" s="910">
        <f t="shared" si="38"/>
        <v>0</v>
      </c>
      <c r="T112" s="20" t="e">
        <f t="shared" si="61"/>
        <v>#REF!</v>
      </c>
      <c r="U112" s="910">
        <f t="shared" si="39"/>
        <v>0</v>
      </c>
      <c r="V112" s="20" t="e">
        <f t="shared" si="61"/>
        <v>#REF!</v>
      </c>
      <c r="W112" s="910">
        <f t="shared" si="40"/>
        <v>0</v>
      </c>
      <c r="X112" s="20" t="e">
        <f t="shared" si="61"/>
        <v>#REF!</v>
      </c>
      <c r="Y112" s="910">
        <f t="shared" si="41"/>
        <v>0</v>
      </c>
      <c r="Z112" s="20" t="e">
        <f t="shared" si="61"/>
        <v>#REF!</v>
      </c>
      <c r="AA112" s="908" t="e">
        <f t="shared" si="60"/>
        <v>#REF!</v>
      </c>
    </row>
    <row r="113" spans="1:27">
      <c r="A113" s="172" t="s">
        <v>430</v>
      </c>
      <c r="B113" s="20" t="e">
        <f>+B63</f>
        <v>#REF!</v>
      </c>
      <c r="C113" s="908" t="e">
        <f t="shared" si="58"/>
        <v>#REF!</v>
      </c>
      <c r="D113" s="20" t="e">
        <f t="shared" ref="D113:Z113" si="62">+D63</f>
        <v>#REF!</v>
      </c>
      <c r="E113" s="909">
        <f t="shared" si="59"/>
        <v>0</v>
      </c>
      <c r="F113" s="20" t="e">
        <f t="shared" si="62"/>
        <v>#REF!</v>
      </c>
      <c r="G113" s="909">
        <f t="shared" si="32"/>
        <v>0</v>
      </c>
      <c r="H113" s="20" t="e">
        <f t="shared" si="62"/>
        <v>#REF!</v>
      </c>
      <c r="I113" s="910">
        <f t="shared" si="33"/>
        <v>0</v>
      </c>
      <c r="J113" s="20" t="e">
        <f t="shared" si="62"/>
        <v>#REF!</v>
      </c>
      <c r="K113" s="907">
        <f t="shared" si="34"/>
        <v>0</v>
      </c>
      <c r="L113" s="20" t="e">
        <f t="shared" si="62"/>
        <v>#REF!</v>
      </c>
      <c r="M113" s="907">
        <f t="shared" si="35"/>
        <v>0</v>
      </c>
      <c r="N113" s="20" t="e">
        <f t="shared" si="62"/>
        <v>#REF!</v>
      </c>
      <c r="O113" s="907">
        <f t="shared" si="36"/>
        <v>0</v>
      </c>
      <c r="P113" s="20" t="e">
        <f t="shared" si="62"/>
        <v>#REF!</v>
      </c>
      <c r="Q113" s="907">
        <f t="shared" si="37"/>
        <v>0</v>
      </c>
      <c r="R113" s="20" t="e">
        <f t="shared" si="62"/>
        <v>#REF!</v>
      </c>
      <c r="S113" s="910">
        <f t="shared" si="38"/>
        <v>0</v>
      </c>
      <c r="T113" s="20" t="e">
        <f t="shared" si="62"/>
        <v>#REF!</v>
      </c>
      <c r="U113" s="910">
        <f t="shared" si="39"/>
        <v>0</v>
      </c>
      <c r="V113" s="20" t="e">
        <f t="shared" si="62"/>
        <v>#REF!</v>
      </c>
      <c r="W113" s="910">
        <f t="shared" si="40"/>
        <v>0</v>
      </c>
      <c r="X113" s="20" t="e">
        <f t="shared" si="62"/>
        <v>#REF!</v>
      </c>
      <c r="Y113" s="910">
        <f t="shared" si="41"/>
        <v>0</v>
      </c>
      <c r="Z113" s="20" t="e">
        <f t="shared" si="62"/>
        <v>#REF!</v>
      </c>
      <c r="AA113" s="908" t="e">
        <f t="shared" si="60"/>
        <v>#REF!</v>
      </c>
    </row>
    <row r="114" spans="1:27">
      <c r="A114" s="172" t="s">
        <v>63</v>
      </c>
      <c r="B114" s="20" t="e">
        <f t="shared" ref="B114:Z114" si="63">+B57+B58</f>
        <v>#REF!</v>
      </c>
      <c r="C114" s="908" t="e">
        <f t="shared" si="58"/>
        <v>#REF!</v>
      </c>
      <c r="D114" s="20" t="e">
        <f t="shared" si="63"/>
        <v>#REF!</v>
      </c>
      <c r="E114" s="909">
        <f t="shared" si="59"/>
        <v>0</v>
      </c>
      <c r="F114" s="20" t="e">
        <f t="shared" si="63"/>
        <v>#REF!</v>
      </c>
      <c r="G114" s="909">
        <f t="shared" si="32"/>
        <v>0</v>
      </c>
      <c r="H114" s="20" t="e">
        <f t="shared" si="63"/>
        <v>#REF!</v>
      </c>
      <c r="I114" s="910">
        <f t="shared" si="33"/>
        <v>0</v>
      </c>
      <c r="J114" s="20" t="e">
        <f t="shared" si="63"/>
        <v>#REF!</v>
      </c>
      <c r="K114" s="907">
        <f t="shared" si="34"/>
        <v>0</v>
      </c>
      <c r="L114" s="20" t="e">
        <f t="shared" si="63"/>
        <v>#REF!</v>
      </c>
      <c r="M114" s="907">
        <f t="shared" si="35"/>
        <v>0</v>
      </c>
      <c r="N114" s="20" t="e">
        <f t="shared" si="63"/>
        <v>#REF!</v>
      </c>
      <c r="O114" s="907">
        <f t="shared" si="36"/>
        <v>0</v>
      </c>
      <c r="P114" s="20" t="e">
        <f t="shared" si="63"/>
        <v>#REF!</v>
      </c>
      <c r="Q114" s="907">
        <f t="shared" si="37"/>
        <v>0</v>
      </c>
      <c r="R114" s="20" t="e">
        <f t="shared" si="63"/>
        <v>#REF!</v>
      </c>
      <c r="S114" s="910">
        <f t="shared" si="38"/>
        <v>0</v>
      </c>
      <c r="T114" s="20" t="e">
        <f t="shared" si="63"/>
        <v>#REF!</v>
      </c>
      <c r="U114" s="910">
        <f t="shared" si="39"/>
        <v>0</v>
      </c>
      <c r="V114" s="20" t="e">
        <f t="shared" si="63"/>
        <v>#REF!</v>
      </c>
      <c r="W114" s="910">
        <f t="shared" si="40"/>
        <v>0</v>
      </c>
      <c r="X114" s="20" t="e">
        <f t="shared" si="63"/>
        <v>#REF!</v>
      </c>
      <c r="Y114" s="910">
        <f t="shared" si="41"/>
        <v>0</v>
      </c>
      <c r="Z114" s="20" t="e">
        <f t="shared" si="63"/>
        <v>#REF!</v>
      </c>
      <c r="AA114" s="908" t="e">
        <f t="shared" si="60"/>
        <v>#REF!</v>
      </c>
    </row>
    <row r="115" spans="1:27">
      <c r="A115" s="172" t="s">
        <v>431</v>
      </c>
      <c r="B115" s="20" t="e">
        <f t="shared" ref="B115:Z115" si="64">+B66+B67</f>
        <v>#REF!</v>
      </c>
      <c r="C115" s="908" t="e">
        <f t="shared" si="58"/>
        <v>#REF!</v>
      </c>
      <c r="D115" s="20" t="e">
        <f t="shared" si="64"/>
        <v>#REF!</v>
      </c>
      <c r="E115" s="909">
        <f t="shared" si="59"/>
        <v>0</v>
      </c>
      <c r="F115" s="20" t="e">
        <f t="shared" si="64"/>
        <v>#REF!</v>
      </c>
      <c r="G115" s="909">
        <f t="shared" si="32"/>
        <v>0</v>
      </c>
      <c r="H115" s="20" t="e">
        <f t="shared" si="64"/>
        <v>#REF!</v>
      </c>
      <c r="I115" s="910">
        <f t="shared" si="33"/>
        <v>0</v>
      </c>
      <c r="J115" s="20" t="e">
        <f t="shared" si="64"/>
        <v>#REF!</v>
      </c>
      <c r="K115" s="907">
        <f t="shared" si="34"/>
        <v>0</v>
      </c>
      <c r="L115" s="20" t="e">
        <f t="shared" si="64"/>
        <v>#REF!</v>
      </c>
      <c r="M115" s="907">
        <f t="shared" si="35"/>
        <v>0</v>
      </c>
      <c r="N115" s="20" t="e">
        <f t="shared" si="64"/>
        <v>#REF!</v>
      </c>
      <c r="O115" s="907">
        <f t="shared" si="36"/>
        <v>0</v>
      </c>
      <c r="P115" s="20" t="e">
        <f t="shared" si="64"/>
        <v>#REF!</v>
      </c>
      <c r="Q115" s="907">
        <f t="shared" si="37"/>
        <v>0</v>
      </c>
      <c r="R115" s="20" t="e">
        <f t="shared" si="64"/>
        <v>#REF!</v>
      </c>
      <c r="S115" s="910">
        <f t="shared" si="38"/>
        <v>0</v>
      </c>
      <c r="T115" s="20" t="e">
        <f t="shared" si="64"/>
        <v>#REF!</v>
      </c>
      <c r="U115" s="910">
        <f t="shared" si="39"/>
        <v>0</v>
      </c>
      <c r="V115" s="20" t="e">
        <f t="shared" si="64"/>
        <v>#REF!</v>
      </c>
      <c r="W115" s="910">
        <f t="shared" si="40"/>
        <v>0</v>
      </c>
      <c r="X115" s="20" t="e">
        <f t="shared" si="64"/>
        <v>#REF!</v>
      </c>
      <c r="Y115" s="910">
        <f t="shared" si="41"/>
        <v>0</v>
      </c>
      <c r="Z115" s="20" t="e">
        <f t="shared" si="64"/>
        <v>#REF!</v>
      </c>
      <c r="AA115" s="908" t="e">
        <f t="shared" si="60"/>
        <v>#REF!</v>
      </c>
    </row>
    <row r="116" spans="1:27">
      <c r="A116" s="172" t="s">
        <v>427</v>
      </c>
      <c r="B116" s="20" t="e">
        <f>+B69</f>
        <v>#REF!</v>
      </c>
      <c r="C116" s="908" t="e">
        <f t="shared" si="58"/>
        <v>#REF!</v>
      </c>
      <c r="D116" s="20" t="e">
        <f t="shared" ref="D116:Z116" si="65">+D69</f>
        <v>#REF!</v>
      </c>
      <c r="E116" s="909">
        <f t="shared" si="59"/>
        <v>0</v>
      </c>
      <c r="F116" s="20" t="e">
        <f t="shared" si="65"/>
        <v>#REF!</v>
      </c>
      <c r="G116" s="909">
        <f t="shared" si="32"/>
        <v>0</v>
      </c>
      <c r="H116" s="20" t="e">
        <f t="shared" si="65"/>
        <v>#REF!</v>
      </c>
      <c r="I116" s="910">
        <f t="shared" si="33"/>
        <v>0</v>
      </c>
      <c r="J116" s="20" t="e">
        <f t="shared" si="65"/>
        <v>#REF!</v>
      </c>
      <c r="K116" s="907">
        <f t="shared" si="34"/>
        <v>0</v>
      </c>
      <c r="L116" s="20" t="e">
        <f t="shared" si="65"/>
        <v>#REF!</v>
      </c>
      <c r="M116" s="907">
        <f t="shared" si="35"/>
        <v>0</v>
      </c>
      <c r="N116" s="20" t="e">
        <f t="shared" si="65"/>
        <v>#REF!</v>
      </c>
      <c r="O116" s="907">
        <f t="shared" si="36"/>
        <v>0</v>
      </c>
      <c r="P116" s="20" t="e">
        <f t="shared" si="65"/>
        <v>#REF!</v>
      </c>
      <c r="Q116" s="907">
        <f t="shared" si="37"/>
        <v>0</v>
      </c>
      <c r="R116" s="20" t="e">
        <f t="shared" si="65"/>
        <v>#REF!</v>
      </c>
      <c r="S116" s="910">
        <f t="shared" si="38"/>
        <v>0</v>
      </c>
      <c r="T116" s="20" t="e">
        <f t="shared" si="65"/>
        <v>#REF!</v>
      </c>
      <c r="U116" s="910">
        <f t="shared" si="39"/>
        <v>0</v>
      </c>
      <c r="V116" s="20" t="e">
        <f t="shared" si="65"/>
        <v>#REF!</v>
      </c>
      <c r="W116" s="910">
        <f t="shared" si="40"/>
        <v>0</v>
      </c>
      <c r="X116" s="20" t="e">
        <f t="shared" si="65"/>
        <v>#REF!</v>
      </c>
      <c r="Y116" s="910">
        <f t="shared" si="41"/>
        <v>0</v>
      </c>
      <c r="Z116" s="20" t="e">
        <f t="shared" si="65"/>
        <v>#REF!</v>
      </c>
      <c r="AA116" s="908" t="e">
        <f t="shared" si="60"/>
        <v>#REF!</v>
      </c>
    </row>
    <row r="117" spans="1:27" ht="13.5" thickBot="1">
      <c r="B117" s="173" t="e">
        <f>SUM(B111:B116)</f>
        <v>#REF!</v>
      </c>
      <c r="C117" s="908" t="e">
        <f t="shared" si="58"/>
        <v>#REF!</v>
      </c>
      <c r="D117" s="173" t="e">
        <f t="shared" ref="D117:Z117" si="66">SUM(D111:D116)</f>
        <v>#REF!</v>
      </c>
      <c r="E117" s="909">
        <f t="shared" si="59"/>
        <v>0</v>
      </c>
      <c r="F117" s="173" t="e">
        <f t="shared" si="66"/>
        <v>#REF!</v>
      </c>
      <c r="G117" s="909">
        <f t="shared" si="32"/>
        <v>0</v>
      </c>
      <c r="H117" s="173" t="e">
        <f t="shared" si="66"/>
        <v>#REF!</v>
      </c>
      <c r="I117" s="910">
        <f t="shared" si="33"/>
        <v>0</v>
      </c>
      <c r="J117" s="173" t="e">
        <f t="shared" si="66"/>
        <v>#REF!</v>
      </c>
      <c r="K117" s="907">
        <f t="shared" si="34"/>
        <v>0</v>
      </c>
      <c r="L117" s="173" t="e">
        <f t="shared" si="66"/>
        <v>#REF!</v>
      </c>
      <c r="M117" s="907">
        <f t="shared" si="35"/>
        <v>0</v>
      </c>
      <c r="N117" s="173" t="e">
        <f t="shared" si="66"/>
        <v>#REF!</v>
      </c>
      <c r="O117" s="907">
        <f t="shared" si="36"/>
        <v>0</v>
      </c>
      <c r="P117" s="173" t="e">
        <f t="shared" si="66"/>
        <v>#REF!</v>
      </c>
      <c r="Q117" s="907">
        <f t="shared" si="37"/>
        <v>0</v>
      </c>
      <c r="R117" s="173" t="e">
        <f t="shared" si="66"/>
        <v>#REF!</v>
      </c>
      <c r="S117" s="910">
        <f t="shared" si="38"/>
        <v>0</v>
      </c>
      <c r="T117" s="173" t="e">
        <f t="shared" si="66"/>
        <v>#REF!</v>
      </c>
      <c r="U117" s="910">
        <f t="shared" si="39"/>
        <v>0</v>
      </c>
      <c r="V117" s="173" t="e">
        <f t="shared" si="66"/>
        <v>#REF!</v>
      </c>
      <c r="W117" s="910">
        <f t="shared" si="40"/>
        <v>0</v>
      </c>
      <c r="X117" s="173" t="e">
        <f t="shared" si="66"/>
        <v>#REF!</v>
      </c>
      <c r="Y117" s="910">
        <f t="shared" si="41"/>
        <v>0</v>
      </c>
      <c r="Z117" s="173" t="e">
        <f t="shared" si="66"/>
        <v>#REF!</v>
      </c>
      <c r="AA117" s="908" t="e">
        <f t="shared" si="60"/>
        <v>#REF!</v>
      </c>
    </row>
    <row r="118" spans="1:27">
      <c r="C118" s="494"/>
      <c r="E118" s="494"/>
      <c r="G118" s="494"/>
      <c r="I118" s="910">
        <f t="shared" si="33"/>
        <v>0</v>
      </c>
      <c r="Z118"/>
    </row>
    <row r="119" spans="1:27">
      <c r="A119" s="187"/>
      <c r="B119" s="179" t="e">
        <f t="shared" ref="B119:Z119" si="67">+B72-B117</f>
        <v>#REF!</v>
      </c>
      <c r="C119" s="902"/>
      <c r="D119" s="179" t="e">
        <f t="shared" si="67"/>
        <v>#REF!</v>
      </c>
      <c r="E119" s="902"/>
      <c r="F119" s="179" t="e">
        <f t="shared" si="67"/>
        <v>#REF!</v>
      </c>
      <c r="G119" s="902"/>
      <c r="H119" s="179" t="e">
        <f t="shared" si="67"/>
        <v>#REF!</v>
      </c>
      <c r="I119" s="910">
        <f t="shared" si="33"/>
        <v>0</v>
      </c>
      <c r="J119" s="179" t="e">
        <f t="shared" si="67"/>
        <v>#REF!</v>
      </c>
      <c r="K119" s="20"/>
      <c r="L119" s="179" t="e">
        <f t="shared" si="67"/>
        <v>#REF!</v>
      </c>
      <c r="M119" s="20"/>
      <c r="N119" s="179" t="e">
        <f t="shared" si="67"/>
        <v>#REF!</v>
      </c>
      <c r="O119" s="179"/>
      <c r="P119" s="179" t="e">
        <f t="shared" si="67"/>
        <v>#REF!</v>
      </c>
      <c r="Q119" s="179"/>
      <c r="R119" s="179" t="e">
        <f t="shared" si="67"/>
        <v>#REF!</v>
      </c>
      <c r="S119" s="20"/>
      <c r="T119" s="179" t="e">
        <f t="shared" si="67"/>
        <v>#REF!</v>
      </c>
      <c r="U119" s="179"/>
      <c r="V119" s="179" t="e">
        <f t="shared" si="67"/>
        <v>#REF!</v>
      </c>
      <c r="W119" s="179"/>
      <c r="X119" s="179" t="e">
        <f t="shared" si="67"/>
        <v>#REF!</v>
      </c>
      <c r="Y119" s="20"/>
      <c r="Z119" s="179" t="e">
        <f t="shared" si="67"/>
        <v>#REF!</v>
      </c>
    </row>
    <row r="120" spans="1:27">
      <c r="A120" s="493" t="s">
        <v>620</v>
      </c>
      <c r="B120" s="20" t="e">
        <f>+B13</f>
        <v>#REF!</v>
      </c>
      <c r="C120" s="902"/>
      <c r="D120" s="20" t="e">
        <f>+D13</f>
        <v>#REF!</v>
      </c>
      <c r="E120" s="902"/>
      <c r="F120" s="20" t="e">
        <f>+F13</f>
        <v>#REF!</v>
      </c>
      <c r="G120" s="902"/>
    </row>
    <row r="121" spans="1:27">
      <c r="C121" s="494"/>
      <c r="E121" s="494"/>
      <c r="F121" s="179" t="e">
        <f>SUM(B120:F120)</f>
        <v>#REF!</v>
      </c>
      <c r="G121" s="902"/>
    </row>
  </sheetData>
  <conditionalFormatting sqref="Z17:Z47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{E93E04C0-531C-41B7-99AA-D8ED7C2855D1}</x14:id>
        </ext>
      </extLst>
    </cfRule>
  </conditionalFormatting>
  <pageMargins left="0.75" right="0.75" top="1" bottom="1" header="0.5" footer="0.5"/>
  <pageSetup paperSize="9" scale="41" fitToHeight="3" orientation="landscape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93E04C0-531C-41B7-99AA-D8ED7C2855D1}">
            <x14:dataBar minLength="0" maxLength="100" negativeBarColorSameAsPositive="1" axisPosition="none">
              <x14:cfvo type="min"/>
              <x14:cfvo type="max"/>
            </x14:dataBar>
          </x14:cfRule>
          <xm:sqref>Z17:Z47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4"/>
  <dimension ref="A1:W126"/>
  <sheetViews>
    <sheetView workbookViewId="0"/>
  </sheetViews>
  <sheetFormatPr baseColWidth="10" defaultColWidth="11.42578125" defaultRowHeight="12.75"/>
  <cols>
    <col min="1" max="1" width="31.42578125" customWidth="1"/>
    <col min="2" max="2" width="13.42578125" customWidth="1"/>
    <col min="3" max="3" width="3.42578125" customWidth="1"/>
    <col min="4" max="4" width="13.140625" customWidth="1"/>
    <col min="5" max="5" width="6.42578125" customWidth="1"/>
    <col min="6" max="6" width="12.85546875" customWidth="1"/>
    <col min="7" max="7" width="13.42578125" customWidth="1"/>
    <col min="8" max="8" width="12.85546875" customWidth="1"/>
    <col min="9" max="9" width="13" customWidth="1"/>
    <col min="10" max="10" width="12.85546875" customWidth="1"/>
    <col min="11" max="11" width="12.42578125" customWidth="1"/>
    <col min="12" max="12" width="13.85546875" customWidth="1"/>
    <col min="13" max="14" width="12.85546875" customWidth="1"/>
    <col min="15" max="16" width="13.42578125" customWidth="1"/>
    <col min="17" max="17" width="12.42578125" customWidth="1"/>
    <col min="18" max="18" width="13.42578125" customWidth="1"/>
    <col min="19" max="19" width="16.42578125" customWidth="1"/>
    <col min="20" max="20" width="4.85546875" customWidth="1"/>
    <col min="21" max="21" width="14.140625" customWidth="1"/>
  </cols>
  <sheetData>
    <row r="1" spans="1:23">
      <c r="A1">
        <v>2024</v>
      </c>
    </row>
    <row r="3" spans="1:23">
      <c r="A3" s="21" t="s">
        <v>621</v>
      </c>
    </row>
    <row r="4" spans="1:23">
      <c r="B4" s="21" t="s">
        <v>3</v>
      </c>
      <c r="D4" s="21" t="s">
        <v>4</v>
      </c>
      <c r="F4" s="21" t="s">
        <v>438</v>
      </c>
      <c r="G4" s="331" t="s">
        <v>419</v>
      </c>
      <c r="H4" s="21" t="s">
        <v>6</v>
      </c>
      <c r="I4" s="21" t="s">
        <v>7</v>
      </c>
      <c r="J4" s="21" t="s">
        <v>8</v>
      </c>
      <c r="K4" s="332" t="s">
        <v>420</v>
      </c>
      <c r="L4" s="21" t="s">
        <v>9</v>
      </c>
      <c r="M4" s="21" t="s">
        <v>10</v>
      </c>
      <c r="N4" s="21" t="s">
        <v>11</v>
      </c>
      <c r="O4" s="332" t="s">
        <v>421</v>
      </c>
      <c r="P4" s="21" t="s">
        <v>12</v>
      </c>
      <c r="Q4" s="21" t="s">
        <v>13</v>
      </c>
      <c r="R4" s="21" t="s">
        <v>443</v>
      </c>
      <c r="S4" s="332" t="s">
        <v>422</v>
      </c>
      <c r="U4" s="332" t="s">
        <v>313</v>
      </c>
    </row>
    <row r="5" spans="1:23">
      <c r="B5" s="21"/>
      <c r="D5" s="21"/>
      <c r="F5" s="21"/>
      <c r="G5" s="294"/>
    </row>
    <row r="6" spans="1:23">
      <c r="A6" s="1" t="s">
        <v>622</v>
      </c>
      <c r="B6" s="187"/>
      <c r="C6" s="187"/>
      <c r="D6" s="187"/>
      <c r="E6" s="187"/>
      <c r="F6" s="187"/>
    </row>
    <row r="7" spans="1:23">
      <c r="A7" s="1" t="s">
        <v>623</v>
      </c>
      <c r="B7" s="204"/>
      <c r="C7" s="204"/>
      <c r="D7" s="204"/>
      <c r="E7" s="204"/>
      <c r="F7" s="204"/>
      <c r="G7">
        <f>+SUM(B7,D7,F7)</f>
        <v>0</v>
      </c>
      <c r="H7" s="21"/>
      <c r="I7" s="21"/>
      <c r="J7" s="192"/>
      <c r="K7">
        <f>+H7+I7+J7</f>
        <v>0</v>
      </c>
      <c r="L7" s="192"/>
      <c r="M7" s="21"/>
      <c r="N7" s="329"/>
      <c r="O7">
        <f>+L7+M7+N7</f>
        <v>0</v>
      </c>
      <c r="P7" s="329"/>
      <c r="Q7" s="73"/>
      <c r="R7" s="21"/>
      <c r="S7">
        <f>+P7+Q7+R7</f>
        <v>0</v>
      </c>
      <c r="U7" s="149">
        <f>+S7+O7+K7+G7</f>
        <v>0</v>
      </c>
    </row>
    <row r="8" spans="1:23">
      <c r="A8" s="1" t="s">
        <v>624</v>
      </c>
      <c r="B8" s="227"/>
      <c r="C8" s="227"/>
      <c r="D8" s="227"/>
      <c r="E8" s="227"/>
      <c r="F8" s="227"/>
      <c r="G8">
        <f t="shared" ref="G8:G19" si="0">+SUM(B8,D8,F8)</f>
        <v>0</v>
      </c>
      <c r="H8" s="21"/>
      <c r="I8" s="21"/>
      <c r="J8" s="192"/>
      <c r="K8">
        <f>+H8+I8+J8</f>
        <v>0</v>
      </c>
      <c r="L8" s="192"/>
      <c r="M8" s="21"/>
      <c r="N8" s="329"/>
      <c r="O8">
        <f>+L8+M8+N8</f>
        <v>0</v>
      </c>
      <c r="P8" s="329"/>
      <c r="Q8" s="73"/>
      <c r="R8" s="21"/>
      <c r="S8">
        <f>+P8+Q8+R8</f>
        <v>0</v>
      </c>
      <c r="U8" s="149">
        <f t="shared" ref="U8:U19" si="1">+S8+O8+K8+G8</f>
        <v>0</v>
      </c>
    </row>
    <row r="9" spans="1:23">
      <c r="A9" s="1" t="s">
        <v>625</v>
      </c>
      <c r="B9" s="227"/>
      <c r="C9" s="227"/>
      <c r="D9" s="227"/>
      <c r="E9" s="227"/>
      <c r="F9" s="227"/>
      <c r="G9">
        <f t="shared" si="0"/>
        <v>0</v>
      </c>
      <c r="H9" s="21"/>
      <c r="I9" s="21"/>
      <c r="J9" s="192"/>
      <c r="K9">
        <f>+H9+I9+J9</f>
        <v>0</v>
      </c>
      <c r="L9" s="192"/>
      <c r="M9" s="21"/>
      <c r="N9" s="329"/>
      <c r="O9">
        <f>+L9+M9+N9</f>
        <v>0</v>
      </c>
      <c r="P9" s="329"/>
      <c r="Q9" s="73"/>
      <c r="R9" s="21"/>
      <c r="S9">
        <f>+P9+Q9+R9</f>
        <v>0</v>
      </c>
      <c r="U9" s="149">
        <f t="shared" si="1"/>
        <v>0</v>
      </c>
    </row>
    <row r="10" spans="1:23">
      <c r="A10" s="1" t="s">
        <v>626</v>
      </c>
      <c r="B10" s="227"/>
      <c r="C10" s="227"/>
      <c r="D10" s="227"/>
      <c r="E10" s="227"/>
      <c r="F10" s="227"/>
      <c r="G10">
        <f t="shared" si="0"/>
        <v>0</v>
      </c>
      <c r="H10" s="21"/>
      <c r="I10" s="21"/>
      <c r="J10" s="192"/>
      <c r="K10">
        <f>+H10+I10+J10</f>
        <v>0</v>
      </c>
      <c r="L10" s="192"/>
      <c r="M10" s="21"/>
      <c r="N10" s="329"/>
      <c r="O10">
        <f>+L10+M10+N10</f>
        <v>0</v>
      </c>
      <c r="P10" s="329"/>
      <c r="Q10" s="73"/>
      <c r="R10" s="21"/>
      <c r="S10">
        <f>+P10+Q10+R10</f>
        <v>0</v>
      </c>
      <c r="U10" s="149">
        <f t="shared" si="1"/>
        <v>0</v>
      </c>
    </row>
    <row r="11" spans="1:23" ht="15">
      <c r="A11" s="1"/>
      <c r="B11" s="228"/>
      <c r="C11" s="228"/>
      <c r="D11" s="228"/>
      <c r="E11" s="228"/>
      <c r="F11" s="228"/>
      <c r="I11" s="21"/>
      <c r="J11" s="306"/>
      <c r="L11" s="306"/>
      <c r="M11" s="21"/>
      <c r="N11" s="330"/>
      <c r="P11" s="330"/>
      <c r="Q11" s="71"/>
      <c r="U11" s="149">
        <f t="shared" si="1"/>
        <v>0</v>
      </c>
    </row>
    <row r="12" spans="1:23" ht="15">
      <c r="A12" s="1"/>
      <c r="B12" s="228"/>
      <c r="C12" s="228"/>
      <c r="D12" s="228"/>
      <c r="E12" s="228"/>
      <c r="F12" s="228"/>
      <c r="I12" s="21"/>
      <c r="J12" s="306"/>
      <c r="L12" s="306"/>
      <c r="M12" s="21"/>
      <c r="N12" s="330"/>
      <c r="P12" s="330"/>
      <c r="Q12" s="71"/>
      <c r="U12" s="149">
        <f t="shared" si="1"/>
        <v>0</v>
      </c>
    </row>
    <row r="13" spans="1:23" ht="15">
      <c r="A13" s="1" t="s">
        <v>627</v>
      </c>
      <c r="B13" s="228"/>
      <c r="C13" s="228"/>
      <c r="D13" s="228"/>
      <c r="E13" s="228"/>
      <c r="F13" s="228"/>
      <c r="I13" s="21"/>
      <c r="J13" s="306"/>
      <c r="L13" s="306"/>
      <c r="M13" s="21"/>
      <c r="N13" s="330"/>
      <c r="P13" s="330"/>
      <c r="Q13" s="71"/>
      <c r="U13" s="149">
        <f t="shared" si="1"/>
        <v>0</v>
      </c>
      <c r="W13" s="167"/>
    </row>
    <row r="14" spans="1:23">
      <c r="A14" s="1" t="s">
        <v>628</v>
      </c>
      <c r="B14" s="227"/>
      <c r="C14" s="227"/>
      <c r="D14" s="227"/>
      <c r="E14" s="227"/>
      <c r="F14" s="227"/>
      <c r="G14">
        <f t="shared" si="0"/>
        <v>0</v>
      </c>
      <c r="H14" s="21"/>
      <c r="I14" s="21"/>
      <c r="J14" s="192"/>
      <c r="K14">
        <f t="shared" ref="K14:K19" si="2">+H14+I14+J14</f>
        <v>0</v>
      </c>
      <c r="L14" s="192"/>
      <c r="M14" s="21"/>
      <c r="N14" s="329"/>
      <c r="O14">
        <f t="shared" ref="O14:O19" si="3">+L14+M14+N14</f>
        <v>0</v>
      </c>
      <c r="P14" s="329"/>
      <c r="Q14" s="73"/>
      <c r="R14" s="21"/>
      <c r="S14">
        <f t="shared" ref="S14:S19" si="4">+P14+Q14+R14</f>
        <v>0</v>
      </c>
      <c r="U14" s="149">
        <f t="shared" si="1"/>
        <v>0</v>
      </c>
    </row>
    <row r="15" spans="1:23">
      <c r="A15" s="1" t="s">
        <v>629</v>
      </c>
      <c r="B15" s="227"/>
      <c r="C15" s="227"/>
      <c r="D15" s="227"/>
      <c r="E15" s="227"/>
      <c r="F15" s="227"/>
      <c r="G15">
        <f t="shared" si="0"/>
        <v>0</v>
      </c>
      <c r="H15" s="21"/>
      <c r="I15" s="21"/>
      <c r="J15" s="192"/>
      <c r="K15">
        <f t="shared" si="2"/>
        <v>0</v>
      </c>
      <c r="L15" s="192"/>
      <c r="M15" s="21"/>
      <c r="N15" s="329"/>
      <c r="O15">
        <f t="shared" si="3"/>
        <v>0</v>
      </c>
      <c r="P15" s="329"/>
      <c r="Q15" s="73"/>
      <c r="R15" s="21"/>
      <c r="S15">
        <f t="shared" si="4"/>
        <v>0</v>
      </c>
      <c r="U15" s="149">
        <f t="shared" si="1"/>
        <v>0</v>
      </c>
    </row>
    <row r="16" spans="1:23">
      <c r="A16" s="1" t="s">
        <v>630</v>
      </c>
      <c r="B16" s="227"/>
      <c r="C16" s="227"/>
      <c r="D16" s="227"/>
      <c r="E16" s="227"/>
      <c r="F16" s="227"/>
      <c r="G16">
        <f t="shared" si="0"/>
        <v>0</v>
      </c>
      <c r="H16" s="21"/>
      <c r="I16" s="21"/>
      <c r="J16" s="192"/>
      <c r="K16">
        <f t="shared" si="2"/>
        <v>0</v>
      </c>
      <c r="L16" s="192"/>
      <c r="M16" s="21"/>
      <c r="N16" s="329"/>
      <c r="O16">
        <f t="shared" si="3"/>
        <v>0</v>
      </c>
      <c r="P16" s="329"/>
      <c r="Q16" s="73"/>
      <c r="R16" s="21"/>
      <c r="S16">
        <f t="shared" si="4"/>
        <v>0</v>
      </c>
      <c r="U16" s="149">
        <f t="shared" si="1"/>
        <v>0</v>
      </c>
    </row>
    <row r="17" spans="1:22">
      <c r="A17" s="1" t="s">
        <v>631</v>
      </c>
      <c r="B17" s="227"/>
      <c r="C17" s="227"/>
      <c r="D17" s="227"/>
      <c r="E17" s="227"/>
      <c r="F17" s="227"/>
      <c r="G17">
        <f t="shared" si="0"/>
        <v>0</v>
      </c>
      <c r="H17" s="21"/>
      <c r="I17" s="21"/>
      <c r="J17" s="192"/>
      <c r="K17">
        <f t="shared" si="2"/>
        <v>0</v>
      </c>
      <c r="L17" s="192"/>
      <c r="M17" s="21"/>
      <c r="N17" s="329"/>
      <c r="O17">
        <f t="shared" si="3"/>
        <v>0</v>
      </c>
      <c r="P17" s="329"/>
      <c r="Q17" s="73"/>
      <c r="R17" s="21"/>
      <c r="S17">
        <f t="shared" si="4"/>
        <v>0</v>
      </c>
      <c r="U17" s="149">
        <f t="shared" si="1"/>
        <v>0</v>
      </c>
    </row>
    <row r="18" spans="1:22">
      <c r="A18" s="1" t="s">
        <v>632</v>
      </c>
      <c r="B18" s="227"/>
      <c r="C18" s="227"/>
      <c r="D18" s="227"/>
      <c r="E18" s="227"/>
      <c r="F18" s="227"/>
      <c r="G18">
        <f t="shared" si="0"/>
        <v>0</v>
      </c>
      <c r="H18" s="21"/>
      <c r="I18" s="21"/>
      <c r="J18" s="192"/>
      <c r="K18">
        <f t="shared" si="2"/>
        <v>0</v>
      </c>
      <c r="L18" s="192"/>
      <c r="M18" s="21"/>
      <c r="N18" s="329"/>
      <c r="O18">
        <f t="shared" si="3"/>
        <v>0</v>
      </c>
      <c r="P18" s="329"/>
      <c r="Q18" s="73"/>
      <c r="R18" s="21"/>
      <c r="S18">
        <f t="shared" si="4"/>
        <v>0</v>
      </c>
      <c r="U18" s="149">
        <f t="shared" si="1"/>
        <v>0</v>
      </c>
    </row>
    <row r="19" spans="1:22">
      <c r="A19" s="1" t="s">
        <v>633</v>
      </c>
      <c r="B19" s="227"/>
      <c r="C19" s="227"/>
      <c r="D19" s="227"/>
      <c r="E19" s="227"/>
      <c r="F19" s="227"/>
      <c r="G19">
        <f t="shared" si="0"/>
        <v>0</v>
      </c>
      <c r="H19" s="21"/>
      <c r="I19" s="21"/>
      <c r="J19" s="192"/>
      <c r="K19">
        <f t="shared" si="2"/>
        <v>0</v>
      </c>
      <c r="L19" s="192"/>
      <c r="M19" s="21"/>
      <c r="N19" s="329"/>
      <c r="O19">
        <f t="shared" si="3"/>
        <v>0</v>
      </c>
      <c r="P19" s="329"/>
      <c r="Q19" s="73"/>
      <c r="R19" s="21"/>
      <c r="S19">
        <f t="shared" si="4"/>
        <v>0</v>
      </c>
      <c r="U19" s="149">
        <f t="shared" si="1"/>
        <v>0</v>
      </c>
    </row>
    <row r="20" spans="1:22">
      <c r="A20" s="1" t="s">
        <v>634</v>
      </c>
      <c r="B20" s="21"/>
      <c r="C20" s="21"/>
      <c r="D20" s="21"/>
      <c r="E20" s="21"/>
      <c r="F20" s="21"/>
      <c r="H20" s="21"/>
      <c r="I20" s="21"/>
      <c r="J20" s="192"/>
      <c r="L20" s="192"/>
      <c r="M20" s="21"/>
      <c r="N20" s="329"/>
      <c r="P20" s="329"/>
      <c r="Q20" s="73"/>
      <c r="R20" s="21"/>
    </row>
    <row r="21" spans="1:22" ht="15">
      <c r="G21" s="167">
        <f>SUM(G7:G20)</f>
        <v>0</v>
      </c>
      <c r="I21" s="21"/>
      <c r="J21" s="306"/>
      <c r="K21" s="167">
        <f>SUM(K7:K20)</f>
        <v>0</v>
      </c>
      <c r="L21" s="306"/>
      <c r="M21" s="21"/>
      <c r="N21" s="63"/>
      <c r="O21" s="167">
        <f>SUM(O7:O20)</f>
        <v>0</v>
      </c>
      <c r="P21" s="63"/>
      <c r="Q21" s="64"/>
      <c r="S21" s="167">
        <f>SUM(S7:S20)</f>
        <v>0</v>
      </c>
      <c r="T21">
        <f>SUM(G21:S21)</f>
        <v>0</v>
      </c>
      <c r="U21" s="393">
        <f>SUM(U7:U20)</f>
        <v>0</v>
      </c>
      <c r="V21" s="167"/>
    </row>
    <row r="22" spans="1:22" ht="15">
      <c r="A22" s="1" t="s">
        <v>635</v>
      </c>
      <c r="I22" s="21"/>
      <c r="J22" s="306"/>
      <c r="L22" s="306"/>
      <c r="M22" s="21"/>
      <c r="N22" s="63"/>
      <c r="P22" s="63"/>
      <c r="Q22" s="64"/>
    </row>
    <row r="23" spans="1:22">
      <c r="A23" s="1" t="s">
        <v>636</v>
      </c>
      <c r="B23" s="229"/>
      <c r="C23" s="229"/>
      <c r="D23" s="229"/>
      <c r="E23" s="229"/>
      <c r="F23" s="229"/>
      <c r="G23">
        <f t="shared" ref="G23:G29" si="5">+SUM(B23,D23,F23)</f>
        <v>0</v>
      </c>
      <c r="H23" s="21"/>
      <c r="I23" s="21"/>
      <c r="J23" s="192"/>
      <c r="K23">
        <f t="shared" ref="K23:K29" si="6">+H23+I23+J23</f>
        <v>0</v>
      </c>
      <c r="L23" s="192"/>
      <c r="M23" s="21"/>
      <c r="N23" s="329"/>
      <c r="O23">
        <f t="shared" ref="O23:O29" si="7">+L23+M23+N23</f>
        <v>0</v>
      </c>
      <c r="P23" s="329"/>
      <c r="Q23" s="73"/>
      <c r="R23" s="21"/>
      <c r="S23">
        <f>+P23+Q23+R23</f>
        <v>0</v>
      </c>
      <c r="U23" s="149">
        <f>+S23+O23+K23+G23</f>
        <v>0</v>
      </c>
    </row>
    <row r="24" spans="1:22">
      <c r="A24" s="1" t="s">
        <v>637</v>
      </c>
      <c r="B24" s="229"/>
      <c r="C24" s="229"/>
      <c r="D24" s="229"/>
      <c r="E24" s="229"/>
      <c r="F24" s="229"/>
      <c r="G24">
        <f t="shared" si="5"/>
        <v>0</v>
      </c>
      <c r="H24" s="21"/>
      <c r="I24" s="21"/>
      <c r="J24" s="192"/>
      <c r="K24">
        <f t="shared" si="6"/>
        <v>0</v>
      </c>
      <c r="L24" s="192"/>
      <c r="M24" s="21"/>
      <c r="N24" s="329"/>
      <c r="O24">
        <f t="shared" si="7"/>
        <v>0</v>
      </c>
      <c r="P24" s="329"/>
      <c r="Q24" s="73"/>
      <c r="R24" s="21"/>
      <c r="S24">
        <f t="shared" ref="S24:S29" si="8">+P24+Q24+R24</f>
        <v>0</v>
      </c>
      <c r="U24" s="149">
        <f t="shared" ref="U24:U29" si="9">+S24+O24+K24+G24</f>
        <v>0</v>
      </c>
    </row>
    <row r="25" spans="1:22">
      <c r="A25" s="1" t="s">
        <v>638</v>
      </c>
      <c r="B25" s="229"/>
      <c r="C25" s="229"/>
      <c r="D25" s="229"/>
      <c r="E25" s="229"/>
      <c r="F25" s="229"/>
      <c r="G25">
        <f t="shared" si="5"/>
        <v>0</v>
      </c>
      <c r="H25" s="21"/>
      <c r="I25" s="21"/>
      <c r="J25" s="192"/>
      <c r="K25">
        <f t="shared" si="6"/>
        <v>0</v>
      </c>
      <c r="L25" s="192"/>
      <c r="M25" s="21"/>
      <c r="N25" s="329"/>
      <c r="O25">
        <f t="shared" si="7"/>
        <v>0</v>
      </c>
      <c r="P25" s="329"/>
      <c r="Q25" s="73"/>
      <c r="R25" s="21"/>
      <c r="S25">
        <f t="shared" si="8"/>
        <v>0</v>
      </c>
      <c r="U25" s="149">
        <f t="shared" si="9"/>
        <v>0</v>
      </c>
    </row>
    <row r="26" spans="1:22">
      <c r="A26" s="1" t="s">
        <v>639</v>
      </c>
      <c r="B26" s="229"/>
      <c r="C26" s="229"/>
      <c r="D26" s="229"/>
      <c r="E26" s="229"/>
      <c r="F26" s="229"/>
      <c r="G26">
        <f t="shared" si="5"/>
        <v>0</v>
      </c>
      <c r="H26" s="21"/>
      <c r="I26" s="21"/>
      <c r="J26" s="192"/>
      <c r="K26">
        <f t="shared" si="6"/>
        <v>0</v>
      </c>
      <c r="L26" s="192"/>
      <c r="M26" s="21"/>
      <c r="N26" s="329"/>
      <c r="O26">
        <f t="shared" si="7"/>
        <v>0</v>
      </c>
      <c r="P26" s="329"/>
      <c r="Q26" s="73"/>
      <c r="R26" s="21"/>
      <c r="S26">
        <f t="shared" si="8"/>
        <v>0</v>
      </c>
      <c r="U26" s="149">
        <f t="shared" si="9"/>
        <v>0</v>
      </c>
    </row>
    <row r="27" spans="1:22">
      <c r="A27" s="1" t="s">
        <v>640</v>
      </c>
      <c r="B27" s="229"/>
      <c r="C27" s="229"/>
      <c r="D27" s="229"/>
      <c r="E27" s="229"/>
      <c r="F27" s="229"/>
      <c r="G27">
        <f t="shared" si="5"/>
        <v>0</v>
      </c>
      <c r="H27" s="21"/>
      <c r="I27" s="21"/>
      <c r="J27" s="192"/>
      <c r="K27">
        <f t="shared" si="6"/>
        <v>0</v>
      </c>
      <c r="L27" s="192"/>
      <c r="M27" s="21"/>
      <c r="N27" s="329"/>
      <c r="O27">
        <f t="shared" si="7"/>
        <v>0</v>
      </c>
      <c r="P27" s="329"/>
      <c r="Q27" s="73"/>
      <c r="R27" s="21"/>
      <c r="S27">
        <f t="shared" si="8"/>
        <v>0</v>
      </c>
      <c r="U27" s="149">
        <f t="shared" si="9"/>
        <v>0</v>
      </c>
    </row>
    <row r="28" spans="1:22">
      <c r="A28" s="1" t="s">
        <v>641</v>
      </c>
      <c r="B28" s="229"/>
      <c r="C28" s="229"/>
      <c r="D28" s="229"/>
      <c r="E28" s="229"/>
      <c r="F28" s="229"/>
      <c r="G28">
        <f t="shared" si="5"/>
        <v>0</v>
      </c>
      <c r="H28" s="21"/>
      <c r="I28" s="21"/>
      <c r="J28" s="192"/>
      <c r="K28">
        <f t="shared" si="6"/>
        <v>0</v>
      </c>
      <c r="L28" s="192"/>
      <c r="M28" s="21"/>
      <c r="N28" s="329"/>
      <c r="O28">
        <f t="shared" si="7"/>
        <v>0</v>
      </c>
      <c r="P28" s="329"/>
      <c r="Q28" s="73"/>
      <c r="R28" s="21"/>
      <c r="S28">
        <f t="shared" si="8"/>
        <v>0</v>
      </c>
      <c r="U28" s="149">
        <f t="shared" si="9"/>
        <v>0</v>
      </c>
    </row>
    <row r="29" spans="1:22">
      <c r="A29" s="1" t="s">
        <v>642</v>
      </c>
      <c r="B29" s="229"/>
      <c r="C29" s="229"/>
      <c r="D29" s="229"/>
      <c r="E29" s="229"/>
      <c r="F29" s="229"/>
      <c r="G29">
        <f t="shared" si="5"/>
        <v>0</v>
      </c>
      <c r="H29" s="21"/>
      <c r="I29" s="21"/>
      <c r="J29" s="192"/>
      <c r="K29">
        <f t="shared" si="6"/>
        <v>0</v>
      </c>
      <c r="L29" s="192"/>
      <c r="M29" s="21"/>
      <c r="N29" s="329"/>
      <c r="O29">
        <f t="shared" si="7"/>
        <v>0</v>
      </c>
      <c r="P29" s="329"/>
      <c r="Q29" s="73"/>
      <c r="R29" s="21"/>
      <c r="S29">
        <f t="shared" si="8"/>
        <v>0</v>
      </c>
      <c r="U29" s="149">
        <f t="shared" si="9"/>
        <v>0</v>
      </c>
    </row>
    <row r="30" spans="1:22">
      <c r="B30" s="8"/>
      <c r="C30" s="8"/>
      <c r="G30" s="21">
        <f>SUM(G23:G29)</f>
        <v>0</v>
      </c>
      <c r="K30" s="21">
        <f>SUM(K23:K29)</f>
        <v>0</v>
      </c>
      <c r="O30" s="21">
        <f>SUM(O23:O29)</f>
        <v>0</v>
      </c>
      <c r="S30" s="21">
        <f>SUM(S23:S29)</f>
        <v>0</v>
      </c>
      <c r="U30" s="21">
        <f>SUM(U23:U29)</f>
        <v>0</v>
      </c>
    </row>
    <row r="31" spans="1:22" ht="13.5" thickBot="1">
      <c r="A31" s="1" t="s">
        <v>313</v>
      </c>
      <c r="B31" s="222">
        <f>SUM(B7:B29)</f>
        <v>0</v>
      </c>
      <c r="C31" s="222"/>
      <c r="D31" s="222">
        <f>SUM(D7:D29)</f>
        <v>0</v>
      </c>
      <c r="E31" s="222"/>
      <c r="F31" s="222">
        <f>SUM(F7:F29)</f>
        <v>0</v>
      </c>
      <c r="G31">
        <f>+G21+G30</f>
        <v>0</v>
      </c>
      <c r="H31" s="222">
        <f>SUM(H7:H29)</f>
        <v>0</v>
      </c>
      <c r="I31" s="222">
        <f>SUM(I7:I29)</f>
        <v>0</v>
      </c>
      <c r="J31" s="222">
        <f>SUM(J7:J29)</f>
        <v>0</v>
      </c>
      <c r="K31">
        <f>+K21+K30</f>
        <v>0</v>
      </c>
      <c r="L31" s="222">
        <f>SUM(L7:L29)</f>
        <v>0</v>
      </c>
      <c r="M31" s="222">
        <f>SUM(M7:M29)</f>
        <v>0</v>
      </c>
      <c r="N31" s="222">
        <f>SUM(N7:N29)</f>
        <v>0</v>
      </c>
      <c r="O31">
        <f>+O21+O30</f>
        <v>0</v>
      </c>
      <c r="P31" s="222">
        <f>SUM(P7:P29)</f>
        <v>0</v>
      </c>
      <c r="Q31" s="222">
        <f>SUM(Q7:Q29)</f>
        <v>0</v>
      </c>
      <c r="R31" s="222">
        <f>SUM(R7:R29)</f>
        <v>0</v>
      </c>
      <c r="S31">
        <f>+S21+S30</f>
        <v>0</v>
      </c>
      <c r="U31">
        <f>+U21+U30</f>
        <v>0</v>
      </c>
    </row>
    <row r="32" spans="1:22" ht="13.5" thickTop="1"/>
    <row r="35" spans="1:23">
      <c r="A35" s="1" t="s">
        <v>643</v>
      </c>
      <c r="B35">
        <f>+B7</f>
        <v>0</v>
      </c>
      <c r="D35">
        <f>+D7</f>
        <v>0</v>
      </c>
      <c r="F35">
        <f>+F7</f>
        <v>0</v>
      </c>
      <c r="G35" s="187">
        <f>+SUM(B35,D35,F35)</f>
        <v>0</v>
      </c>
      <c r="H35">
        <f>+H7</f>
        <v>0</v>
      </c>
      <c r="I35">
        <f>+I7</f>
        <v>0</v>
      </c>
      <c r="J35">
        <f>+J7</f>
        <v>0</v>
      </c>
      <c r="K35" s="187">
        <f>+H35+I35+J35</f>
        <v>0</v>
      </c>
      <c r="L35">
        <f>+L7</f>
        <v>0</v>
      </c>
      <c r="M35">
        <f>+M7</f>
        <v>0</v>
      </c>
      <c r="N35">
        <f>+N7</f>
        <v>0</v>
      </c>
      <c r="O35" s="187">
        <f>+L35+M35+N35</f>
        <v>0</v>
      </c>
      <c r="P35">
        <f>+P7</f>
        <v>0</v>
      </c>
      <c r="Q35">
        <f>+Q7</f>
        <v>0</v>
      </c>
      <c r="R35">
        <f>+R7</f>
        <v>0</v>
      </c>
      <c r="S35" s="187">
        <f>+S7</f>
        <v>0</v>
      </c>
      <c r="U35" s="149">
        <f>+S35+O35+K35+G35</f>
        <v>0</v>
      </c>
    </row>
    <row r="36" spans="1:23">
      <c r="A36" t="s">
        <v>644</v>
      </c>
      <c r="B36">
        <f>SUM(B8:B10,B14:B20)</f>
        <v>0</v>
      </c>
      <c r="D36">
        <f>+SUM(D8:D10,D14:D20)</f>
        <v>0</v>
      </c>
      <c r="F36">
        <f>+SUM(F8:F10,F14:F20)</f>
        <v>0</v>
      </c>
      <c r="G36">
        <f>+SUM(B36,D36,F36)</f>
        <v>0</v>
      </c>
      <c r="H36">
        <f>+SUM(H8:H10,H14:H20)</f>
        <v>0</v>
      </c>
      <c r="I36">
        <f>+SUM(I8:I10,I14:I20)</f>
        <v>0</v>
      </c>
      <c r="J36">
        <f>+SUM(J8:J10,J14:J20)</f>
        <v>0</v>
      </c>
      <c r="K36">
        <f>+H36+I36+J36</f>
        <v>0</v>
      </c>
      <c r="L36">
        <f>+SUM(L8:L10,L14:L20)</f>
        <v>0</v>
      </c>
      <c r="M36">
        <f>+SUM(M8:M10,M14:M20)</f>
        <v>0</v>
      </c>
      <c r="N36">
        <f>+SUM(N8:N10,N14:N20)</f>
        <v>0</v>
      </c>
      <c r="O36">
        <f>+L36+M36+N36</f>
        <v>0</v>
      </c>
      <c r="P36">
        <f>+SUM(P8:P10,P14:P20)</f>
        <v>0</v>
      </c>
      <c r="Q36">
        <f>+SUM(Q8:Q10,Q14:Q20)</f>
        <v>0</v>
      </c>
      <c r="R36">
        <f>+SUM(R8:R10,R14:R20)</f>
        <v>0</v>
      </c>
      <c r="S36">
        <f>+SUM(S8:S10,S14:S20)</f>
        <v>0</v>
      </c>
      <c r="U36" s="149">
        <f>+S36+O36+K36+G36</f>
        <v>0</v>
      </c>
    </row>
    <row r="37" spans="1:23">
      <c r="A37" s="1" t="s">
        <v>645</v>
      </c>
      <c r="B37">
        <f>SUM(B23:B29)</f>
        <v>0</v>
      </c>
      <c r="D37">
        <f>SUM(D23:D29)</f>
        <v>0</v>
      </c>
      <c r="F37">
        <f>SUM(F23:F29)</f>
        <v>0</v>
      </c>
      <c r="G37">
        <f>+SUM(B37,D37,F37)</f>
        <v>0</v>
      </c>
      <c r="H37">
        <f>SUM(H23:H29)</f>
        <v>0</v>
      </c>
      <c r="I37">
        <f>SUM(I23:I29)</f>
        <v>0</v>
      </c>
      <c r="J37">
        <f>SUM(J23:J29)</f>
        <v>0</v>
      </c>
      <c r="K37">
        <f>+H37+I37+J37</f>
        <v>0</v>
      </c>
      <c r="L37">
        <f>SUM(L23:L29)</f>
        <v>0</v>
      </c>
      <c r="M37">
        <f>SUM(M23:M29)</f>
        <v>0</v>
      </c>
      <c r="N37">
        <f>SUM(N23:N29)</f>
        <v>0</v>
      </c>
      <c r="O37">
        <f>+L37+M37+N37</f>
        <v>0</v>
      </c>
      <c r="P37">
        <f>SUM(P23:P29)</f>
        <v>0</v>
      </c>
      <c r="Q37">
        <f>SUM(Q23:Q29)</f>
        <v>0</v>
      </c>
      <c r="R37">
        <f>SUM(R23:R29)</f>
        <v>0</v>
      </c>
      <c r="S37">
        <f>+P37+Q37+R37</f>
        <v>0</v>
      </c>
      <c r="U37" s="149">
        <f>+S37+O37+K37+G37</f>
        <v>0</v>
      </c>
    </row>
    <row r="39" spans="1:23">
      <c r="A39" s="1"/>
      <c r="B39">
        <f>SUM(B35:B37)</f>
        <v>0</v>
      </c>
      <c r="D39">
        <f>SUM(D35:D37)</f>
        <v>0</v>
      </c>
      <c r="F39">
        <f>SUM(F35:F37)</f>
        <v>0</v>
      </c>
      <c r="G39">
        <f>+SUM(B39,D39,F39)</f>
        <v>0</v>
      </c>
      <c r="H39">
        <f>SUM(H35:H37)</f>
        <v>0</v>
      </c>
      <c r="I39">
        <f>SUM(I35:I37)</f>
        <v>0</v>
      </c>
      <c r="J39">
        <f>SUM(J35:J37)</f>
        <v>0</v>
      </c>
      <c r="K39">
        <f>+H39+I39+J39</f>
        <v>0</v>
      </c>
      <c r="L39">
        <f>SUM(L35:L37)</f>
        <v>0</v>
      </c>
      <c r="M39">
        <f>SUM(M35:M37)</f>
        <v>0</v>
      </c>
      <c r="N39">
        <f>SUM(N35:N37)</f>
        <v>0</v>
      </c>
      <c r="O39">
        <f>+L39+M39+N39</f>
        <v>0</v>
      </c>
      <c r="P39">
        <f>SUM(P35:P37)</f>
        <v>0</v>
      </c>
      <c r="Q39">
        <f>SUM(Q35:Q37)</f>
        <v>0</v>
      </c>
      <c r="R39">
        <f>SUM(R35:R37)</f>
        <v>0</v>
      </c>
      <c r="S39">
        <f>SUM(S35:S37)</f>
        <v>0</v>
      </c>
      <c r="U39">
        <f>SUM(U35:U37)</f>
        <v>0</v>
      </c>
    </row>
    <row r="41" spans="1:23">
      <c r="A41" s="1" t="s">
        <v>646</v>
      </c>
    </row>
    <row r="42" spans="1:23">
      <c r="A42" s="1" t="s">
        <v>647</v>
      </c>
      <c r="B42" s="262"/>
      <c r="C42" s="262"/>
      <c r="D42" s="261"/>
      <c r="E42" s="261"/>
      <c r="F42" s="261"/>
      <c r="G42" s="264">
        <f>+SUM(B42,D42,F42)</f>
        <v>0</v>
      </c>
      <c r="H42" s="298"/>
      <c r="I42" s="298"/>
      <c r="J42" s="298"/>
      <c r="K42" s="223">
        <f>+H42+I42+J42</f>
        <v>0</v>
      </c>
      <c r="L42" s="298"/>
      <c r="M42" s="298"/>
      <c r="N42" s="298"/>
      <c r="O42" s="450">
        <f>+L42+M42+N42</f>
        <v>0</v>
      </c>
      <c r="P42" s="298"/>
      <c r="Q42" s="262"/>
      <c r="R42" s="262"/>
      <c r="S42" s="223">
        <f>+P42+Q42+R42</f>
        <v>0</v>
      </c>
      <c r="U42" s="149">
        <f>+S42+O42+K42+G42</f>
        <v>0</v>
      </c>
      <c r="W42" s="149"/>
    </row>
    <row r="43" spans="1:23">
      <c r="A43" s="1" t="s">
        <v>648</v>
      </c>
      <c r="B43" s="261"/>
      <c r="C43" s="261"/>
      <c r="D43" s="261"/>
      <c r="E43" s="261"/>
      <c r="F43" s="261"/>
      <c r="G43" s="264">
        <f>+SUM(B43,D43,F43)</f>
        <v>0</v>
      </c>
      <c r="H43" s="298"/>
      <c r="I43" s="298"/>
      <c r="J43" s="298"/>
      <c r="K43" s="149">
        <f>+H43+I43+J43</f>
        <v>0</v>
      </c>
      <c r="L43" s="298"/>
      <c r="M43" s="298"/>
      <c r="N43" s="298"/>
      <c r="O43" s="149">
        <f>+L43+M43+N43</f>
        <v>0</v>
      </c>
      <c r="P43" s="298"/>
      <c r="Q43" s="261"/>
      <c r="R43" s="261"/>
      <c r="S43" s="149">
        <f>+P43+Q43+R43</f>
        <v>0</v>
      </c>
      <c r="U43" s="149">
        <f>+S43+O43+K43+G43</f>
        <v>0</v>
      </c>
    </row>
    <row r="44" spans="1:23" ht="15">
      <c r="A44" s="1" t="s">
        <v>649</v>
      </c>
      <c r="B44" s="263">
        <v>0</v>
      </c>
      <c r="C44" s="263"/>
      <c r="D44" s="263">
        <v>0</v>
      </c>
      <c r="E44" s="263"/>
      <c r="F44" s="263">
        <v>0</v>
      </c>
      <c r="G44" s="264">
        <f>+SUM(B44,D44,F44)</f>
        <v>0</v>
      </c>
      <c r="H44" s="298"/>
      <c r="I44" s="298"/>
      <c r="J44" s="298"/>
      <c r="K44" s="149">
        <f>+H44+I44+J44</f>
        <v>0</v>
      </c>
      <c r="L44" s="298"/>
      <c r="M44" s="298"/>
      <c r="N44" s="298"/>
      <c r="O44" s="149">
        <f>+L44+M44+N44</f>
        <v>0</v>
      </c>
      <c r="P44" s="298"/>
      <c r="Q44" s="298"/>
      <c r="R44" s="298"/>
      <c r="S44" s="149">
        <f>+P44+Q44+R44</f>
        <v>0</v>
      </c>
      <c r="U44" s="149">
        <f>+S44+O44+K44+G44</f>
        <v>0</v>
      </c>
    </row>
    <row r="45" spans="1:23">
      <c r="K45" s="149"/>
      <c r="O45" s="149"/>
      <c r="S45" s="149"/>
    </row>
    <row r="46" spans="1:23">
      <c r="B46" s="264">
        <f>SUM(B42:B45)</f>
        <v>0</v>
      </c>
      <c r="C46" s="264"/>
      <c r="D46" s="264">
        <f>SUM(D42:D45)</f>
        <v>0</v>
      </c>
      <c r="E46" s="264"/>
      <c r="F46" s="264">
        <f>SUM(F42:F45)</f>
        <v>0</v>
      </c>
      <c r="G46" s="264">
        <f>+SUM(B46,D46,F46)</f>
        <v>0</v>
      </c>
      <c r="H46" s="264">
        <f>SUM(H42:H45)</f>
        <v>0</v>
      </c>
      <c r="I46" s="264">
        <f>SUM(I42:I45)</f>
        <v>0</v>
      </c>
      <c r="J46" s="264">
        <f>SUM(J42:J45)</f>
        <v>0</v>
      </c>
      <c r="K46" s="149">
        <f>+H46+I46+J46</f>
        <v>0</v>
      </c>
      <c r="L46" s="264">
        <f>SUM(L42:L45)</f>
        <v>0</v>
      </c>
      <c r="M46" s="264">
        <f>SUM(M42:M45)</f>
        <v>0</v>
      </c>
      <c r="N46" s="264">
        <f>SUM(N42:N45)</f>
        <v>0</v>
      </c>
      <c r="O46" s="149">
        <f>+L46+M46+N46</f>
        <v>0</v>
      </c>
      <c r="P46" s="264">
        <f>SUM(P42:P45)</f>
        <v>0</v>
      </c>
      <c r="Q46" s="264">
        <f>SUM(Q42:Q45)</f>
        <v>0</v>
      </c>
      <c r="R46" s="264">
        <f>SUM(R42:R45)</f>
        <v>0</v>
      </c>
      <c r="S46" s="149">
        <f>+P46+Q46+R46</f>
        <v>0</v>
      </c>
      <c r="U46" s="149">
        <f>SUM(U42:U45)</f>
        <v>0</v>
      </c>
    </row>
    <row r="49" spans="1:21">
      <c r="A49" s="1" t="s">
        <v>650</v>
      </c>
      <c r="G49" s="228"/>
      <c r="K49" s="228"/>
      <c r="O49" s="228"/>
      <c r="S49" s="228"/>
    </row>
    <row r="50" spans="1:21">
      <c r="A50" s="1" t="s">
        <v>643</v>
      </c>
      <c r="B50" s="149">
        <f>IFERROR(B42/B35,0)</f>
        <v>0</v>
      </c>
      <c r="C50" s="149"/>
      <c r="D50" s="149">
        <f>IFERROR(D42/D35,0)</f>
        <v>0</v>
      </c>
      <c r="E50" s="149"/>
      <c r="F50" s="149">
        <f t="shared" ref="F50:S50" si="10">IFERROR(F42/F35,0)</f>
        <v>0</v>
      </c>
      <c r="G50" s="325">
        <f t="shared" si="10"/>
        <v>0</v>
      </c>
      <c r="H50" s="149">
        <f t="shared" si="10"/>
        <v>0</v>
      </c>
      <c r="I50" s="149">
        <f t="shared" si="10"/>
        <v>0</v>
      </c>
      <c r="J50" s="149">
        <f t="shared" si="10"/>
        <v>0</v>
      </c>
      <c r="K50" s="325">
        <f t="shared" si="10"/>
        <v>0</v>
      </c>
      <c r="L50" s="149">
        <f t="shared" si="10"/>
        <v>0</v>
      </c>
      <c r="M50" s="149">
        <f t="shared" si="10"/>
        <v>0</v>
      </c>
      <c r="N50" s="149">
        <f t="shared" si="10"/>
        <v>0</v>
      </c>
      <c r="O50" s="325">
        <f t="shared" si="10"/>
        <v>0</v>
      </c>
      <c r="P50" s="149">
        <f t="shared" si="10"/>
        <v>0</v>
      </c>
      <c r="Q50" s="149">
        <f t="shared" si="10"/>
        <v>0</v>
      </c>
      <c r="R50" s="149">
        <f t="shared" si="10"/>
        <v>0</v>
      </c>
      <c r="S50" s="325">
        <f t="shared" si="10"/>
        <v>0</v>
      </c>
      <c r="U50" s="149" t="e">
        <f>U42/U35</f>
        <v>#DIV/0!</v>
      </c>
    </row>
    <row r="51" spans="1:21">
      <c r="A51" s="1" t="s">
        <v>644</v>
      </c>
      <c r="B51" s="149">
        <f>IFERROR(B43/B36,0)</f>
        <v>0</v>
      </c>
      <c r="C51" s="149"/>
      <c r="D51" s="149">
        <f>IFERROR(D43/D36,0)</f>
        <v>0</v>
      </c>
      <c r="E51" s="149"/>
      <c r="F51" s="149">
        <f t="shared" ref="F51:K52" si="11">IFERROR(F43/F36,0)</f>
        <v>0</v>
      </c>
      <c r="G51" s="325">
        <f t="shared" si="11"/>
        <v>0</v>
      </c>
      <c r="H51" s="149">
        <f t="shared" si="11"/>
        <v>0</v>
      </c>
      <c r="I51" s="149">
        <f t="shared" si="11"/>
        <v>0</v>
      </c>
      <c r="J51" s="149">
        <f t="shared" si="11"/>
        <v>0</v>
      </c>
      <c r="K51" s="325">
        <f t="shared" si="11"/>
        <v>0</v>
      </c>
      <c r="L51" s="149">
        <f t="shared" ref="L51:O52" si="12">IFERROR(L43/L36,0)</f>
        <v>0</v>
      </c>
      <c r="M51" s="149">
        <f t="shared" si="12"/>
        <v>0</v>
      </c>
      <c r="N51" s="149">
        <f t="shared" si="12"/>
        <v>0</v>
      </c>
      <c r="O51" s="325">
        <f t="shared" si="12"/>
        <v>0</v>
      </c>
      <c r="P51" s="149">
        <f t="shared" ref="P51:S52" si="13">IFERROR(P43/P36,0)</f>
        <v>0</v>
      </c>
      <c r="Q51" s="149">
        <f t="shared" si="13"/>
        <v>0</v>
      </c>
      <c r="R51" s="149">
        <f t="shared" si="13"/>
        <v>0</v>
      </c>
      <c r="S51" s="325">
        <f t="shared" si="13"/>
        <v>0</v>
      </c>
      <c r="U51" s="149" t="e">
        <f>U43/U36</f>
        <v>#DIV/0!</v>
      </c>
    </row>
    <row r="52" spans="1:21">
      <c r="A52" s="1" t="s">
        <v>651</v>
      </c>
      <c r="B52" s="149">
        <f>IFERROR(B44/B37,0)</f>
        <v>0</v>
      </c>
      <c r="C52" s="149"/>
      <c r="D52" s="149">
        <f>IFERROR(D44/D37,0)</f>
        <v>0</v>
      </c>
      <c r="E52" s="149"/>
      <c r="F52" s="149">
        <f t="shared" si="11"/>
        <v>0</v>
      </c>
      <c r="G52" s="325">
        <f t="shared" si="11"/>
        <v>0</v>
      </c>
      <c r="H52" s="149">
        <f t="shared" si="11"/>
        <v>0</v>
      </c>
      <c r="I52" s="149">
        <f t="shared" si="11"/>
        <v>0</v>
      </c>
      <c r="J52" s="149">
        <f t="shared" si="11"/>
        <v>0</v>
      </c>
      <c r="K52" s="325">
        <f t="shared" si="11"/>
        <v>0</v>
      </c>
      <c r="L52" s="149">
        <f>IFERROR(L44/L37,0)</f>
        <v>0</v>
      </c>
      <c r="M52" s="149">
        <f>IFERROR(M44/M37,0)</f>
        <v>0</v>
      </c>
      <c r="N52" s="149">
        <f>IFERROR(N44/N37,0)</f>
        <v>0</v>
      </c>
      <c r="O52" s="325">
        <f t="shared" si="12"/>
        <v>0</v>
      </c>
      <c r="P52" s="149">
        <f>IFERROR(P44/P37,0)</f>
        <v>0</v>
      </c>
      <c r="Q52" s="149">
        <f>IFERROR(Q44/Q37,0)</f>
        <v>0</v>
      </c>
      <c r="R52" s="149">
        <f>IFERROR(R44/R37,0)</f>
        <v>0</v>
      </c>
      <c r="S52" s="325">
        <f t="shared" si="13"/>
        <v>0</v>
      </c>
      <c r="U52" s="149" t="e">
        <f>U44/U37</f>
        <v>#DIV/0!</v>
      </c>
    </row>
    <row r="55" spans="1:21">
      <c r="A55" s="1" t="s">
        <v>652</v>
      </c>
    </row>
    <row r="56" spans="1:21">
      <c r="A56" s="1" t="s">
        <v>643</v>
      </c>
      <c r="B56" s="149" t="e">
        <f>+DPL25Summary!B163-DPL25Summary!#REF!</f>
        <v>#REF!</v>
      </c>
      <c r="C56" s="149"/>
      <c r="D56" s="149" t="e">
        <f>+DPL25Summary!D163-DPL25Summary!#REF!</f>
        <v>#REF!</v>
      </c>
      <c r="E56" s="149"/>
      <c r="F56" s="149" t="e">
        <f>+DPL25Summary!F163-DPL25Summary!#REF!</f>
        <v>#REF!</v>
      </c>
      <c r="G56" s="154" t="e">
        <f>+SUM(B56,D56,F56)</f>
        <v>#REF!</v>
      </c>
      <c r="H56" s="149" t="e">
        <f>+DPL25Summary!H163-DPL25Summary!#REF!</f>
        <v>#REF!</v>
      </c>
      <c r="I56" s="149" t="e">
        <f>+DPL25Summary!J163-DPL25Summary!#REF!</f>
        <v>#REF!</v>
      </c>
      <c r="J56" s="149" t="e">
        <f>+DPL25Summary!L163-DPL25Summary!#REF!</f>
        <v>#REF!</v>
      </c>
      <c r="K56" s="154" t="e">
        <f>+H56+I56+J56</f>
        <v>#REF!</v>
      </c>
      <c r="L56" s="149" t="e">
        <f>+DPL25Summary!N163-DPL25Summary!#REF!</f>
        <v>#REF!</v>
      </c>
      <c r="M56" s="149"/>
      <c r="N56" s="149"/>
      <c r="O56" s="154" t="e">
        <f>+L56+M56+N56</f>
        <v>#REF!</v>
      </c>
      <c r="P56" s="149"/>
      <c r="Q56" s="149"/>
      <c r="R56" s="149"/>
      <c r="S56" s="154">
        <f>+P56+Q56+R56</f>
        <v>0</v>
      </c>
      <c r="U56" s="149" t="e">
        <f>+S56+O56+K56+G56</f>
        <v>#REF!</v>
      </c>
    </row>
    <row r="57" spans="1:21">
      <c r="A57" s="1" t="s">
        <v>644</v>
      </c>
      <c r="B57" s="149" t="e">
        <f>+DPL25Summary!B164+DPL25Summary!#REF!</f>
        <v>#REF!</v>
      </c>
      <c r="C57" s="149"/>
      <c r="D57" s="149" t="e">
        <f>+DPL25Summary!D164+DPL25Summary!#REF!</f>
        <v>#REF!</v>
      </c>
      <c r="E57" s="149"/>
      <c r="F57" s="149" t="e">
        <f>+DPL25Summary!F164+DPL25Summary!#REF!</f>
        <v>#REF!</v>
      </c>
      <c r="G57" s="154" t="e">
        <f>+SUM(B57,D57,F57)</f>
        <v>#REF!</v>
      </c>
      <c r="H57" s="149" t="e">
        <f>+DPL25Summary!H164+DPL25Summary!#REF!</f>
        <v>#REF!</v>
      </c>
      <c r="I57" s="149" t="e">
        <f>+DPL25Summary!J164+DPL25Summary!#REF!</f>
        <v>#REF!</v>
      </c>
      <c r="J57" s="149" t="e">
        <f>+DPL25Summary!L164+DPL25Summary!#REF!</f>
        <v>#REF!</v>
      </c>
      <c r="K57" s="154" t="e">
        <f>+H57+I57+J57</f>
        <v>#REF!</v>
      </c>
      <c r="L57" s="149" t="e">
        <f>+DPL25Summary!N164+DPL25Summary!#REF!</f>
        <v>#REF!</v>
      </c>
      <c r="M57" s="149"/>
      <c r="N57" s="149"/>
      <c r="O57" s="154" t="e">
        <f>+L57+M57+N57</f>
        <v>#REF!</v>
      </c>
      <c r="P57" s="149"/>
      <c r="Q57" s="149"/>
      <c r="R57" s="149"/>
      <c r="S57" s="154">
        <f>+P57+Q57+R57</f>
        <v>0</v>
      </c>
      <c r="U57" s="149" t="e">
        <f>+S57+O57+K57+G57</f>
        <v>#REF!</v>
      </c>
    </row>
    <row r="58" spans="1:21">
      <c r="A58" s="1" t="s">
        <v>653</v>
      </c>
      <c r="B58" s="149">
        <f>+DPL25Summary!B165</f>
        <v>0</v>
      </c>
      <c r="C58" s="149"/>
      <c r="D58" s="149">
        <f>+DPL25Summary!D165</f>
        <v>0</v>
      </c>
      <c r="E58" s="149"/>
      <c r="F58" s="149">
        <f>+DPL25Summary!F165</f>
        <v>0</v>
      </c>
      <c r="G58" s="154">
        <f>+SUM(B58,D58,F58)</f>
        <v>0</v>
      </c>
      <c r="H58" s="149">
        <f>+DPL25Summary!H165</f>
        <v>0</v>
      </c>
      <c r="I58" s="149">
        <f>+DPL25Summary!J165</f>
        <v>0</v>
      </c>
      <c r="J58" s="149">
        <f>+DPL25Summary!L165</f>
        <v>0</v>
      </c>
      <c r="K58" s="154">
        <f>+H58+I58+J58</f>
        <v>0</v>
      </c>
      <c r="L58" s="149">
        <f>+DPL25Summary!N165</f>
        <v>0</v>
      </c>
      <c r="M58" s="149"/>
      <c r="N58" s="149"/>
      <c r="O58" s="154">
        <f>+L58+M58+N58</f>
        <v>0</v>
      </c>
      <c r="P58" s="149"/>
      <c r="Q58" s="149"/>
      <c r="R58" s="149"/>
      <c r="S58" s="154">
        <f>+P58+Q58+R58</f>
        <v>0</v>
      </c>
      <c r="U58" s="149">
        <f>+S58+O58+K58+G58</f>
        <v>0</v>
      </c>
    </row>
    <row r="59" spans="1:21" ht="15.75">
      <c r="A59" s="18" t="s">
        <v>654</v>
      </c>
      <c r="B59" s="149" t="e">
        <f>SUM(B56:B58)</f>
        <v>#REF!</v>
      </c>
      <c r="D59" s="149" t="e">
        <f>SUM(D56:D58)</f>
        <v>#REF!</v>
      </c>
      <c r="F59" s="149" t="e">
        <f>SUM(F56:F58)</f>
        <v>#REF!</v>
      </c>
      <c r="G59" s="154" t="e">
        <f>+SUM(B59,D59,F59)</f>
        <v>#REF!</v>
      </c>
      <c r="H59" s="149" t="e">
        <f t="shared" ref="H59:M59" si="14">SUM(H56:H58)</f>
        <v>#REF!</v>
      </c>
      <c r="I59" s="149" t="e">
        <f t="shared" si="14"/>
        <v>#REF!</v>
      </c>
      <c r="J59" s="149" t="e">
        <f t="shared" si="14"/>
        <v>#REF!</v>
      </c>
      <c r="K59" s="154" t="e">
        <f t="shared" si="14"/>
        <v>#REF!</v>
      </c>
      <c r="L59" s="149" t="e">
        <f t="shared" si="14"/>
        <v>#REF!</v>
      </c>
      <c r="M59" s="149">
        <f t="shared" si="14"/>
        <v>0</v>
      </c>
      <c r="N59" s="149">
        <f t="shared" ref="N59:S59" si="15">SUM(N56:N58)</f>
        <v>0</v>
      </c>
      <c r="O59" s="154" t="e">
        <f t="shared" si="15"/>
        <v>#REF!</v>
      </c>
      <c r="P59" s="149">
        <f t="shared" si="15"/>
        <v>0</v>
      </c>
      <c r="Q59" s="149">
        <f t="shared" si="15"/>
        <v>0</v>
      </c>
      <c r="R59" s="149">
        <f t="shared" si="15"/>
        <v>0</v>
      </c>
      <c r="S59" s="154">
        <f t="shared" si="15"/>
        <v>0</v>
      </c>
      <c r="U59" s="154" t="e">
        <f>SUM(U56:U58)</f>
        <v>#REF!</v>
      </c>
    </row>
    <row r="60" spans="1:21">
      <c r="G60" s="1"/>
      <c r="K60" s="1"/>
    </row>
    <row r="61" spans="1:21">
      <c r="A61" s="265" t="s">
        <v>655</v>
      </c>
      <c r="G61" s="1"/>
      <c r="K61" s="1"/>
    </row>
    <row r="62" spans="1:21">
      <c r="A62" s="265" t="s">
        <v>643</v>
      </c>
      <c r="B62" s="149">
        <f>IFERROR(B56/B35,0)</f>
        <v>0</v>
      </c>
      <c r="D62" s="149">
        <f>IFERROR(D56/D35,0)</f>
        <v>0</v>
      </c>
      <c r="F62" s="149">
        <f t="shared" ref="F62:S62" si="16">IFERROR(F56/F35,0)</f>
        <v>0</v>
      </c>
      <c r="G62" s="154">
        <f t="shared" si="16"/>
        <v>0</v>
      </c>
      <c r="H62" s="149">
        <f t="shared" si="16"/>
        <v>0</v>
      </c>
      <c r="I62" s="149">
        <f t="shared" si="16"/>
        <v>0</v>
      </c>
      <c r="J62" s="149">
        <f t="shared" si="16"/>
        <v>0</v>
      </c>
      <c r="K62" s="154">
        <f t="shared" si="16"/>
        <v>0</v>
      </c>
      <c r="L62" s="149">
        <f t="shared" si="16"/>
        <v>0</v>
      </c>
      <c r="M62" s="149">
        <f t="shared" si="16"/>
        <v>0</v>
      </c>
      <c r="N62" s="149">
        <f t="shared" si="16"/>
        <v>0</v>
      </c>
      <c r="O62" s="154">
        <f t="shared" si="16"/>
        <v>0</v>
      </c>
      <c r="P62" s="149">
        <f t="shared" si="16"/>
        <v>0</v>
      </c>
      <c r="Q62" s="149">
        <f t="shared" si="16"/>
        <v>0</v>
      </c>
      <c r="R62" s="149">
        <f t="shared" si="16"/>
        <v>0</v>
      </c>
      <c r="S62" s="154">
        <f t="shared" si="16"/>
        <v>0</v>
      </c>
      <c r="U62" s="149" t="e">
        <f>+U56/U35</f>
        <v>#REF!</v>
      </c>
    </row>
    <row r="63" spans="1:21">
      <c r="A63" s="265" t="s">
        <v>644</v>
      </c>
      <c r="B63" s="149">
        <f>IFERROR(B57/B36,0)</f>
        <v>0</v>
      </c>
      <c r="D63" s="149">
        <f>IFERROR(D57/D36,0)</f>
        <v>0</v>
      </c>
      <c r="F63" s="149">
        <f t="shared" ref="F63:S63" si="17">IFERROR(F57/F36,0)</f>
        <v>0</v>
      </c>
      <c r="G63" s="154">
        <f t="shared" si="17"/>
        <v>0</v>
      </c>
      <c r="H63" s="149">
        <f t="shared" si="17"/>
        <v>0</v>
      </c>
      <c r="I63" s="149">
        <f t="shared" si="17"/>
        <v>0</v>
      </c>
      <c r="J63" s="149">
        <f t="shared" si="17"/>
        <v>0</v>
      </c>
      <c r="K63" s="154">
        <f t="shared" si="17"/>
        <v>0</v>
      </c>
      <c r="L63" s="149">
        <f t="shared" si="17"/>
        <v>0</v>
      </c>
      <c r="M63" s="149">
        <f t="shared" si="17"/>
        <v>0</v>
      </c>
      <c r="N63" s="149">
        <f t="shared" si="17"/>
        <v>0</v>
      </c>
      <c r="O63" s="154">
        <f t="shared" si="17"/>
        <v>0</v>
      </c>
      <c r="P63" s="149">
        <f t="shared" si="17"/>
        <v>0</v>
      </c>
      <c r="Q63" s="149">
        <f t="shared" si="17"/>
        <v>0</v>
      </c>
      <c r="R63" s="149">
        <f t="shared" si="17"/>
        <v>0</v>
      </c>
      <c r="S63" s="154">
        <f t="shared" si="17"/>
        <v>0</v>
      </c>
      <c r="U63" s="149" t="e">
        <f>+U57/U36</f>
        <v>#REF!</v>
      </c>
    </row>
    <row r="64" spans="1:21">
      <c r="A64" s="265" t="s">
        <v>653</v>
      </c>
      <c r="B64" s="149">
        <f>IFERROR(B58/B37,0)</f>
        <v>0</v>
      </c>
      <c r="D64" s="149">
        <f>IFERROR(D58/D37,0)</f>
        <v>0</v>
      </c>
      <c r="F64" s="149">
        <f t="shared" ref="F64:S64" si="18">IFERROR(F58/F37,0)</f>
        <v>0</v>
      </c>
      <c r="G64" s="154">
        <f t="shared" si="18"/>
        <v>0</v>
      </c>
      <c r="H64" s="149">
        <f t="shared" si="18"/>
        <v>0</v>
      </c>
      <c r="I64" s="149">
        <f t="shared" si="18"/>
        <v>0</v>
      </c>
      <c r="J64" s="149">
        <f t="shared" si="18"/>
        <v>0</v>
      </c>
      <c r="K64" s="154">
        <f t="shared" si="18"/>
        <v>0</v>
      </c>
      <c r="L64" s="149">
        <f t="shared" si="18"/>
        <v>0</v>
      </c>
      <c r="M64" s="149">
        <f t="shared" si="18"/>
        <v>0</v>
      </c>
      <c r="N64" s="149">
        <f t="shared" si="18"/>
        <v>0</v>
      </c>
      <c r="O64" s="154">
        <f t="shared" si="18"/>
        <v>0</v>
      </c>
      <c r="P64" s="149">
        <f t="shared" si="18"/>
        <v>0</v>
      </c>
      <c r="Q64" s="149">
        <f t="shared" si="18"/>
        <v>0</v>
      </c>
      <c r="R64" s="149">
        <f t="shared" si="18"/>
        <v>0</v>
      </c>
      <c r="S64" s="154">
        <f t="shared" si="18"/>
        <v>0</v>
      </c>
      <c r="U64" s="149" t="e">
        <f>+U58/U37</f>
        <v>#DIV/0!</v>
      </c>
    </row>
    <row r="65" spans="1:23">
      <c r="G65" s="1"/>
      <c r="K65" s="1"/>
    </row>
    <row r="66" spans="1:23">
      <c r="A66" s="1" t="s">
        <v>656</v>
      </c>
      <c r="G66" s="1"/>
      <c r="K66" s="1"/>
    </row>
    <row r="67" spans="1:23">
      <c r="A67" s="1" t="s">
        <v>643</v>
      </c>
      <c r="B67" s="223" t="e">
        <f>194956231+529252155-(6058280+1627160+4200418)-DPL25Summary!#REF!-DPL25Summary!#REF!-DPL25Summary!#REF!</f>
        <v>#REF!</v>
      </c>
      <c r="D67" s="223" t="e">
        <f>263450966+490756804-(6058280+2392160+4328362)-DPL25Summary!#REF!-DPL25Summary!#REF!-DPL25Summary!#REF!</f>
        <v>#REF!</v>
      </c>
      <c r="F67" s="223" t="e">
        <f>268996126+422675145-(6058280+1102160+3307918)-DPL25Summary!#REF!-DPL25Summary!#REF!-DPL25Summary!#REF!</f>
        <v>#REF!</v>
      </c>
      <c r="G67" s="154" t="e">
        <f>+SUM(B67,D67,F67)</f>
        <v>#REF!</v>
      </c>
      <c r="H67" s="223" t="e">
        <f>247472668+417663090-(6058280+1102160+3307918)-DPL25Summary!#REF!-DPL25Summary!#REF!-DPL25Summary!#REF!</f>
        <v>#REF!</v>
      </c>
      <c r="I67" s="223" t="e">
        <f>284954195+467460688-(9678860+3451845+8158882)-DPL25Summary!#REF!-DPL25Summary!#REF!-DPL25Summary!#REF!</f>
        <v>#REF!</v>
      </c>
      <c r="J67" s="223" t="e">
        <f>261952020+455311279-(10314662+3020572+11843785)-DPL25Summary!#REF!-DPL25Summary!#REF!-DPL25Summary!#REF!</f>
        <v>#REF!</v>
      </c>
      <c r="K67" s="154" t="e">
        <f>+H67+I67+J67</f>
        <v>#REF!</v>
      </c>
      <c r="L67" s="223" t="e">
        <f>282126783+459576935-(7345978+1174760+3525813)-DPL25Summary!#REF!-DPL25Summary!#REF!-DPL25Summary!#REF!</f>
        <v>#REF!</v>
      </c>
      <c r="M67" s="223"/>
      <c r="N67" s="223"/>
      <c r="O67" s="154" t="e">
        <f>+L67+M67+N67</f>
        <v>#REF!</v>
      </c>
      <c r="P67" s="223"/>
      <c r="Q67" s="223"/>
      <c r="R67" s="223"/>
      <c r="S67" s="154">
        <f>+P67+Q67+R67</f>
        <v>0</v>
      </c>
      <c r="U67" s="149" t="e">
        <f>+S67+O67+K67+G67</f>
        <v>#REF!</v>
      </c>
      <c r="W67" s="223"/>
    </row>
    <row r="68" spans="1:23">
      <c r="A68" s="1" t="s">
        <v>644</v>
      </c>
      <c r="B68" s="223" t="e">
        <f>27554000+25000000+7992000+6058280+1627160+4200418+13750000+8797718+(66756865-B73)+25010702+DPL25Summary!#REF!+DPL25Summary!#REF!+DPL25Summary!#REF!</f>
        <v>#REF!</v>
      </c>
      <c r="D68" s="223" t="e">
        <f>27554000+25000000+7992000+6058280+2392160+4328362+13750000+8797718+(73836130-D73)+27406253+DPL25Summary!#REF!+DPL25Summary!#REF!+DPL25Summary!#REF!</f>
        <v>#REF!</v>
      </c>
      <c r="F68" s="223" t="e">
        <f>27554000+25000000+7992000+6058280+1102160+3307918+13750000+8797718+(70660075-F73)+26560404+DPL25Summary!#REF!+DPL25Summary!#REF!+DPL25Summary!#REF!</f>
        <v>#REF!</v>
      </c>
      <c r="G68" s="154" t="e">
        <f>+SUM(B68,D68,F68)</f>
        <v>#REF!</v>
      </c>
      <c r="H68" s="223" t="e">
        <f>27554000+25000000+5328000+6058280+1102160+3307918+13750000+8797718+(68380294-H73)+27099577+DPL25Summary!#REF!+DPL25Summary!#REF!+DPL25Summary!#REF!</f>
        <v>#REF!</v>
      </c>
      <c r="I68" s="223" t="e">
        <f>44008625+25000000+11988000+9678860+3451845+8158882+23375000+15491621+(106043740-I73)+47261107+DPL25Summary!#REF!+DPL25Summary!#REF!+DPL25Summary!#REF!</f>
        <v>#REF!</v>
      </c>
      <c r="J68" s="223" t="e">
        <f>38370822+25000000+8791200+10314662+3020572+11843785+15675000+10220639+(78753710-J73)+32194950+DPL25Summary!#REF!+DPL25Summary!#REF!+DPL25Summary!#REF!</f>
        <v>#REF!</v>
      </c>
      <c r="K68" s="154" t="e">
        <f>+H68+I68+J68</f>
        <v>#REF!</v>
      </c>
      <c r="L68" s="223" t="e">
        <f>29369000+25000000+8791200+7345978+1174760+3525813+15675000+10136499+(75170041-L73)+29023244+DPL25Summary!#REF!+DPL25Summary!#REF!+DPL25Summary!#REF!</f>
        <v>#REF!</v>
      </c>
      <c r="M68" s="223"/>
      <c r="N68" s="223"/>
      <c r="O68" s="154" t="e">
        <f>+L68+M68+N68</f>
        <v>#REF!</v>
      </c>
      <c r="P68" s="223"/>
      <c r="Q68" s="223"/>
      <c r="R68" s="223"/>
      <c r="S68" s="154">
        <f>+P68+Q68+R68</f>
        <v>0</v>
      </c>
      <c r="U68" s="149" t="e">
        <f>+S68+O68+K68+G68</f>
        <v>#REF!</v>
      </c>
    </row>
    <row r="69" spans="1:23">
      <c r="A69" s="1" t="s">
        <v>653</v>
      </c>
      <c r="B69" s="223">
        <f>147910872-B74</f>
        <v>125410872</v>
      </c>
      <c r="D69" s="223">
        <f>154941845-D74</f>
        <v>132441845</v>
      </c>
      <c r="F69" s="223">
        <f>157796346-F74</f>
        <v>135296346</v>
      </c>
      <c r="G69" s="154">
        <f>+SUM(B69,D69,F69)</f>
        <v>393149063</v>
      </c>
      <c r="H69" s="223">
        <f>152743770-H74</f>
        <v>130243770</v>
      </c>
      <c r="I69" s="223">
        <f>270692423-I74</f>
        <v>248192423</v>
      </c>
      <c r="J69" s="223">
        <f>186470093-J74</f>
        <v>163970093</v>
      </c>
      <c r="K69" s="154">
        <f>+H69+I69+J69</f>
        <v>542406286</v>
      </c>
      <c r="L69" s="223">
        <f>195635970-L74</f>
        <v>173135970</v>
      </c>
      <c r="M69" s="223"/>
      <c r="N69" s="223"/>
      <c r="O69" s="154">
        <f>+L69+M69+N69</f>
        <v>173135970</v>
      </c>
      <c r="P69" s="223"/>
      <c r="Q69" s="223"/>
      <c r="R69" s="223"/>
      <c r="S69" s="154">
        <f>+P69+Q69+R69</f>
        <v>0</v>
      </c>
      <c r="U69" s="149">
        <f>+S69+O69+K69+G69</f>
        <v>1108691319</v>
      </c>
    </row>
    <row r="70" spans="1:23">
      <c r="B70" s="223"/>
      <c r="D70" s="149"/>
      <c r="F70" s="149"/>
      <c r="G70" s="1"/>
      <c r="H70" s="149"/>
      <c r="K70" s="1"/>
    </row>
    <row r="71" spans="1:23">
      <c r="A71" s="1" t="s">
        <v>657</v>
      </c>
      <c r="B71" s="223"/>
      <c r="D71" s="149"/>
      <c r="F71" s="149"/>
      <c r="G71" s="1"/>
      <c r="H71" s="149"/>
      <c r="K71" s="1"/>
    </row>
    <row r="72" spans="1:23">
      <c r="A72" s="1" t="s">
        <v>643</v>
      </c>
      <c r="B72" s="223" t="e">
        <f>485218950+52280000+101230000+22960000-DPL25Summary!#REF!-DPL25Summary!#REF!</f>
        <v>#REF!</v>
      </c>
      <c r="D72" s="223" t="e">
        <f>396151400+55071667+88780000+21760000-DPL25Summary!#REF!-DPL25Summary!#REF!</f>
        <v>#REF!</v>
      </c>
      <c r="F72" s="223" t="e">
        <f>275759000+38995000+66240000+16160000-DPL25Summary!#REF!-DPL25Summary!#REF!</f>
        <v>#REF!</v>
      </c>
      <c r="G72" s="154" t="e">
        <f>+SUM(B72,D72,F72)</f>
        <v>#REF!</v>
      </c>
      <c r="H72" s="223" t="e">
        <f>294972750+31890000+67320000+13600000-DPL25Summary!#REF!-DPL25Summary!#REF!</f>
        <v>#REF!</v>
      </c>
      <c r="I72" s="223" t="e">
        <f>295889256+21135000+77565000+13600000-DPL25Summary!#REF!-DPL25Summary!#REF!</f>
        <v>#REF!</v>
      </c>
      <c r="J72" s="223" t="e">
        <f>318633157+26200000+79030000+14160000-DPL25Summary!#REF!-DPL25Summary!#REF!</f>
        <v>#REF!</v>
      </c>
      <c r="K72" s="154" t="e">
        <f>+H72+I72+J72</f>
        <v>#REF!</v>
      </c>
      <c r="L72" s="223" t="e">
        <f>345847910+40830000+88427500+17760000-DPL25Summary!#REF!-DPL25Summary!#REF!</f>
        <v>#REF!</v>
      </c>
      <c r="M72" s="223"/>
      <c r="N72" s="223"/>
      <c r="O72" s="154" t="e">
        <f>+L72+M72+N72</f>
        <v>#REF!</v>
      </c>
      <c r="P72" s="223"/>
      <c r="Q72" s="223"/>
      <c r="R72" s="223"/>
      <c r="S72" s="154">
        <f>+P72+Q72+R72</f>
        <v>0</v>
      </c>
      <c r="U72" s="149" t="e">
        <f>+S72+O72+K72+G72</f>
        <v>#REF!</v>
      </c>
    </row>
    <row r="73" spans="1:23">
      <c r="A73" s="1" t="s">
        <v>644</v>
      </c>
      <c r="B73" s="223" t="e">
        <f>4665000+15500000+DPL25Summary!#REF!+DPL25Summary!#REF!</f>
        <v>#REF!</v>
      </c>
      <c r="D73" s="223" t="e">
        <f>15500000+DPL25Summary!#REF!+DPL25Summary!#REF!</f>
        <v>#REF!</v>
      </c>
      <c r="F73" s="223" t="e">
        <f>15500000+DPL25Summary!#REF!+DPL25Summary!#REF!</f>
        <v>#REF!</v>
      </c>
      <c r="G73" s="154" t="e">
        <f>+SUM(B73,D73,F73)</f>
        <v>#REF!</v>
      </c>
      <c r="H73" s="223" t="e">
        <f>15500000+DPL25Summary!#REF!+DPL25Summary!#REF!</f>
        <v>#REF!</v>
      </c>
      <c r="I73" s="223" t="e">
        <f>15500000+DPL25Summary!#REF!+DPL25Summary!#REF!</f>
        <v>#REF!</v>
      </c>
      <c r="J73" s="223" t="e">
        <f>15500000+DPL25Summary!#REF!+DPL25Summary!#REF!</f>
        <v>#REF!</v>
      </c>
      <c r="K73" s="154" t="e">
        <f>+H73+I73+J73</f>
        <v>#REF!</v>
      </c>
      <c r="L73" s="223" t="e">
        <f>15500000+DPL25Summary!#REF!+DPL25Summary!#REF!</f>
        <v>#REF!</v>
      </c>
      <c r="M73" s="223"/>
      <c r="N73" s="223"/>
      <c r="O73" s="154" t="e">
        <f>+L73+M73+N73</f>
        <v>#REF!</v>
      </c>
      <c r="P73" s="223"/>
      <c r="Q73" s="223"/>
      <c r="R73" s="223"/>
      <c r="S73" s="154">
        <f>+P73+Q73+R73</f>
        <v>0</v>
      </c>
      <c r="U73" s="149" t="e">
        <f>+S73+O73+K73+G73</f>
        <v>#REF!</v>
      </c>
    </row>
    <row r="74" spans="1:23">
      <c r="A74" s="1" t="s">
        <v>653</v>
      </c>
      <c r="B74" s="223">
        <v>22500000</v>
      </c>
      <c r="D74" s="149">
        <v>22500000</v>
      </c>
      <c r="F74" s="149">
        <v>22500000</v>
      </c>
      <c r="G74" s="154">
        <f>+SUM(B74,D74,F74)</f>
        <v>67500000</v>
      </c>
      <c r="H74" s="149">
        <v>22500000</v>
      </c>
      <c r="I74" s="149">
        <v>22500000</v>
      </c>
      <c r="J74" s="149">
        <v>22500000</v>
      </c>
      <c r="K74" s="154">
        <f>+H74+I74+J74</f>
        <v>67500000</v>
      </c>
      <c r="L74" s="149">
        <v>22500000</v>
      </c>
      <c r="M74" s="149"/>
      <c r="N74" s="149"/>
      <c r="O74" s="154">
        <f>+L74+M74+N74</f>
        <v>22500000</v>
      </c>
      <c r="P74" s="149"/>
      <c r="Q74" s="149"/>
      <c r="R74" s="149"/>
      <c r="S74" s="154">
        <f>+P74+Q74+R74</f>
        <v>0</v>
      </c>
      <c r="U74" s="149">
        <f>+S74+O74+K74+G74</f>
        <v>157500000</v>
      </c>
    </row>
    <row r="75" spans="1:23">
      <c r="G75" s="1"/>
      <c r="H75" s="149"/>
      <c r="K75" s="1"/>
    </row>
    <row r="76" spans="1:23">
      <c r="A76" s="265" t="s">
        <v>281</v>
      </c>
      <c r="B76" s="168"/>
      <c r="G76" s="1"/>
      <c r="H76" s="149"/>
      <c r="K76" s="1"/>
    </row>
    <row r="77" spans="1:23">
      <c r="A77" s="265" t="s">
        <v>643</v>
      </c>
      <c r="B77" s="168">
        <f>IFERROR(B72/B42,0)</f>
        <v>0</v>
      </c>
      <c r="D77" s="168">
        <f>IFERROR(D72/D42,0)</f>
        <v>0</v>
      </c>
      <c r="F77" s="168">
        <f t="shared" ref="F77:S77" si="19">IFERROR(F72/F42,0)</f>
        <v>0</v>
      </c>
      <c r="G77" s="195">
        <f t="shared" si="19"/>
        <v>0</v>
      </c>
      <c r="H77" s="168">
        <f t="shared" si="19"/>
        <v>0</v>
      </c>
      <c r="I77" s="168">
        <f t="shared" si="19"/>
        <v>0</v>
      </c>
      <c r="J77" s="168">
        <f t="shared" si="19"/>
        <v>0</v>
      </c>
      <c r="K77" s="195">
        <f t="shared" si="19"/>
        <v>0</v>
      </c>
      <c r="L77" s="168">
        <f t="shared" si="19"/>
        <v>0</v>
      </c>
      <c r="M77" s="168">
        <f t="shared" si="19"/>
        <v>0</v>
      </c>
      <c r="N77" s="168">
        <f t="shared" si="19"/>
        <v>0</v>
      </c>
      <c r="O77" s="195">
        <f t="shared" si="19"/>
        <v>0</v>
      </c>
      <c r="P77" s="168">
        <f t="shared" si="19"/>
        <v>0</v>
      </c>
      <c r="Q77" s="168">
        <f t="shared" si="19"/>
        <v>0</v>
      </c>
      <c r="R77" s="168">
        <f t="shared" si="19"/>
        <v>0</v>
      </c>
      <c r="S77" s="195">
        <f t="shared" si="19"/>
        <v>0</v>
      </c>
      <c r="U77" s="168" t="e">
        <f>+U72/U42</f>
        <v>#REF!</v>
      </c>
    </row>
    <row r="78" spans="1:23">
      <c r="A78" s="265" t="s">
        <v>644</v>
      </c>
      <c r="B78" s="168">
        <f>IFERROR(B73/B43,0)</f>
        <v>0</v>
      </c>
      <c r="D78" s="168">
        <f>IFERROR(D73/D43,0)</f>
        <v>0</v>
      </c>
      <c r="F78" s="168">
        <f t="shared" ref="F78:S78" si="20">IFERROR(F73/F43,0)</f>
        <v>0</v>
      </c>
      <c r="G78" s="195">
        <f t="shared" si="20"/>
        <v>0</v>
      </c>
      <c r="H78" s="168">
        <f t="shared" si="20"/>
        <v>0</v>
      </c>
      <c r="I78" s="168">
        <f t="shared" si="20"/>
        <v>0</v>
      </c>
      <c r="J78" s="168">
        <f t="shared" si="20"/>
        <v>0</v>
      </c>
      <c r="K78" s="195">
        <f t="shared" si="20"/>
        <v>0</v>
      </c>
      <c r="L78" s="168">
        <f t="shared" si="20"/>
        <v>0</v>
      </c>
      <c r="M78" s="168">
        <f t="shared" si="20"/>
        <v>0</v>
      </c>
      <c r="N78" s="168">
        <f t="shared" si="20"/>
        <v>0</v>
      </c>
      <c r="O78" s="195">
        <f t="shared" si="20"/>
        <v>0</v>
      </c>
      <c r="P78" s="168">
        <f t="shared" si="20"/>
        <v>0</v>
      </c>
      <c r="Q78" s="168">
        <f t="shared" si="20"/>
        <v>0</v>
      </c>
      <c r="R78" s="168">
        <f t="shared" si="20"/>
        <v>0</v>
      </c>
      <c r="S78" s="195">
        <f t="shared" si="20"/>
        <v>0</v>
      </c>
      <c r="U78" s="168" t="e">
        <f>+U73/U43</f>
        <v>#REF!</v>
      </c>
    </row>
    <row r="79" spans="1:23">
      <c r="A79" s="265" t="s">
        <v>653</v>
      </c>
      <c r="G79" s="1"/>
      <c r="K79" s="1"/>
      <c r="O79" s="1"/>
      <c r="S79" s="1"/>
      <c r="U79" s="149"/>
    </row>
    <row r="80" spans="1:23">
      <c r="A80" s="265" t="s">
        <v>658</v>
      </c>
      <c r="B80" s="168">
        <f>IFERROR(SUM(B72:B74)/B46,0)</f>
        <v>0</v>
      </c>
      <c r="D80" s="168">
        <f>IFERROR(SUM(D72:D74)/D46,0)</f>
        <v>0</v>
      </c>
      <c r="F80" s="168">
        <f t="shared" ref="F80:S80" si="21">IFERROR(SUM(F72:F74)/F46,0)</f>
        <v>0</v>
      </c>
      <c r="G80" s="195">
        <f t="shared" si="21"/>
        <v>0</v>
      </c>
      <c r="H80" s="168">
        <f t="shared" si="21"/>
        <v>0</v>
      </c>
      <c r="I80" s="168">
        <f t="shared" si="21"/>
        <v>0</v>
      </c>
      <c r="J80" s="168">
        <f t="shared" si="21"/>
        <v>0</v>
      </c>
      <c r="K80" s="195">
        <f t="shared" si="21"/>
        <v>0</v>
      </c>
      <c r="L80" s="168">
        <f t="shared" si="21"/>
        <v>0</v>
      </c>
      <c r="M80" s="168">
        <f t="shared" si="21"/>
        <v>0</v>
      </c>
      <c r="N80" s="168">
        <f t="shared" si="21"/>
        <v>0</v>
      </c>
      <c r="O80" s="195">
        <f t="shared" si="21"/>
        <v>0</v>
      </c>
      <c r="P80" s="168">
        <f t="shared" si="21"/>
        <v>0</v>
      </c>
      <c r="Q80" s="168">
        <f t="shared" si="21"/>
        <v>0</v>
      </c>
      <c r="R80" s="168">
        <f t="shared" si="21"/>
        <v>0</v>
      </c>
      <c r="S80" s="195">
        <f t="shared" si="21"/>
        <v>0</v>
      </c>
      <c r="U80" s="168" t="e">
        <f>SUM(U72:U74)/U46</f>
        <v>#REF!</v>
      </c>
    </row>
    <row r="81" spans="7:11">
      <c r="G81" s="1"/>
      <c r="H81" s="149"/>
      <c r="K81" s="1"/>
    </row>
    <row r="82" spans="7:11">
      <c r="G82" s="1"/>
      <c r="H82" s="149"/>
    </row>
    <row r="83" spans="7:11">
      <c r="G83" s="1"/>
      <c r="H83" s="149"/>
    </row>
    <row r="84" spans="7:11">
      <c r="G84" s="1"/>
      <c r="H84" s="149"/>
    </row>
    <row r="85" spans="7:11">
      <c r="G85" s="1"/>
      <c r="H85" s="149"/>
    </row>
    <row r="86" spans="7:11">
      <c r="G86" s="1"/>
      <c r="H86" s="149"/>
    </row>
    <row r="87" spans="7:11">
      <c r="G87" s="1"/>
      <c r="H87" s="149"/>
    </row>
    <row r="88" spans="7:11">
      <c r="G88" s="1"/>
      <c r="H88" s="149"/>
    </row>
    <row r="89" spans="7:11">
      <c r="G89" s="1"/>
      <c r="H89" s="149"/>
    </row>
    <row r="90" spans="7:11">
      <c r="G90" s="1"/>
      <c r="H90" s="149"/>
    </row>
    <row r="91" spans="7:11">
      <c r="G91" s="1"/>
      <c r="H91" s="149"/>
    </row>
    <row r="92" spans="7:11">
      <c r="G92" s="1"/>
      <c r="H92" s="149"/>
    </row>
    <row r="93" spans="7:11">
      <c r="G93" s="1"/>
      <c r="H93" s="149"/>
    </row>
    <row r="94" spans="7:11">
      <c r="G94" s="1"/>
      <c r="H94" s="149"/>
    </row>
    <row r="95" spans="7:11">
      <c r="G95" s="1"/>
      <c r="H95" s="149"/>
    </row>
    <row r="96" spans="7:11">
      <c r="H96" s="149"/>
    </row>
    <row r="97" spans="8:8">
      <c r="H97" s="149"/>
    </row>
    <row r="98" spans="8:8">
      <c r="H98" s="149"/>
    </row>
    <row r="99" spans="8:8">
      <c r="H99" s="149"/>
    </row>
    <row r="100" spans="8:8">
      <c r="H100" s="149"/>
    </row>
    <row r="101" spans="8:8">
      <c r="H101" s="149"/>
    </row>
    <row r="102" spans="8:8">
      <c r="H102" s="149"/>
    </row>
    <row r="103" spans="8:8">
      <c r="H103" s="149"/>
    </row>
    <row r="104" spans="8:8">
      <c r="H104" s="149"/>
    </row>
    <row r="105" spans="8:8">
      <c r="H105" s="149"/>
    </row>
    <row r="106" spans="8:8">
      <c r="H106" s="149"/>
    </row>
    <row r="107" spans="8:8">
      <c r="H107" s="149"/>
    </row>
    <row r="108" spans="8:8">
      <c r="H108" s="149"/>
    </row>
    <row r="109" spans="8:8">
      <c r="H109" s="149"/>
    </row>
    <row r="110" spans="8:8">
      <c r="H110" s="149"/>
    </row>
    <row r="111" spans="8:8">
      <c r="H111" s="149"/>
    </row>
    <row r="112" spans="8:8">
      <c r="H112" s="149"/>
    </row>
    <row r="113" spans="8:8">
      <c r="H113" s="149"/>
    </row>
    <row r="114" spans="8:8">
      <c r="H114" s="149"/>
    </row>
    <row r="115" spans="8:8">
      <c r="H115" s="149"/>
    </row>
    <row r="116" spans="8:8">
      <c r="H116" s="149"/>
    </row>
    <row r="117" spans="8:8">
      <c r="H117" s="149"/>
    </row>
    <row r="118" spans="8:8">
      <c r="H118" s="149"/>
    </row>
    <row r="119" spans="8:8">
      <c r="H119" s="149"/>
    </row>
    <row r="120" spans="8:8">
      <c r="H120" s="149"/>
    </row>
    <row r="121" spans="8:8">
      <c r="H121" s="149"/>
    </row>
    <row r="122" spans="8:8">
      <c r="H122" s="149"/>
    </row>
    <row r="123" spans="8:8">
      <c r="H123" s="149"/>
    </row>
    <row r="124" spans="8:8">
      <c r="H124" s="149"/>
    </row>
    <row r="125" spans="8:8">
      <c r="H125" s="149"/>
    </row>
    <row r="126" spans="8:8">
      <c r="H126" s="149"/>
    </row>
  </sheetData>
  <pageMargins left="0.7" right="0.7" top="0.75" bottom="0.75" header="0.3" footer="0.3"/>
  <pageSetup paperSize="9" orientation="portrait" r:id="rId1"/>
  <ignoredErrors>
    <ignoredError sqref="F36:F37 D36:D37" formulaRange="1"/>
    <ignoredError sqref="G35" formula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7">
    <tabColor rgb="FFFFFF66"/>
    <pageSetUpPr fitToPage="1"/>
  </sheetPr>
  <dimension ref="A1:AI169"/>
  <sheetViews>
    <sheetView workbookViewId="0"/>
  </sheetViews>
  <sheetFormatPr baseColWidth="10" defaultColWidth="9.140625" defaultRowHeight="12.75"/>
  <cols>
    <col min="1" max="1" width="39.140625" bestFit="1" customWidth="1"/>
    <col min="2" max="2" width="15.140625" customWidth="1"/>
    <col min="3" max="3" width="7.140625" bestFit="1" customWidth="1"/>
    <col min="4" max="4" width="14.42578125" customWidth="1"/>
    <col min="5" max="5" width="7.140625" bestFit="1" customWidth="1"/>
    <col min="6" max="6" width="16.5703125" customWidth="1"/>
    <col min="7" max="7" width="7.140625" bestFit="1" customWidth="1"/>
    <col min="8" max="8" width="15.42578125" customWidth="1"/>
    <col min="9" max="9" width="6.42578125" bestFit="1" customWidth="1"/>
    <col min="10" max="10" width="15.42578125" customWidth="1"/>
    <col min="11" max="11" width="6.42578125" bestFit="1" customWidth="1"/>
    <col min="12" max="12" width="14.85546875" customWidth="1"/>
    <col min="13" max="13" width="6.42578125" bestFit="1" customWidth="1"/>
    <col min="14" max="14" width="15.140625" customWidth="1"/>
    <col min="15" max="15" width="6.42578125" bestFit="1" customWidth="1"/>
    <col min="16" max="16" width="13.42578125" customWidth="1"/>
    <col min="17" max="17" width="6.42578125" bestFit="1" customWidth="1"/>
    <col min="18" max="18" width="16.42578125" customWidth="1"/>
    <col min="19" max="19" width="6.5703125" bestFit="1" customWidth="1"/>
    <col min="20" max="20" width="16.42578125" customWidth="1"/>
    <col min="21" max="21" width="7.140625" customWidth="1"/>
    <col min="22" max="22" width="16.42578125" customWidth="1"/>
    <col min="23" max="23" width="6.5703125" bestFit="1" customWidth="1"/>
    <col min="24" max="24" width="14.42578125" customWidth="1"/>
    <col min="25" max="25" width="6.42578125" bestFit="1" customWidth="1"/>
    <col min="26" max="26" width="16.42578125" style="8" customWidth="1"/>
    <col min="27" max="27" width="12.5703125" style="2" customWidth="1"/>
    <col min="28" max="28" width="26" style="30" customWidth="1"/>
    <col min="29" max="29" width="17.42578125" customWidth="1"/>
    <col min="30" max="30" width="16.140625" customWidth="1"/>
    <col min="31" max="31" width="13.42578125" bestFit="1" customWidth="1"/>
    <col min="32" max="32" width="14.140625" customWidth="1"/>
    <col min="33" max="33" width="11.42578125" customWidth="1"/>
    <col min="34" max="34" width="11.85546875" customWidth="1"/>
  </cols>
  <sheetData>
    <row r="1" spans="1:29" ht="15.75">
      <c r="A1" s="11" t="str">
        <f>'SPL 25 USD'!A1</f>
        <v>2025 Performance</v>
      </c>
      <c r="B1" s="195">
        <f>+'FX Rates'!B2</f>
        <v>1</v>
      </c>
      <c r="C1" s="195"/>
      <c r="D1" s="195">
        <f>+'FX Rates'!C2</f>
        <v>1</v>
      </c>
      <c r="E1" s="195"/>
      <c r="F1" s="195">
        <f>+'FX Rates'!D2</f>
        <v>1</v>
      </c>
      <c r="G1" s="195"/>
      <c r="H1" s="195">
        <f>+'FX Rates'!E2</f>
        <v>1</v>
      </c>
      <c r="I1" s="195"/>
      <c r="J1" s="195">
        <f>+'FX Rates'!F2</f>
        <v>1</v>
      </c>
      <c r="K1" s="195"/>
      <c r="L1" s="195">
        <f>+'FX Rates'!G2</f>
        <v>1</v>
      </c>
      <c r="M1" s="195"/>
      <c r="N1" s="195">
        <f>+'FX Rates'!H2</f>
        <v>1</v>
      </c>
      <c r="O1" s="195"/>
      <c r="P1" s="195">
        <f>+'FX Rates'!I2</f>
        <v>1</v>
      </c>
      <c r="Q1" s="195"/>
      <c r="R1" s="195">
        <f>+'FX Rates'!J2</f>
        <v>1</v>
      </c>
      <c r="S1" s="195"/>
      <c r="T1" s="195">
        <f>+'FX Rates'!K2</f>
        <v>1</v>
      </c>
      <c r="U1" s="195"/>
      <c r="V1" s="195">
        <f>+'FX Rates'!L2</f>
        <v>1</v>
      </c>
      <c r="W1" s="195"/>
      <c r="X1" s="195">
        <f>+'FX Rates'!M2</f>
        <v>1</v>
      </c>
      <c r="Y1" s="195"/>
    </row>
    <row r="2" spans="1:29" s="4" customFormat="1" ht="15.75">
      <c r="A2" s="11" t="s">
        <v>0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 s="8"/>
      <c r="AA2" s="5"/>
      <c r="AB2" s="31"/>
    </row>
    <row r="3" spans="1:29" ht="15.75">
      <c r="A3" s="18" t="s">
        <v>589</v>
      </c>
      <c r="B3" s="168">
        <f ca="1">+B13/'FX Rates'!B2</f>
        <v>2728</v>
      </c>
      <c r="C3" s="168"/>
      <c r="D3" s="168">
        <f ca="1">+D13/'FX Rates'!C2</f>
        <v>2728</v>
      </c>
      <c r="E3" s="168"/>
      <c r="F3" s="168">
        <f ca="1">+F13/'FX Rates'!D2</f>
        <v>2728</v>
      </c>
      <c r="G3" s="168"/>
      <c r="H3" s="168">
        <f ca="1">+H13/'FX Rates'!E2</f>
        <v>2728</v>
      </c>
      <c r="I3" s="168"/>
      <c r="J3" s="168" t="e">
        <f>+J13/'FX Rates'!F2</f>
        <v>#REF!</v>
      </c>
      <c r="K3" s="168"/>
      <c r="L3" s="168" t="e">
        <f>+L13/'FX Rates'!G2</f>
        <v>#REF!</v>
      </c>
      <c r="M3" s="168"/>
      <c r="N3" s="168" t="e">
        <f>+N13/'FX Rates'!H2</f>
        <v>#REF!</v>
      </c>
      <c r="O3" s="168"/>
      <c r="P3" s="168" t="e">
        <f>+P13/'FX Rates'!I2</f>
        <v>#REF!</v>
      </c>
      <c r="Q3" s="168"/>
      <c r="R3" s="168" t="e">
        <f>+R13/'FX Rates'!J2</f>
        <v>#REF!</v>
      </c>
      <c r="S3" s="168"/>
      <c r="T3" s="168" t="e">
        <f>+T13/'FX Rates'!K2</f>
        <v>#REF!</v>
      </c>
      <c r="U3" s="168"/>
      <c r="Z3" s="9"/>
    </row>
    <row r="4" spans="1:29" ht="24.75" customHeight="1">
      <c r="B4" s="21">
        <v>2025</v>
      </c>
      <c r="C4" s="21"/>
      <c r="D4" s="21">
        <f>B4</f>
        <v>2025</v>
      </c>
      <c r="E4" s="21"/>
      <c r="F4" s="21">
        <f>D4</f>
        <v>2025</v>
      </c>
      <c r="G4" s="21"/>
      <c r="H4" s="21">
        <f>F4</f>
        <v>2025</v>
      </c>
      <c r="I4" s="21"/>
      <c r="J4" s="21">
        <f>H4</f>
        <v>2025</v>
      </c>
      <c r="K4" s="21"/>
      <c r="L4" s="21">
        <f>J4</f>
        <v>2025</v>
      </c>
      <c r="M4" s="21"/>
      <c r="N4" s="21">
        <f>L4</f>
        <v>2025</v>
      </c>
      <c r="O4" s="21"/>
      <c r="P4" s="21">
        <f>N4</f>
        <v>2025</v>
      </c>
      <c r="Q4" s="21"/>
      <c r="R4" s="21">
        <f>P4</f>
        <v>2025</v>
      </c>
      <c r="S4" s="21"/>
      <c r="T4" s="21">
        <f>R4</f>
        <v>2025</v>
      </c>
      <c r="U4" s="21"/>
      <c r="V4" s="21">
        <f>T4</f>
        <v>2025</v>
      </c>
      <c r="W4" s="21"/>
      <c r="X4" s="21">
        <f>V4</f>
        <v>2025</v>
      </c>
      <c r="Y4" s="21"/>
      <c r="Z4" s="21">
        <f>X4</f>
        <v>2025</v>
      </c>
    </row>
    <row r="5" spans="1:29" ht="15.75">
      <c r="A5" s="161" t="s">
        <v>44</v>
      </c>
      <c r="B5" s="21" t="s">
        <v>3</v>
      </c>
      <c r="C5" s="21"/>
      <c r="D5" s="21" t="s">
        <v>4</v>
      </c>
      <c r="E5" s="21"/>
      <c r="F5" s="21" t="s">
        <v>5</v>
      </c>
      <c r="G5" s="21"/>
      <c r="H5" s="21" t="s">
        <v>6</v>
      </c>
      <c r="I5" s="21"/>
      <c r="J5" s="21" t="s">
        <v>7</v>
      </c>
      <c r="K5" s="21"/>
      <c r="L5" s="21" t="s">
        <v>8</v>
      </c>
      <c r="M5" s="21"/>
      <c r="N5" s="21" t="s">
        <v>9</v>
      </c>
      <c r="O5" s="21"/>
      <c r="P5" s="21" t="s">
        <v>10</v>
      </c>
      <c r="Q5" s="21"/>
      <c r="R5" s="21" t="s">
        <v>11</v>
      </c>
      <c r="S5" s="21"/>
      <c r="T5" s="21" t="s">
        <v>12</v>
      </c>
      <c r="U5" s="21"/>
      <c r="V5" s="21" t="s">
        <v>13</v>
      </c>
      <c r="W5" s="21"/>
      <c r="X5" s="21" t="s">
        <v>14</v>
      </c>
      <c r="Y5" s="21"/>
      <c r="Z5" s="21" t="s">
        <v>51</v>
      </c>
    </row>
    <row r="6" spans="1:29">
      <c r="A6" s="6" t="s">
        <v>376</v>
      </c>
      <c r="AA6"/>
      <c r="AB6"/>
    </row>
    <row r="7" spans="1:29">
      <c r="A7" s="757" t="s">
        <v>590</v>
      </c>
      <c r="B7" s="122">
        <f ca="1">'DPL25 MLS'!B7+DPL23Downhole!B7+DPL23Downhole!B8</f>
        <v>2728</v>
      </c>
      <c r="C7" s="907">
        <f ca="1">+B7/$B$13</f>
        <v>1</v>
      </c>
      <c r="D7" s="122">
        <f ca="1">'DPL25 MLS'!D7+DPL23Downhole!C7+DPL23Downhole!C8</f>
        <v>2728</v>
      </c>
      <c r="E7" s="907">
        <f ca="1">IFERROR(D7/D13,0)</f>
        <v>1</v>
      </c>
      <c r="F7" s="122">
        <f ca="1">'DPL25 MLS'!F7+DPL23Downhole!D7+DPL23Downhole!D8</f>
        <v>2728</v>
      </c>
      <c r="G7" s="907">
        <f ca="1">IFERROR(F7/F13,0)</f>
        <v>1</v>
      </c>
      <c r="H7" s="122">
        <f ca="1">'DPL25 MLS'!H7+DPL23Downhole!E7+DPL23Downhole!E8</f>
        <v>2728</v>
      </c>
      <c r="I7" s="907">
        <f ca="1">IFERROR(H7/H13,0)</f>
        <v>1</v>
      </c>
      <c r="J7" s="122" t="e">
        <f>'DPL25 MLS'!J7+DPL23Downhole!F7+DPL23Downhole!F8</f>
        <v>#REF!</v>
      </c>
      <c r="K7" s="907">
        <f>IFERROR(J7/J13,0)</f>
        <v>0</v>
      </c>
      <c r="L7" s="122" t="e">
        <f>'DPL25 MLS'!L7+DPL23Downhole!G7+DPL23Downhole!G8</f>
        <v>#REF!</v>
      </c>
      <c r="M7" s="907">
        <f>IFERROR(L7/L13,0)</f>
        <v>0</v>
      </c>
      <c r="N7" s="122" t="e">
        <f>'DPL25 MLS'!N7+DPL23Downhole!H7+DPL23Downhole!H8</f>
        <v>#REF!</v>
      </c>
      <c r="O7" s="907">
        <f>IFERROR(N7/N13,0)</f>
        <v>0</v>
      </c>
      <c r="P7" s="122" t="e">
        <f>'DPL25 MLS'!P7+DPL23Downhole!I7+DPL23Downhole!I8</f>
        <v>#REF!</v>
      </c>
      <c r="Q7" s="907">
        <f>IFERROR(P7/P13,0)</f>
        <v>0</v>
      </c>
      <c r="R7" s="122" t="e">
        <f>'DPL25 MLS'!R7+DPL23Downhole!J7+DPL23Downhole!J8</f>
        <v>#REF!</v>
      </c>
      <c r="S7" s="907">
        <f>IFERROR(R7/R13,0)</f>
        <v>0</v>
      </c>
      <c r="T7" s="122" t="e">
        <f>'DPL25 MLS'!T7+DPL23Downhole!K7+DPL23Downhole!K8</f>
        <v>#REF!</v>
      </c>
      <c r="U7" s="907">
        <f>IFERROR(T7/T13,0)</f>
        <v>0</v>
      </c>
      <c r="V7" s="122" t="e">
        <f>'DPL25 MLS'!V7+DPL23Downhole!L7+DPL23Downhole!L8</f>
        <v>#REF!</v>
      </c>
      <c r="W7" s="907">
        <f>IFERROR(V7/V13,0)</f>
        <v>0</v>
      </c>
      <c r="X7" s="122" t="e">
        <f>'DPL25 MLS'!X7+DPL23Downhole!M7+DPL23Downhole!M8</f>
        <v>#REF!</v>
      </c>
      <c r="Y7" s="907">
        <f>IFERROR(X7/X13,0)</f>
        <v>0</v>
      </c>
      <c r="Z7" s="123" t="e">
        <f ca="1">+B7+D7+F7+H7+J7+L7+N7+P7+R7+T7+V7+X7</f>
        <v>#REF!</v>
      </c>
      <c r="AA7" s="12" t="e">
        <f ca="1">+Z7/$Z$13</f>
        <v>#REF!</v>
      </c>
      <c r="AB7"/>
    </row>
    <row r="8" spans="1:29">
      <c r="A8" s="757" t="s">
        <v>591</v>
      </c>
      <c r="B8" s="122">
        <f>'DPL25 MLS'!B8+DPL23Downhole!B8+DPL23Downhole!B9</f>
        <v>0</v>
      </c>
      <c r="C8" s="14"/>
      <c r="D8" s="122">
        <f>'DPL25 MLS'!D8+DPL23Downhole!C8+DPL23Downhole!C9</f>
        <v>0</v>
      </c>
      <c r="E8" s="14"/>
      <c r="F8" s="122">
        <f>'DPL25 MLS'!F8</f>
        <v>0</v>
      </c>
      <c r="G8" s="14"/>
      <c r="H8" s="122">
        <f>'DPL25 MLS'!H8</f>
        <v>0</v>
      </c>
      <c r="I8" s="14"/>
      <c r="J8" s="122">
        <f>'DPL25 MLS'!J8</f>
        <v>0</v>
      </c>
      <c r="K8" s="14"/>
      <c r="L8" s="122">
        <f>'DPL25 MLS'!L8</f>
        <v>0</v>
      </c>
      <c r="M8" s="14"/>
      <c r="N8" s="122">
        <f>'DPL25 MLS'!N8</f>
        <v>0</v>
      </c>
      <c r="O8" s="14"/>
      <c r="P8" s="122">
        <f>'DPL25 MLS'!P8</f>
        <v>0</v>
      </c>
      <c r="Q8" s="14"/>
      <c r="R8" s="122">
        <f>'DPL25 MLS'!R8</f>
        <v>0</v>
      </c>
      <c r="S8" s="14"/>
      <c r="T8" s="122">
        <f>'DPL25 MLS'!T8</f>
        <v>0</v>
      </c>
      <c r="U8" s="14"/>
      <c r="V8" s="122">
        <f>'DPL25 MLS'!V8</f>
        <v>0</v>
      </c>
      <c r="W8" s="14"/>
      <c r="X8" s="122">
        <f>'DPL25 MLS'!X8</f>
        <v>0</v>
      </c>
      <c r="Y8" s="14"/>
      <c r="Z8" s="123">
        <f>+B8+D8+F8+H8+J8+L8+N8+P8+R8+T8+V8+X8</f>
        <v>0</v>
      </c>
      <c r="AA8" s="12" t="e">
        <f t="shared" ref="AA8:AA13" ca="1" si="0">+Z8/$Z$13</f>
        <v>#REF!</v>
      </c>
      <c r="AB8"/>
    </row>
    <row r="9" spans="1:29">
      <c r="A9" s="757" t="s">
        <v>378</v>
      </c>
      <c r="B9" s="122">
        <f>'DPL25 MLS'!B9</f>
        <v>0</v>
      </c>
      <c r="C9" s="909">
        <f ca="1">+B9/$B$13</f>
        <v>0</v>
      </c>
      <c r="D9" s="122">
        <f>'DPL25 MLS'!D9</f>
        <v>0</v>
      </c>
      <c r="E9" s="14"/>
      <c r="F9" s="122">
        <f>'DPL25 MLS'!F9</f>
        <v>0</v>
      </c>
      <c r="G9" s="14"/>
      <c r="H9" s="122">
        <f>'DPL25 MLS'!H9</f>
        <v>0</v>
      </c>
      <c r="I9" s="14"/>
      <c r="J9" s="122">
        <f>'DPL25 MLS'!J9</f>
        <v>0</v>
      </c>
      <c r="K9" s="14"/>
      <c r="L9" s="122">
        <f>'DPL25 MLS'!L9</f>
        <v>0</v>
      </c>
      <c r="M9" s="14"/>
      <c r="N9" s="122">
        <f>'DPL25 MLS'!N9</f>
        <v>0</v>
      </c>
      <c r="O9" s="14"/>
      <c r="P9" s="122">
        <f>'DPL25 MLS'!P9</f>
        <v>0</v>
      </c>
      <c r="Q9" s="14"/>
      <c r="R9" s="122">
        <f>'DPL25 MLS'!R9</f>
        <v>0</v>
      </c>
      <c r="S9" s="14"/>
      <c r="T9" s="122">
        <f>'DPL25 MLS'!T9</f>
        <v>0</v>
      </c>
      <c r="U9" s="14"/>
      <c r="V9" s="122">
        <f>'DPL25 MLS'!V9</f>
        <v>0</v>
      </c>
      <c r="W9" s="14"/>
      <c r="X9" s="122">
        <f>'DPL25 MLS'!X9</f>
        <v>0</v>
      </c>
      <c r="Y9" s="14"/>
      <c r="Z9" s="123">
        <f>+B9+D9+F9+H9+J9+L9+N9+P9+R9+T9+V9+X9</f>
        <v>0</v>
      </c>
      <c r="AA9" s="12" t="e">
        <f t="shared" ca="1" si="0"/>
        <v>#REF!</v>
      </c>
      <c r="AB9"/>
    </row>
    <row r="10" spans="1:29">
      <c r="A10" s="757" t="s">
        <v>592</v>
      </c>
      <c r="B10" s="122">
        <f>'DPL25 MLS'!B10+DPL23Downhole!B10+DPL23Downhole!B11</f>
        <v>0</v>
      </c>
      <c r="C10" s="14"/>
      <c r="D10" s="122">
        <f>'DPL25 MLS'!D10+DPL23Downhole!C10+DPL23Downhole!C11</f>
        <v>0</v>
      </c>
      <c r="E10" s="14"/>
      <c r="F10" s="122">
        <f>'DPL25 MLS'!F10+DPL23Downhole!D9</f>
        <v>0</v>
      </c>
      <c r="G10" s="14"/>
      <c r="H10" s="122">
        <f>'DPL25 MLS'!H10+DPL23Downhole!E9</f>
        <v>0</v>
      </c>
      <c r="I10" s="14"/>
      <c r="J10" s="122">
        <f>'DPL25 MLS'!J10+DPL23Downhole!F9</f>
        <v>0</v>
      </c>
      <c r="K10" s="14"/>
      <c r="L10" s="122">
        <f>'DPL25 MLS'!L10+DPL23Downhole!G9</f>
        <v>0</v>
      </c>
      <c r="M10" s="14"/>
      <c r="N10" s="122">
        <f>'DPL25 MLS'!N10+DPL23Downhole!H9</f>
        <v>0</v>
      </c>
      <c r="O10" s="14"/>
      <c r="P10" s="122">
        <f>'DPL25 MLS'!P10+DPL23Downhole!I9</f>
        <v>0</v>
      </c>
      <c r="Q10" s="14"/>
      <c r="R10" s="122">
        <f>'DPL25 MLS'!R10+DPL23Downhole!J9</f>
        <v>0</v>
      </c>
      <c r="S10" s="14"/>
      <c r="T10" s="122">
        <f>'DPL25 MLS'!T10+DPL23Downhole!K9</f>
        <v>0</v>
      </c>
      <c r="U10" s="14"/>
      <c r="V10" s="122">
        <f>'DPL25 MLS'!V10+DPL23Downhole!L9</f>
        <v>0</v>
      </c>
      <c r="W10" s="14"/>
      <c r="X10" s="122">
        <f>'DPL25 MLS'!X10+DPL23Downhole!M9</f>
        <v>0</v>
      </c>
      <c r="Y10" s="14"/>
      <c r="Z10" s="123">
        <f>+B10+D10+F10+H10+J10+L10+N10+P10+R10+T10+V10+X10</f>
        <v>0</v>
      </c>
      <c r="AA10" s="12" t="e">
        <f t="shared" ca="1" si="0"/>
        <v>#REF!</v>
      </c>
      <c r="AB10"/>
    </row>
    <row r="11" spans="1:29" s="35" customFormat="1">
      <c r="A11" s="32" t="s">
        <v>380</v>
      </c>
      <c r="B11" s="135">
        <f>'DPL25 MLS'!B11+DPL23Downhole!B10</f>
        <v>0</v>
      </c>
      <c r="C11" s="33"/>
      <c r="D11" s="135">
        <f>'DPL25 MLS'!D11+DPL23Downhole!C10</f>
        <v>0</v>
      </c>
      <c r="E11" s="33"/>
      <c r="F11" s="135">
        <f>'DPL25 MLS'!F11+DPL23Downhole!D10</f>
        <v>0</v>
      </c>
      <c r="G11" s="33"/>
      <c r="H11" s="135">
        <f>'DPL25 MLS'!H11+DPL23Downhole!E10</f>
        <v>0</v>
      </c>
      <c r="I11" s="33"/>
      <c r="J11" s="135">
        <f>'DPL25 MLS'!J11+DPL23Downhole!F10</f>
        <v>0</v>
      </c>
      <c r="K11" s="33"/>
      <c r="L11" s="135">
        <f>'DPL25 MLS'!L11+DPL23Downhole!G10</f>
        <v>0</v>
      </c>
      <c r="M11" s="33"/>
      <c r="N11" s="135">
        <f>'DPL25 MLS'!N11+DPL23Downhole!H10</f>
        <v>0</v>
      </c>
      <c r="O11" s="33"/>
      <c r="P11" s="135">
        <f>'DPL25 MLS'!P11+DPL23Downhole!I10</f>
        <v>0</v>
      </c>
      <c r="Q11" s="33"/>
      <c r="R11" s="135">
        <f>'DPL25 MLS'!R11+DPL23Downhole!J10</f>
        <v>0</v>
      </c>
      <c r="S11" s="33"/>
      <c r="T11" s="135">
        <f>'DPL25 MLS'!T11+DPL23Downhole!K10</f>
        <v>0</v>
      </c>
      <c r="U11" s="33"/>
      <c r="V11" s="135">
        <f>'DPL25 MLS'!V11+DPL23Downhole!L10</f>
        <v>0</v>
      </c>
      <c r="W11" s="33"/>
      <c r="X11" s="135">
        <f>'DPL25 MLS'!X11+DPL23Downhole!M10</f>
        <v>0</v>
      </c>
      <c r="Y11" s="33"/>
      <c r="Z11" s="123">
        <f>+B11+D11+F11+H11+J11+L11+N11+P11+R11+T11+V11+X11</f>
        <v>0</v>
      </c>
      <c r="AA11" s="12" t="e">
        <f t="shared" ca="1" si="0"/>
        <v>#REF!</v>
      </c>
    </row>
    <row r="12" spans="1:29">
      <c r="A12" s="757" t="s">
        <v>59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15"/>
      <c r="AA12" s="12" t="e">
        <f t="shared" ca="1" si="0"/>
        <v>#REF!</v>
      </c>
      <c r="AB12"/>
    </row>
    <row r="13" spans="1:29" s="1" customFormat="1" ht="13.5" thickBot="1">
      <c r="A13" s="6" t="s">
        <v>381</v>
      </c>
      <c r="B13" s="38">
        <f ca="1">SUM(B7:B12)</f>
        <v>2728</v>
      </c>
      <c r="C13" s="907">
        <f ca="1">+B13/$B$13</f>
        <v>1</v>
      </c>
      <c r="D13" s="38">
        <f t="shared" ref="D13:Z13" ca="1" si="1">SUM(D7:D12)</f>
        <v>2728</v>
      </c>
      <c r="E13" s="907">
        <f ca="1">IFERROR(D13/D13,0)</f>
        <v>1</v>
      </c>
      <c r="F13" s="38">
        <f t="shared" ca="1" si="1"/>
        <v>2728</v>
      </c>
      <c r="G13" s="907">
        <f ca="1">IFERROR(F13/F13,0)</f>
        <v>1</v>
      </c>
      <c r="H13" s="38">
        <f t="shared" ca="1" si="1"/>
        <v>2728</v>
      </c>
      <c r="I13" s="907">
        <f ca="1">IFERROR(H13/H13,0)</f>
        <v>1</v>
      </c>
      <c r="J13" s="38" t="e">
        <f t="shared" si="1"/>
        <v>#REF!</v>
      </c>
      <c r="K13" s="907">
        <f>IFERROR(J13/J13,0)</f>
        <v>0</v>
      </c>
      <c r="L13" s="38" t="e">
        <f t="shared" si="1"/>
        <v>#REF!</v>
      </c>
      <c r="M13" s="907">
        <f>IFERROR(L13/L13,0)</f>
        <v>0</v>
      </c>
      <c r="N13" s="38" t="e">
        <f t="shared" si="1"/>
        <v>#REF!</v>
      </c>
      <c r="O13" s="907">
        <f>IFERROR(N13/N13,0)</f>
        <v>0</v>
      </c>
      <c r="P13" s="38" t="e">
        <f t="shared" si="1"/>
        <v>#REF!</v>
      </c>
      <c r="Q13" s="907">
        <f>IFERROR(P13/P13,0)</f>
        <v>0</v>
      </c>
      <c r="R13" s="38" t="e">
        <f t="shared" si="1"/>
        <v>#REF!</v>
      </c>
      <c r="S13" s="907">
        <f>IFERROR(R13/R13,0)</f>
        <v>0</v>
      </c>
      <c r="T13" s="38" t="e">
        <f t="shared" si="1"/>
        <v>#REF!</v>
      </c>
      <c r="U13" s="907">
        <f>IFERROR(T13/T13,0)</f>
        <v>0</v>
      </c>
      <c r="V13" s="38" t="e">
        <f t="shared" si="1"/>
        <v>#REF!</v>
      </c>
      <c r="W13" s="907">
        <f>IFERROR(V13/V13,0)</f>
        <v>0</v>
      </c>
      <c r="X13" s="38" t="e">
        <f t="shared" si="1"/>
        <v>#REF!</v>
      </c>
      <c r="Y13" s="907">
        <f>IFERROR(X13/X13,0)</f>
        <v>0</v>
      </c>
      <c r="Z13" s="16" t="e">
        <f t="shared" ca="1" si="1"/>
        <v>#REF!</v>
      </c>
      <c r="AA13" s="12" t="e">
        <f t="shared" ca="1" si="0"/>
        <v>#REF!</v>
      </c>
    </row>
    <row r="14" spans="1:29" ht="13.5" thickTop="1">
      <c r="A14" s="757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15"/>
      <c r="AA14" s="142"/>
      <c r="AB14"/>
    </row>
    <row r="15" spans="1:29">
      <c r="A15" s="6" t="s">
        <v>382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15"/>
      <c r="AA15" s="142"/>
      <c r="AB15"/>
    </row>
    <row r="16" spans="1:29">
      <c r="A16" s="757" t="s">
        <v>266</v>
      </c>
      <c r="B16" s="122">
        <f>'DPL25 MLS'!B16+DPL23Downhole!B15</f>
        <v>0</v>
      </c>
      <c r="C16" s="909">
        <f ca="1">+B16/$B$13</f>
        <v>0</v>
      </c>
      <c r="D16" s="122">
        <f>'DPL25 MLS'!D16+DPL23Downhole!C15</f>
        <v>0</v>
      </c>
      <c r="E16" s="909">
        <f ca="1">IFERROR(D16/$D$13,0)</f>
        <v>0</v>
      </c>
      <c r="F16" s="122">
        <f>'DPL25 MLS'!F16+DPL23Downhole!D15</f>
        <v>0</v>
      </c>
      <c r="G16" s="909">
        <f ca="1">IFERROR(F16/$F$13,0)</f>
        <v>0</v>
      </c>
      <c r="H16" s="122">
        <f>'DPL25 MLS'!H16+DPL23Downhole!E15</f>
        <v>0</v>
      </c>
      <c r="I16" s="910">
        <f ca="1">IFERROR(H16/$H$13,0)</f>
        <v>0</v>
      </c>
      <c r="J16" s="122">
        <f>'DPL25 MLS'!J16+DPL23Downhole!F15</f>
        <v>0</v>
      </c>
      <c r="K16" s="301">
        <f>IFERROR(J16/$J$13,0)</f>
        <v>0</v>
      </c>
      <c r="L16" s="122">
        <f>'DPL25 MLS'!L16+DPL23Downhole!G15</f>
        <v>0</v>
      </c>
      <c r="M16" s="302">
        <f>IFERROR(L16/$L$13,0)</f>
        <v>0</v>
      </c>
      <c r="N16" s="122">
        <f>'DPL25 MLS'!N16+DPL23Downhole!H15</f>
        <v>0</v>
      </c>
      <c r="O16" s="302">
        <f>IFERROR(N16/$N$13,0)</f>
        <v>0</v>
      </c>
      <c r="P16" s="122">
        <f>'DPL25 MLS'!P16+DPL23Downhole!I15</f>
        <v>0</v>
      </c>
      <c r="Q16" s="301">
        <f>IFERROR(P16/$P$13,0)</f>
        <v>0</v>
      </c>
      <c r="R16" s="122">
        <f>'DPL25 MLS'!R16+DPL23Downhole!J15</f>
        <v>0</v>
      </c>
      <c r="S16" s="301">
        <f>IFERROR(R16/$R$13,0)</f>
        <v>0</v>
      </c>
      <c r="T16" s="122">
        <f>'DPL25 MLS'!T16+DPL23Downhole!K15</f>
        <v>0</v>
      </c>
      <c r="U16" s="301">
        <f>IFERROR(T16/$T$13,0)</f>
        <v>0</v>
      </c>
      <c r="V16" s="122">
        <f>'DPL25 MLS'!V16+DPL23Downhole!L15</f>
        <v>0</v>
      </c>
      <c r="W16" s="301">
        <f>IFERROR(V16/$V$13,0)</f>
        <v>0</v>
      </c>
      <c r="X16" s="122">
        <f>'DPL25 MLS'!X16+DPL23Downhole!M15</f>
        <v>0</v>
      </c>
      <c r="Y16" s="301">
        <f>IFERROR(X16/$X$13,0)</f>
        <v>0</v>
      </c>
      <c r="Z16" s="123">
        <f t="shared" ref="Z16:Z47" si="2">+B16+D16+F16+H16+J16+L16+N16+P16+R16+T16+V16+X16</f>
        <v>0</v>
      </c>
      <c r="AA16" s="942" t="e">
        <f ca="1">+Z16/$Z$13</f>
        <v>#REF!</v>
      </c>
      <c r="AB16" s="149"/>
      <c r="AC16" s="149"/>
    </row>
    <row r="17" spans="1:29">
      <c r="A17" s="757" t="s">
        <v>268</v>
      </c>
      <c r="B17" s="122">
        <f>'DPL25 MLS'!B17+DPL23Downhole!B16</f>
        <v>0</v>
      </c>
      <c r="C17" s="909">
        <f t="shared" ref="C17:C47" ca="1" si="3">+B17/$B$13</f>
        <v>0</v>
      </c>
      <c r="D17" s="122">
        <f>'DPL25 MLS'!D17+DPL23Downhole!C16</f>
        <v>0</v>
      </c>
      <c r="E17" s="909">
        <f t="shared" ref="E17:E49" ca="1" si="4">IFERROR(D17/$D$13,0)</f>
        <v>0</v>
      </c>
      <c r="F17" s="122">
        <f>'DPL25 MLS'!F17+DPL23Downhole!D16</f>
        <v>0</v>
      </c>
      <c r="G17" s="909">
        <f t="shared" ref="G17:G49" ca="1" si="5">IFERROR(F17/$F$13,0)</f>
        <v>0</v>
      </c>
      <c r="H17" s="122">
        <f>'DPL25 MLS'!H17+DPL23Downhole!E16</f>
        <v>0</v>
      </c>
      <c r="I17" s="910">
        <f t="shared" ref="I17:I47" ca="1" si="6">IFERROR(H17/$H$13,0)</f>
        <v>0</v>
      </c>
      <c r="J17" s="122">
        <f>'DPL25 MLS'!J17+DPL23Downhole!F16</f>
        <v>0</v>
      </c>
      <c r="K17" s="301">
        <f t="shared" ref="K17:K49" si="7">IFERROR(J17/$J$13,0)</f>
        <v>0</v>
      </c>
      <c r="L17" s="122">
        <f>'DPL25 MLS'!L17+DPL23Downhole!G16</f>
        <v>0</v>
      </c>
      <c r="M17" s="302">
        <f t="shared" ref="M17:M49" si="8">IFERROR(L17/$L$13,0)</f>
        <v>0</v>
      </c>
      <c r="N17" s="122">
        <f>'DPL25 MLS'!N17+DPL23Downhole!H16</f>
        <v>0</v>
      </c>
      <c r="O17" s="302">
        <f t="shared" ref="O17:O49" si="9">IFERROR(N17/$N$13,0)</f>
        <v>0</v>
      </c>
      <c r="P17" s="122">
        <f>'DPL25 MLS'!P17+DPL23Downhole!I16</f>
        <v>0</v>
      </c>
      <c r="Q17" s="301">
        <f t="shared" ref="Q17:Q49" si="10">IFERROR(P17/$P$13,0)</f>
        <v>0</v>
      </c>
      <c r="R17" s="122">
        <f>'DPL25 MLS'!R17+DPL23Downhole!J16</f>
        <v>0</v>
      </c>
      <c r="S17" s="301">
        <f t="shared" ref="S17:S49" si="11">IFERROR(R17/$R$13,0)</f>
        <v>0</v>
      </c>
      <c r="T17" s="122">
        <f>'DPL25 MLS'!T17+DPL23Downhole!K16</f>
        <v>0</v>
      </c>
      <c r="U17" s="301">
        <f t="shared" ref="U17:U49" si="12">IFERROR(T17/$T$13,0)</f>
        <v>0</v>
      </c>
      <c r="V17" s="122">
        <f>'DPL25 MLS'!V17+DPL23Downhole!L16</f>
        <v>0</v>
      </c>
      <c r="W17" s="301">
        <f t="shared" ref="W17:W49" si="13">IFERROR(V17/$V$13,0)</f>
        <v>0</v>
      </c>
      <c r="X17" s="122">
        <f>'DPL25 MLS'!X17+DPL23Downhole!M16</f>
        <v>0</v>
      </c>
      <c r="Y17" s="301">
        <f t="shared" ref="Y17:Y49" si="14">IFERROR(X17/$X$13,0)</f>
        <v>0</v>
      </c>
      <c r="Z17" s="123">
        <f t="shared" si="2"/>
        <v>0</v>
      </c>
      <c r="AA17" s="942" t="e">
        <f t="shared" ref="AA17:AA79" ca="1" si="15">+Z17/$Z$13</f>
        <v>#REF!</v>
      </c>
      <c r="AB17" s="149"/>
      <c r="AC17" s="149"/>
    </row>
    <row r="18" spans="1:29">
      <c r="A18" s="933" t="s">
        <v>383</v>
      </c>
      <c r="B18" s="122">
        <f>'DPL25 MLS'!B18+DPL23Downhole!B20</f>
        <v>0</v>
      </c>
      <c r="C18" s="909">
        <f t="shared" ca="1" si="3"/>
        <v>0</v>
      </c>
      <c r="D18" s="122">
        <f>'DPL25 MLS'!D18+DPL23Downhole!C17</f>
        <v>0</v>
      </c>
      <c r="E18" s="909">
        <f t="shared" ca="1" si="4"/>
        <v>0</v>
      </c>
      <c r="F18" s="122">
        <f>'DPL25 MLS'!F18+DPL23Downhole!D17</f>
        <v>0</v>
      </c>
      <c r="G18" s="909">
        <f t="shared" ca="1" si="5"/>
        <v>0</v>
      </c>
      <c r="H18" s="122">
        <f>'DPL25 MLS'!H18+DPL23Downhole!E17</f>
        <v>0</v>
      </c>
      <c r="I18" s="910">
        <f t="shared" ca="1" si="6"/>
        <v>0</v>
      </c>
      <c r="J18" s="122">
        <f>'DPL25 MLS'!J18+DPL23Downhole!F17</f>
        <v>0</v>
      </c>
      <c r="K18" s="301">
        <f t="shared" si="7"/>
        <v>0</v>
      </c>
      <c r="L18" s="122">
        <f>'DPL25 MLS'!L18+DPL23Downhole!G17</f>
        <v>0</v>
      </c>
      <c r="M18" s="302">
        <f t="shared" si="8"/>
        <v>0</v>
      </c>
      <c r="N18" s="122">
        <f>'DPL25 MLS'!N18+DPL23Downhole!H17</f>
        <v>0</v>
      </c>
      <c r="O18" s="302">
        <f t="shared" si="9"/>
        <v>0</v>
      </c>
      <c r="P18" s="122">
        <f>'DPL25 MLS'!P18+DPL23Downhole!I17</f>
        <v>0</v>
      </c>
      <c r="Q18" s="301">
        <f t="shared" si="10"/>
        <v>0</v>
      </c>
      <c r="R18" s="122">
        <f>'DPL25 MLS'!R18+DPL23Downhole!J17</f>
        <v>0</v>
      </c>
      <c r="S18" s="301">
        <f t="shared" si="11"/>
        <v>0</v>
      </c>
      <c r="T18" s="122">
        <f>'DPL25 MLS'!T18+DPL23Downhole!K17</f>
        <v>0</v>
      </c>
      <c r="U18" s="301">
        <f t="shared" si="12"/>
        <v>0</v>
      </c>
      <c r="V18" s="122">
        <f>'DPL25 MLS'!V18+DPL23Downhole!L17</f>
        <v>0</v>
      </c>
      <c r="W18" s="301">
        <f t="shared" si="13"/>
        <v>0</v>
      </c>
      <c r="X18" s="122">
        <f>'DPL25 MLS'!X18+DPL23Downhole!M17</f>
        <v>0</v>
      </c>
      <c r="Y18" s="301">
        <f t="shared" si="14"/>
        <v>0</v>
      </c>
      <c r="Z18" s="123">
        <f t="shared" si="2"/>
        <v>0</v>
      </c>
      <c r="AA18" s="942" t="e">
        <f t="shared" ca="1" si="15"/>
        <v>#REF!</v>
      </c>
      <c r="AB18" s="149"/>
      <c r="AC18" s="149"/>
    </row>
    <row r="19" spans="1:29">
      <c r="A19" s="757" t="s">
        <v>269</v>
      </c>
      <c r="B19" s="122">
        <f>'DPL25 MLS'!B19+DPL23Downhole!B21</f>
        <v>0</v>
      </c>
      <c r="C19" s="909">
        <f t="shared" ca="1" si="3"/>
        <v>0</v>
      </c>
      <c r="D19" s="122">
        <f>'DPL25 MLS'!D19+DPL23Downhole!C18</f>
        <v>0</v>
      </c>
      <c r="E19" s="909">
        <f t="shared" ca="1" si="4"/>
        <v>0</v>
      </c>
      <c r="F19" s="122">
        <f>'DPL25 MLS'!F19+DPL23Downhole!D18</f>
        <v>0</v>
      </c>
      <c r="G19" s="909">
        <f t="shared" ca="1" si="5"/>
        <v>0</v>
      </c>
      <c r="H19" s="122">
        <f>'DPL25 MLS'!H19+DPL23Downhole!E18</f>
        <v>0</v>
      </c>
      <c r="I19" s="910">
        <f t="shared" ca="1" si="6"/>
        <v>0</v>
      </c>
      <c r="J19" s="122">
        <f>'DPL25 MLS'!J19+DPL23Downhole!F18</f>
        <v>0</v>
      </c>
      <c r="K19" s="301">
        <f t="shared" si="7"/>
        <v>0</v>
      </c>
      <c r="L19" s="122">
        <f>'DPL25 MLS'!L19+DPL23Downhole!G18</f>
        <v>0</v>
      </c>
      <c r="M19" s="302">
        <f t="shared" si="8"/>
        <v>0</v>
      </c>
      <c r="N19" s="122">
        <f>'DPL25 MLS'!N19+DPL23Downhole!H18</f>
        <v>0</v>
      </c>
      <c r="O19" s="302">
        <f t="shared" si="9"/>
        <v>0</v>
      </c>
      <c r="P19" s="122">
        <f>'DPL25 MLS'!P19+DPL23Downhole!I18</f>
        <v>0</v>
      </c>
      <c r="Q19" s="301">
        <f t="shared" si="10"/>
        <v>0</v>
      </c>
      <c r="R19" s="122">
        <f>'DPL25 MLS'!R19+DPL23Downhole!J18</f>
        <v>0</v>
      </c>
      <c r="S19" s="301">
        <f t="shared" si="11"/>
        <v>0</v>
      </c>
      <c r="T19" s="122">
        <f>'DPL25 MLS'!T19+DPL23Downhole!K18</f>
        <v>0</v>
      </c>
      <c r="U19" s="301">
        <f t="shared" si="12"/>
        <v>0</v>
      </c>
      <c r="V19" s="122">
        <f>'DPL25 MLS'!V19+DPL23Downhole!L18</f>
        <v>0</v>
      </c>
      <c r="W19" s="301">
        <f t="shared" si="13"/>
        <v>0</v>
      </c>
      <c r="X19" s="122">
        <f>'DPL25 MLS'!X19+DPL23Downhole!M18</f>
        <v>0</v>
      </c>
      <c r="Y19" s="301">
        <f t="shared" si="14"/>
        <v>0</v>
      </c>
      <c r="Z19" s="123">
        <f t="shared" si="2"/>
        <v>0</v>
      </c>
      <c r="AA19" s="942" t="e">
        <f t="shared" ca="1" si="15"/>
        <v>#REF!</v>
      </c>
      <c r="AB19" s="149"/>
      <c r="AC19" s="149"/>
    </row>
    <row r="20" spans="1:29">
      <c r="A20" s="757" t="s">
        <v>384</v>
      </c>
      <c r="B20" s="122">
        <f>'DPL25 MLS'!B20+DPL23Downhole!B25</f>
        <v>0</v>
      </c>
      <c r="C20" s="909">
        <f t="shared" ca="1" si="3"/>
        <v>0</v>
      </c>
      <c r="D20" s="122">
        <f>'DPL25 MLS'!D20+DPL23Downhole!C19</f>
        <v>0</v>
      </c>
      <c r="E20" s="909">
        <f t="shared" ca="1" si="4"/>
        <v>0</v>
      </c>
      <c r="F20" s="122">
        <f>'DPL25 MLS'!F20+DPL23Downhole!D19</f>
        <v>0</v>
      </c>
      <c r="G20" s="909">
        <f t="shared" ca="1" si="5"/>
        <v>0</v>
      </c>
      <c r="H20" s="122">
        <f>'DPL25 MLS'!H20+DPL23Downhole!E19</f>
        <v>0</v>
      </c>
      <c r="I20" s="910">
        <f t="shared" ca="1" si="6"/>
        <v>0</v>
      </c>
      <c r="J20" s="122">
        <f>'DPL25 MLS'!J20+DPL23Downhole!F19</f>
        <v>0</v>
      </c>
      <c r="K20" s="301">
        <f t="shared" si="7"/>
        <v>0</v>
      </c>
      <c r="L20" s="122">
        <f>'DPL25 MLS'!L20+DPL23Downhole!G19</f>
        <v>0</v>
      </c>
      <c r="M20" s="302">
        <f t="shared" si="8"/>
        <v>0</v>
      </c>
      <c r="N20" s="122">
        <f>'DPL25 MLS'!N20+DPL23Downhole!H19</f>
        <v>0</v>
      </c>
      <c r="O20" s="302">
        <f t="shared" si="9"/>
        <v>0</v>
      </c>
      <c r="P20" s="122">
        <f>'DPL25 MLS'!P20+DPL23Downhole!I19</f>
        <v>0</v>
      </c>
      <c r="Q20" s="301">
        <f t="shared" si="10"/>
        <v>0</v>
      </c>
      <c r="R20" s="122">
        <f>'DPL25 MLS'!R20+DPL23Downhole!J19</f>
        <v>0</v>
      </c>
      <c r="S20" s="301">
        <f t="shared" si="11"/>
        <v>0</v>
      </c>
      <c r="T20" s="122">
        <f>'DPL25 MLS'!T20+DPL23Downhole!K19</f>
        <v>0</v>
      </c>
      <c r="U20" s="301">
        <f t="shared" si="12"/>
        <v>0</v>
      </c>
      <c r="V20" s="122">
        <f>'DPL25 MLS'!V20+DPL23Downhole!L19</f>
        <v>0</v>
      </c>
      <c r="W20" s="301">
        <f t="shared" si="13"/>
        <v>0</v>
      </c>
      <c r="X20" s="122">
        <f>'DPL25 MLS'!X20+DPL23Downhole!M19</f>
        <v>0</v>
      </c>
      <c r="Y20" s="301">
        <f t="shared" si="14"/>
        <v>0</v>
      </c>
      <c r="Z20" s="123">
        <f t="shared" si="2"/>
        <v>0</v>
      </c>
      <c r="AA20" s="942" t="e">
        <f t="shared" ca="1" si="15"/>
        <v>#REF!</v>
      </c>
      <c r="AB20" s="149"/>
      <c r="AC20" s="149"/>
    </row>
    <row r="21" spans="1:29">
      <c r="A21" s="757" t="s">
        <v>385</v>
      </c>
      <c r="B21" s="122">
        <f>'DPL25 MLS'!B21+DPL23Downhole!B20</f>
        <v>0</v>
      </c>
      <c r="C21" s="909">
        <f t="shared" ca="1" si="3"/>
        <v>0</v>
      </c>
      <c r="D21" s="122">
        <f>'DPL25 MLS'!D21+DPL23Downhole!C20</f>
        <v>0</v>
      </c>
      <c r="E21" s="909">
        <f t="shared" ca="1" si="4"/>
        <v>0</v>
      </c>
      <c r="F21" s="122">
        <f>'DPL25 MLS'!F21+DPL23Downhole!D20</f>
        <v>0</v>
      </c>
      <c r="G21" s="909">
        <f t="shared" ca="1" si="5"/>
        <v>0</v>
      </c>
      <c r="H21" s="122">
        <f>'DPL25 MLS'!H21+DPL23Downhole!E20</f>
        <v>0</v>
      </c>
      <c r="I21" s="910">
        <f t="shared" ca="1" si="6"/>
        <v>0</v>
      </c>
      <c r="J21" s="122">
        <f>'DPL25 MLS'!J21+DPL23Downhole!F20</f>
        <v>0</v>
      </c>
      <c r="K21" s="301">
        <f t="shared" si="7"/>
        <v>0</v>
      </c>
      <c r="L21" s="122">
        <f>'DPL25 MLS'!L21+DPL23Downhole!G20</f>
        <v>0</v>
      </c>
      <c r="M21" s="302">
        <f t="shared" si="8"/>
        <v>0</v>
      </c>
      <c r="N21" s="122">
        <f>'DPL25 MLS'!N21+DPL23Downhole!H20</f>
        <v>0</v>
      </c>
      <c r="O21" s="302">
        <f t="shared" si="9"/>
        <v>0</v>
      </c>
      <c r="P21" s="122">
        <f>'DPL25 MLS'!P21+DPL23Downhole!I20</f>
        <v>0</v>
      </c>
      <c r="Q21" s="301">
        <f t="shared" si="10"/>
        <v>0</v>
      </c>
      <c r="R21" s="122">
        <f>'DPL25 MLS'!R21+DPL23Downhole!J20</f>
        <v>0</v>
      </c>
      <c r="S21" s="301">
        <f t="shared" si="11"/>
        <v>0</v>
      </c>
      <c r="T21" s="122">
        <f>'DPL25 MLS'!T21+DPL23Downhole!K20</f>
        <v>0</v>
      </c>
      <c r="U21" s="301">
        <f t="shared" si="12"/>
        <v>0</v>
      </c>
      <c r="V21" s="122">
        <f>'DPL25 MLS'!V21+DPL23Downhole!L20</f>
        <v>0</v>
      </c>
      <c r="W21" s="301">
        <f t="shared" si="13"/>
        <v>0</v>
      </c>
      <c r="X21" s="122">
        <f>'DPL25 MLS'!X21+DPL23Downhole!M20</f>
        <v>0</v>
      </c>
      <c r="Y21" s="301">
        <f t="shared" si="14"/>
        <v>0</v>
      </c>
      <c r="Z21" s="123">
        <f t="shared" si="2"/>
        <v>0</v>
      </c>
      <c r="AA21" s="942" t="e">
        <f t="shared" ca="1" si="15"/>
        <v>#REF!</v>
      </c>
      <c r="AB21" s="149"/>
      <c r="AC21" s="20"/>
    </row>
    <row r="22" spans="1:29">
      <c r="A22" s="757" t="s">
        <v>386</v>
      </c>
      <c r="B22" s="122">
        <f>'DPL25 MLS'!B22+DPL23Downhole!B21</f>
        <v>0</v>
      </c>
      <c r="C22" s="909">
        <f t="shared" ca="1" si="3"/>
        <v>0</v>
      </c>
      <c r="D22" s="122">
        <f>'DPL25 MLS'!D22+DPL23Downhole!C21</f>
        <v>0</v>
      </c>
      <c r="E22" s="909">
        <f t="shared" ca="1" si="4"/>
        <v>0</v>
      </c>
      <c r="F22" s="122">
        <f>'DPL25 MLS'!F22+DPL23Downhole!D21</f>
        <v>0</v>
      </c>
      <c r="G22" s="909">
        <f t="shared" ca="1" si="5"/>
        <v>0</v>
      </c>
      <c r="H22" s="122">
        <f>'DPL25 MLS'!H22+DPL23Downhole!E21</f>
        <v>0</v>
      </c>
      <c r="I22" s="910">
        <f t="shared" ca="1" si="6"/>
        <v>0</v>
      </c>
      <c r="J22" s="122">
        <f>'DPL25 MLS'!J22+DPL23Downhole!F21</f>
        <v>0</v>
      </c>
      <c r="K22" s="301">
        <f t="shared" si="7"/>
        <v>0</v>
      </c>
      <c r="L22" s="122">
        <f>'DPL25 MLS'!L22+DPL23Downhole!G21</f>
        <v>0</v>
      </c>
      <c r="M22" s="302">
        <f t="shared" si="8"/>
        <v>0</v>
      </c>
      <c r="N22" s="122">
        <f>'DPL25 MLS'!N22+DPL23Downhole!H21</f>
        <v>0</v>
      </c>
      <c r="O22" s="302">
        <f t="shared" si="9"/>
        <v>0</v>
      </c>
      <c r="P22" s="122">
        <f>'DPL25 MLS'!P22+DPL23Downhole!I21</f>
        <v>0</v>
      </c>
      <c r="Q22" s="301">
        <f t="shared" si="10"/>
        <v>0</v>
      </c>
      <c r="R22" s="122">
        <f>'DPL25 MLS'!R22+DPL23Downhole!J21</f>
        <v>0</v>
      </c>
      <c r="S22" s="301">
        <f t="shared" si="11"/>
        <v>0</v>
      </c>
      <c r="T22" s="122">
        <f>'DPL25 MLS'!T22+DPL23Downhole!K21</f>
        <v>0</v>
      </c>
      <c r="U22" s="301">
        <f t="shared" si="12"/>
        <v>0</v>
      </c>
      <c r="V22" s="122">
        <f>'DPL25 MLS'!V22+DPL23Downhole!L21</f>
        <v>0</v>
      </c>
      <c r="W22" s="301">
        <f t="shared" si="13"/>
        <v>0</v>
      </c>
      <c r="X22" s="122">
        <f>'DPL25 MLS'!X22+DPL23Downhole!M21</f>
        <v>0</v>
      </c>
      <c r="Y22" s="301">
        <f t="shared" si="14"/>
        <v>0</v>
      </c>
      <c r="Z22" s="123">
        <f t="shared" si="2"/>
        <v>0</v>
      </c>
      <c r="AA22" s="942" t="e">
        <f t="shared" ca="1" si="15"/>
        <v>#REF!</v>
      </c>
      <c r="AB22" s="149"/>
      <c r="AC22" s="149"/>
    </row>
    <row r="23" spans="1:29">
      <c r="A23" s="757" t="s">
        <v>387</v>
      </c>
      <c r="B23" s="122">
        <f>'DPL25 MLS'!B23+DPL23Downhole!B28</f>
        <v>0</v>
      </c>
      <c r="C23" s="909">
        <f t="shared" ca="1" si="3"/>
        <v>0</v>
      </c>
      <c r="D23" s="122">
        <f>'DPL25 MLS'!D23+DPL23Downhole!C22</f>
        <v>0</v>
      </c>
      <c r="E23" s="909">
        <f t="shared" ca="1" si="4"/>
        <v>0</v>
      </c>
      <c r="F23" s="122">
        <f>'DPL25 MLS'!F23+DPL23Downhole!D22</f>
        <v>0</v>
      </c>
      <c r="G23" s="909">
        <f t="shared" ca="1" si="5"/>
        <v>0</v>
      </c>
      <c r="H23" s="122">
        <f>'DPL25 MLS'!H23+DPL23Downhole!E22</f>
        <v>0</v>
      </c>
      <c r="I23" s="910">
        <f t="shared" ca="1" si="6"/>
        <v>0</v>
      </c>
      <c r="J23" s="122">
        <f>'DPL25 MLS'!J23+DPL23Downhole!F22</f>
        <v>0</v>
      </c>
      <c r="K23" s="301">
        <f t="shared" si="7"/>
        <v>0</v>
      </c>
      <c r="L23" s="122">
        <f>'DPL25 MLS'!L23+DPL23Downhole!G22</f>
        <v>0</v>
      </c>
      <c r="M23" s="302">
        <f t="shared" si="8"/>
        <v>0</v>
      </c>
      <c r="N23" s="122">
        <f>'DPL25 MLS'!N23+DPL23Downhole!H22</f>
        <v>0</v>
      </c>
      <c r="O23" s="302">
        <f t="shared" si="9"/>
        <v>0</v>
      </c>
      <c r="P23" s="122">
        <f>'DPL25 MLS'!P23+DPL23Downhole!I22</f>
        <v>0</v>
      </c>
      <c r="Q23" s="301">
        <f t="shared" si="10"/>
        <v>0</v>
      </c>
      <c r="R23" s="122">
        <f>'DPL25 MLS'!R23+DPL23Downhole!J22</f>
        <v>0</v>
      </c>
      <c r="S23" s="301">
        <f t="shared" si="11"/>
        <v>0</v>
      </c>
      <c r="T23" s="122">
        <f>'DPL25 MLS'!T23+DPL23Downhole!K22</f>
        <v>0</v>
      </c>
      <c r="U23" s="301">
        <f t="shared" si="12"/>
        <v>0</v>
      </c>
      <c r="V23" s="122">
        <f>'DPL25 MLS'!V23+DPL23Downhole!L22</f>
        <v>0</v>
      </c>
      <c r="W23" s="301">
        <f t="shared" si="13"/>
        <v>0</v>
      </c>
      <c r="X23" s="122">
        <f>'DPL25 MLS'!X23+DPL23Downhole!M22</f>
        <v>0</v>
      </c>
      <c r="Y23" s="301">
        <f t="shared" si="14"/>
        <v>0</v>
      </c>
      <c r="Z23" s="123">
        <f t="shared" si="2"/>
        <v>0</v>
      </c>
      <c r="AA23" s="942" t="e">
        <f t="shared" ca="1" si="15"/>
        <v>#REF!</v>
      </c>
      <c r="AB23" s="149"/>
      <c r="AC23" s="149"/>
    </row>
    <row r="24" spans="1:29">
      <c r="A24" s="757" t="s">
        <v>388</v>
      </c>
      <c r="B24" s="122">
        <f>'DPL25 MLS'!B24+DPL23Downhole!B29</f>
        <v>0</v>
      </c>
      <c r="C24" s="909">
        <f t="shared" ca="1" si="3"/>
        <v>0</v>
      </c>
      <c r="D24" s="122">
        <f>'DPL25 MLS'!D24+DPL23Downhole!C23</f>
        <v>0</v>
      </c>
      <c r="E24" s="909">
        <f t="shared" ca="1" si="4"/>
        <v>0</v>
      </c>
      <c r="F24" s="122">
        <f>'DPL25 MLS'!F24+DPL23Downhole!D23</f>
        <v>0</v>
      </c>
      <c r="G24" s="909">
        <f t="shared" ca="1" si="5"/>
        <v>0</v>
      </c>
      <c r="H24" s="122">
        <f>'DPL25 MLS'!H24+DPL23Downhole!E23</f>
        <v>0</v>
      </c>
      <c r="I24" s="910">
        <f t="shared" ca="1" si="6"/>
        <v>0</v>
      </c>
      <c r="J24" s="122">
        <f>'DPL25 MLS'!J24+DPL23Downhole!F23</f>
        <v>0</v>
      </c>
      <c r="K24" s="301">
        <f t="shared" si="7"/>
        <v>0</v>
      </c>
      <c r="L24" s="122">
        <f>'DPL25 MLS'!L24+DPL23Downhole!G23</f>
        <v>0</v>
      </c>
      <c r="M24" s="302">
        <f t="shared" si="8"/>
        <v>0</v>
      </c>
      <c r="N24" s="122">
        <f>'DPL25 MLS'!N24+DPL23Downhole!H23</f>
        <v>0</v>
      </c>
      <c r="O24" s="302">
        <f t="shared" si="9"/>
        <v>0</v>
      </c>
      <c r="P24" s="122">
        <f>'DPL25 MLS'!P24+DPL23Downhole!I23</f>
        <v>0</v>
      </c>
      <c r="Q24" s="301">
        <f t="shared" si="10"/>
        <v>0</v>
      </c>
      <c r="R24" s="122">
        <f>'DPL25 MLS'!R24+DPL23Downhole!J23</f>
        <v>0</v>
      </c>
      <c r="S24" s="301">
        <f t="shared" si="11"/>
        <v>0</v>
      </c>
      <c r="T24" s="122">
        <f>'DPL25 MLS'!T24+DPL23Downhole!K23</f>
        <v>0</v>
      </c>
      <c r="U24" s="301">
        <f t="shared" si="12"/>
        <v>0</v>
      </c>
      <c r="V24" s="122">
        <f>'DPL25 MLS'!V24+DPL23Downhole!L23</f>
        <v>0</v>
      </c>
      <c r="W24" s="301">
        <f t="shared" si="13"/>
        <v>0</v>
      </c>
      <c r="X24" s="122">
        <f>'DPL25 MLS'!X24+DPL23Downhole!M23</f>
        <v>0</v>
      </c>
      <c r="Y24" s="301">
        <f t="shared" si="14"/>
        <v>0</v>
      </c>
      <c r="Z24" s="123">
        <f t="shared" si="2"/>
        <v>0</v>
      </c>
      <c r="AA24" s="942" t="e">
        <f t="shared" ca="1" si="15"/>
        <v>#REF!</v>
      </c>
      <c r="AB24" s="149"/>
      <c r="AC24" s="149"/>
    </row>
    <row r="25" spans="1:29">
      <c r="A25" s="757" t="s">
        <v>389</v>
      </c>
      <c r="B25" s="122">
        <f>'DPL25 MLS'!B25+DPL23Downhole!B30</f>
        <v>0</v>
      </c>
      <c r="C25" s="909">
        <f t="shared" ca="1" si="3"/>
        <v>0</v>
      </c>
      <c r="D25" s="122">
        <f>'DPL25 MLS'!D25+DPL23Downhole!C24</f>
        <v>0</v>
      </c>
      <c r="E25" s="909">
        <f t="shared" ca="1" si="4"/>
        <v>0</v>
      </c>
      <c r="F25" s="122">
        <f>'DPL25 MLS'!F25+DPL23Downhole!D24</f>
        <v>0</v>
      </c>
      <c r="G25" s="909">
        <f t="shared" ca="1" si="5"/>
        <v>0</v>
      </c>
      <c r="H25" s="122">
        <f>'DPL25 MLS'!H25+DPL23Downhole!E24</f>
        <v>0</v>
      </c>
      <c r="I25" s="910">
        <f t="shared" ca="1" si="6"/>
        <v>0</v>
      </c>
      <c r="J25" s="122">
        <f>'DPL25 MLS'!J25+DPL23Downhole!F24</f>
        <v>0</v>
      </c>
      <c r="K25" s="301">
        <f t="shared" si="7"/>
        <v>0</v>
      </c>
      <c r="L25" s="122">
        <f>'DPL25 MLS'!L25+DPL23Downhole!G24</f>
        <v>0</v>
      </c>
      <c r="M25" s="302">
        <f t="shared" si="8"/>
        <v>0</v>
      </c>
      <c r="N25" s="122">
        <f>'DPL25 MLS'!N25+DPL23Downhole!H24</f>
        <v>0</v>
      </c>
      <c r="O25" s="302">
        <f t="shared" si="9"/>
        <v>0</v>
      </c>
      <c r="P25" s="122">
        <f>'DPL25 MLS'!P25+DPL23Downhole!I24</f>
        <v>0</v>
      </c>
      <c r="Q25" s="301">
        <f t="shared" si="10"/>
        <v>0</v>
      </c>
      <c r="R25" s="122">
        <f>'DPL25 MLS'!R25+DPL23Downhole!J24</f>
        <v>0</v>
      </c>
      <c r="S25" s="301">
        <f t="shared" si="11"/>
        <v>0</v>
      </c>
      <c r="T25" s="122">
        <f>'DPL25 MLS'!T25+DPL23Downhole!K24</f>
        <v>0</v>
      </c>
      <c r="U25" s="301">
        <f t="shared" si="12"/>
        <v>0</v>
      </c>
      <c r="V25" s="122">
        <f>'DPL25 MLS'!V25+DPL23Downhole!L24</f>
        <v>0</v>
      </c>
      <c r="W25" s="301">
        <f t="shared" si="13"/>
        <v>0</v>
      </c>
      <c r="X25" s="122">
        <f>'DPL25 MLS'!X25+DPL23Downhole!M24</f>
        <v>0</v>
      </c>
      <c r="Y25" s="301">
        <f t="shared" si="14"/>
        <v>0</v>
      </c>
      <c r="Z25" s="123">
        <f t="shared" si="2"/>
        <v>0</v>
      </c>
      <c r="AA25" s="942" t="e">
        <f t="shared" ca="1" si="15"/>
        <v>#REF!</v>
      </c>
      <c r="AB25" s="149"/>
      <c r="AC25" s="149"/>
    </row>
    <row r="26" spans="1:29" s="4" customFormat="1">
      <c r="A26" s="757" t="s">
        <v>390</v>
      </c>
      <c r="B26" s="122">
        <f>'DPL25 MLS'!B26+DPL23Downhole!B25</f>
        <v>30</v>
      </c>
      <c r="C26" s="909">
        <f t="shared" ca="1" si="3"/>
        <v>1.0999999999999999E-2</v>
      </c>
      <c r="D26" s="122">
        <f>'DPL25 MLS'!D26+DPL23Downhole!C25</f>
        <v>30</v>
      </c>
      <c r="E26" s="909">
        <f t="shared" ca="1" si="4"/>
        <v>1.0999999999999999E-2</v>
      </c>
      <c r="F26" s="122">
        <f>'DPL25 MLS'!F26+DPL23Downhole!D25</f>
        <v>30</v>
      </c>
      <c r="G26" s="909">
        <f t="shared" ca="1" si="5"/>
        <v>1.0999999999999999E-2</v>
      </c>
      <c r="H26" s="122">
        <f>'DPL25 MLS'!H26+DPL23Downhole!E25</f>
        <v>12</v>
      </c>
      <c r="I26" s="910">
        <f t="shared" ca="1" si="6"/>
        <v>4.0000000000000001E-3</v>
      </c>
      <c r="J26" s="122">
        <f>'DPL25 MLS'!J26+DPL23Downhole!F25</f>
        <v>0</v>
      </c>
      <c r="K26" s="301">
        <f t="shared" si="7"/>
        <v>0</v>
      </c>
      <c r="L26" s="122">
        <f>'DPL25 MLS'!L26+DPL23Downhole!G25</f>
        <v>0</v>
      </c>
      <c r="M26" s="302">
        <f t="shared" si="8"/>
        <v>0</v>
      </c>
      <c r="N26" s="122">
        <f>'DPL25 MLS'!N26+DPL23Downhole!H25</f>
        <v>0</v>
      </c>
      <c r="O26" s="302">
        <f t="shared" si="9"/>
        <v>0</v>
      </c>
      <c r="P26" s="122">
        <f>'DPL25 MLS'!P26+DPL23Downhole!I25</f>
        <v>0</v>
      </c>
      <c r="Q26" s="301">
        <f t="shared" si="10"/>
        <v>0</v>
      </c>
      <c r="R26" s="122">
        <f>'DPL25 MLS'!R26+DPL23Downhole!J25</f>
        <v>0</v>
      </c>
      <c r="S26" s="301">
        <f t="shared" si="11"/>
        <v>0</v>
      </c>
      <c r="T26" s="122">
        <f>'DPL25 MLS'!T26+DPL23Downhole!K25</f>
        <v>0</v>
      </c>
      <c r="U26" s="301">
        <f t="shared" si="12"/>
        <v>0</v>
      </c>
      <c r="V26" s="122">
        <f>'DPL25 MLS'!V26+DPL23Downhole!L25</f>
        <v>0</v>
      </c>
      <c r="W26" s="301">
        <f t="shared" si="13"/>
        <v>0</v>
      </c>
      <c r="X26" s="122">
        <f>'DPL25 MLS'!X26+DPL23Downhole!M25</f>
        <v>0</v>
      </c>
      <c r="Y26" s="301">
        <f t="shared" si="14"/>
        <v>0</v>
      </c>
      <c r="Z26" s="123">
        <f t="shared" si="2"/>
        <v>102</v>
      </c>
      <c r="AA26" s="12" t="e">
        <f t="shared" ca="1" si="15"/>
        <v>#REF!</v>
      </c>
      <c r="AB26" s="150"/>
    </row>
    <row r="27" spans="1:29" s="4" customFormat="1">
      <c r="A27" s="757" t="s">
        <v>391</v>
      </c>
      <c r="B27" s="122">
        <f>'DPL25 MLS'!B27+DPL23Downhole!B26</f>
        <v>0</v>
      </c>
      <c r="C27" s="909">
        <f t="shared" ca="1" si="3"/>
        <v>0</v>
      </c>
      <c r="D27" s="122">
        <f>'DPL25 MLS'!D27+DPL23Downhole!C26</f>
        <v>0</v>
      </c>
      <c r="E27" s="909">
        <f t="shared" ca="1" si="4"/>
        <v>0</v>
      </c>
      <c r="F27" s="122">
        <f>'DPL25 MLS'!F27+DPL23Downhole!D26</f>
        <v>0</v>
      </c>
      <c r="G27" s="909">
        <f t="shared" ca="1" si="5"/>
        <v>0</v>
      </c>
      <c r="H27" s="122">
        <f>'DPL25 MLS'!H27+DPL23Downhole!E26</f>
        <v>0</v>
      </c>
      <c r="I27" s="910">
        <f t="shared" ca="1" si="6"/>
        <v>0</v>
      </c>
      <c r="J27" s="122">
        <f>'DPL25 MLS'!J27+DPL23Downhole!F26</f>
        <v>0</v>
      </c>
      <c r="K27" s="301">
        <f t="shared" si="7"/>
        <v>0</v>
      </c>
      <c r="L27" s="122">
        <f>'DPL25 MLS'!L27+DPL23Downhole!G26</f>
        <v>0</v>
      </c>
      <c r="M27" s="302">
        <f t="shared" si="8"/>
        <v>0</v>
      </c>
      <c r="N27" s="122">
        <f>'DPL25 MLS'!N27+DPL23Downhole!H26</f>
        <v>0</v>
      </c>
      <c r="O27" s="302">
        <f t="shared" si="9"/>
        <v>0</v>
      </c>
      <c r="P27" s="122">
        <f>'DPL25 MLS'!P27+DPL23Downhole!I26</f>
        <v>0</v>
      </c>
      <c r="Q27" s="301">
        <f t="shared" si="10"/>
        <v>0</v>
      </c>
      <c r="R27" s="122">
        <f>'DPL25 MLS'!R27+DPL23Downhole!J26</f>
        <v>0</v>
      </c>
      <c r="S27" s="301">
        <f t="shared" si="11"/>
        <v>0</v>
      </c>
      <c r="T27" s="122">
        <f>'DPL25 MLS'!T27+DPL23Downhole!K26</f>
        <v>0</v>
      </c>
      <c r="U27" s="301">
        <f t="shared" si="12"/>
        <v>0</v>
      </c>
      <c r="V27" s="122">
        <f>'DPL25 MLS'!V27+DPL23Downhole!L26</f>
        <v>0</v>
      </c>
      <c r="W27" s="301">
        <f t="shared" si="13"/>
        <v>0</v>
      </c>
      <c r="X27" s="122">
        <f>'DPL25 MLS'!X27+DPL23Downhole!M26</f>
        <v>0</v>
      </c>
      <c r="Y27" s="301">
        <f t="shared" si="14"/>
        <v>0</v>
      </c>
      <c r="Z27" s="123">
        <f t="shared" si="2"/>
        <v>0</v>
      </c>
      <c r="AA27" s="12" t="e">
        <f t="shared" ca="1" si="15"/>
        <v>#REF!</v>
      </c>
      <c r="AB27" s="150"/>
      <c r="AC27" s="150"/>
    </row>
    <row r="28" spans="1:29" s="4" customFormat="1">
      <c r="A28" s="757" t="s">
        <v>392</v>
      </c>
      <c r="B28" s="122">
        <f>'DPL25 MLS'!B28+DPL23Downhole!B27</f>
        <v>0</v>
      </c>
      <c r="C28" s="909">
        <f t="shared" ca="1" si="3"/>
        <v>0</v>
      </c>
      <c r="D28" s="122">
        <f>'DPL25 MLS'!D28+DPL23Downhole!C27</f>
        <v>0</v>
      </c>
      <c r="E28" s="909">
        <f t="shared" ca="1" si="4"/>
        <v>0</v>
      </c>
      <c r="F28" s="122">
        <f>'DPL25 MLS'!F28+DPL23Downhole!D27</f>
        <v>0</v>
      </c>
      <c r="G28" s="909">
        <f t="shared" ca="1" si="5"/>
        <v>0</v>
      </c>
      <c r="H28" s="122">
        <f>'DPL25 MLS'!H28+DPL23Downhole!E27</f>
        <v>0</v>
      </c>
      <c r="I28" s="910">
        <f t="shared" ca="1" si="6"/>
        <v>0</v>
      </c>
      <c r="J28" s="122">
        <f>'DPL25 MLS'!J28+DPL23Downhole!F27</f>
        <v>0</v>
      </c>
      <c r="K28" s="301">
        <f t="shared" si="7"/>
        <v>0</v>
      </c>
      <c r="L28" s="122">
        <f>'DPL25 MLS'!L28+DPL23Downhole!G27</f>
        <v>0</v>
      </c>
      <c r="M28" s="302">
        <f t="shared" si="8"/>
        <v>0</v>
      </c>
      <c r="N28" s="122">
        <f>'DPL25 MLS'!N28+DPL23Downhole!H27</f>
        <v>0</v>
      </c>
      <c r="O28" s="302">
        <f t="shared" si="9"/>
        <v>0</v>
      </c>
      <c r="P28" s="122">
        <f>'DPL25 MLS'!P28+DPL23Downhole!I27</f>
        <v>0</v>
      </c>
      <c r="Q28" s="301">
        <f t="shared" si="10"/>
        <v>0</v>
      </c>
      <c r="R28" s="122">
        <f>'DPL25 MLS'!R28+DPL23Downhole!J27</f>
        <v>0</v>
      </c>
      <c r="S28" s="301">
        <f t="shared" si="11"/>
        <v>0</v>
      </c>
      <c r="T28" s="122">
        <f>'DPL25 MLS'!T28+DPL23Downhole!K27</f>
        <v>0</v>
      </c>
      <c r="U28" s="301">
        <f t="shared" si="12"/>
        <v>0</v>
      </c>
      <c r="V28" s="122">
        <f>'DPL25 MLS'!V28+DPL23Downhole!L27</f>
        <v>0</v>
      </c>
      <c r="W28" s="301">
        <f t="shared" si="13"/>
        <v>0</v>
      </c>
      <c r="X28" s="122">
        <f>'DPL25 MLS'!X28+DPL23Downhole!M27</f>
        <v>0</v>
      </c>
      <c r="Y28" s="301">
        <f t="shared" si="14"/>
        <v>0</v>
      </c>
      <c r="Z28" s="123">
        <f t="shared" si="2"/>
        <v>0</v>
      </c>
      <c r="AA28" s="12" t="e">
        <f t="shared" ca="1" si="15"/>
        <v>#REF!</v>
      </c>
      <c r="AB28" s="150"/>
    </row>
    <row r="29" spans="1:29" s="4" customFormat="1">
      <c r="A29" s="757" t="s">
        <v>501</v>
      </c>
      <c r="B29" s="122">
        <f>'DPL25 MLS'!B29+DPL23Downhole!B28</f>
        <v>192</v>
      </c>
      <c r="C29" s="909">
        <f t="shared" ca="1" si="3"/>
        <v>7.0400000000000004E-2</v>
      </c>
      <c r="D29" s="122">
        <f>'DPL25 MLS'!D29+DPL23Downhole!C28</f>
        <v>0</v>
      </c>
      <c r="E29" s="909">
        <f t="shared" ca="1" si="4"/>
        <v>0</v>
      </c>
      <c r="F29" s="122">
        <f>'DPL25 MLS'!F29+DPL23Downhole!D28</f>
        <v>0</v>
      </c>
      <c r="G29" s="909">
        <f t="shared" ca="1" si="5"/>
        <v>0</v>
      </c>
      <c r="H29" s="122">
        <f>'DPL25 MLS'!H29+DPL23Downhole!E28</f>
        <v>192</v>
      </c>
      <c r="I29" s="910">
        <f t="shared" ca="1" si="6"/>
        <v>7.0000000000000007E-2</v>
      </c>
      <c r="J29" s="122">
        <f>'DPL25 MLS'!J29+DPL23Downhole!F28</f>
        <v>0</v>
      </c>
      <c r="K29" s="301">
        <f t="shared" si="7"/>
        <v>0</v>
      </c>
      <c r="L29" s="122">
        <f>'DPL25 MLS'!L29+DPL23Downhole!G28</f>
        <v>0</v>
      </c>
      <c r="M29" s="302">
        <f t="shared" si="8"/>
        <v>0</v>
      </c>
      <c r="N29" s="122">
        <f>'DPL25 MLS'!N29+DPL23Downhole!H28</f>
        <v>0</v>
      </c>
      <c r="O29" s="302">
        <f t="shared" si="9"/>
        <v>0</v>
      </c>
      <c r="P29" s="122">
        <f>'DPL25 MLS'!P29+DPL23Downhole!I28</f>
        <v>0</v>
      </c>
      <c r="Q29" s="301">
        <f t="shared" si="10"/>
        <v>0</v>
      </c>
      <c r="R29" s="122">
        <f>'DPL25 MLS'!R29+DPL23Downhole!J28</f>
        <v>0</v>
      </c>
      <c r="S29" s="301">
        <f t="shared" si="11"/>
        <v>0</v>
      </c>
      <c r="T29" s="122">
        <f>'DPL25 MLS'!T29+DPL23Downhole!K28</f>
        <v>0</v>
      </c>
      <c r="U29" s="301">
        <f t="shared" si="12"/>
        <v>0</v>
      </c>
      <c r="V29" s="122">
        <f>'DPL25 MLS'!V29+DPL23Downhole!L28</f>
        <v>0</v>
      </c>
      <c r="W29" s="301">
        <f t="shared" si="13"/>
        <v>0</v>
      </c>
      <c r="X29" s="122">
        <f>'DPL25 MLS'!X29+DPL23Downhole!M28</f>
        <v>0</v>
      </c>
      <c r="Y29" s="301">
        <f t="shared" si="14"/>
        <v>0</v>
      </c>
      <c r="Z29" s="123">
        <f t="shared" si="2"/>
        <v>384</v>
      </c>
      <c r="AA29" s="12" t="e">
        <f t="shared" ca="1" si="15"/>
        <v>#REF!</v>
      </c>
      <c r="AB29" s="150"/>
    </row>
    <row r="30" spans="1:29" s="4" customFormat="1">
      <c r="A30" s="757" t="s">
        <v>393</v>
      </c>
      <c r="B30" s="122">
        <f>'DPL25 MLS'!B30+DPL23Downhole!B29</f>
        <v>0</v>
      </c>
      <c r="C30" s="909">
        <f t="shared" ca="1" si="3"/>
        <v>0</v>
      </c>
      <c r="D30" s="122">
        <f>'DPL25 MLS'!D30+DPL23Downhole!C29</f>
        <v>0</v>
      </c>
      <c r="E30" s="909">
        <f t="shared" ca="1" si="4"/>
        <v>0</v>
      </c>
      <c r="F30" s="122">
        <f>'DPL25 MLS'!F30+DPL23Downhole!D29</f>
        <v>0</v>
      </c>
      <c r="G30" s="909">
        <f t="shared" ca="1" si="5"/>
        <v>0</v>
      </c>
      <c r="H30" s="122">
        <f>'DPL25 MLS'!H30+DPL23Downhole!E29</f>
        <v>0</v>
      </c>
      <c r="I30" s="910">
        <f t="shared" ca="1" si="6"/>
        <v>0</v>
      </c>
      <c r="J30" s="122">
        <f>'DPL25 MLS'!J30+DPL23Downhole!F29</f>
        <v>0</v>
      </c>
      <c r="K30" s="301">
        <f t="shared" si="7"/>
        <v>0</v>
      </c>
      <c r="L30" s="122">
        <f>'DPL25 MLS'!L30+DPL23Downhole!G29</f>
        <v>0</v>
      </c>
      <c r="M30" s="302">
        <f t="shared" si="8"/>
        <v>0</v>
      </c>
      <c r="N30" s="122">
        <f>'DPL25 MLS'!N30+DPL23Downhole!H29</f>
        <v>0</v>
      </c>
      <c r="O30" s="302">
        <f t="shared" si="9"/>
        <v>0</v>
      </c>
      <c r="P30" s="122">
        <f>'DPL25 MLS'!P30+DPL23Downhole!I29</f>
        <v>0</v>
      </c>
      <c r="Q30" s="301">
        <f t="shared" si="10"/>
        <v>0</v>
      </c>
      <c r="R30" s="122">
        <f>'DPL25 MLS'!R30+DPL23Downhole!J29</f>
        <v>0</v>
      </c>
      <c r="S30" s="301">
        <f t="shared" si="11"/>
        <v>0</v>
      </c>
      <c r="T30" s="122">
        <f>'DPL25 MLS'!T30+DPL23Downhole!K29</f>
        <v>0</v>
      </c>
      <c r="U30" s="301">
        <f t="shared" si="12"/>
        <v>0</v>
      </c>
      <c r="V30" s="122">
        <f>'DPL25 MLS'!V30+DPL23Downhole!L29</f>
        <v>0</v>
      </c>
      <c r="W30" s="301">
        <f t="shared" si="13"/>
        <v>0</v>
      </c>
      <c r="X30" s="122">
        <f>'DPL25 MLS'!X30+DPL23Downhole!M29</f>
        <v>0</v>
      </c>
      <c r="Y30" s="301">
        <f t="shared" si="14"/>
        <v>0</v>
      </c>
      <c r="Z30" s="123">
        <f t="shared" si="2"/>
        <v>0</v>
      </c>
      <c r="AA30" s="12" t="e">
        <f t="shared" ca="1" si="15"/>
        <v>#REF!</v>
      </c>
      <c r="AB30" s="150"/>
    </row>
    <row r="31" spans="1:29" s="4" customFormat="1">
      <c r="A31" s="757" t="s">
        <v>394</v>
      </c>
      <c r="B31" s="122">
        <f>'DPL25 MLS'!B31+DPL23Downhole!B30</f>
        <v>67</v>
      </c>
      <c r="C31" s="909">
        <f t="shared" ca="1" si="3"/>
        <v>2.46E-2</v>
      </c>
      <c r="D31" s="122">
        <f>'DPL25 MLS'!D31+DPL23Downhole!C30</f>
        <v>67</v>
      </c>
      <c r="E31" s="909">
        <f t="shared" ca="1" si="4"/>
        <v>2.46E-2</v>
      </c>
      <c r="F31" s="122">
        <f>'DPL25 MLS'!F31+DPL23Downhole!D30</f>
        <v>67</v>
      </c>
      <c r="G31" s="909">
        <f t="shared" ca="1" si="5"/>
        <v>2.46E-2</v>
      </c>
      <c r="H31" s="122">
        <f>'DPL25 MLS'!H31+DPL23Downhole!E30</f>
        <v>67</v>
      </c>
      <c r="I31" s="910">
        <f t="shared" ca="1" si="6"/>
        <v>2.5000000000000001E-2</v>
      </c>
      <c r="J31" s="122">
        <f>'DPL25 MLS'!J31+DPL23Downhole!F30</f>
        <v>0</v>
      </c>
      <c r="K31" s="301">
        <f t="shared" si="7"/>
        <v>0</v>
      </c>
      <c r="L31" s="122">
        <f>'DPL25 MLS'!L31+DPL23Downhole!G30</f>
        <v>0</v>
      </c>
      <c r="M31" s="302">
        <f t="shared" si="8"/>
        <v>0</v>
      </c>
      <c r="N31" s="122">
        <f>'DPL25 MLS'!N31+DPL23Downhole!H30</f>
        <v>0</v>
      </c>
      <c r="O31" s="302">
        <f t="shared" si="9"/>
        <v>0</v>
      </c>
      <c r="P31" s="122">
        <f>'DPL25 MLS'!P31+DPL23Downhole!I30</f>
        <v>0</v>
      </c>
      <c r="Q31" s="301">
        <f t="shared" si="10"/>
        <v>0</v>
      </c>
      <c r="R31" s="122">
        <f>'DPL25 MLS'!R31+DPL23Downhole!J30</f>
        <v>0</v>
      </c>
      <c r="S31" s="301">
        <f t="shared" si="11"/>
        <v>0</v>
      </c>
      <c r="T31" s="122">
        <f>'DPL25 MLS'!T31+DPL23Downhole!K30</f>
        <v>0</v>
      </c>
      <c r="U31" s="301">
        <f t="shared" si="12"/>
        <v>0</v>
      </c>
      <c r="V31" s="122">
        <f>'DPL25 MLS'!V31+DPL23Downhole!L30</f>
        <v>0</v>
      </c>
      <c r="W31" s="301">
        <f t="shared" si="13"/>
        <v>0</v>
      </c>
      <c r="X31" s="122">
        <f>'DPL25 MLS'!X31+DPL23Downhole!M30</f>
        <v>0</v>
      </c>
      <c r="Y31" s="301">
        <f t="shared" si="14"/>
        <v>0</v>
      </c>
      <c r="Z31" s="123">
        <f t="shared" si="2"/>
        <v>268</v>
      </c>
      <c r="AA31" s="12" t="e">
        <f t="shared" ca="1" si="15"/>
        <v>#REF!</v>
      </c>
      <c r="AB31" s="150"/>
      <c r="AC31" s="150"/>
    </row>
    <row r="32" spans="1:29" s="4" customFormat="1">
      <c r="A32" s="757" t="s">
        <v>307</v>
      </c>
      <c r="B32" s="122">
        <f ca="1">'DPL25 MLS'!B32+DPL23Downhole!B31</f>
        <v>122</v>
      </c>
      <c r="C32" s="909">
        <f t="shared" ca="1" si="3"/>
        <v>4.4699999999999997E-2</v>
      </c>
      <c r="D32" s="122">
        <f ca="1">'DPL25 MLS'!D32+DPL23Downhole!C31</f>
        <v>0</v>
      </c>
      <c r="E32" s="909">
        <f t="shared" ca="1" si="4"/>
        <v>0</v>
      </c>
      <c r="F32" s="122">
        <f ca="1">'DPL25 MLS'!F32+DPL23Downhole!D31</f>
        <v>0</v>
      </c>
      <c r="G32" s="909">
        <f t="shared" ca="1" si="5"/>
        <v>0</v>
      </c>
      <c r="H32" s="122">
        <f ca="1">'DPL25 MLS'!H32+DPL23Downhole!E31</f>
        <v>122</v>
      </c>
      <c r="I32" s="910">
        <f t="shared" ca="1" si="6"/>
        <v>4.4999999999999998E-2</v>
      </c>
      <c r="J32" s="122">
        <f>'DPL25 MLS'!J32+DPL23Downhole!F31</f>
        <v>0</v>
      </c>
      <c r="K32" s="301">
        <f t="shared" si="7"/>
        <v>0</v>
      </c>
      <c r="L32" s="122">
        <f>'DPL25 MLS'!L32+DPL23Downhole!G31</f>
        <v>0</v>
      </c>
      <c r="M32" s="302">
        <f t="shared" si="8"/>
        <v>0</v>
      </c>
      <c r="N32" s="122">
        <f>'DPL25 MLS'!N32+DPL23Downhole!H31</f>
        <v>0</v>
      </c>
      <c r="O32" s="302">
        <f t="shared" si="9"/>
        <v>0</v>
      </c>
      <c r="P32" s="122">
        <f>'DPL25 MLS'!P32+DPL23Downhole!I31</f>
        <v>0</v>
      </c>
      <c r="Q32" s="301">
        <f t="shared" si="10"/>
        <v>0</v>
      </c>
      <c r="R32" s="122">
        <f>'DPL25 MLS'!R32+DPL23Downhole!J31</f>
        <v>0</v>
      </c>
      <c r="S32" s="301">
        <f t="shared" si="11"/>
        <v>0</v>
      </c>
      <c r="T32" s="122">
        <f>'DPL25 MLS'!T32+DPL23Downhole!K31</f>
        <v>0</v>
      </c>
      <c r="U32" s="301">
        <f t="shared" si="12"/>
        <v>0</v>
      </c>
      <c r="V32" s="122">
        <f>'DPL25 MLS'!V32+DPL23Downhole!L31</f>
        <v>0</v>
      </c>
      <c r="W32" s="301">
        <f t="shared" si="13"/>
        <v>0</v>
      </c>
      <c r="X32" s="122">
        <f>'DPL25 MLS'!X32+DPL23Downhole!M31</f>
        <v>0</v>
      </c>
      <c r="Y32" s="301">
        <f t="shared" si="14"/>
        <v>0</v>
      </c>
      <c r="Z32" s="123">
        <f t="shared" ca="1" si="2"/>
        <v>244</v>
      </c>
      <c r="AA32" s="12" t="e">
        <f t="shared" ca="1" si="15"/>
        <v>#REF!</v>
      </c>
      <c r="AB32" s="150"/>
    </row>
    <row r="33" spans="1:28" s="4" customFormat="1">
      <c r="A33" s="757" t="s">
        <v>395</v>
      </c>
      <c r="B33" s="122">
        <f>'DPL25 MLS'!B33+DPL23Downhole!B32</f>
        <v>0</v>
      </c>
      <c r="C33" s="909">
        <f t="shared" ca="1" si="3"/>
        <v>0</v>
      </c>
      <c r="D33" s="122">
        <f>'DPL25 MLS'!D33+DPL23Downhole!C32</f>
        <v>0</v>
      </c>
      <c r="E33" s="909">
        <f t="shared" ca="1" si="4"/>
        <v>0</v>
      </c>
      <c r="F33" s="122">
        <f>'DPL25 MLS'!F33+DPL23Downhole!D32</f>
        <v>0</v>
      </c>
      <c r="G33" s="909">
        <f t="shared" ca="1" si="5"/>
        <v>0</v>
      </c>
      <c r="H33" s="122">
        <f>'DPL25 MLS'!H33+DPL23Downhole!E32</f>
        <v>0</v>
      </c>
      <c r="I33" s="910">
        <f t="shared" ca="1" si="6"/>
        <v>0</v>
      </c>
      <c r="J33" s="122">
        <f>'DPL25 MLS'!J33+DPL23Downhole!F32</f>
        <v>0</v>
      </c>
      <c r="K33" s="301">
        <f t="shared" si="7"/>
        <v>0</v>
      </c>
      <c r="L33" s="122">
        <f>'DPL25 MLS'!L33+DPL23Downhole!G32</f>
        <v>0</v>
      </c>
      <c r="M33" s="302">
        <f t="shared" si="8"/>
        <v>0</v>
      </c>
      <c r="N33" s="122">
        <f>'DPL25 MLS'!N33+DPL23Downhole!H32</f>
        <v>0</v>
      </c>
      <c r="O33" s="302">
        <f t="shared" si="9"/>
        <v>0</v>
      </c>
      <c r="P33" s="122">
        <f>'DPL25 MLS'!P33+DPL23Downhole!I32</f>
        <v>0</v>
      </c>
      <c r="Q33" s="301">
        <f t="shared" si="10"/>
        <v>0</v>
      </c>
      <c r="R33" s="122">
        <f>'DPL25 MLS'!R33+DPL23Downhole!J32</f>
        <v>0</v>
      </c>
      <c r="S33" s="301">
        <f t="shared" si="11"/>
        <v>0</v>
      </c>
      <c r="T33" s="122">
        <f>'DPL25 MLS'!T33+DPL23Downhole!K32</f>
        <v>0</v>
      </c>
      <c r="U33" s="301">
        <f t="shared" si="12"/>
        <v>0</v>
      </c>
      <c r="V33" s="122">
        <f>'DPL25 MLS'!V33+DPL23Downhole!L32</f>
        <v>0</v>
      </c>
      <c r="W33" s="301">
        <f t="shared" si="13"/>
        <v>0</v>
      </c>
      <c r="X33" s="122">
        <f>'DPL25 MLS'!X33+DPL23Downhole!M32</f>
        <v>0</v>
      </c>
      <c r="Y33" s="301">
        <f t="shared" si="14"/>
        <v>0</v>
      </c>
      <c r="Z33" s="123">
        <f t="shared" si="2"/>
        <v>0</v>
      </c>
      <c r="AA33" s="12" t="e">
        <f t="shared" ca="1" si="15"/>
        <v>#REF!</v>
      </c>
      <c r="AB33" s="150"/>
    </row>
    <row r="34" spans="1:28" s="4" customFormat="1">
      <c r="A34" s="932" t="s">
        <v>396</v>
      </c>
      <c r="B34" s="122">
        <f>'DPL25 MLS'!B34+DPL23Downhole!B33</f>
        <v>0</v>
      </c>
      <c r="C34" s="909">
        <f t="shared" ca="1" si="3"/>
        <v>0</v>
      </c>
      <c r="D34" s="122">
        <f>'DPL25 MLS'!D34+DPL23Downhole!C33</f>
        <v>0</v>
      </c>
      <c r="E34" s="909">
        <f t="shared" ca="1" si="4"/>
        <v>0</v>
      </c>
      <c r="F34" s="122">
        <f>'DPL25 MLS'!F34+DPL23Downhole!D33</f>
        <v>0</v>
      </c>
      <c r="G34" s="909">
        <f t="shared" ca="1" si="5"/>
        <v>0</v>
      </c>
      <c r="H34" s="122">
        <f>'DPL25 MLS'!H34+DPL23Downhole!E33</f>
        <v>0</v>
      </c>
      <c r="I34" s="910">
        <f t="shared" ca="1" si="6"/>
        <v>0</v>
      </c>
      <c r="J34" s="122">
        <f>'DPL25 MLS'!J34+DPL23Downhole!F33</f>
        <v>0</v>
      </c>
      <c r="K34" s="301">
        <f t="shared" si="7"/>
        <v>0</v>
      </c>
      <c r="L34" s="122">
        <f>'DPL25 MLS'!L34+DPL23Downhole!G33</f>
        <v>0</v>
      </c>
      <c r="M34" s="302">
        <f t="shared" si="8"/>
        <v>0</v>
      </c>
      <c r="N34" s="122">
        <f>'DPL25 MLS'!N34+DPL23Downhole!H33</f>
        <v>0</v>
      </c>
      <c r="O34" s="302">
        <f t="shared" si="9"/>
        <v>0</v>
      </c>
      <c r="P34" s="122">
        <f>'DPL25 MLS'!P34+DPL23Downhole!I33</f>
        <v>0</v>
      </c>
      <c r="Q34" s="301">
        <f t="shared" si="10"/>
        <v>0</v>
      </c>
      <c r="R34" s="122">
        <f>'DPL25 MLS'!R34+DPL23Downhole!J33</f>
        <v>0</v>
      </c>
      <c r="S34" s="301">
        <f t="shared" si="11"/>
        <v>0</v>
      </c>
      <c r="T34" s="122">
        <f>'DPL25 MLS'!T34+DPL23Downhole!K33</f>
        <v>0</v>
      </c>
      <c r="U34" s="301">
        <f t="shared" si="12"/>
        <v>0</v>
      </c>
      <c r="V34" s="122">
        <f>'DPL25 MLS'!V34+DPL23Downhole!L33</f>
        <v>0</v>
      </c>
      <c r="W34" s="301">
        <f t="shared" si="13"/>
        <v>0</v>
      </c>
      <c r="X34" s="122">
        <f>'DPL25 MLS'!X34+DPL23Downhole!M33</f>
        <v>0</v>
      </c>
      <c r="Y34" s="301">
        <f t="shared" si="14"/>
        <v>0</v>
      </c>
      <c r="Z34" s="447">
        <f t="shared" si="2"/>
        <v>0</v>
      </c>
      <c r="AA34" s="12" t="e">
        <f t="shared" ca="1" si="15"/>
        <v>#REF!</v>
      </c>
      <c r="AB34" s="150"/>
    </row>
    <row r="35" spans="1:28" s="4" customFormat="1">
      <c r="A35" s="757" t="s">
        <v>290</v>
      </c>
      <c r="B35" s="122">
        <f>'DPL25 MLS'!B35+DPL23Downhole!B34</f>
        <v>0</v>
      </c>
      <c r="C35" s="909">
        <f t="shared" ca="1" si="3"/>
        <v>0</v>
      </c>
      <c r="D35" s="122">
        <f>'DPL25 MLS'!D35+DPL23Downhole!C34</f>
        <v>0</v>
      </c>
      <c r="E35" s="909">
        <f t="shared" ca="1" si="4"/>
        <v>0</v>
      </c>
      <c r="F35" s="122">
        <f>'DPL25 MLS'!F35+DPL23Downhole!D34</f>
        <v>0</v>
      </c>
      <c r="G35" s="909">
        <f t="shared" ca="1" si="5"/>
        <v>0</v>
      </c>
      <c r="H35" s="122">
        <f>'DPL25 MLS'!H35+DPL23Downhole!E34</f>
        <v>1463</v>
      </c>
      <c r="I35" s="910">
        <f t="shared" ca="1" si="6"/>
        <v>0.53600000000000003</v>
      </c>
      <c r="J35" s="122">
        <f>'DPL25 MLS'!J35+DPL23Downhole!F34</f>
        <v>0</v>
      </c>
      <c r="K35" s="301">
        <f t="shared" si="7"/>
        <v>0</v>
      </c>
      <c r="L35" s="122">
        <f>'DPL25 MLS'!L35+DPL23Downhole!G34</f>
        <v>0</v>
      </c>
      <c r="M35" s="302">
        <f t="shared" si="8"/>
        <v>0</v>
      </c>
      <c r="N35" s="122">
        <f>'DPL25 MLS'!N35+DPL23Downhole!H34</f>
        <v>0</v>
      </c>
      <c r="O35" s="302">
        <f t="shared" si="9"/>
        <v>0</v>
      </c>
      <c r="P35" s="122">
        <f>'DPL25 MLS'!P35+DPL23Downhole!I34</f>
        <v>0</v>
      </c>
      <c r="Q35" s="301">
        <f t="shared" si="10"/>
        <v>0</v>
      </c>
      <c r="R35" s="122">
        <f>'DPL25 MLS'!R35+DPL23Downhole!J34</f>
        <v>0</v>
      </c>
      <c r="S35" s="301">
        <f t="shared" si="11"/>
        <v>0</v>
      </c>
      <c r="T35" s="122">
        <f>'DPL25 MLS'!T35+DPL23Downhole!K34</f>
        <v>0</v>
      </c>
      <c r="U35" s="301">
        <f t="shared" si="12"/>
        <v>0</v>
      </c>
      <c r="V35" s="122">
        <f>'DPL25 MLS'!V35+DPL23Downhole!L34</f>
        <v>0</v>
      </c>
      <c r="W35" s="301">
        <f t="shared" si="13"/>
        <v>0</v>
      </c>
      <c r="X35" s="122">
        <f>'DPL25 MLS'!X35+DPL23Downhole!M34</f>
        <v>0</v>
      </c>
      <c r="Y35" s="301">
        <f t="shared" si="14"/>
        <v>0</v>
      </c>
      <c r="Z35" s="123">
        <f t="shared" si="2"/>
        <v>1463</v>
      </c>
      <c r="AA35" s="12" t="e">
        <f t="shared" ca="1" si="15"/>
        <v>#REF!</v>
      </c>
      <c r="AB35" s="150"/>
    </row>
    <row r="36" spans="1:28" s="4" customFormat="1">
      <c r="A36" s="757" t="s">
        <v>297</v>
      </c>
      <c r="B36" s="122">
        <f>'DPL25 MLS'!B36+DPL23Downhole!B35</f>
        <v>0</v>
      </c>
      <c r="C36" s="909">
        <f t="shared" ca="1" si="3"/>
        <v>0</v>
      </c>
      <c r="D36" s="122">
        <f>'DPL25 MLS'!D36+DPL23Downhole!C35</f>
        <v>0</v>
      </c>
      <c r="E36" s="909">
        <f t="shared" ca="1" si="4"/>
        <v>0</v>
      </c>
      <c r="F36" s="122">
        <f>'DPL25 MLS'!F36+DPL23Downhole!D35</f>
        <v>0</v>
      </c>
      <c r="G36" s="909">
        <f t="shared" ca="1" si="5"/>
        <v>0</v>
      </c>
      <c r="H36" s="122">
        <f>'DPL25 MLS'!H36+DPL23Downhole!E35</f>
        <v>0</v>
      </c>
      <c r="I36" s="910">
        <f t="shared" ca="1" si="6"/>
        <v>0</v>
      </c>
      <c r="J36" s="122">
        <f>'DPL25 MLS'!J36+DPL23Downhole!F35</f>
        <v>0</v>
      </c>
      <c r="K36" s="301">
        <f t="shared" si="7"/>
        <v>0</v>
      </c>
      <c r="L36" s="122">
        <f>'DPL25 MLS'!L36+DPL23Downhole!G35</f>
        <v>0</v>
      </c>
      <c r="M36" s="302">
        <f t="shared" si="8"/>
        <v>0</v>
      </c>
      <c r="N36" s="122">
        <f>'DPL25 MLS'!N36+DPL23Downhole!H35</f>
        <v>0</v>
      </c>
      <c r="O36" s="302">
        <f t="shared" si="9"/>
        <v>0</v>
      </c>
      <c r="P36" s="122">
        <f>'DPL25 MLS'!P36+DPL23Downhole!I35</f>
        <v>0</v>
      </c>
      <c r="Q36" s="301">
        <f t="shared" si="10"/>
        <v>0</v>
      </c>
      <c r="R36" s="122">
        <f>'DPL25 MLS'!R36+DPL23Downhole!J35</f>
        <v>0</v>
      </c>
      <c r="S36" s="301">
        <f t="shared" si="11"/>
        <v>0</v>
      </c>
      <c r="T36" s="122">
        <f>'DPL25 MLS'!T36+DPL23Downhole!K35</f>
        <v>0</v>
      </c>
      <c r="U36" s="301">
        <f t="shared" si="12"/>
        <v>0</v>
      </c>
      <c r="V36" s="122">
        <f>'DPL25 MLS'!V36+DPL23Downhole!L35</f>
        <v>0</v>
      </c>
      <c r="W36" s="301">
        <f t="shared" si="13"/>
        <v>0</v>
      </c>
      <c r="X36" s="122">
        <f>'DPL25 MLS'!X36+DPL23Downhole!M35</f>
        <v>0</v>
      </c>
      <c r="Y36" s="301">
        <f t="shared" si="14"/>
        <v>0</v>
      </c>
      <c r="Z36" s="123">
        <f t="shared" si="2"/>
        <v>0</v>
      </c>
      <c r="AA36" s="12" t="e">
        <f t="shared" ca="1" si="15"/>
        <v>#REF!</v>
      </c>
      <c r="AB36" s="150"/>
    </row>
    <row r="37" spans="1:28" s="4" customFormat="1">
      <c r="A37" s="757" t="s">
        <v>299</v>
      </c>
      <c r="B37" s="122">
        <f>'DPL25 MLS'!B37+DPL23Downhole!B36</f>
        <v>0</v>
      </c>
      <c r="C37" s="909">
        <f t="shared" ca="1" si="3"/>
        <v>0</v>
      </c>
      <c r="D37" s="122">
        <f>'DPL25 MLS'!D37+DPL23Downhole!C36</f>
        <v>0</v>
      </c>
      <c r="E37" s="909">
        <f t="shared" ca="1" si="4"/>
        <v>0</v>
      </c>
      <c r="F37" s="122">
        <f>'DPL25 MLS'!F37+DPL23Downhole!D36</f>
        <v>0</v>
      </c>
      <c r="G37" s="909">
        <f t="shared" ca="1" si="5"/>
        <v>0</v>
      </c>
      <c r="H37" s="122">
        <f>'DPL25 MLS'!H37+DPL23Downhole!E36</f>
        <v>0</v>
      </c>
      <c r="I37" s="910">
        <f t="shared" ca="1" si="6"/>
        <v>0</v>
      </c>
      <c r="J37" s="122">
        <f>'DPL25 MLS'!J37+DPL23Downhole!F36</f>
        <v>0</v>
      </c>
      <c r="K37" s="301">
        <f t="shared" si="7"/>
        <v>0</v>
      </c>
      <c r="L37" s="122">
        <f>'DPL25 MLS'!L37+DPL23Downhole!G36</f>
        <v>0</v>
      </c>
      <c r="M37" s="302">
        <f t="shared" si="8"/>
        <v>0</v>
      </c>
      <c r="N37" s="122">
        <f>'DPL25 MLS'!N37+DPL23Downhole!H36</f>
        <v>0</v>
      </c>
      <c r="O37" s="302">
        <f t="shared" si="9"/>
        <v>0</v>
      </c>
      <c r="P37" s="122">
        <f>'DPL25 MLS'!P37+DPL23Downhole!I36</f>
        <v>0</v>
      </c>
      <c r="Q37" s="301">
        <f t="shared" si="10"/>
        <v>0</v>
      </c>
      <c r="R37" s="122">
        <f>'DPL25 MLS'!R37+DPL23Downhole!J36</f>
        <v>0</v>
      </c>
      <c r="S37" s="301">
        <f t="shared" si="11"/>
        <v>0</v>
      </c>
      <c r="T37" s="122">
        <f>'DPL25 MLS'!T37+DPL23Downhole!K36</f>
        <v>0</v>
      </c>
      <c r="U37" s="301">
        <f t="shared" si="12"/>
        <v>0</v>
      </c>
      <c r="V37" s="122">
        <f>'DPL25 MLS'!V37+DPL23Downhole!L36</f>
        <v>0</v>
      </c>
      <c r="W37" s="301">
        <f t="shared" si="13"/>
        <v>0</v>
      </c>
      <c r="X37" s="122">
        <f>'DPL25 MLS'!X37+DPL23Downhole!M36</f>
        <v>0</v>
      </c>
      <c r="Y37" s="301">
        <f t="shared" si="14"/>
        <v>0</v>
      </c>
      <c r="Z37" s="123">
        <f t="shared" si="2"/>
        <v>0</v>
      </c>
      <c r="AA37" s="12" t="e">
        <f t="shared" ca="1" si="15"/>
        <v>#REF!</v>
      </c>
      <c r="AB37" s="150"/>
    </row>
    <row r="38" spans="1:28" s="4" customFormat="1">
      <c r="A38" s="932" t="s">
        <v>397</v>
      </c>
      <c r="B38" s="122">
        <f>'DPL25 MLS'!B38+DPL23Downhole!B37</f>
        <v>0</v>
      </c>
      <c r="C38" s="909">
        <f t="shared" ca="1" si="3"/>
        <v>0</v>
      </c>
      <c r="D38" s="122">
        <f>'DPL25 MLS'!D38+DPL23Downhole!C37</f>
        <v>0</v>
      </c>
      <c r="E38" s="909">
        <f t="shared" ca="1" si="4"/>
        <v>0</v>
      </c>
      <c r="F38" s="122">
        <f>'DPL25 MLS'!F38+DPL23Downhole!D37</f>
        <v>0</v>
      </c>
      <c r="G38" s="909">
        <f t="shared" ca="1" si="5"/>
        <v>0</v>
      </c>
      <c r="H38" s="122">
        <f>'DPL25 MLS'!H38+DPL23Downhole!E37</f>
        <v>0</v>
      </c>
      <c r="I38" s="910">
        <f t="shared" ca="1" si="6"/>
        <v>0</v>
      </c>
      <c r="J38" s="122">
        <f>'DPL25 MLS'!J38+DPL23Downhole!F37</f>
        <v>0</v>
      </c>
      <c r="K38" s="301">
        <f t="shared" si="7"/>
        <v>0</v>
      </c>
      <c r="L38" s="122">
        <f>'DPL25 MLS'!L38+DPL23Downhole!G37</f>
        <v>0</v>
      </c>
      <c r="M38" s="302">
        <f t="shared" si="8"/>
        <v>0</v>
      </c>
      <c r="N38" s="122">
        <f>'DPL25 MLS'!N38+DPL23Downhole!H37</f>
        <v>0</v>
      </c>
      <c r="O38" s="302">
        <f t="shared" si="9"/>
        <v>0</v>
      </c>
      <c r="P38" s="122">
        <f>'DPL25 MLS'!P38+DPL23Downhole!I37</f>
        <v>0</v>
      </c>
      <c r="Q38" s="301">
        <f t="shared" si="10"/>
        <v>0</v>
      </c>
      <c r="R38" s="122">
        <f>'DPL25 MLS'!R38+DPL23Downhole!J37</f>
        <v>0</v>
      </c>
      <c r="S38" s="301">
        <f t="shared" si="11"/>
        <v>0</v>
      </c>
      <c r="T38" s="122">
        <f>'DPL25 MLS'!T38+DPL23Downhole!K37</f>
        <v>0</v>
      </c>
      <c r="U38" s="301">
        <f t="shared" si="12"/>
        <v>0</v>
      </c>
      <c r="V38" s="122">
        <f>'DPL25 MLS'!V38+DPL23Downhole!L37</f>
        <v>0</v>
      </c>
      <c r="W38" s="301">
        <f t="shared" si="13"/>
        <v>0</v>
      </c>
      <c r="X38" s="122">
        <f>'DPL25 MLS'!X38+DPL23Downhole!M37</f>
        <v>0</v>
      </c>
      <c r="Y38" s="301">
        <f t="shared" si="14"/>
        <v>0</v>
      </c>
      <c r="Z38" s="447">
        <f t="shared" si="2"/>
        <v>0</v>
      </c>
      <c r="AA38" s="12" t="e">
        <f t="shared" ca="1" si="15"/>
        <v>#REF!</v>
      </c>
      <c r="AB38" s="150"/>
    </row>
    <row r="39" spans="1:28" s="4" customFormat="1">
      <c r="A39" s="757" t="s">
        <v>593</v>
      </c>
      <c r="B39" s="122">
        <f>'DPL25 MLS'!B39+DPL23Downhole!B38</f>
        <v>0</v>
      </c>
      <c r="C39" s="909">
        <f t="shared" ca="1" si="3"/>
        <v>0</v>
      </c>
      <c r="D39" s="122">
        <f>'DPL25 MLS'!D39+DPL23Downhole!C38</f>
        <v>0</v>
      </c>
      <c r="E39" s="909">
        <f t="shared" ca="1" si="4"/>
        <v>0</v>
      </c>
      <c r="F39" s="122">
        <f>'DPL25 MLS'!F39+DPL23Downhole!D38</f>
        <v>0</v>
      </c>
      <c r="G39" s="909">
        <f t="shared" ca="1" si="5"/>
        <v>0</v>
      </c>
      <c r="H39" s="122">
        <f>'DPL25 MLS'!H39+DPL23Downhole!E38</f>
        <v>0</v>
      </c>
      <c r="I39" s="910">
        <f t="shared" ca="1" si="6"/>
        <v>0</v>
      </c>
      <c r="J39" s="122">
        <f>'DPL25 MLS'!J39+DPL23Downhole!F38</f>
        <v>0</v>
      </c>
      <c r="K39" s="301">
        <f t="shared" si="7"/>
        <v>0</v>
      </c>
      <c r="L39" s="122">
        <f>'DPL25 MLS'!L39+DPL23Downhole!G38</f>
        <v>0</v>
      </c>
      <c r="M39" s="302">
        <f t="shared" si="8"/>
        <v>0</v>
      </c>
      <c r="N39" s="122">
        <f>'DPL25 MLS'!N39+DPL23Downhole!H38</f>
        <v>0</v>
      </c>
      <c r="O39" s="302">
        <f t="shared" si="9"/>
        <v>0</v>
      </c>
      <c r="P39" s="122">
        <f>'DPL25 MLS'!P39+DPL23Downhole!I38</f>
        <v>0</v>
      </c>
      <c r="Q39" s="301">
        <f t="shared" si="10"/>
        <v>0</v>
      </c>
      <c r="R39" s="122">
        <f>'DPL25 MLS'!R39+DPL23Downhole!J38</f>
        <v>0</v>
      </c>
      <c r="S39" s="301">
        <f t="shared" si="11"/>
        <v>0</v>
      </c>
      <c r="T39" s="122">
        <f>'DPL25 MLS'!T39+DPL23Downhole!K38</f>
        <v>0</v>
      </c>
      <c r="U39" s="301">
        <f t="shared" si="12"/>
        <v>0</v>
      </c>
      <c r="V39" s="122">
        <f>'DPL25 MLS'!V39+DPL23Downhole!L38</f>
        <v>0</v>
      </c>
      <c r="W39" s="301">
        <f t="shared" si="13"/>
        <v>0</v>
      </c>
      <c r="X39" s="122">
        <f>'DPL25 MLS'!X39+DPL23Downhole!M38</f>
        <v>0</v>
      </c>
      <c r="Y39" s="301">
        <f t="shared" si="14"/>
        <v>0</v>
      </c>
      <c r="Z39" s="123">
        <f t="shared" si="2"/>
        <v>0</v>
      </c>
      <c r="AA39" s="12" t="e">
        <f t="shared" ca="1" si="15"/>
        <v>#REF!</v>
      </c>
      <c r="AB39" s="150"/>
    </row>
    <row r="40" spans="1:28" s="4" customFormat="1">
      <c r="A40" s="757" t="s">
        <v>399</v>
      </c>
      <c r="B40" s="122">
        <f>'DPL25 MLS'!B40+DPL23Downhole!B39</f>
        <v>0</v>
      </c>
      <c r="C40" s="909">
        <f t="shared" ca="1" si="3"/>
        <v>0</v>
      </c>
      <c r="D40" s="122">
        <f>'DPL25 MLS'!D40+DPL23Downhole!C39</f>
        <v>0</v>
      </c>
      <c r="E40" s="909">
        <f t="shared" ca="1" si="4"/>
        <v>0</v>
      </c>
      <c r="F40" s="122">
        <f>'DPL25 MLS'!F40+DPL23Downhole!D39</f>
        <v>0</v>
      </c>
      <c r="G40" s="909">
        <f t="shared" ca="1" si="5"/>
        <v>0</v>
      </c>
      <c r="H40" s="122">
        <f>'DPL25 MLS'!H40+DPL23Downhole!E39</f>
        <v>0</v>
      </c>
      <c r="I40" s="910">
        <f t="shared" ca="1" si="6"/>
        <v>0</v>
      </c>
      <c r="J40" s="122">
        <f>'DPL25 MLS'!J40+DPL23Downhole!F39</f>
        <v>0</v>
      </c>
      <c r="K40" s="301">
        <f t="shared" si="7"/>
        <v>0</v>
      </c>
      <c r="L40" s="122">
        <f>'DPL25 MLS'!L40+DPL23Downhole!G39</f>
        <v>0</v>
      </c>
      <c r="M40" s="302">
        <f t="shared" si="8"/>
        <v>0</v>
      </c>
      <c r="N40" s="122">
        <f>'DPL25 MLS'!N40+DPL23Downhole!H39</f>
        <v>0</v>
      </c>
      <c r="O40" s="302">
        <f t="shared" si="9"/>
        <v>0</v>
      </c>
      <c r="P40" s="122">
        <f>'DPL25 MLS'!P40+DPL23Downhole!I39</f>
        <v>0</v>
      </c>
      <c r="Q40" s="301">
        <f t="shared" si="10"/>
        <v>0</v>
      </c>
      <c r="R40" s="122">
        <f>'DPL25 MLS'!R40+DPL23Downhole!J39</f>
        <v>0</v>
      </c>
      <c r="S40" s="301">
        <f t="shared" si="11"/>
        <v>0</v>
      </c>
      <c r="T40" s="122">
        <f>'DPL25 MLS'!T40+DPL23Downhole!K39</f>
        <v>0</v>
      </c>
      <c r="U40" s="301">
        <f t="shared" si="12"/>
        <v>0</v>
      </c>
      <c r="V40" s="122">
        <f>'DPL25 MLS'!V40+DPL23Downhole!L39</f>
        <v>0</v>
      </c>
      <c r="W40" s="301">
        <f t="shared" si="13"/>
        <v>0</v>
      </c>
      <c r="X40" s="122">
        <f>'DPL25 MLS'!X40+DPL23Downhole!M39</f>
        <v>0</v>
      </c>
      <c r="Y40" s="301">
        <f t="shared" si="14"/>
        <v>0</v>
      </c>
      <c r="Z40" s="123">
        <f t="shared" si="2"/>
        <v>0</v>
      </c>
      <c r="AA40" s="12" t="e">
        <f t="shared" ca="1" si="15"/>
        <v>#REF!</v>
      </c>
      <c r="AB40" s="150"/>
    </row>
    <row r="41" spans="1:28" s="4" customFormat="1">
      <c r="A41" s="757" t="s">
        <v>400</v>
      </c>
      <c r="B41" s="122">
        <f>'DPL25 MLS'!B41+DPL23Downhole!B40</f>
        <v>0</v>
      </c>
      <c r="C41" s="909">
        <f t="shared" ca="1" si="3"/>
        <v>0</v>
      </c>
      <c r="D41" s="122">
        <f>'DPL25 MLS'!D41+DPL23Downhole!C40</f>
        <v>0</v>
      </c>
      <c r="E41" s="909">
        <f t="shared" ca="1" si="4"/>
        <v>0</v>
      </c>
      <c r="F41" s="122">
        <f>'DPL25 MLS'!F41+DPL23Downhole!D40</f>
        <v>0</v>
      </c>
      <c r="G41" s="909">
        <f t="shared" ca="1" si="5"/>
        <v>0</v>
      </c>
      <c r="H41" s="122">
        <f>'DPL25 MLS'!H41+DPL23Downhole!E40</f>
        <v>0</v>
      </c>
      <c r="I41" s="910">
        <f t="shared" ca="1" si="6"/>
        <v>0</v>
      </c>
      <c r="J41" s="122">
        <f>'DPL25 MLS'!J41+DPL23Downhole!F40</f>
        <v>0</v>
      </c>
      <c r="K41" s="301">
        <f t="shared" si="7"/>
        <v>0</v>
      </c>
      <c r="L41" s="122">
        <f>'DPL25 MLS'!L41+DPL23Downhole!G40</f>
        <v>0</v>
      </c>
      <c r="M41" s="302">
        <f t="shared" si="8"/>
        <v>0</v>
      </c>
      <c r="N41" s="122">
        <f>'DPL25 MLS'!N41+DPL23Downhole!H40</f>
        <v>0</v>
      </c>
      <c r="O41" s="302">
        <f t="shared" si="9"/>
        <v>0</v>
      </c>
      <c r="P41" s="122">
        <f>'DPL25 MLS'!P41+DPL23Downhole!I40</f>
        <v>0</v>
      </c>
      <c r="Q41" s="301">
        <f t="shared" si="10"/>
        <v>0</v>
      </c>
      <c r="R41" s="122">
        <f>'DPL25 MLS'!R41+DPL23Downhole!J40</f>
        <v>0</v>
      </c>
      <c r="S41" s="301">
        <f t="shared" si="11"/>
        <v>0</v>
      </c>
      <c r="T41" s="122">
        <f>'DPL25 MLS'!T41+DPL23Downhole!K40</f>
        <v>0</v>
      </c>
      <c r="U41" s="301">
        <f t="shared" si="12"/>
        <v>0</v>
      </c>
      <c r="V41" s="122">
        <f>'DPL25 MLS'!V41+DPL23Downhole!L40</f>
        <v>0</v>
      </c>
      <c r="W41" s="301">
        <f t="shared" si="13"/>
        <v>0</v>
      </c>
      <c r="X41" s="122">
        <f>'DPL25 MLS'!X41+DPL23Downhole!M40</f>
        <v>0</v>
      </c>
      <c r="Y41" s="301">
        <f t="shared" si="14"/>
        <v>0</v>
      </c>
      <c r="Z41" s="123">
        <f t="shared" si="2"/>
        <v>0</v>
      </c>
      <c r="AA41" s="12" t="e">
        <f t="shared" ca="1" si="15"/>
        <v>#REF!</v>
      </c>
      <c r="AB41" s="150"/>
    </row>
    <row r="42" spans="1:28" s="4" customFormat="1">
      <c r="A42" s="932" t="s">
        <v>66</v>
      </c>
      <c r="B42" s="122">
        <f>'DPL25 MLS'!B42+DPL23Downhole!B42</f>
        <v>0</v>
      </c>
      <c r="C42" s="909">
        <f t="shared" ca="1" si="3"/>
        <v>0</v>
      </c>
      <c r="D42" s="122">
        <f>'DPL25 MLS'!D42+DPL23Downhole!C41</f>
        <v>0</v>
      </c>
      <c r="E42" s="909">
        <f t="shared" ca="1" si="4"/>
        <v>0</v>
      </c>
      <c r="F42" s="122">
        <f>'DPL25 MLS'!F42+DPL23Downhole!D41</f>
        <v>0</v>
      </c>
      <c r="G42" s="909">
        <f t="shared" ca="1" si="5"/>
        <v>0</v>
      </c>
      <c r="H42" s="122">
        <f>'DPL25 MLS'!H42+DPL23Downhole!E41</f>
        <v>0</v>
      </c>
      <c r="I42" s="910">
        <f t="shared" ca="1" si="6"/>
        <v>0</v>
      </c>
      <c r="J42" s="122">
        <f>'DPL25 MLS'!J42+DPL23Downhole!F42</f>
        <v>0</v>
      </c>
      <c r="K42" s="301">
        <f t="shared" si="7"/>
        <v>0</v>
      </c>
      <c r="L42" s="122">
        <f>'DPL25 MLS'!L42+DPL23Downhole!G42</f>
        <v>0</v>
      </c>
      <c r="M42" s="302">
        <f t="shared" si="8"/>
        <v>0</v>
      </c>
      <c r="N42" s="122">
        <f>'DPL25 MLS'!N42+DPL23Downhole!H42</f>
        <v>0</v>
      </c>
      <c r="O42" s="302">
        <f t="shared" si="9"/>
        <v>0</v>
      </c>
      <c r="P42" s="122">
        <f>'DPL25 MLS'!P42+DPL23Downhole!I41</f>
        <v>0</v>
      </c>
      <c r="Q42" s="301">
        <f t="shared" si="10"/>
        <v>0</v>
      </c>
      <c r="R42" s="122">
        <f>'DPL25 MLS'!R42+DPL23Downhole!J41</f>
        <v>0</v>
      </c>
      <c r="S42" s="301">
        <f t="shared" si="11"/>
        <v>0</v>
      </c>
      <c r="T42" s="122">
        <f>'DPL25 MLS'!T42+DPL23Downhole!K41</f>
        <v>0</v>
      </c>
      <c r="U42" s="301">
        <f t="shared" si="12"/>
        <v>0</v>
      </c>
      <c r="V42" s="122">
        <f>'DPL25 MLS'!V42+DPL23Downhole!L41</f>
        <v>0</v>
      </c>
      <c r="W42" s="301">
        <f t="shared" si="13"/>
        <v>0</v>
      </c>
      <c r="X42" s="122">
        <f>'DPL25 MLS'!X42+DPL23Downhole!M41</f>
        <v>0</v>
      </c>
      <c r="Y42" s="301">
        <f t="shared" si="14"/>
        <v>0</v>
      </c>
      <c r="Z42" s="447">
        <f t="shared" si="2"/>
        <v>0</v>
      </c>
      <c r="AA42" s="12" t="e">
        <f t="shared" ca="1" si="15"/>
        <v>#REF!</v>
      </c>
      <c r="AB42" s="150"/>
    </row>
    <row r="43" spans="1:28" s="4" customFormat="1">
      <c r="A43" s="757" t="s">
        <v>401</v>
      </c>
      <c r="B43" s="122">
        <f>'DPL25 MLS'!B43+DPL23Downhole!B43</f>
        <v>0</v>
      </c>
      <c r="C43" s="909">
        <f t="shared" ca="1" si="3"/>
        <v>0</v>
      </c>
      <c r="D43" s="122">
        <f>'DPL25 MLS'!D43+DPL23Downhole!C42</f>
        <v>0</v>
      </c>
      <c r="E43" s="909">
        <f t="shared" ca="1" si="4"/>
        <v>0</v>
      </c>
      <c r="F43" s="122">
        <f>'DPL25 MLS'!F43+DPL23Downhole!D42</f>
        <v>0</v>
      </c>
      <c r="G43" s="909">
        <f t="shared" ca="1" si="5"/>
        <v>0</v>
      </c>
      <c r="H43" s="122">
        <f>'DPL25 MLS'!H43+DPL23Downhole!E42</f>
        <v>0</v>
      </c>
      <c r="I43" s="910">
        <f t="shared" ca="1" si="6"/>
        <v>0</v>
      </c>
      <c r="J43" s="122">
        <f>'DPL25 MLS'!J43+DPL23Downhole!F43</f>
        <v>0</v>
      </c>
      <c r="K43" s="301">
        <f t="shared" si="7"/>
        <v>0</v>
      </c>
      <c r="L43" s="122">
        <f>'DPL25 MLS'!L43+DPL23Downhole!G43</f>
        <v>0</v>
      </c>
      <c r="M43" s="302">
        <f t="shared" si="8"/>
        <v>0</v>
      </c>
      <c r="N43" s="122">
        <f>'DPL25 MLS'!N43+DPL23Downhole!H43</f>
        <v>0</v>
      </c>
      <c r="O43" s="302">
        <f t="shared" si="9"/>
        <v>0</v>
      </c>
      <c r="P43" s="122">
        <f>'DPL25 MLS'!P43+DPL23Downhole!I42</f>
        <v>0</v>
      </c>
      <c r="Q43" s="301">
        <f t="shared" si="10"/>
        <v>0</v>
      </c>
      <c r="R43" s="122">
        <f>'DPL25 MLS'!R43+DPL23Downhole!J42</f>
        <v>0</v>
      </c>
      <c r="S43" s="301">
        <f t="shared" si="11"/>
        <v>0</v>
      </c>
      <c r="T43" s="122">
        <f>'DPL25 MLS'!T43+DPL23Downhole!K42</f>
        <v>0</v>
      </c>
      <c r="U43" s="301">
        <f t="shared" si="12"/>
        <v>0</v>
      </c>
      <c r="V43" s="122">
        <f>'DPL25 MLS'!V43+DPL23Downhole!L42</f>
        <v>0</v>
      </c>
      <c r="W43" s="301">
        <f t="shared" si="13"/>
        <v>0</v>
      </c>
      <c r="X43" s="122">
        <f>'DPL25 MLS'!X43+DPL23Downhole!M42</f>
        <v>0</v>
      </c>
      <c r="Y43" s="301">
        <f t="shared" si="14"/>
        <v>0</v>
      </c>
      <c r="Z43" s="123">
        <f t="shared" si="2"/>
        <v>0</v>
      </c>
      <c r="AA43" s="12" t="e">
        <f t="shared" ca="1" si="15"/>
        <v>#REF!</v>
      </c>
      <c r="AB43" s="150"/>
    </row>
    <row r="44" spans="1:28" s="4" customFormat="1">
      <c r="A44" s="757" t="s">
        <v>402</v>
      </c>
      <c r="B44" s="122">
        <f>'DPL25 MLS'!B44+DPL23Downhole!B44</f>
        <v>0</v>
      </c>
      <c r="C44" s="909">
        <f t="shared" ca="1" si="3"/>
        <v>0</v>
      </c>
      <c r="D44" s="122">
        <f>'DPL25 MLS'!D45+DPL23Downhole!C43</f>
        <v>0</v>
      </c>
      <c r="E44" s="909">
        <f t="shared" ca="1" si="4"/>
        <v>0</v>
      </c>
      <c r="F44" s="122">
        <f>'DPL25 MLS'!F44+DPL23Downhole!D43</f>
        <v>0</v>
      </c>
      <c r="G44" s="909">
        <f t="shared" ca="1" si="5"/>
        <v>0</v>
      </c>
      <c r="H44" s="122">
        <f>'DPL25 MLS'!H44+DPL23Downhole!E43</f>
        <v>0</v>
      </c>
      <c r="I44" s="910">
        <f t="shared" ca="1" si="6"/>
        <v>0</v>
      </c>
      <c r="J44" s="122">
        <f>'DPL25 MLS'!J44+DPL23Downhole!F44</f>
        <v>0</v>
      </c>
      <c r="K44" s="301">
        <f t="shared" si="7"/>
        <v>0</v>
      </c>
      <c r="L44" s="122">
        <f>'DPL25 MLS'!L44+DPL23Downhole!G44</f>
        <v>0</v>
      </c>
      <c r="M44" s="302">
        <f t="shared" si="8"/>
        <v>0</v>
      </c>
      <c r="N44" s="122">
        <f>'DPL25 MLS'!N44+DPL23Downhole!H44</f>
        <v>0</v>
      </c>
      <c r="O44" s="302">
        <f t="shared" si="9"/>
        <v>0</v>
      </c>
      <c r="P44" s="122">
        <f>'DPL25 MLS'!P44+DPL23Downhole!I43</f>
        <v>0</v>
      </c>
      <c r="Q44" s="301">
        <f t="shared" si="10"/>
        <v>0</v>
      </c>
      <c r="R44" s="122">
        <f>'DPL25 MLS'!R44+DPL23Downhole!J43</f>
        <v>0</v>
      </c>
      <c r="S44" s="301">
        <f t="shared" si="11"/>
        <v>0</v>
      </c>
      <c r="T44" s="122">
        <f>'DPL25 MLS'!T44+DPL23Downhole!K43</f>
        <v>0</v>
      </c>
      <c r="U44" s="301">
        <f>IFERROR(T44/$T$13,0)</f>
        <v>0</v>
      </c>
      <c r="V44" s="122">
        <f>'DPL25 MLS'!V44+DPL23Downhole!L43</f>
        <v>0</v>
      </c>
      <c r="W44" s="301">
        <f t="shared" si="13"/>
        <v>0</v>
      </c>
      <c r="X44" s="122">
        <f>'DPL25 MLS'!X44+DPL23Downhole!M43</f>
        <v>0</v>
      </c>
      <c r="Y44" s="301">
        <f t="shared" si="14"/>
        <v>0</v>
      </c>
      <c r="Z44" s="123">
        <f t="shared" si="2"/>
        <v>0</v>
      </c>
      <c r="AA44" s="12" t="e">
        <f t="shared" ca="1" si="15"/>
        <v>#REF!</v>
      </c>
      <c r="AB44" s="150"/>
    </row>
    <row r="45" spans="1:28" s="4" customFormat="1">
      <c r="A45" s="757" t="s">
        <v>403</v>
      </c>
      <c r="B45" s="122">
        <f>'DPL25 MLS'!B45+DPL23Downhole!B45</f>
        <v>0</v>
      </c>
      <c r="C45" s="909">
        <f t="shared" ca="1" si="3"/>
        <v>0</v>
      </c>
      <c r="D45" s="122">
        <f>'DPL25 MLS'!D45+DPL23Downhole!C45</f>
        <v>0</v>
      </c>
      <c r="E45" s="909">
        <f t="shared" ca="1" si="4"/>
        <v>0</v>
      </c>
      <c r="F45" s="122">
        <f>'DPL25 MLS'!F45+DPL23Downhole!D44</f>
        <v>0</v>
      </c>
      <c r="G45" s="909">
        <f t="shared" ca="1" si="5"/>
        <v>0</v>
      </c>
      <c r="H45" s="122">
        <f>'DPL25 MLS'!H45+DPL23Downhole!E44</f>
        <v>0</v>
      </c>
      <c r="I45" s="910">
        <f t="shared" ca="1" si="6"/>
        <v>0</v>
      </c>
      <c r="J45" s="122">
        <f>'DPL25 MLS'!J45+DPL23Downhole!F45</f>
        <v>0</v>
      </c>
      <c r="K45" s="301">
        <f t="shared" si="7"/>
        <v>0</v>
      </c>
      <c r="L45" s="122">
        <f>'DPL25 MLS'!L45+DPL23Downhole!G45</f>
        <v>0</v>
      </c>
      <c r="M45" s="302">
        <f t="shared" si="8"/>
        <v>0</v>
      </c>
      <c r="N45" s="122">
        <f>'DPL25 MLS'!N45+DPL23Downhole!H45</f>
        <v>0</v>
      </c>
      <c r="O45" s="302">
        <f t="shared" si="9"/>
        <v>0</v>
      </c>
      <c r="P45" s="122">
        <f>'DPL25 MLS'!P45+DPL23Downhole!I44</f>
        <v>0</v>
      </c>
      <c r="Q45" s="301">
        <f t="shared" si="10"/>
        <v>0</v>
      </c>
      <c r="R45" s="122">
        <f>'DPL25 MLS'!R45+DPL23Downhole!J44</f>
        <v>0</v>
      </c>
      <c r="S45" s="301">
        <f t="shared" si="11"/>
        <v>0</v>
      </c>
      <c r="T45" s="122">
        <f>'DPL25 MLS'!T45+DPL23Downhole!K44</f>
        <v>0</v>
      </c>
      <c r="U45" s="301">
        <f t="shared" si="12"/>
        <v>0</v>
      </c>
      <c r="V45" s="122">
        <f>'DPL25 MLS'!V45+DPL23Downhole!L44</f>
        <v>0</v>
      </c>
      <c r="W45" s="301">
        <f t="shared" si="13"/>
        <v>0</v>
      </c>
      <c r="X45" s="122">
        <f>'DPL25 MLS'!X45+DPL23Downhole!M44</f>
        <v>0</v>
      </c>
      <c r="Y45" s="301">
        <f t="shared" si="14"/>
        <v>0</v>
      </c>
      <c r="Z45" s="123">
        <f t="shared" si="2"/>
        <v>0</v>
      </c>
      <c r="AA45" s="12" t="e">
        <f t="shared" ca="1" si="15"/>
        <v>#REF!</v>
      </c>
      <c r="AB45" s="150"/>
    </row>
    <row r="46" spans="1:28" s="4" customFormat="1">
      <c r="A46" s="757" t="s">
        <v>404</v>
      </c>
      <c r="B46" s="122">
        <f>'DPL25 MLS'!B46+DPL23Downhole!B46</f>
        <v>0</v>
      </c>
      <c r="C46" s="909">
        <f t="shared" ca="1" si="3"/>
        <v>0</v>
      </c>
      <c r="D46" s="122">
        <f>'DPL25 MLS'!D46+DPL23Downhole!C45</f>
        <v>0</v>
      </c>
      <c r="E46" s="909">
        <f t="shared" ca="1" si="4"/>
        <v>0</v>
      </c>
      <c r="F46" s="122">
        <f>'DPL25 MLS'!F46+DPL23Downhole!D45</f>
        <v>0</v>
      </c>
      <c r="G46" s="909">
        <f t="shared" ca="1" si="5"/>
        <v>0</v>
      </c>
      <c r="H46" s="122">
        <f>'DPL25 MLS'!H46+DPL23Downhole!E45</f>
        <v>0</v>
      </c>
      <c r="I46" s="910">
        <f t="shared" ca="1" si="6"/>
        <v>0</v>
      </c>
      <c r="J46" s="122">
        <f>'DPL25 MLS'!J46+DPL23Downhole!F46</f>
        <v>0</v>
      </c>
      <c r="K46" s="301">
        <f t="shared" si="7"/>
        <v>0</v>
      </c>
      <c r="L46" s="122">
        <f>'DPL25 MLS'!L46+DPL23Downhole!G46</f>
        <v>0</v>
      </c>
      <c r="M46" s="302">
        <f t="shared" si="8"/>
        <v>0</v>
      </c>
      <c r="N46" s="122">
        <f>'DPL25 MLS'!N46+DPL23Downhole!H46</f>
        <v>0</v>
      </c>
      <c r="O46" s="302">
        <f t="shared" si="9"/>
        <v>0</v>
      </c>
      <c r="P46" s="122">
        <f>'DPL25 MLS'!P46+DPL23Downhole!I45</f>
        <v>0</v>
      </c>
      <c r="Q46" s="301">
        <f t="shared" si="10"/>
        <v>0</v>
      </c>
      <c r="R46" s="122">
        <f>'DPL25 MLS'!R46+DPL23Downhole!J45</f>
        <v>0</v>
      </c>
      <c r="S46" s="301">
        <f t="shared" si="11"/>
        <v>0</v>
      </c>
      <c r="T46" s="122">
        <f>'DPL25 MLS'!T46+DPL23Downhole!K45</f>
        <v>0</v>
      </c>
      <c r="U46" s="301">
        <f t="shared" si="12"/>
        <v>0</v>
      </c>
      <c r="V46" s="122">
        <f>'DPL25 MLS'!V46+DPL23Downhole!L45</f>
        <v>0</v>
      </c>
      <c r="W46" s="301">
        <f t="shared" si="13"/>
        <v>0</v>
      </c>
      <c r="X46" s="122">
        <f>'DPL25 MLS'!X46+DPL23Downhole!M45</f>
        <v>0</v>
      </c>
      <c r="Y46" s="301">
        <f t="shared" si="14"/>
        <v>0</v>
      </c>
      <c r="Z46" s="123">
        <f t="shared" si="2"/>
        <v>0</v>
      </c>
      <c r="AA46" s="12" t="e">
        <f t="shared" ca="1" si="15"/>
        <v>#REF!</v>
      </c>
      <c r="AB46" s="150"/>
    </row>
    <row r="47" spans="1:28" s="37" customFormat="1">
      <c r="A47" s="32" t="s">
        <v>406</v>
      </c>
      <c r="B47" s="122">
        <f ca="1">'DPL25 MLS'!B47+DPL23Downhole!B47</f>
        <v>64</v>
      </c>
      <c r="C47" s="909">
        <f t="shared" ca="1" si="3"/>
        <v>2.35E-2</v>
      </c>
      <c r="D47" s="122">
        <f ca="1">'DPL25 MLS'!D47+DPL23Downhole!C46</f>
        <v>29</v>
      </c>
      <c r="E47" s="909">
        <f t="shared" ca="1" si="4"/>
        <v>1.06E-2</v>
      </c>
      <c r="F47" s="122">
        <f ca="1">'DPL25 MLS'!F47+DPL23Downhole!D46</f>
        <v>29</v>
      </c>
      <c r="G47" s="909">
        <f t="shared" ca="1" si="5"/>
        <v>1.06E-2</v>
      </c>
      <c r="H47" s="122">
        <f ca="1">'DPL25 MLS'!H47+DPL23Downhole!E46</f>
        <v>204</v>
      </c>
      <c r="I47" s="910">
        <f t="shared" ca="1" si="6"/>
        <v>7.4999999999999997E-2</v>
      </c>
      <c r="J47" s="122">
        <f>'DPL25 MLS'!J47+DPL23Downhole!F47</f>
        <v>0</v>
      </c>
      <c r="K47" s="301">
        <f t="shared" si="7"/>
        <v>0</v>
      </c>
      <c r="L47" s="122">
        <f>'DPL25 MLS'!L47+DPL23Downhole!G47</f>
        <v>0</v>
      </c>
      <c r="M47" s="302">
        <f t="shared" si="8"/>
        <v>0</v>
      </c>
      <c r="N47" s="122">
        <f>'DPL25 MLS'!N47+DPL23Downhole!H47</f>
        <v>0</v>
      </c>
      <c r="O47" s="302">
        <f t="shared" si="9"/>
        <v>0</v>
      </c>
      <c r="P47" s="122">
        <f>'DPL25 MLS'!P47+DPL23Downhole!I47</f>
        <v>0</v>
      </c>
      <c r="Q47" s="301">
        <f t="shared" si="10"/>
        <v>0</v>
      </c>
      <c r="R47" s="122">
        <f>'DPL25 MLS'!R47+DPL23Downhole!J46</f>
        <v>0</v>
      </c>
      <c r="S47" s="301">
        <f t="shared" si="11"/>
        <v>0</v>
      </c>
      <c r="T47" s="122">
        <f>'DPL25 MLS'!T47+DPL23Downhole!K46</f>
        <v>0</v>
      </c>
      <c r="U47" s="301">
        <f t="shared" si="12"/>
        <v>0</v>
      </c>
      <c r="V47" s="122">
        <f>'DPL25 MLS'!V47+DPL23Downhole!L46</f>
        <v>0</v>
      </c>
      <c r="W47" s="301">
        <f t="shared" si="13"/>
        <v>0</v>
      </c>
      <c r="X47" s="122">
        <f>'DPL25 MLS'!X47+DPL23Downhole!M46</f>
        <v>0</v>
      </c>
      <c r="Y47" s="301">
        <f t="shared" si="14"/>
        <v>0</v>
      </c>
      <c r="Z47" s="123">
        <f t="shared" ca="1" si="2"/>
        <v>326</v>
      </c>
      <c r="AA47" s="12" t="e">
        <f t="shared" ca="1" si="15"/>
        <v>#REF!</v>
      </c>
      <c r="AB47" s="151"/>
    </row>
    <row r="48" spans="1:28" s="4" customFormat="1">
      <c r="A48" s="757"/>
      <c r="B48" s="14"/>
      <c r="C48" s="14"/>
      <c r="D48" s="14"/>
      <c r="E48" s="909">
        <f t="shared" ca="1" si="4"/>
        <v>0</v>
      </c>
      <c r="F48" s="14"/>
      <c r="G48" s="909">
        <f t="shared" ca="1" si="5"/>
        <v>0</v>
      </c>
      <c r="H48" s="14"/>
      <c r="I48" s="14"/>
      <c r="J48" s="14"/>
      <c r="K48" s="301">
        <f t="shared" si="7"/>
        <v>0</v>
      </c>
      <c r="L48" s="14"/>
      <c r="M48" s="302">
        <f t="shared" si="8"/>
        <v>0</v>
      </c>
      <c r="N48" s="14"/>
      <c r="O48" s="302">
        <f t="shared" si="9"/>
        <v>0</v>
      </c>
      <c r="P48" s="14"/>
      <c r="Q48" s="301">
        <f t="shared" si="10"/>
        <v>0</v>
      </c>
      <c r="R48" s="14"/>
      <c r="S48" s="301">
        <f t="shared" si="11"/>
        <v>0</v>
      </c>
      <c r="T48" s="14"/>
      <c r="U48" s="301">
        <f t="shared" si="12"/>
        <v>0</v>
      </c>
      <c r="V48" s="14"/>
      <c r="W48" s="301">
        <f t="shared" si="13"/>
        <v>0</v>
      </c>
      <c r="X48" s="14"/>
      <c r="Y48" s="301">
        <f t="shared" si="14"/>
        <v>0</v>
      </c>
      <c r="Z48" s="15"/>
      <c r="AA48" s="12" t="e">
        <f t="shared" ca="1" si="15"/>
        <v>#REF!</v>
      </c>
    </row>
    <row r="49" spans="1:35" s="1" customFormat="1" ht="13.5" thickBot="1">
      <c r="A49" s="6" t="s">
        <v>407</v>
      </c>
      <c r="B49" s="16">
        <f t="shared" ref="B49:X49" ca="1" si="16">SUM(B16:B48)</f>
        <v>475</v>
      </c>
      <c r="C49" s="909">
        <f ca="1">+B49/$B$13</f>
        <v>0.1741</v>
      </c>
      <c r="D49" s="16">
        <f t="shared" ca="1" si="16"/>
        <v>126</v>
      </c>
      <c r="E49" s="909">
        <f t="shared" ca="1" si="4"/>
        <v>4.6199999999999998E-2</v>
      </c>
      <c r="F49" s="16">
        <f t="shared" ca="1" si="16"/>
        <v>126</v>
      </c>
      <c r="G49" s="909">
        <f t="shared" ca="1" si="5"/>
        <v>4.6199999999999998E-2</v>
      </c>
      <c r="H49" s="16">
        <f t="shared" ca="1" si="16"/>
        <v>2060</v>
      </c>
      <c r="I49" s="910">
        <f ca="1">IFERROR(H49/$H$13,0)</f>
        <v>0.755</v>
      </c>
      <c r="J49" s="16">
        <f t="shared" si="16"/>
        <v>0</v>
      </c>
      <c r="K49" s="301">
        <f t="shared" si="7"/>
        <v>0</v>
      </c>
      <c r="L49" s="16">
        <f t="shared" si="16"/>
        <v>0</v>
      </c>
      <c r="M49" s="302">
        <f t="shared" si="8"/>
        <v>0</v>
      </c>
      <c r="N49" s="16">
        <f t="shared" si="16"/>
        <v>0</v>
      </c>
      <c r="O49" s="302">
        <f t="shared" si="9"/>
        <v>0</v>
      </c>
      <c r="P49" s="16">
        <f t="shared" si="16"/>
        <v>0</v>
      </c>
      <c r="Q49" s="301">
        <f t="shared" si="10"/>
        <v>0</v>
      </c>
      <c r="R49" s="16">
        <f t="shared" si="16"/>
        <v>0</v>
      </c>
      <c r="S49" s="301">
        <f t="shared" si="11"/>
        <v>0</v>
      </c>
      <c r="T49" s="16">
        <f t="shared" si="16"/>
        <v>0</v>
      </c>
      <c r="U49" s="301">
        <f t="shared" si="12"/>
        <v>0</v>
      </c>
      <c r="V49" s="16">
        <f t="shared" si="16"/>
        <v>0</v>
      </c>
      <c r="W49" s="301">
        <f t="shared" si="13"/>
        <v>0</v>
      </c>
      <c r="X49" s="16">
        <f t="shared" si="16"/>
        <v>0</v>
      </c>
      <c r="Y49" s="301">
        <f t="shared" si="14"/>
        <v>0</v>
      </c>
      <c r="Z49" s="16">
        <f ca="1">SUM(Z16:Z48)</f>
        <v>2787</v>
      </c>
      <c r="AA49" s="12" t="e">
        <f t="shared" ca="1" si="15"/>
        <v>#REF!</v>
      </c>
      <c r="AB49" s="156"/>
      <c r="AC49" s="156"/>
    </row>
    <row r="50" spans="1:35" ht="13.5" thickTop="1">
      <c r="A50" s="118" t="s">
        <v>408</v>
      </c>
      <c r="B50" s="156">
        <f ca="1">+B13-B49</f>
        <v>2253</v>
      </c>
      <c r="C50" s="156"/>
      <c r="D50" s="156">
        <f t="shared" ref="D50:Z50" ca="1" si="17">+D13-D49</f>
        <v>2602</v>
      </c>
      <c r="E50" s="156"/>
      <c r="F50" s="156">
        <f t="shared" ca="1" si="17"/>
        <v>2602</v>
      </c>
      <c r="G50" s="156"/>
      <c r="H50" s="156">
        <f t="shared" ca="1" si="17"/>
        <v>668</v>
      </c>
      <c r="I50" s="156"/>
      <c r="J50" s="156" t="e">
        <f t="shared" si="17"/>
        <v>#REF!</v>
      </c>
      <c r="K50" s="156"/>
      <c r="L50" s="156" t="e">
        <f t="shared" si="17"/>
        <v>#REF!</v>
      </c>
      <c r="M50" s="156"/>
      <c r="N50" s="156" t="e">
        <f t="shared" si="17"/>
        <v>#REF!</v>
      </c>
      <c r="O50" s="156"/>
      <c r="P50" s="156" t="e">
        <f t="shared" si="17"/>
        <v>#REF!</v>
      </c>
      <c r="Q50" s="156"/>
      <c r="R50" s="156" t="e">
        <f t="shared" si="17"/>
        <v>#REF!</v>
      </c>
      <c r="S50" s="156"/>
      <c r="T50" s="156" t="e">
        <f t="shared" si="17"/>
        <v>#REF!</v>
      </c>
      <c r="U50" s="156"/>
      <c r="V50" s="156" t="e">
        <f t="shared" si="17"/>
        <v>#REF!</v>
      </c>
      <c r="W50" s="156"/>
      <c r="X50" s="156" t="e">
        <f t="shared" si="17"/>
        <v>#REF!</v>
      </c>
      <c r="Y50" s="156"/>
      <c r="Z50" s="156" t="e">
        <f t="shared" ca="1" si="17"/>
        <v>#REF!</v>
      </c>
      <c r="AA50" s="12" t="e">
        <f t="shared" ca="1" si="15"/>
        <v>#REF!</v>
      </c>
      <c r="AB50" s="12"/>
    </row>
    <row r="51" spans="1:35">
      <c r="A51" s="6" t="s">
        <v>409</v>
      </c>
      <c r="B51" s="191">
        <f ca="1">+B50/B13</f>
        <v>0.83</v>
      </c>
      <c r="C51" s="249"/>
      <c r="D51" s="191">
        <f t="shared" ref="D51:Z51" ca="1" si="18">+D50/D13</f>
        <v>0.95</v>
      </c>
      <c r="E51" s="249"/>
      <c r="F51" s="191">
        <f t="shared" ca="1" si="18"/>
        <v>0.95</v>
      </c>
      <c r="G51" s="249"/>
      <c r="H51" s="191">
        <f t="shared" ca="1" si="18"/>
        <v>0.24</v>
      </c>
      <c r="I51" s="249"/>
      <c r="J51" s="191" t="e">
        <f t="shared" si="18"/>
        <v>#REF!</v>
      </c>
      <c r="K51" s="249"/>
      <c r="L51" s="191" t="e">
        <f t="shared" si="18"/>
        <v>#REF!</v>
      </c>
      <c r="M51" s="249"/>
      <c r="N51" s="191" t="e">
        <f t="shared" si="18"/>
        <v>#REF!</v>
      </c>
      <c r="O51" s="191"/>
      <c r="P51" s="191" t="e">
        <f t="shared" si="18"/>
        <v>#REF!</v>
      </c>
      <c r="Q51" s="191"/>
      <c r="R51" s="191" t="e">
        <f t="shared" si="18"/>
        <v>#REF!</v>
      </c>
      <c r="S51" s="249"/>
      <c r="T51" s="191" t="e">
        <f t="shared" si="18"/>
        <v>#REF!</v>
      </c>
      <c r="U51" s="191"/>
      <c r="V51" s="191" t="e">
        <f t="shared" si="18"/>
        <v>#REF!</v>
      </c>
      <c r="W51" s="249"/>
      <c r="X51" s="449" t="e">
        <f t="shared" si="18"/>
        <v>#REF!</v>
      </c>
      <c r="Y51" s="191"/>
      <c r="Z51" s="191" t="e">
        <f t="shared" ca="1" si="18"/>
        <v>#REF!</v>
      </c>
      <c r="AA51" s="12" t="e">
        <f t="shared" ca="1" si="15"/>
        <v>#REF!</v>
      </c>
      <c r="AB51" s="12"/>
    </row>
    <row r="52" spans="1:35">
      <c r="A52" s="6" t="s">
        <v>594</v>
      </c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8"/>
      <c r="Y52" s="28"/>
      <c r="Z52" s="15">
        <f>SUM(B52:X52)</f>
        <v>0</v>
      </c>
      <c r="AA52" s="12" t="e">
        <f t="shared" ca="1" si="15"/>
        <v>#REF!</v>
      </c>
      <c r="AB52" s="12"/>
      <c r="AC52" s="168"/>
    </row>
    <row r="53" spans="1:35">
      <c r="A53" s="757" t="s">
        <v>595</v>
      </c>
      <c r="B53" s="14"/>
      <c r="C53" s="909">
        <f ca="1">+B53/$B$13</f>
        <v>0</v>
      </c>
      <c r="D53" s="14"/>
      <c r="E53" s="909">
        <f ca="1">IFERROR(D53/$D$13,0)</f>
        <v>0</v>
      </c>
      <c r="F53" s="14"/>
      <c r="G53" s="909">
        <f t="shared" ref="G53:G72" ca="1" si="19">IFERROR(F53/$F$13,0)</f>
        <v>0</v>
      </c>
      <c r="H53" s="14"/>
      <c r="I53" s="910">
        <f t="shared" ref="I53:I72" ca="1" si="20">IFERROR(H53/$H$13,0)</f>
        <v>0</v>
      </c>
      <c r="J53" s="14"/>
      <c r="K53" s="301">
        <f t="shared" ref="K53:K72" si="21">IFERROR(J53/$J$13,0)</f>
        <v>0</v>
      </c>
      <c r="L53" s="14"/>
      <c r="M53" s="302">
        <f t="shared" ref="M53:M72" si="22">IFERROR(L53/$L$13,0)</f>
        <v>0</v>
      </c>
      <c r="N53" s="14"/>
      <c r="O53" s="302">
        <f t="shared" ref="O53:O72" si="23">IFERROR(N53/$N$13,0)</f>
        <v>0</v>
      </c>
      <c r="P53" s="14"/>
      <c r="Q53" s="301">
        <f t="shared" ref="Q53:Q72" si="24">IFERROR(P53/$P$13,0)</f>
        <v>0</v>
      </c>
      <c r="R53" s="14"/>
      <c r="S53" s="301">
        <f t="shared" ref="S53:S72" si="25">IFERROR(R53/$R$13,0)</f>
        <v>0</v>
      </c>
      <c r="T53" s="14"/>
      <c r="U53" s="301">
        <f t="shared" ref="U53:U72" si="26">IFERROR(T53/$T$13,0)</f>
        <v>0</v>
      </c>
      <c r="V53" s="14"/>
      <c r="W53" s="301">
        <f t="shared" ref="W53:W69" si="27">IFERROR(V53/$V$13,0)</f>
        <v>0</v>
      </c>
      <c r="X53" s="14"/>
      <c r="Y53" s="301">
        <f t="shared" ref="Y53:Y72" si="28">IFERROR(X53/$X$13,0)</f>
        <v>0</v>
      </c>
      <c r="Z53" s="15">
        <f>+B53+D53+F53+H53+J53+L53+N53+P53+R53+T53+V53+X53</f>
        <v>0</v>
      </c>
      <c r="AA53" s="12" t="e">
        <f t="shared" ca="1" si="15"/>
        <v>#REF!</v>
      </c>
      <c r="AB53" s="149"/>
      <c r="AE53" s="142"/>
      <c r="AF53" s="142"/>
    </row>
    <row r="54" spans="1:35">
      <c r="A54" s="757" t="s">
        <v>596</v>
      </c>
      <c r="B54" s="451"/>
      <c r="C54" s="943">
        <f ca="1">+B54/$B$13</f>
        <v>0</v>
      </c>
      <c r="D54" s="451"/>
      <c r="E54" s="943">
        <f t="shared" ref="E54:E72" ca="1" si="29">IFERROR(D54/$D$13,0)</f>
        <v>0</v>
      </c>
      <c r="F54" s="451"/>
      <c r="G54" s="943">
        <f t="shared" ca="1" si="19"/>
        <v>0</v>
      </c>
      <c r="H54" s="451"/>
      <c r="I54" s="944">
        <f t="shared" ca="1" si="20"/>
        <v>0</v>
      </c>
      <c r="J54" s="451"/>
      <c r="K54" s="489">
        <f t="shared" si="21"/>
        <v>0</v>
      </c>
      <c r="L54" s="14"/>
      <c r="M54" s="302">
        <f t="shared" si="22"/>
        <v>0</v>
      </c>
      <c r="N54" s="14"/>
      <c r="O54" s="302">
        <f t="shared" si="23"/>
        <v>0</v>
      </c>
      <c r="P54" s="14"/>
      <c r="Q54" s="301">
        <f t="shared" si="24"/>
        <v>0</v>
      </c>
      <c r="R54" s="14"/>
      <c r="S54" s="301">
        <f t="shared" si="25"/>
        <v>0</v>
      </c>
      <c r="T54" s="14"/>
      <c r="U54" s="301">
        <f t="shared" si="26"/>
        <v>0</v>
      </c>
      <c r="V54" s="14"/>
      <c r="W54" s="301">
        <f t="shared" si="27"/>
        <v>0</v>
      </c>
      <c r="X54" s="14"/>
      <c r="Y54" s="301">
        <f t="shared" si="28"/>
        <v>0</v>
      </c>
      <c r="Z54" s="15">
        <f>+B54+D54+F54+H54+J54+L54+N54+P54+R54+T54+V54+X54</f>
        <v>0</v>
      </c>
      <c r="AA54" s="12" t="e">
        <f t="shared" ca="1" si="15"/>
        <v>#REF!</v>
      </c>
      <c r="AB54" s="149"/>
      <c r="AC54" s="149"/>
      <c r="AE54" s="142"/>
      <c r="AF54" s="142"/>
    </row>
    <row r="55" spans="1:35" s="4" customFormat="1">
      <c r="A55" s="757" t="s">
        <v>597</v>
      </c>
      <c r="B55" s="17"/>
      <c r="C55" s="909">
        <f t="shared" ref="C55:C72" ca="1" si="30">+B55/$B$13</f>
        <v>0</v>
      </c>
      <c r="D55" s="17"/>
      <c r="E55" s="909">
        <f t="shared" ca="1" si="29"/>
        <v>0</v>
      </c>
      <c r="F55" s="17"/>
      <c r="G55" s="909">
        <f t="shared" ca="1" si="19"/>
        <v>0</v>
      </c>
      <c r="H55" s="17"/>
      <c r="I55" s="909">
        <f t="shared" ca="1" si="20"/>
        <v>0</v>
      </c>
      <c r="J55" s="17"/>
      <c r="K55" s="301">
        <f t="shared" si="21"/>
        <v>0</v>
      </c>
      <c r="L55" s="17"/>
      <c r="M55" s="301">
        <f t="shared" si="22"/>
        <v>0</v>
      </c>
      <c r="N55" s="17"/>
      <c r="O55" s="301">
        <f t="shared" si="23"/>
        <v>0</v>
      </c>
      <c r="P55" s="17"/>
      <c r="Q55" s="301">
        <f t="shared" si="24"/>
        <v>0</v>
      </c>
      <c r="R55" s="14"/>
      <c r="S55" s="301">
        <f t="shared" si="25"/>
        <v>0</v>
      </c>
      <c r="T55" s="14"/>
      <c r="U55" s="301">
        <f t="shared" si="26"/>
        <v>0</v>
      </c>
      <c r="V55" s="17"/>
      <c r="W55" s="301">
        <f>IFERROR(V55/$V$13,0)</f>
        <v>0</v>
      </c>
      <c r="X55" s="14"/>
      <c r="Y55" s="301">
        <f t="shared" si="28"/>
        <v>0</v>
      </c>
      <c r="Z55" s="15">
        <f>+B55+D55+F55+H55+J55+L55+N55+P55+R55+T55+V55+X55</f>
        <v>0</v>
      </c>
      <c r="AA55" s="12" t="e">
        <f t="shared" ca="1" si="15"/>
        <v>#REF!</v>
      </c>
      <c r="AB55" s="14"/>
      <c r="AC55" s="914"/>
      <c r="AE55" s="605"/>
      <c r="AF55" s="605"/>
      <c r="AG55" s="605"/>
      <c r="AH55" s="914"/>
    </row>
    <row r="56" spans="1:35" s="4" customFormat="1">
      <c r="A56" s="757" t="s">
        <v>598</v>
      </c>
      <c r="B56" s="17">
        <v>1000</v>
      </c>
      <c r="C56" s="909">
        <f t="shared" ca="1" si="30"/>
        <v>0.36659999999999998</v>
      </c>
      <c r="D56" s="17">
        <v>1000</v>
      </c>
      <c r="E56" s="909">
        <f t="shared" ca="1" si="29"/>
        <v>0.36659999999999998</v>
      </c>
      <c r="F56" s="17">
        <v>1000</v>
      </c>
      <c r="G56" s="909">
        <f t="shared" ca="1" si="19"/>
        <v>0.36659999999999998</v>
      </c>
      <c r="H56" s="17">
        <v>1000</v>
      </c>
      <c r="I56" s="910">
        <f t="shared" ca="1" si="20"/>
        <v>0.36699999999999999</v>
      </c>
      <c r="J56" s="17">
        <v>1000</v>
      </c>
      <c r="K56" s="301">
        <f t="shared" si="21"/>
        <v>0</v>
      </c>
      <c r="L56" s="17">
        <v>1000</v>
      </c>
      <c r="M56" s="302">
        <f t="shared" si="22"/>
        <v>0</v>
      </c>
      <c r="N56" s="17">
        <v>1000</v>
      </c>
      <c r="O56" s="302">
        <f t="shared" si="23"/>
        <v>0</v>
      </c>
      <c r="P56" s="17">
        <v>1000</v>
      </c>
      <c r="Q56" s="301">
        <f t="shared" si="24"/>
        <v>0</v>
      </c>
      <c r="R56" s="17">
        <v>1000</v>
      </c>
      <c r="S56" s="301">
        <f t="shared" si="25"/>
        <v>0</v>
      </c>
      <c r="T56" s="17">
        <v>1000</v>
      </c>
      <c r="U56" s="301">
        <f t="shared" si="26"/>
        <v>0</v>
      </c>
      <c r="V56" s="17">
        <v>1000</v>
      </c>
      <c r="W56" s="301">
        <f>IFERROR(V56/$V$13,0)</f>
        <v>0</v>
      </c>
      <c r="X56" s="17">
        <v>1000</v>
      </c>
      <c r="Y56" s="301">
        <f t="shared" si="28"/>
        <v>0</v>
      </c>
      <c r="Z56" s="15">
        <f>+B56+D56+F56+H56+J56+L56+N56+P56+R56+T56+V56+X56</f>
        <v>12000</v>
      </c>
      <c r="AA56" s="12" t="e">
        <f t="shared" ca="1" si="15"/>
        <v>#REF!</v>
      </c>
      <c r="AB56" s="14"/>
      <c r="AC56" s="915"/>
      <c r="AE56" s="915"/>
      <c r="AF56" s="915"/>
      <c r="AG56" s="915"/>
    </row>
    <row r="57" spans="1:35" s="4" customFormat="1">
      <c r="A57" s="757" t="s">
        <v>599</v>
      </c>
      <c r="B57" s="17"/>
      <c r="C57" s="909">
        <f t="shared" ca="1" si="30"/>
        <v>0</v>
      </c>
      <c r="D57" s="17"/>
      <c r="E57" s="909">
        <f t="shared" ca="1" si="29"/>
        <v>0</v>
      </c>
      <c r="F57" s="17"/>
      <c r="G57" s="909">
        <f t="shared" ca="1" si="19"/>
        <v>0</v>
      </c>
      <c r="H57" s="17"/>
      <c r="I57" s="909">
        <f t="shared" ca="1" si="20"/>
        <v>0</v>
      </c>
      <c r="J57" s="17"/>
      <c r="K57" s="467">
        <f t="shared" si="21"/>
        <v>0</v>
      </c>
      <c r="L57" s="17"/>
      <c r="M57" s="467">
        <f t="shared" si="22"/>
        <v>0</v>
      </c>
      <c r="N57" s="17"/>
      <c r="O57" s="467">
        <f t="shared" si="23"/>
        <v>0</v>
      </c>
      <c r="P57" s="17"/>
      <c r="Q57" s="467">
        <f t="shared" si="24"/>
        <v>0</v>
      </c>
      <c r="R57" s="17"/>
      <c r="S57" s="301">
        <f t="shared" si="25"/>
        <v>0</v>
      </c>
      <c r="T57" s="17"/>
      <c r="U57" s="301">
        <f t="shared" si="26"/>
        <v>0</v>
      </c>
      <c r="V57" s="17"/>
      <c r="W57" s="301">
        <f t="shared" si="27"/>
        <v>0</v>
      </c>
      <c r="X57" s="17"/>
      <c r="Y57" s="301">
        <f t="shared" si="28"/>
        <v>0</v>
      </c>
      <c r="Z57" s="15">
        <f t="shared" ref="Z57:Z70" si="31">+B57+D57+F57+H57+J57+L57+N57+P57+R57+T57+V57+X57</f>
        <v>0</v>
      </c>
      <c r="AA57" s="12" t="e">
        <f t="shared" ca="1" si="15"/>
        <v>#REF!</v>
      </c>
      <c r="AB57" s="14"/>
      <c r="AC57" s="915"/>
      <c r="AD57" s="150"/>
      <c r="AE57" s="915"/>
      <c r="AF57" s="915"/>
      <c r="AG57" s="915"/>
      <c r="AH57" s="150"/>
    </row>
    <row r="58" spans="1:35" s="4" customFormat="1">
      <c r="A58" s="757" t="s">
        <v>600</v>
      </c>
      <c r="B58" s="17">
        <v>50</v>
      </c>
      <c r="C58" s="909">
        <f t="shared" ca="1" si="30"/>
        <v>1.83E-2</v>
      </c>
      <c r="D58" s="17">
        <v>50</v>
      </c>
      <c r="E58" s="909">
        <f t="shared" ca="1" si="29"/>
        <v>1.83E-2</v>
      </c>
      <c r="F58" s="17">
        <v>50</v>
      </c>
      <c r="G58" s="909">
        <f t="shared" ca="1" si="19"/>
        <v>1.83E-2</v>
      </c>
      <c r="H58" s="17">
        <v>50</v>
      </c>
      <c r="I58" s="468">
        <f t="shared" ca="1" si="20"/>
        <v>1.83E-2</v>
      </c>
      <c r="J58" s="17">
        <v>50</v>
      </c>
      <c r="K58" s="468">
        <f t="shared" si="21"/>
        <v>0</v>
      </c>
      <c r="L58" s="17">
        <v>50</v>
      </c>
      <c r="M58" s="468">
        <f t="shared" si="22"/>
        <v>0</v>
      </c>
      <c r="N58" s="17">
        <v>50</v>
      </c>
      <c r="O58" s="468">
        <f t="shared" si="23"/>
        <v>0</v>
      </c>
      <c r="P58" s="17">
        <v>50</v>
      </c>
      <c r="Q58" s="468">
        <f t="shared" si="24"/>
        <v>0</v>
      </c>
      <c r="R58" s="17">
        <v>50</v>
      </c>
      <c r="S58" s="301">
        <f t="shared" si="25"/>
        <v>0</v>
      </c>
      <c r="T58" s="17">
        <v>50</v>
      </c>
      <c r="U58" s="301">
        <f t="shared" si="26"/>
        <v>0</v>
      </c>
      <c r="V58" s="17">
        <v>50</v>
      </c>
      <c r="W58" s="301">
        <f t="shared" si="27"/>
        <v>0</v>
      </c>
      <c r="X58" s="17">
        <v>50</v>
      </c>
      <c r="Y58" s="301">
        <f t="shared" si="28"/>
        <v>0</v>
      </c>
      <c r="Z58" s="15">
        <f t="shared" si="31"/>
        <v>600</v>
      </c>
      <c r="AA58" s="12" t="e">
        <f t="shared" ca="1" si="15"/>
        <v>#REF!</v>
      </c>
      <c r="AB58" s="14"/>
      <c r="AE58" s="915"/>
      <c r="AF58" s="915"/>
      <c r="AG58" s="915"/>
      <c r="AH58" s="150"/>
    </row>
    <row r="59" spans="1:35" s="4" customFormat="1">
      <c r="A59" s="932" t="s">
        <v>601</v>
      </c>
      <c r="B59" s="17"/>
      <c r="C59" s="909">
        <f t="shared" ca="1" si="30"/>
        <v>0</v>
      </c>
      <c r="D59" s="17"/>
      <c r="E59" s="909">
        <f t="shared" ca="1" si="29"/>
        <v>0</v>
      </c>
      <c r="F59" s="17"/>
      <c r="G59" s="909">
        <f t="shared" ca="1" si="19"/>
        <v>0</v>
      </c>
      <c r="H59" s="17"/>
      <c r="I59" s="468">
        <f t="shared" ca="1" si="20"/>
        <v>0</v>
      </c>
      <c r="J59" s="17"/>
      <c r="K59" s="468">
        <f t="shared" si="21"/>
        <v>0</v>
      </c>
      <c r="L59" s="17"/>
      <c r="M59" s="468">
        <f t="shared" si="22"/>
        <v>0</v>
      </c>
      <c r="N59" s="17"/>
      <c r="O59" s="468">
        <f t="shared" si="23"/>
        <v>0</v>
      </c>
      <c r="P59" s="17"/>
      <c r="Q59" s="468">
        <f t="shared" si="24"/>
        <v>0</v>
      </c>
      <c r="R59" s="17"/>
      <c r="S59" s="491">
        <f t="shared" si="25"/>
        <v>0</v>
      </c>
      <c r="T59" s="14"/>
      <c r="U59" s="491">
        <f t="shared" si="26"/>
        <v>0</v>
      </c>
      <c r="V59" s="17"/>
      <c r="W59" s="17">
        <f t="shared" si="27"/>
        <v>0</v>
      </c>
      <c r="X59" s="17"/>
      <c r="Y59" s="301">
        <f t="shared" si="28"/>
        <v>0</v>
      </c>
      <c r="Z59" s="15">
        <f t="shared" si="31"/>
        <v>0</v>
      </c>
      <c r="AA59" s="12" t="e">
        <f t="shared" ca="1" si="15"/>
        <v>#REF!</v>
      </c>
      <c r="AB59" s="14"/>
      <c r="AE59" s="915"/>
      <c r="AF59" s="915"/>
      <c r="AG59" s="915"/>
      <c r="AH59" s="915"/>
    </row>
    <row r="60" spans="1:35" s="4" customFormat="1">
      <c r="A60" s="932" t="s">
        <v>602</v>
      </c>
      <c r="B60" s="17"/>
      <c r="C60" s="909">
        <f t="shared" ca="1" si="30"/>
        <v>0</v>
      </c>
      <c r="D60" s="17"/>
      <c r="E60" s="909">
        <f t="shared" ca="1" si="29"/>
        <v>0</v>
      </c>
      <c r="F60" s="17"/>
      <c r="G60" s="909">
        <f t="shared" ca="1" si="19"/>
        <v>0</v>
      </c>
      <c r="H60" s="17"/>
      <c r="I60" s="468">
        <f t="shared" ca="1" si="20"/>
        <v>0</v>
      </c>
      <c r="J60" s="17"/>
      <c r="K60" s="468">
        <f t="shared" si="21"/>
        <v>0</v>
      </c>
      <c r="L60" s="17"/>
      <c r="M60" s="468">
        <f t="shared" si="22"/>
        <v>0</v>
      </c>
      <c r="N60" s="17"/>
      <c r="O60" s="468">
        <f t="shared" si="23"/>
        <v>0</v>
      </c>
      <c r="P60" s="17"/>
      <c r="Q60" s="468">
        <f t="shared" si="24"/>
        <v>0</v>
      </c>
      <c r="R60" s="17"/>
      <c r="S60" s="491">
        <f t="shared" si="25"/>
        <v>0</v>
      </c>
      <c r="T60" s="17"/>
      <c r="U60" s="491">
        <f t="shared" si="26"/>
        <v>0</v>
      </c>
      <c r="V60" s="17"/>
      <c r="W60" s="17">
        <f t="shared" si="27"/>
        <v>0</v>
      </c>
      <c r="X60" s="17"/>
      <c r="Y60" s="301">
        <f t="shared" si="28"/>
        <v>0</v>
      </c>
      <c r="Z60" s="15">
        <f t="shared" si="31"/>
        <v>0</v>
      </c>
      <c r="AA60" s="12" t="e">
        <f t="shared" ca="1" si="15"/>
        <v>#REF!</v>
      </c>
      <c r="AB60" s="14"/>
      <c r="AE60" s="915"/>
      <c r="AF60" s="915"/>
      <c r="AG60" s="915"/>
      <c r="AH60" s="915"/>
    </row>
    <row r="61" spans="1:35" s="4" customFormat="1">
      <c r="A61" s="932" t="s">
        <v>603</v>
      </c>
      <c r="B61" s="17"/>
      <c r="C61" s="909">
        <f t="shared" ca="1" si="30"/>
        <v>0</v>
      </c>
      <c r="D61" s="17"/>
      <c r="E61" s="909">
        <f t="shared" ca="1" si="29"/>
        <v>0</v>
      </c>
      <c r="F61" s="17"/>
      <c r="G61" s="909">
        <f t="shared" ca="1" si="19"/>
        <v>0</v>
      </c>
      <c r="H61" s="17"/>
      <c r="I61" s="468">
        <f t="shared" ca="1" si="20"/>
        <v>0</v>
      </c>
      <c r="J61" s="17"/>
      <c r="K61" s="468">
        <f t="shared" si="21"/>
        <v>0</v>
      </c>
      <c r="L61" s="17"/>
      <c r="M61" s="468">
        <f t="shared" si="22"/>
        <v>0</v>
      </c>
      <c r="N61" s="17"/>
      <c r="O61" s="468">
        <f t="shared" si="23"/>
        <v>0</v>
      </c>
      <c r="P61" s="17"/>
      <c r="Q61" s="468">
        <f t="shared" si="24"/>
        <v>0</v>
      </c>
      <c r="R61" s="17"/>
      <c r="S61" s="491">
        <f t="shared" si="25"/>
        <v>0</v>
      </c>
      <c r="T61" s="14"/>
      <c r="U61" s="491">
        <f>IFERROR(T61/$T$13,0)</f>
        <v>0</v>
      </c>
      <c r="V61" s="17"/>
      <c r="W61" s="17">
        <f t="shared" si="27"/>
        <v>0</v>
      </c>
      <c r="X61" s="17"/>
      <c r="Y61" s="301">
        <f t="shared" si="28"/>
        <v>0</v>
      </c>
      <c r="Z61" s="15">
        <f>+B61+D61+F61+H61+J61+L61+N61+P61+R61+T61+V61+X61</f>
        <v>0</v>
      </c>
      <c r="AA61" s="12" t="e">
        <f t="shared" ca="1" si="15"/>
        <v>#REF!</v>
      </c>
      <c r="AB61" s="14"/>
      <c r="AE61" s="915"/>
      <c r="AF61" s="142"/>
      <c r="AH61" s="150"/>
    </row>
    <row r="62" spans="1:35" s="4" customFormat="1">
      <c r="A62" s="932" t="s">
        <v>604</v>
      </c>
      <c r="B62" s="17"/>
      <c r="C62" s="909">
        <f t="shared" ca="1" si="30"/>
        <v>0</v>
      </c>
      <c r="D62" s="17"/>
      <c r="E62" s="909">
        <f t="shared" ca="1" si="29"/>
        <v>0</v>
      </c>
      <c r="F62" s="17"/>
      <c r="G62" s="909">
        <f t="shared" ca="1" si="19"/>
        <v>0</v>
      </c>
      <c r="H62" s="17"/>
      <c r="I62" s="468">
        <f t="shared" ca="1" si="20"/>
        <v>0</v>
      </c>
      <c r="J62" s="17"/>
      <c r="K62" s="468">
        <f t="shared" si="21"/>
        <v>0</v>
      </c>
      <c r="L62" s="17"/>
      <c r="M62" s="468">
        <f t="shared" si="22"/>
        <v>0</v>
      </c>
      <c r="N62" s="17"/>
      <c r="O62" s="468">
        <f t="shared" si="23"/>
        <v>0</v>
      </c>
      <c r="P62" s="17"/>
      <c r="Q62" s="17">
        <f t="shared" si="24"/>
        <v>0</v>
      </c>
      <c r="R62" s="17"/>
      <c r="S62" s="491">
        <f t="shared" si="25"/>
        <v>0</v>
      </c>
      <c r="T62" s="14"/>
      <c r="U62" s="491">
        <f>IFERROR(T62/$T$13,0)</f>
        <v>0</v>
      </c>
      <c r="V62" s="17"/>
      <c r="W62" s="17">
        <f t="shared" si="27"/>
        <v>0</v>
      </c>
      <c r="X62" s="17"/>
      <c r="Y62" s="301">
        <f t="shared" si="28"/>
        <v>0</v>
      </c>
      <c r="Z62" s="15">
        <f>+B62+D62+F62+H62+J62+L62+N62+P62+R62+T62+V62+X62</f>
        <v>0</v>
      </c>
      <c r="AA62" s="12" t="e">
        <f t="shared" ca="1" si="15"/>
        <v>#REF!</v>
      </c>
      <c r="AB62" s="14"/>
      <c r="AE62" s="142"/>
      <c r="AF62" s="142"/>
      <c r="AH62" s="150"/>
    </row>
    <row r="63" spans="1:35" s="4" customFormat="1">
      <c r="A63" s="757" t="s">
        <v>605</v>
      </c>
      <c r="B63" s="17"/>
      <c r="C63" s="909">
        <f t="shared" ca="1" si="30"/>
        <v>0</v>
      </c>
      <c r="D63" s="17"/>
      <c r="E63" s="909">
        <f t="shared" ca="1" si="29"/>
        <v>0</v>
      </c>
      <c r="F63" s="17"/>
      <c r="G63" s="909">
        <f t="shared" ca="1" si="19"/>
        <v>0</v>
      </c>
      <c r="H63" s="17"/>
      <c r="I63" s="468">
        <f t="shared" ca="1" si="20"/>
        <v>0</v>
      </c>
      <c r="J63" s="17"/>
      <c r="K63" s="468">
        <f t="shared" si="21"/>
        <v>0</v>
      </c>
      <c r="L63" s="17"/>
      <c r="M63" s="468">
        <f t="shared" si="22"/>
        <v>0</v>
      </c>
      <c r="N63" s="17"/>
      <c r="O63" s="468">
        <f t="shared" si="23"/>
        <v>0</v>
      </c>
      <c r="P63" s="17"/>
      <c r="Q63" s="17">
        <f t="shared" si="24"/>
        <v>0</v>
      </c>
      <c r="R63" s="17"/>
      <c r="S63" s="491">
        <f t="shared" si="25"/>
        <v>0</v>
      </c>
      <c r="T63" s="14"/>
      <c r="U63" s="491">
        <f t="shared" si="26"/>
        <v>0</v>
      </c>
      <c r="V63" s="17"/>
      <c r="W63" s="17">
        <f t="shared" si="27"/>
        <v>0</v>
      </c>
      <c r="X63" s="17"/>
      <c r="Y63" s="301">
        <f t="shared" si="28"/>
        <v>0</v>
      </c>
      <c r="Z63" s="15">
        <f t="shared" si="31"/>
        <v>0</v>
      </c>
      <c r="AA63" s="12" t="e">
        <f t="shared" ca="1" si="15"/>
        <v>#REF!</v>
      </c>
      <c r="AB63" s="14"/>
      <c r="AE63" s="142"/>
      <c r="AF63" s="142"/>
    </row>
    <row r="64" spans="1:35" s="189" customFormat="1">
      <c r="A64" s="933" t="s">
        <v>606</v>
      </c>
      <c r="B64" s="17"/>
      <c r="C64" s="909">
        <f t="shared" ca="1" si="30"/>
        <v>0</v>
      </c>
      <c r="D64" s="17"/>
      <c r="E64" s="909">
        <f t="shared" ca="1" si="29"/>
        <v>0</v>
      </c>
      <c r="F64" s="17"/>
      <c r="G64" s="909">
        <f t="shared" ca="1" si="19"/>
        <v>0</v>
      </c>
      <c r="H64" s="17"/>
      <c r="I64" s="468">
        <f t="shared" ca="1" si="20"/>
        <v>0</v>
      </c>
      <c r="J64" s="17"/>
      <c r="K64" s="468">
        <f t="shared" si="21"/>
        <v>0</v>
      </c>
      <c r="L64" s="17"/>
      <c r="M64" s="468">
        <f t="shared" si="22"/>
        <v>0</v>
      </c>
      <c r="N64" s="17"/>
      <c r="O64" s="468">
        <f t="shared" si="23"/>
        <v>0</v>
      </c>
      <c r="P64" s="17"/>
      <c r="Q64" s="17">
        <f t="shared" si="24"/>
        <v>0</v>
      </c>
      <c r="R64" s="17"/>
      <c r="S64" s="491">
        <f t="shared" si="25"/>
        <v>0</v>
      </c>
      <c r="T64" s="14"/>
      <c r="U64" s="491">
        <f t="shared" si="26"/>
        <v>0</v>
      </c>
      <c r="V64" s="17"/>
      <c r="W64" s="17">
        <f t="shared" si="27"/>
        <v>0</v>
      </c>
      <c r="X64" s="17"/>
      <c r="Y64" s="301">
        <f t="shared" si="28"/>
        <v>0</v>
      </c>
      <c r="Z64" s="15">
        <f t="shared" si="31"/>
        <v>0</v>
      </c>
      <c r="AA64" s="945" t="e">
        <f t="shared" ca="1" si="15"/>
        <v>#REF!</v>
      </c>
      <c r="AB64" s="14"/>
      <c r="AC64" s="4"/>
      <c r="AD64" s="4"/>
      <c r="AE64" s="35"/>
      <c r="AF64" s="35"/>
      <c r="AG64" s="35"/>
      <c r="AH64" s="35"/>
      <c r="AI64" s="35"/>
    </row>
    <row r="65" spans="1:35" s="4" customFormat="1">
      <c r="A65" s="198" t="s">
        <v>607</v>
      </c>
      <c r="B65" s="17"/>
      <c r="C65" s="909">
        <f t="shared" ca="1" si="30"/>
        <v>0</v>
      </c>
      <c r="D65" s="17"/>
      <c r="E65" s="909">
        <f t="shared" ca="1" si="29"/>
        <v>0</v>
      </c>
      <c r="F65" s="17"/>
      <c r="G65" s="909">
        <f t="shared" ca="1" si="19"/>
        <v>0</v>
      </c>
      <c r="H65" s="17"/>
      <c r="I65" s="468">
        <f t="shared" ca="1" si="20"/>
        <v>0</v>
      </c>
      <c r="J65" s="17"/>
      <c r="K65" s="468">
        <f t="shared" si="21"/>
        <v>0</v>
      </c>
      <c r="L65" s="17"/>
      <c r="M65" s="468">
        <f t="shared" si="22"/>
        <v>0</v>
      </c>
      <c r="N65" s="17"/>
      <c r="O65" s="468">
        <f t="shared" si="23"/>
        <v>0</v>
      </c>
      <c r="P65" s="17"/>
      <c r="Q65" s="476">
        <f t="shared" si="24"/>
        <v>0</v>
      </c>
      <c r="R65" s="17"/>
      <c r="S65" s="491">
        <f t="shared" si="25"/>
        <v>0</v>
      </c>
      <c r="T65" s="14"/>
      <c r="U65" s="491">
        <f t="shared" si="26"/>
        <v>0</v>
      </c>
      <c r="V65" s="17"/>
      <c r="W65" s="17">
        <f t="shared" si="27"/>
        <v>0</v>
      </c>
      <c r="X65" s="17"/>
      <c r="Y65" s="301">
        <f t="shared" si="28"/>
        <v>0</v>
      </c>
      <c r="Z65" s="15">
        <f t="shared" si="31"/>
        <v>0</v>
      </c>
      <c r="AA65" s="12" t="e">
        <f t="shared" ca="1" si="15"/>
        <v>#REF!</v>
      </c>
      <c r="AB65" s="14"/>
      <c r="AC65" s="14"/>
      <c r="AE65" s="493"/>
      <c r="AF65" s="20"/>
      <c r="AG65"/>
      <c r="AH65"/>
      <c r="AI65"/>
    </row>
    <row r="66" spans="1:35" s="4" customFormat="1">
      <c r="A66" s="757" t="s">
        <v>608</v>
      </c>
      <c r="B66" s="17"/>
      <c r="C66" s="909">
        <f t="shared" ca="1" si="30"/>
        <v>0</v>
      </c>
      <c r="D66" s="17"/>
      <c r="E66" s="909">
        <f t="shared" ca="1" si="29"/>
        <v>0</v>
      </c>
      <c r="F66" s="17"/>
      <c r="G66" s="909">
        <f t="shared" ca="1" si="19"/>
        <v>0</v>
      </c>
      <c r="H66" s="17"/>
      <c r="I66" s="909">
        <f t="shared" ca="1" si="20"/>
        <v>0</v>
      </c>
      <c r="J66" s="17"/>
      <c r="K66" s="467">
        <f t="shared" si="21"/>
        <v>0</v>
      </c>
      <c r="L66" s="17"/>
      <c r="M66" s="467">
        <f t="shared" si="22"/>
        <v>0</v>
      </c>
      <c r="N66" s="17"/>
      <c r="O66" s="467">
        <f t="shared" si="23"/>
        <v>0</v>
      </c>
      <c r="P66" s="17"/>
      <c r="Q66" s="301">
        <f t="shared" si="24"/>
        <v>0</v>
      </c>
      <c r="R66" s="14"/>
      <c r="S66" s="301">
        <f t="shared" si="25"/>
        <v>0</v>
      </c>
      <c r="T66" s="14"/>
      <c r="U66" s="301">
        <f t="shared" si="26"/>
        <v>0</v>
      </c>
      <c r="V66" s="17"/>
      <c r="W66" s="301">
        <f t="shared" si="27"/>
        <v>0</v>
      </c>
      <c r="X66" s="14"/>
      <c r="Y66" s="301">
        <f t="shared" si="28"/>
        <v>0</v>
      </c>
      <c r="Z66" s="15">
        <f t="shared" si="31"/>
        <v>0</v>
      </c>
      <c r="AA66" s="12" t="e">
        <f t="shared" ca="1" si="15"/>
        <v>#REF!</v>
      </c>
      <c r="AB66" s="14"/>
      <c r="AC66" s="14"/>
      <c r="AE66" s="154"/>
      <c r="AF66" s="20"/>
      <c r="AG66" s="1"/>
      <c r="AH66" s="1"/>
      <c r="AI66" s="1"/>
    </row>
    <row r="67" spans="1:35" s="4" customFormat="1">
      <c r="A67" t="s">
        <v>609</v>
      </c>
      <c r="B67" s="17"/>
      <c r="C67" s="909">
        <f t="shared" ca="1" si="30"/>
        <v>0</v>
      </c>
      <c r="D67" s="17"/>
      <c r="E67" s="909">
        <f t="shared" ca="1" si="29"/>
        <v>0</v>
      </c>
      <c r="F67" s="17"/>
      <c r="G67" s="909">
        <f t="shared" ca="1" si="19"/>
        <v>0</v>
      </c>
      <c r="H67" s="17"/>
      <c r="I67" s="910">
        <f t="shared" ca="1" si="20"/>
        <v>0</v>
      </c>
      <c r="J67" s="17"/>
      <c r="K67" s="301">
        <f t="shared" si="21"/>
        <v>0</v>
      </c>
      <c r="L67" s="17"/>
      <c r="M67" s="467">
        <f t="shared" si="22"/>
        <v>0</v>
      </c>
      <c r="N67" s="17"/>
      <c r="O67" s="467">
        <f t="shared" si="23"/>
        <v>0</v>
      </c>
      <c r="P67" s="17"/>
      <c r="Q67" s="301">
        <f t="shared" si="24"/>
        <v>0</v>
      </c>
      <c r="R67" s="14"/>
      <c r="S67" s="301">
        <f t="shared" si="25"/>
        <v>0</v>
      </c>
      <c r="T67" s="14"/>
      <c r="U67" s="301">
        <f t="shared" si="26"/>
        <v>0</v>
      </c>
      <c r="V67" s="17"/>
      <c r="W67" s="301">
        <f t="shared" si="27"/>
        <v>0</v>
      </c>
      <c r="X67" s="14"/>
      <c r="Y67" s="301">
        <f t="shared" si="28"/>
        <v>0</v>
      </c>
      <c r="Z67" s="15">
        <f t="shared" si="31"/>
        <v>0</v>
      </c>
      <c r="AA67" s="12" t="e">
        <f t="shared" ca="1" si="15"/>
        <v>#REF!</v>
      </c>
      <c r="AB67" s="14"/>
      <c r="AC67" s="14"/>
      <c r="AE67" s="154"/>
      <c r="AF67" s="20"/>
      <c r="AG67" s="1"/>
      <c r="AH67" s="1"/>
      <c r="AI67" s="1"/>
    </row>
    <row r="68" spans="1:35" s="4" customFormat="1">
      <c r="A68" s="198" t="s">
        <v>610</v>
      </c>
      <c r="B68" s="17"/>
      <c r="C68" s="909">
        <f t="shared" ca="1" si="30"/>
        <v>0</v>
      </c>
      <c r="D68" s="17"/>
      <c r="E68" s="909">
        <f t="shared" ca="1" si="29"/>
        <v>0</v>
      </c>
      <c r="F68" s="17"/>
      <c r="G68" s="909">
        <f t="shared" ca="1" si="19"/>
        <v>0</v>
      </c>
      <c r="H68" s="17"/>
      <c r="I68" s="910">
        <f t="shared" ca="1" si="20"/>
        <v>0</v>
      </c>
      <c r="J68" s="17"/>
      <c r="K68" s="301">
        <f t="shared" si="21"/>
        <v>0</v>
      </c>
      <c r="L68" s="17"/>
      <c r="M68" s="467">
        <f t="shared" si="22"/>
        <v>0</v>
      </c>
      <c r="N68" s="17"/>
      <c r="O68" s="467">
        <f t="shared" si="23"/>
        <v>0</v>
      </c>
      <c r="P68" s="17"/>
      <c r="Q68" s="301">
        <f t="shared" si="24"/>
        <v>0</v>
      </c>
      <c r="R68" s="14"/>
      <c r="S68" s="301">
        <f t="shared" si="25"/>
        <v>0</v>
      </c>
      <c r="T68" s="14"/>
      <c r="U68" s="301">
        <f t="shared" si="26"/>
        <v>0</v>
      </c>
      <c r="V68" s="17"/>
      <c r="W68" s="301">
        <f t="shared" si="27"/>
        <v>0</v>
      </c>
      <c r="X68" s="14"/>
      <c r="Y68" s="301">
        <f t="shared" si="28"/>
        <v>0</v>
      </c>
      <c r="Z68" s="15">
        <f t="shared" si="31"/>
        <v>0</v>
      </c>
      <c r="AA68" s="12" t="e">
        <f t="shared" ca="1" si="15"/>
        <v>#REF!</v>
      </c>
      <c r="AB68" s="14"/>
      <c r="AC68" s="14"/>
      <c r="AE68" s="168"/>
      <c r="AF68" s="456"/>
      <c r="AG68"/>
      <c r="AH68"/>
      <c r="AI68"/>
    </row>
    <row r="69" spans="1:35" s="4" customFormat="1">
      <c r="A69" s="757" t="s">
        <v>611</v>
      </c>
      <c r="B69" s="17"/>
      <c r="C69" s="909">
        <f t="shared" ca="1" si="30"/>
        <v>0</v>
      </c>
      <c r="D69" s="17"/>
      <c r="E69" s="909">
        <f t="shared" ca="1" si="29"/>
        <v>0</v>
      </c>
      <c r="F69" s="17"/>
      <c r="G69" s="909">
        <f t="shared" ca="1" si="19"/>
        <v>0</v>
      </c>
      <c r="H69" s="17"/>
      <c r="I69" s="910">
        <f t="shared" ca="1" si="20"/>
        <v>0</v>
      </c>
      <c r="J69" s="17"/>
      <c r="K69" s="301">
        <f t="shared" si="21"/>
        <v>0</v>
      </c>
      <c r="L69" s="17"/>
      <c r="M69" s="467">
        <f t="shared" si="22"/>
        <v>0</v>
      </c>
      <c r="N69" s="17"/>
      <c r="O69" s="467">
        <f t="shared" si="23"/>
        <v>0</v>
      </c>
      <c r="P69" s="17"/>
      <c r="Q69" s="301">
        <f t="shared" si="24"/>
        <v>0</v>
      </c>
      <c r="R69" s="17"/>
      <c r="S69" s="301">
        <f t="shared" si="25"/>
        <v>0</v>
      </c>
      <c r="T69" s="14"/>
      <c r="U69" s="301">
        <f t="shared" si="26"/>
        <v>0</v>
      </c>
      <c r="V69" s="17"/>
      <c r="W69" s="301">
        <f t="shared" si="27"/>
        <v>0</v>
      </c>
      <c r="X69" s="14"/>
      <c r="Y69" s="301">
        <f t="shared" si="28"/>
        <v>0</v>
      </c>
      <c r="Z69" s="15">
        <f t="shared" si="31"/>
        <v>0</v>
      </c>
      <c r="AA69" s="12" t="e">
        <f t="shared" ca="1" si="15"/>
        <v>#REF!</v>
      </c>
      <c r="AB69" s="14"/>
      <c r="AC69" s="14"/>
      <c r="AE69" s="176"/>
      <c r="AF69" s="20"/>
      <c r="AG69"/>
      <c r="AH69"/>
      <c r="AI69"/>
    </row>
    <row r="70" spans="1:35" s="4" customFormat="1">
      <c r="A70" s="933" t="s">
        <v>612</v>
      </c>
      <c r="B70" s="375"/>
      <c r="C70" s="909">
        <f t="shared" ca="1" si="30"/>
        <v>0</v>
      </c>
      <c r="D70" s="17"/>
      <c r="E70" s="909">
        <f t="shared" ca="1" si="29"/>
        <v>0</v>
      </c>
      <c r="F70" s="17"/>
      <c r="G70" s="909">
        <f t="shared" ca="1" si="19"/>
        <v>0</v>
      </c>
      <c r="H70" s="201"/>
      <c r="I70" s="910">
        <f t="shared" ca="1" si="20"/>
        <v>0</v>
      </c>
      <c r="J70" s="17"/>
      <c r="K70" s="301">
        <f t="shared" si="21"/>
        <v>0</v>
      </c>
      <c r="L70" s="17"/>
      <c r="M70" s="302">
        <f t="shared" si="22"/>
        <v>0</v>
      </c>
      <c r="N70" s="17"/>
      <c r="O70" s="302">
        <f t="shared" si="23"/>
        <v>0</v>
      </c>
      <c r="P70" s="17"/>
      <c r="Q70" s="301">
        <f t="shared" si="24"/>
        <v>0</v>
      </c>
      <c r="R70" s="14"/>
      <c r="S70" s="301">
        <f t="shared" si="25"/>
        <v>0</v>
      </c>
      <c r="T70" s="14"/>
      <c r="U70" s="301">
        <f t="shared" si="26"/>
        <v>0</v>
      </c>
      <c r="V70" s="17"/>
      <c r="W70" s="301"/>
      <c r="X70" s="14"/>
      <c r="Y70" s="301">
        <f t="shared" si="28"/>
        <v>0</v>
      </c>
      <c r="Z70" s="15">
        <f t="shared" si="31"/>
        <v>0</v>
      </c>
      <c r="AA70" s="12" t="e">
        <f t="shared" ca="1" si="15"/>
        <v>#REF!</v>
      </c>
      <c r="AB70" s="14"/>
      <c r="AC70" s="14"/>
      <c r="AE70"/>
      <c r="AF70" s="473"/>
      <c r="AG70"/>
      <c r="AH70"/>
      <c r="AI70"/>
    </row>
    <row r="71" spans="1:35">
      <c r="A71" s="757"/>
      <c r="B71" s="14"/>
      <c r="C71" s="909">
        <f t="shared" ca="1" si="30"/>
        <v>0</v>
      </c>
      <c r="D71" s="14"/>
      <c r="E71" s="909">
        <f t="shared" ca="1" si="29"/>
        <v>0</v>
      </c>
      <c r="F71" s="14"/>
      <c r="G71" s="909">
        <f t="shared" ca="1" si="19"/>
        <v>0</v>
      </c>
      <c r="H71" s="14"/>
      <c r="I71" s="910">
        <f t="shared" ca="1" si="20"/>
        <v>0</v>
      </c>
      <c r="J71" s="14"/>
      <c r="K71" s="301">
        <f t="shared" si="21"/>
        <v>0</v>
      </c>
      <c r="L71" s="14"/>
      <c r="M71" s="302">
        <f t="shared" si="22"/>
        <v>0</v>
      </c>
      <c r="N71" s="14"/>
      <c r="O71" s="302">
        <f t="shared" si="23"/>
        <v>0</v>
      </c>
      <c r="P71" s="14"/>
      <c r="Q71" s="301">
        <f t="shared" si="24"/>
        <v>0</v>
      </c>
      <c r="R71" s="14"/>
      <c r="S71" s="301">
        <f t="shared" si="25"/>
        <v>0</v>
      </c>
      <c r="T71" s="14"/>
      <c r="U71" s="301">
        <f t="shared" si="26"/>
        <v>0</v>
      </c>
      <c r="V71" s="14"/>
      <c r="W71" s="301">
        <f>IFERROR(V71/$V$13,0)</f>
        <v>0</v>
      </c>
      <c r="X71" s="14"/>
      <c r="Y71" s="301">
        <f t="shared" si="28"/>
        <v>0</v>
      </c>
      <c r="Z71" s="15"/>
      <c r="AA71" s="12" t="e">
        <f t="shared" ca="1" si="15"/>
        <v>#REF!</v>
      </c>
      <c r="AB71" s="14"/>
      <c r="AC71" s="14"/>
      <c r="AF71" s="20"/>
    </row>
    <row r="72" spans="1:35" ht="13.5" thickBot="1">
      <c r="A72" s="6" t="s">
        <v>613</v>
      </c>
      <c r="B72" s="38">
        <f>SUM(B53:B71)</f>
        <v>1050</v>
      </c>
      <c r="C72" s="909">
        <f t="shared" ca="1" si="30"/>
        <v>0.38490000000000002</v>
      </c>
      <c r="D72" s="38">
        <f t="shared" ref="D72:X72" si="32">SUM(D53:D71)</f>
        <v>1050</v>
      </c>
      <c r="E72" s="909">
        <f t="shared" ca="1" si="29"/>
        <v>0.38490000000000002</v>
      </c>
      <c r="F72" s="38">
        <f t="shared" si="32"/>
        <v>1050</v>
      </c>
      <c r="G72" s="909">
        <f t="shared" ca="1" si="19"/>
        <v>0.38490000000000002</v>
      </c>
      <c r="H72" s="38">
        <f t="shared" si="32"/>
        <v>1050</v>
      </c>
      <c r="I72" s="910">
        <f t="shared" ca="1" si="20"/>
        <v>0.38500000000000001</v>
      </c>
      <c r="J72" s="38">
        <f>+SUM(J53:J70)</f>
        <v>1050</v>
      </c>
      <c r="K72" s="301">
        <f t="shared" si="21"/>
        <v>0</v>
      </c>
      <c r="L72" s="38">
        <f t="shared" si="32"/>
        <v>1050</v>
      </c>
      <c r="M72" s="302">
        <f t="shared" si="22"/>
        <v>0</v>
      </c>
      <c r="N72" s="38">
        <f t="shared" si="32"/>
        <v>1050</v>
      </c>
      <c r="O72" s="302">
        <f t="shared" si="23"/>
        <v>0</v>
      </c>
      <c r="P72" s="38">
        <f t="shared" si="32"/>
        <v>1050</v>
      </c>
      <c r="Q72" s="301">
        <f t="shared" si="24"/>
        <v>0</v>
      </c>
      <c r="R72" s="38">
        <f t="shared" si="32"/>
        <v>1050</v>
      </c>
      <c r="S72" s="301">
        <f t="shared" si="25"/>
        <v>0</v>
      </c>
      <c r="T72" s="38">
        <f t="shared" si="32"/>
        <v>1050</v>
      </c>
      <c r="U72" s="301">
        <f t="shared" si="26"/>
        <v>0</v>
      </c>
      <c r="V72" s="38">
        <f t="shared" si="32"/>
        <v>1050</v>
      </c>
      <c r="W72" s="301">
        <f>IFERROR(V72/$V$13,0)</f>
        <v>0</v>
      </c>
      <c r="X72" s="38">
        <f t="shared" si="32"/>
        <v>1050</v>
      </c>
      <c r="Y72" s="301">
        <f t="shared" si="28"/>
        <v>0</v>
      </c>
      <c r="Z72" s="16">
        <f>SUM(Z52:Z71)</f>
        <v>12600</v>
      </c>
      <c r="AA72" s="12" t="e">
        <f t="shared" ca="1" si="15"/>
        <v>#REF!</v>
      </c>
      <c r="AB72" s="14">
        <f>297677010-T72</f>
        <v>297675960</v>
      </c>
      <c r="AC72" s="14"/>
      <c r="AD72" s="20"/>
      <c r="AF72" s="149"/>
    </row>
    <row r="73" spans="1:35" ht="13.5" thickTop="1">
      <c r="A73" s="6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5"/>
      <c r="AA73" s="12" t="e">
        <f t="shared" ca="1" si="15"/>
        <v>#REF!</v>
      </c>
      <c r="AB73" s="14"/>
      <c r="AC73" s="14"/>
      <c r="AF73" s="456"/>
    </row>
    <row r="74" spans="1:35" ht="13.5" thickBot="1">
      <c r="A74" s="757"/>
      <c r="B74" s="196">
        <f ca="1">+B50-B72</f>
        <v>1203</v>
      </c>
      <c r="C74" s="250"/>
      <c r="D74" s="196">
        <f ca="1">+D50-D72</f>
        <v>1552</v>
      </c>
      <c r="E74" s="250"/>
      <c r="F74" s="196">
        <f ca="1">+F50-F72</f>
        <v>1552</v>
      </c>
      <c r="G74" s="250"/>
      <c r="H74" s="196">
        <f ca="1">+H50-H72</f>
        <v>-382</v>
      </c>
      <c r="I74" s="250"/>
      <c r="J74" s="196" t="e">
        <f>+J50-J72</f>
        <v>#REF!</v>
      </c>
      <c r="K74" s="300"/>
      <c r="L74" s="196" t="e">
        <f>+L50-L72</f>
        <v>#REF!</v>
      </c>
      <c r="M74" s="300"/>
      <c r="N74" s="196" t="e">
        <f>+N50-N72</f>
        <v>#REF!</v>
      </c>
      <c r="O74" s="196"/>
      <c r="P74" s="196" t="e">
        <f>+P50-P72</f>
        <v>#REF!</v>
      </c>
      <c r="Q74" s="196"/>
      <c r="R74" s="196" t="e">
        <f>+R50-R72</f>
        <v>#REF!</v>
      </c>
      <c r="S74" s="300"/>
      <c r="T74" s="196" t="e">
        <f>+T50-T72</f>
        <v>#REF!</v>
      </c>
      <c r="U74" s="196"/>
      <c r="V74" s="196" t="e">
        <f>+V50-V72</f>
        <v>#REF!</v>
      </c>
      <c r="W74" s="300"/>
      <c r="X74" s="196" t="e">
        <f>+X50-X72</f>
        <v>#REF!</v>
      </c>
      <c r="Y74" s="197"/>
      <c r="Z74" s="196" t="e">
        <f ca="1">+Z50-Z72</f>
        <v>#REF!</v>
      </c>
      <c r="AA74" s="12" t="e">
        <f t="shared" ca="1" si="15"/>
        <v>#REF!</v>
      </c>
      <c r="AB74" s="14"/>
      <c r="AC74" s="14"/>
      <c r="AF74" s="457"/>
      <c r="AG74" s="12"/>
    </row>
    <row r="75" spans="1:35" ht="13.5" thickTop="1">
      <c r="A75" s="6" t="s">
        <v>411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14"/>
      <c r="Y75" s="14"/>
      <c r="Z75" s="7"/>
      <c r="AA75" s="12" t="e">
        <f t="shared" ca="1" si="15"/>
        <v>#REF!</v>
      </c>
      <c r="AB75" s="14"/>
      <c r="AC75" s="14"/>
      <c r="AF75" s="20"/>
    </row>
    <row r="76" spans="1:35" s="4" customFormat="1">
      <c r="A76" s="757" t="s">
        <v>614</v>
      </c>
      <c r="B76" s="17"/>
      <c r="C76" s="909">
        <f t="shared" ref="C76:C83" ca="1" si="33">+B76/$B$13</f>
        <v>0</v>
      </c>
      <c r="D76" s="201"/>
      <c r="E76" s="909">
        <f t="shared" ref="E76:E83" ca="1" si="34">IFERROR(D76/$D$13,0)</f>
        <v>0</v>
      </c>
      <c r="F76" s="17"/>
      <c r="G76" s="909">
        <f t="shared" ref="G76:G83" ca="1" si="35">IFERROR(F76/$F$13,0)</f>
        <v>0</v>
      </c>
      <c r="H76" s="17"/>
      <c r="I76" s="910">
        <f t="shared" ref="I76:I83" ca="1" si="36">IFERROR(H76/$H$13,0)</f>
        <v>0</v>
      </c>
      <c r="J76" s="17"/>
      <c r="K76" s="301">
        <f t="shared" ref="K76:K83" si="37">IFERROR(J76/$J$13,0)</f>
        <v>0</v>
      </c>
      <c r="L76" s="17"/>
      <c r="M76" s="302">
        <f t="shared" ref="M76:M83" si="38">IFERROR(L76/$L$13,0)</f>
        <v>0</v>
      </c>
      <c r="N76" s="17"/>
      <c r="O76" s="302">
        <f t="shared" ref="O76:O83" si="39">IFERROR(N76/$N$13,0)</f>
        <v>0</v>
      </c>
      <c r="P76" s="17"/>
      <c r="Q76" s="301">
        <f t="shared" ref="Q76:Q83" si="40">IFERROR(P76/$P$13,0)</f>
        <v>0</v>
      </c>
      <c r="R76" s="17"/>
      <c r="S76" s="301">
        <f t="shared" ref="S76:S83" si="41">IFERROR(R76/$R$13,0)</f>
        <v>0</v>
      </c>
      <c r="T76" s="17"/>
      <c r="U76" s="301">
        <f t="shared" ref="U76:U83" si="42">IFERROR(T76/$T$13,0)</f>
        <v>0</v>
      </c>
      <c r="V76" s="17"/>
      <c r="W76" s="301">
        <f t="shared" ref="W76:W89" si="43">IFERROR(V76/$V$13,0)</f>
        <v>0</v>
      </c>
      <c r="X76" s="14"/>
      <c r="Y76" s="301">
        <f t="shared" ref="Y76:Y83" si="44">IFERROR(X76/$X$13,0)</f>
        <v>0</v>
      </c>
      <c r="Z76" s="15">
        <f t="shared" ref="Z76:Z83" si="45">+B76+D76+F76+H76+J76+L76+N76+P76+R76+T76+V76+X76</f>
        <v>0</v>
      </c>
      <c r="AA76" s="12" t="e">
        <f t="shared" ca="1" si="15"/>
        <v>#REF!</v>
      </c>
      <c r="AB76" s="14"/>
      <c r="AC76" s="14"/>
      <c r="AE76" s="21"/>
      <c r="AF76" s="477"/>
      <c r="AG76"/>
      <c r="AH76"/>
      <c r="AI76"/>
    </row>
    <row r="77" spans="1:35" s="4" customFormat="1">
      <c r="A77" s="757" t="s">
        <v>615</v>
      </c>
      <c r="B77" s="17"/>
      <c r="C77" s="909">
        <f t="shared" ca="1" si="33"/>
        <v>0</v>
      </c>
      <c r="D77" s="17"/>
      <c r="E77" s="909">
        <f t="shared" ca="1" si="34"/>
        <v>0</v>
      </c>
      <c r="F77" s="17"/>
      <c r="G77" s="909">
        <f t="shared" ca="1" si="35"/>
        <v>0</v>
      </c>
      <c r="H77" s="17"/>
      <c r="I77" s="910">
        <f t="shared" ca="1" si="36"/>
        <v>0</v>
      </c>
      <c r="J77" s="17"/>
      <c r="K77" s="301">
        <f t="shared" si="37"/>
        <v>0</v>
      </c>
      <c r="L77" s="17"/>
      <c r="M77" s="302">
        <f t="shared" si="38"/>
        <v>0</v>
      </c>
      <c r="N77" s="17"/>
      <c r="O77" s="302">
        <f t="shared" si="39"/>
        <v>0</v>
      </c>
      <c r="P77" s="17"/>
      <c r="Q77" s="301">
        <f t="shared" si="40"/>
        <v>0</v>
      </c>
      <c r="R77" s="17"/>
      <c r="S77" s="301">
        <f t="shared" si="41"/>
        <v>0</v>
      </c>
      <c r="T77" s="17"/>
      <c r="U77" s="301">
        <f t="shared" si="42"/>
        <v>0</v>
      </c>
      <c r="V77" s="17"/>
      <c r="W77" s="301">
        <f t="shared" si="43"/>
        <v>0</v>
      </c>
      <c r="X77" s="14"/>
      <c r="Y77" s="301">
        <f t="shared" si="44"/>
        <v>0</v>
      </c>
      <c r="Z77" s="15">
        <f t="shared" si="45"/>
        <v>0</v>
      </c>
      <c r="AA77" s="12" t="e">
        <f t="shared" ca="1" si="15"/>
        <v>#REF!</v>
      </c>
      <c r="AB77" s="14"/>
      <c r="AC77" s="14"/>
      <c r="AF77" s="144"/>
      <c r="AI77" s="150"/>
    </row>
    <row r="78" spans="1:35" s="4" customFormat="1">
      <c r="A78" s="757" t="s">
        <v>72</v>
      </c>
      <c r="B78" s="17"/>
      <c r="C78" s="909">
        <f t="shared" ca="1" si="33"/>
        <v>0</v>
      </c>
      <c r="D78" s="17"/>
      <c r="E78" s="909">
        <f t="shared" ca="1" si="34"/>
        <v>0</v>
      </c>
      <c r="F78" s="17"/>
      <c r="G78" s="909">
        <f t="shared" ca="1" si="35"/>
        <v>0</v>
      </c>
      <c r="H78" s="17"/>
      <c r="I78" s="910">
        <f t="shared" ca="1" si="36"/>
        <v>0</v>
      </c>
      <c r="J78" s="17"/>
      <c r="K78" s="301">
        <f t="shared" si="37"/>
        <v>0</v>
      </c>
      <c r="L78" s="17"/>
      <c r="M78" s="302">
        <f t="shared" si="38"/>
        <v>0</v>
      </c>
      <c r="N78" s="17"/>
      <c r="O78" s="302">
        <f t="shared" si="39"/>
        <v>0</v>
      </c>
      <c r="P78" s="17"/>
      <c r="Q78" s="301">
        <f t="shared" si="40"/>
        <v>0</v>
      </c>
      <c r="R78" s="17"/>
      <c r="S78" s="301">
        <f t="shared" si="41"/>
        <v>0</v>
      </c>
      <c r="T78" s="17"/>
      <c r="U78" s="301">
        <f t="shared" si="42"/>
        <v>0</v>
      </c>
      <c r="V78" s="17"/>
      <c r="W78" s="301">
        <f t="shared" si="43"/>
        <v>0</v>
      </c>
      <c r="X78" s="17"/>
      <c r="Y78" s="301">
        <f t="shared" si="44"/>
        <v>0</v>
      </c>
      <c r="Z78" s="15">
        <f t="shared" si="45"/>
        <v>0</v>
      </c>
      <c r="AA78" s="12" t="e">
        <f t="shared" ca="1" si="15"/>
        <v>#REF!</v>
      </c>
      <c r="AB78" s="14"/>
      <c r="AC78" s="14"/>
    </row>
    <row r="79" spans="1:35" s="4" customFormat="1">
      <c r="A79" s="757" t="s">
        <v>616</v>
      </c>
      <c r="B79" s="17"/>
      <c r="C79" s="909">
        <f t="shared" ca="1" si="33"/>
        <v>0</v>
      </c>
      <c r="D79" s="17"/>
      <c r="E79" s="909">
        <f t="shared" ca="1" si="34"/>
        <v>0</v>
      </c>
      <c r="F79" s="17"/>
      <c r="G79" s="909">
        <f t="shared" ca="1" si="35"/>
        <v>0</v>
      </c>
      <c r="H79" s="17"/>
      <c r="I79" s="910">
        <f t="shared" ca="1" si="36"/>
        <v>0</v>
      </c>
      <c r="J79" s="17"/>
      <c r="K79" s="301">
        <f t="shared" si="37"/>
        <v>0</v>
      </c>
      <c r="L79" s="17"/>
      <c r="M79" s="302">
        <f t="shared" si="38"/>
        <v>0</v>
      </c>
      <c r="N79" s="17"/>
      <c r="O79" s="302">
        <f t="shared" si="39"/>
        <v>0</v>
      </c>
      <c r="P79" s="17"/>
      <c r="Q79" s="302">
        <f t="shared" si="40"/>
        <v>0</v>
      </c>
      <c r="R79" s="17"/>
      <c r="S79" s="301">
        <f t="shared" si="41"/>
        <v>0</v>
      </c>
      <c r="T79" s="17"/>
      <c r="U79" s="301">
        <f t="shared" si="42"/>
        <v>0</v>
      </c>
      <c r="V79" s="17"/>
      <c r="W79" s="301">
        <f t="shared" si="43"/>
        <v>0</v>
      </c>
      <c r="X79" s="14"/>
      <c r="Y79" s="301">
        <f t="shared" si="44"/>
        <v>0</v>
      </c>
      <c r="Z79" s="15">
        <f t="shared" si="45"/>
        <v>0</v>
      </c>
      <c r="AA79" s="12" t="e">
        <f t="shared" ca="1" si="15"/>
        <v>#REF!</v>
      </c>
      <c r="AB79" s="14"/>
      <c r="AC79" s="14"/>
    </row>
    <row r="80" spans="1:35" s="4" customFormat="1">
      <c r="A80" s="757" t="s">
        <v>617</v>
      </c>
      <c r="B80" s="17"/>
      <c r="C80" s="909">
        <f t="shared" ca="1" si="33"/>
        <v>0</v>
      </c>
      <c r="D80" s="17"/>
      <c r="E80" s="909">
        <f t="shared" ca="1" si="34"/>
        <v>0</v>
      </c>
      <c r="F80" s="17"/>
      <c r="G80" s="909">
        <f t="shared" ca="1" si="35"/>
        <v>0</v>
      </c>
      <c r="H80" s="17"/>
      <c r="I80" s="910">
        <f t="shared" ca="1" si="36"/>
        <v>0</v>
      </c>
      <c r="J80" s="17"/>
      <c r="K80" s="301">
        <f t="shared" si="37"/>
        <v>0</v>
      </c>
      <c r="L80" s="17"/>
      <c r="M80" s="302">
        <f t="shared" si="38"/>
        <v>0</v>
      </c>
      <c r="N80" s="17"/>
      <c r="O80" s="302">
        <f t="shared" si="39"/>
        <v>0</v>
      </c>
      <c r="P80" s="17"/>
      <c r="Q80" s="301">
        <f t="shared" si="40"/>
        <v>0</v>
      </c>
      <c r="R80" s="17"/>
      <c r="S80" s="301">
        <f t="shared" si="41"/>
        <v>0</v>
      </c>
      <c r="T80" s="17"/>
      <c r="U80" s="301">
        <f t="shared" si="42"/>
        <v>0</v>
      </c>
      <c r="V80" s="17"/>
      <c r="W80" s="301">
        <f t="shared" si="43"/>
        <v>0</v>
      </c>
      <c r="X80" s="14"/>
      <c r="Y80" s="301">
        <f t="shared" si="44"/>
        <v>0</v>
      </c>
      <c r="Z80" s="15">
        <f t="shared" si="45"/>
        <v>0</v>
      </c>
      <c r="AA80" s="12" t="e">
        <f t="shared" ref="AA80:AA89" ca="1" si="46">+Z80/$Z$13</f>
        <v>#REF!</v>
      </c>
      <c r="AB80" s="17"/>
      <c r="AC80" s="14"/>
      <c r="AE80"/>
      <c r="AF80" s="493"/>
      <c r="AG80" s="469"/>
      <c r="AH80"/>
    </row>
    <row r="81" spans="1:35" s="4" customFormat="1">
      <c r="A81" s="423" t="s">
        <v>74</v>
      </c>
      <c r="B81" s="17">
        <f ca="1">+'Q&amp;KPIs USD2025'!C262</f>
        <v>1134</v>
      </c>
      <c r="C81" s="909">
        <f t="shared" ca="1" si="33"/>
        <v>0.41570000000000001</v>
      </c>
      <c r="D81" s="17">
        <f ca="1">+'Q&amp;KPIs USD2025'!E262</f>
        <v>1112</v>
      </c>
      <c r="E81" s="909">
        <f t="shared" ca="1" si="34"/>
        <v>0.40760000000000002</v>
      </c>
      <c r="F81" s="17">
        <f ca="1">+'Q&amp;KPIs USD2025'!G262</f>
        <v>1112</v>
      </c>
      <c r="G81" s="909">
        <f t="shared" ca="1" si="35"/>
        <v>0.40760000000000002</v>
      </c>
      <c r="H81" s="17">
        <f ca="1">+'Q&amp;KPIs USD2025'!K262</f>
        <v>302</v>
      </c>
      <c r="I81" s="910">
        <f t="shared" ca="1" si="36"/>
        <v>0.111</v>
      </c>
      <c r="J81" s="17" t="e">
        <f>+'Q&amp;KPIs USD2025'!M262</f>
        <v>#REF!</v>
      </c>
      <c r="K81" s="301">
        <f t="shared" si="37"/>
        <v>0</v>
      </c>
      <c r="L81" s="17" t="e">
        <f>+'Q&amp;KPIs USD2025'!O262</f>
        <v>#REF!</v>
      </c>
      <c r="M81" s="302">
        <f t="shared" si="38"/>
        <v>0</v>
      </c>
      <c r="N81" s="17" t="e">
        <f>+'Q&amp;KPIs USD2025'!S262</f>
        <v>#REF!</v>
      </c>
      <c r="O81" s="302">
        <f t="shared" si="39"/>
        <v>0</v>
      </c>
      <c r="P81" s="17" t="e">
        <f>+'Q&amp;KPIs USD2025'!U262</f>
        <v>#REF!</v>
      </c>
      <c r="Q81" s="301">
        <f t="shared" si="40"/>
        <v>0</v>
      </c>
      <c r="R81" s="17" t="e">
        <f>+'Q&amp;KPIs USD2025'!W262</f>
        <v>#REF!</v>
      </c>
      <c r="S81" s="301">
        <f t="shared" si="41"/>
        <v>0</v>
      </c>
      <c r="T81" s="17" t="e">
        <f>+'Q&amp;KPIs USD2025'!AA262</f>
        <v>#REF!</v>
      </c>
      <c r="U81" s="301">
        <f t="shared" si="42"/>
        <v>0</v>
      </c>
      <c r="V81" s="17" t="e">
        <f>+'Q&amp;KPIs USD2025'!AC262</f>
        <v>#REF!</v>
      </c>
      <c r="W81" s="301">
        <f t="shared" si="43"/>
        <v>0</v>
      </c>
      <c r="X81" s="17" t="e">
        <f>+'Q&amp;KPIs USD2025'!AE262</f>
        <v>#REF!</v>
      </c>
      <c r="Y81" s="301">
        <f t="shared" si="44"/>
        <v>0</v>
      </c>
      <c r="Z81" s="15" t="e">
        <f t="shared" ca="1" si="45"/>
        <v>#REF!</v>
      </c>
      <c r="AA81" s="12" t="e">
        <f t="shared" ca="1" si="46"/>
        <v>#REF!</v>
      </c>
      <c r="AB81" s="14"/>
      <c r="AC81" s="14"/>
      <c r="AE81"/>
      <c r="AF81"/>
      <c r="AG81" s="470"/>
      <c r="AH81"/>
    </row>
    <row r="82" spans="1:35">
      <c r="A82" s="757" t="s">
        <v>75</v>
      </c>
      <c r="B82" s="17"/>
      <c r="C82" s="909">
        <f t="shared" ca="1" si="33"/>
        <v>0</v>
      </c>
      <c r="D82" s="17"/>
      <c r="E82" s="909">
        <f t="shared" ca="1" si="34"/>
        <v>0</v>
      </c>
      <c r="F82" s="17"/>
      <c r="G82" s="909">
        <f t="shared" ca="1" si="35"/>
        <v>0</v>
      </c>
      <c r="H82" s="17"/>
      <c r="I82" s="910">
        <f t="shared" ca="1" si="36"/>
        <v>0</v>
      </c>
      <c r="J82" s="17"/>
      <c r="K82" s="301">
        <f t="shared" si="37"/>
        <v>0</v>
      </c>
      <c r="L82" s="17"/>
      <c r="M82" s="302">
        <f t="shared" si="38"/>
        <v>0</v>
      </c>
      <c r="N82" s="17"/>
      <c r="O82" s="302">
        <f t="shared" si="39"/>
        <v>0</v>
      </c>
      <c r="P82" s="17"/>
      <c r="Q82" s="301">
        <f t="shared" si="40"/>
        <v>0</v>
      </c>
      <c r="R82" s="17"/>
      <c r="S82" s="301">
        <f t="shared" si="41"/>
        <v>0</v>
      </c>
      <c r="T82" s="17"/>
      <c r="U82" s="301">
        <f t="shared" si="42"/>
        <v>0</v>
      </c>
      <c r="V82" s="17"/>
      <c r="W82" s="301">
        <f t="shared" si="43"/>
        <v>0</v>
      </c>
      <c r="X82" s="14"/>
      <c r="Y82" s="301">
        <f t="shared" si="44"/>
        <v>0</v>
      </c>
      <c r="Z82" s="15">
        <f t="shared" si="45"/>
        <v>0</v>
      </c>
      <c r="AA82" s="12" t="e">
        <f t="shared" ca="1" si="46"/>
        <v>#REF!</v>
      </c>
      <c r="AB82" s="14"/>
      <c r="AC82" s="14"/>
      <c r="AE82" s="914"/>
      <c r="AF82" s="150"/>
      <c r="AH82" s="4"/>
      <c r="AI82" s="4"/>
    </row>
    <row r="83" spans="1:35" ht="13.5" thickBot="1">
      <c r="A83" s="6" t="s">
        <v>412</v>
      </c>
      <c r="B83" s="38">
        <f ca="1">SUM(B76:B82)</f>
        <v>1134</v>
      </c>
      <c r="C83" s="909">
        <f t="shared" ca="1" si="33"/>
        <v>0.41570000000000001</v>
      </c>
      <c r="D83" s="38">
        <f t="shared" ref="D83:X83" ca="1" si="47">SUM(D76:D82)</f>
        <v>1112</v>
      </c>
      <c r="E83" s="909">
        <f t="shared" ca="1" si="34"/>
        <v>0.40760000000000002</v>
      </c>
      <c r="F83" s="38">
        <f t="shared" ca="1" si="47"/>
        <v>1112</v>
      </c>
      <c r="G83" s="909">
        <f t="shared" ca="1" si="35"/>
        <v>0.40760000000000002</v>
      </c>
      <c r="H83" s="38">
        <f t="shared" ca="1" si="47"/>
        <v>302</v>
      </c>
      <c r="I83" s="910">
        <f t="shared" ca="1" si="36"/>
        <v>0.111</v>
      </c>
      <c r="J83" s="38" t="e">
        <f t="shared" si="47"/>
        <v>#REF!</v>
      </c>
      <c r="K83" s="301">
        <f t="shared" si="37"/>
        <v>0</v>
      </c>
      <c r="L83" s="38" t="e">
        <f t="shared" si="47"/>
        <v>#REF!</v>
      </c>
      <c r="M83" s="302">
        <f t="shared" si="38"/>
        <v>0</v>
      </c>
      <c r="N83" s="38" t="e">
        <f t="shared" si="47"/>
        <v>#REF!</v>
      </c>
      <c r="O83" s="302">
        <f t="shared" si="39"/>
        <v>0</v>
      </c>
      <c r="P83" s="38" t="e">
        <f t="shared" si="47"/>
        <v>#REF!</v>
      </c>
      <c r="Q83" s="301">
        <f t="shared" si="40"/>
        <v>0</v>
      </c>
      <c r="R83" s="38" t="e">
        <f>SUM(R76:R82)</f>
        <v>#REF!</v>
      </c>
      <c r="S83" s="301">
        <f t="shared" si="41"/>
        <v>0</v>
      </c>
      <c r="T83" s="38" t="e">
        <f t="shared" si="47"/>
        <v>#REF!</v>
      </c>
      <c r="U83" s="301">
        <f t="shared" si="42"/>
        <v>0</v>
      </c>
      <c r="V83" s="38" t="e">
        <f t="shared" si="47"/>
        <v>#REF!</v>
      </c>
      <c r="W83" s="301">
        <f t="shared" si="43"/>
        <v>0</v>
      </c>
      <c r="X83" s="38" t="e">
        <f t="shared" si="47"/>
        <v>#REF!</v>
      </c>
      <c r="Y83" s="301">
        <f t="shared" si="44"/>
        <v>0</v>
      </c>
      <c r="Z83" s="38" t="e">
        <f t="shared" ca="1" si="45"/>
        <v>#REF!</v>
      </c>
      <c r="AA83" s="12" t="e">
        <f t="shared" ca="1" si="46"/>
        <v>#REF!</v>
      </c>
      <c r="AB83" s="14"/>
      <c r="AC83" s="14"/>
      <c r="AE83" s="4"/>
      <c r="AF83" s="150"/>
      <c r="AG83" s="4"/>
      <c r="AH83" s="4"/>
      <c r="AI83" s="4"/>
    </row>
    <row r="84" spans="1:35" ht="13.5" thickTop="1">
      <c r="A84" s="757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301">
        <f t="shared" si="43"/>
        <v>0</v>
      </c>
      <c r="X84" s="14"/>
      <c r="Y84" s="14"/>
      <c r="Z84" s="15"/>
      <c r="AA84" s="12" t="e">
        <f t="shared" ca="1" si="46"/>
        <v>#REF!</v>
      </c>
      <c r="AB84" s="14"/>
      <c r="AC84" s="14"/>
      <c r="AE84" s="4"/>
      <c r="AF84" s="472"/>
      <c r="AH84" s="4"/>
      <c r="AI84" s="4"/>
    </row>
    <row r="85" spans="1:35" ht="13.5" thickBot="1">
      <c r="A85" s="6" t="s">
        <v>413</v>
      </c>
      <c r="B85" s="14">
        <f ca="1">+B13-B49-B72-B83</f>
        <v>69</v>
      </c>
      <c r="C85" s="14"/>
      <c r="D85" s="14">
        <f ca="1">+D13-D49-D72-D83</f>
        <v>440</v>
      </c>
      <c r="E85" s="14"/>
      <c r="F85" s="14">
        <f ca="1">+F13-F49-F72-F83</f>
        <v>440</v>
      </c>
      <c r="G85" s="14"/>
      <c r="H85" s="14">
        <f ca="1">+H13-H49-H72-H83</f>
        <v>-684</v>
      </c>
      <c r="I85" s="14"/>
      <c r="J85" s="14" t="e">
        <f>+J13-J49-J72-J83</f>
        <v>#REF!</v>
      </c>
      <c r="K85" s="301">
        <f>IFERROR(J85/$J$13,0)</f>
        <v>0</v>
      </c>
      <c r="L85" s="14" t="e">
        <f>+L13-L49-L72-L83</f>
        <v>#REF!</v>
      </c>
      <c r="M85" s="302">
        <f>IFERROR(L85/$L$13,0)</f>
        <v>0</v>
      </c>
      <c r="N85" s="14" t="e">
        <f>+N13-N49-N72-N83</f>
        <v>#REF!</v>
      </c>
      <c r="O85" s="302">
        <f>IFERROR(N85/$N$13,0)</f>
        <v>0</v>
      </c>
      <c r="P85" s="14" t="e">
        <f>+P13-P49-P72-P83</f>
        <v>#REF!</v>
      </c>
      <c r="Q85" s="301">
        <f>IFERROR(P85/$P$13,0)</f>
        <v>0</v>
      </c>
      <c r="R85" s="14" t="e">
        <f>+R13-R49-R72-R83</f>
        <v>#REF!</v>
      </c>
      <c r="S85" s="301">
        <f>IFERROR(R85/$R$13,0)</f>
        <v>0</v>
      </c>
      <c r="T85" s="14" t="e">
        <f>+T13-T49-T72-T83</f>
        <v>#REF!</v>
      </c>
      <c r="U85" s="301">
        <f>IFERROR(T85/$T$13,0)</f>
        <v>0</v>
      </c>
      <c r="V85" s="14" t="e">
        <f>+V13-V49-V72-V83</f>
        <v>#REF!</v>
      </c>
      <c r="W85" s="301">
        <f t="shared" si="43"/>
        <v>0</v>
      </c>
      <c r="X85" s="14" t="e">
        <f>+X13-X49-X72-X83</f>
        <v>#REF!</v>
      </c>
      <c r="Y85" s="301">
        <f>IFERROR(X85/$X$13,0)</f>
        <v>0</v>
      </c>
      <c r="Z85" s="14" t="e">
        <f ca="1">+Z13-Z49-Z72-Z83</f>
        <v>#REF!</v>
      </c>
      <c r="AA85" s="12" t="e">
        <f t="shared" ca="1" si="46"/>
        <v>#REF!</v>
      </c>
      <c r="AB85" s="14"/>
      <c r="AC85" s="14"/>
      <c r="AE85" s="4"/>
      <c r="AF85" s="457"/>
      <c r="AG85" s="471"/>
      <c r="AH85" s="4"/>
      <c r="AI85" s="4"/>
    </row>
    <row r="86" spans="1:35" ht="13.5" thickTop="1">
      <c r="A86" s="757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302">
        <f>IFERROR(L86/$L$13,0)</f>
        <v>0</v>
      </c>
      <c r="N86" s="14"/>
      <c r="O86" s="302">
        <f>IFERROR(N86/$N$13,0)</f>
        <v>0</v>
      </c>
      <c r="P86" s="14"/>
      <c r="Q86" s="301">
        <f>IFERROR(P86/$P$13,0)</f>
        <v>0</v>
      </c>
      <c r="R86" s="14"/>
      <c r="S86" s="301">
        <f>IFERROR(R86/$R$13,0)</f>
        <v>0</v>
      </c>
      <c r="T86" s="14"/>
      <c r="U86" s="301">
        <f>IFERROR(T86/$T$13,0)</f>
        <v>0</v>
      </c>
      <c r="V86" s="14"/>
      <c r="W86" s="301">
        <f t="shared" si="43"/>
        <v>0</v>
      </c>
      <c r="X86" s="14"/>
      <c r="Y86" s="301">
        <f>IFERROR(X86/$X$13,0)</f>
        <v>0</v>
      </c>
      <c r="Z86" s="15"/>
      <c r="AA86" s="12"/>
      <c r="AB86" s="14"/>
      <c r="AC86" s="14"/>
      <c r="AE86" s="239"/>
      <c r="AF86" s="239"/>
      <c r="AG86" s="239"/>
      <c r="AH86" s="4"/>
      <c r="AI86" s="4"/>
    </row>
    <row r="87" spans="1:35" s="4" customFormat="1">
      <c r="A87" s="6" t="s">
        <v>415</v>
      </c>
      <c r="B87" s="144"/>
      <c r="C87" s="909">
        <f ca="1">+B87/$B$13</f>
        <v>0</v>
      </c>
      <c r="D87" s="144"/>
      <c r="E87" s="909">
        <f ca="1">IFERROR(D87/$D$13,0)</f>
        <v>0</v>
      </c>
      <c r="F87" s="144"/>
      <c r="G87" s="909">
        <f ca="1">IFERROR(F87/$F$13,0)</f>
        <v>0</v>
      </c>
      <c r="H87" s="144"/>
      <c r="I87" s="910">
        <f ca="1">IFERROR(H87/$H$13,0)</f>
        <v>0</v>
      </c>
      <c r="J87" s="144"/>
      <c r="K87" s="301">
        <f>IFERROR(J87/$J$13,0)</f>
        <v>0</v>
      </c>
      <c r="L87" s="144"/>
      <c r="M87" s="302">
        <f>IFERROR(L87/$L$13,0)</f>
        <v>0</v>
      </c>
      <c r="N87" s="144"/>
      <c r="O87" s="302">
        <f>IFERROR(N87/$N$13,0)</f>
        <v>0</v>
      </c>
      <c r="P87" s="144"/>
      <c r="Q87" s="301">
        <f>IFERROR(P87/$P$13,0)</f>
        <v>0</v>
      </c>
      <c r="R87" s="144"/>
      <c r="S87" s="301">
        <f>IFERROR(R87/$R$13,0)</f>
        <v>0</v>
      </c>
      <c r="T87" s="144"/>
      <c r="U87" s="301">
        <f>IFERROR(T87/$T$13,0)</f>
        <v>0</v>
      </c>
      <c r="V87" s="144"/>
      <c r="W87" s="301">
        <f t="shared" si="43"/>
        <v>0</v>
      </c>
      <c r="X87" s="144"/>
      <c r="Y87" s="301">
        <f>IFERROR(X87/$X$13,0)</f>
        <v>0</v>
      </c>
      <c r="Z87" s="15">
        <f>+B87+D87+F87+H87+J87+L87+N87+P87+R87+T87+V87+X87</f>
        <v>0</v>
      </c>
      <c r="AA87" s="12" t="e">
        <f t="shared" ca="1" si="46"/>
        <v>#REF!</v>
      </c>
      <c r="AB87" s="912"/>
      <c r="AC87" s="302"/>
      <c r="AD87" s="144"/>
      <c r="AF87" s="150"/>
      <c r="AG87" s="914"/>
      <c r="AH87" s="914"/>
    </row>
    <row r="88" spans="1:35">
      <c r="A88" s="757" t="s">
        <v>59</v>
      </c>
      <c r="B88" s="20"/>
      <c r="C88" s="20"/>
      <c r="D88" s="20"/>
      <c r="E88" s="909">
        <f ca="1">IFERROR(D88/$D$13,0)</f>
        <v>0</v>
      </c>
      <c r="F88" s="20"/>
      <c r="G88" s="20"/>
      <c r="H88" s="20"/>
      <c r="I88" s="20"/>
      <c r="J88" s="20"/>
      <c r="K88" s="20"/>
      <c r="L88" s="20"/>
      <c r="M88" s="302">
        <f>IFERROR(L88/$L$13,0)</f>
        <v>0</v>
      </c>
      <c r="N88" s="20"/>
      <c r="O88" s="302">
        <f>IFERROR(N88/$N$13,0)</f>
        <v>0</v>
      </c>
      <c r="P88" s="20"/>
      <c r="Q88" s="301">
        <f>IFERROR(P88/$P$13,0)</f>
        <v>0</v>
      </c>
      <c r="R88" s="20"/>
      <c r="S88" s="301">
        <f>IFERROR(R88/$R$13,0)</f>
        <v>0</v>
      </c>
      <c r="T88" s="20"/>
      <c r="U88" s="301">
        <f>IFERROR(T88/$T$13,0)</f>
        <v>0</v>
      </c>
      <c r="V88" s="20"/>
      <c r="W88" s="301">
        <f t="shared" si="43"/>
        <v>0</v>
      </c>
      <c r="X88" s="20"/>
      <c r="Y88" s="20"/>
      <c r="Z88" s="15"/>
      <c r="AA88" s="12" t="e">
        <f t="shared" ca="1" si="46"/>
        <v>#REF!</v>
      </c>
      <c r="AB88" s="157"/>
      <c r="AC88" s="14"/>
      <c r="AE88" s="4"/>
      <c r="AF88" s="150"/>
      <c r="AG88" s="914"/>
      <c r="AH88" s="150"/>
      <c r="AI88" s="4"/>
    </row>
    <row r="89" spans="1:35" s="1" customFormat="1" ht="13.5" thickBot="1">
      <c r="A89" s="6" t="s">
        <v>416</v>
      </c>
      <c r="B89" s="26">
        <f ca="1">B13-B49-B72-B83-B87</f>
        <v>69</v>
      </c>
      <c r="C89" s="909">
        <f ca="1">+B89/$B$13</f>
        <v>2.53E-2</v>
      </c>
      <c r="D89" s="26">
        <f ca="1">D13-D49-D72-D83-D87</f>
        <v>440</v>
      </c>
      <c r="E89" s="909">
        <f ca="1">IFERROR(D89/$D$13,0)</f>
        <v>0.1613</v>
      </c>
      <c r="F89" s="26">
        <f ca="1">F13-F49-F72-F83-F87</f>
        <v>440</v>
      </c>
      <c r="G89" s="909">
        <f ca="1">IFERROR(F89/$F$13,0)</f>
        <v>0.1613</v>
      </c>
      <c r="H89" s="26">
        <f ca="1">H13-H49-H72-H83-H87</f>
        <v>-684</v>
      </c>
      <c r="I89" s="910">
        <f ca="1">IFERROR(H89/$H$13,0)</f>
        <v>-0.251</v>
      </c>
      <c r="J89" s="26" t="e">
        <f>J13-J49-J72-J83-J87</f>
        <v>#REF!</v>
      </c>
      <c r="K89" s="301">
        <f>IFERROR(J89/$J$13,0)</f>
        <v>0</v>
      </c>
      <c r="L89" s="26" t="e">
        <f>L13-L49-L72-L83-L87</f>
        <v>#REF!</v>
      </c>
      <c r="M89" s="302">
        <f>IFERROR(L89/$L$13,0)</f>
        <v>0</v>
      </c>
      <c r="N89" s="26" t="e">
        <f>N13-N49-N72-N83-N87</f>
        <v>#REF!</v>
      </c>
      <c r="O89" s="302">
        <f>IFERROR(N89/$N$13,0)</f>
        <v>0</v>
      </c>
      <c r="P89" s="26" t="e">
        <f>P13-P49-P72-P83-P87</f>
        <v>#REF!</v>
      </c>
      <c r="Q89" s="301">
        <f>IFERROR(P89/$P$13,0)</f>
        <v>0</v>
      </c>
      <c r="R89" s="26" t="e">
        <f>R13-R49-R72-R83-R87</f>
        <v>#REF!</v>
      </c>
      <c r="S89" s="301">
        <f>IFERROR(R89/$R$13,0)</f>
        <v>0</v>
      </c>
      <c r="T89" s="26" t="e">
        <f>T13-T49-T72-T83-T87</f>
        <v>#REF!</v>
      </c>
      <c r="U89" s="301">
        <f>IFERROR(T89/$T$13,0)</f>
        <v>0</v>
      </c>
      <c r="V89" s="26" t="e">
        <f>V13-V49-V72-V83-V87</f>
        <v>#REF!</v>
      </c>
      <c r="W89" s="301">
        <f t="shared" si="43"/>
        <v>0</v>
      </c>
      <c r="X89" s="26" t="e">
        <f>X13-X49-X72-X83-X87</f>
        <v>#REF!</v>
      </c>
      <c r="Y89" s="301">
        <f>IFERROR(X89/$X$13,0)</f>
        <v>0</v>
      </c>
      <c r="Z89" s="26" t="e">
        <f ca="1">Z13-Z49-Z72-Z83-Z87</f>
        <v>#REF!</v>
      </c>
      <c r="AA89" s="12" t="e">
        <f t="shared" ca="1" si="46"/>
        <v>#REF!</v>
      </c>
      <c r="AB89" s="154"/>
      <c r="AC89" s="152"/>
      <c r="AE89" s="150"/>
      <c r="AF89" s="474"/>
      <c r="AG89" s="4"/>
      <c r="AH89" s="150"/>
      <c r="AI89" s="4"/>
    </row>
    <row r="90" spans="1:35">
      <c r="A90" s="75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7"/>
      <c r="AB90" s="14"/>
      <c r="AC90" s="14"/>
      <c r="AE90" s="4"/>
      <c r="AF90" s="150"/>
      <c r="AG90" s="4"/>
      <c r="AH90" s="150"/>
      <c r="AI90" s="4"/>
    </row>
    <row r="91" spans="1:35">
      <c r="A91" s="6" t="s">
        <v>417</v>
      </c>
      <c r="B91" s="12">
        <f ca="1">+B89/B13</f>
        <v>2.53E-2</v>
      </c>
      <c r="C91" s="251"/>
      <c r="D91" s="12">
        <f ca="1">IFERROR(D89/D13,0)</f>
        <v>0.1613</v>
      </c>
      <c r="E91" s="251"/>
      <c r="F91" s="12">
        <f ca="1">IFERROR(F89/F13,0)</f>
        <v>0.1613</v>
      </c>
      <c r="G91" s="251"/>
      <c r="H91" s="12">
        <f ca="1">IFERROR(H89/H13,0)</f>
        <v>-0.25069999999999998</v>
      </c>
      <c r="I91" s="251"/>
      <c r="J91" s="12">
        <f>IFERROR(J89/J13,0)</f>
        <v>0</v>
      </c>
      <c r="K91" s="251"/>
      <c r="L91" s="12">
        <f>IFERROR(L89/L13,0)</f>
        <v>0</v>
      </c>
      <c r="M91" s="251"/>
      <c r="N91" s="12">
        <f>IFERROR(N89/N13,0)</f>
        <v>0</v>
      </c>
      <c r="O91" s="12"/>
      <c r="P91" s="12">
        <f>IFERROR(P89/P13,0)</f>
        <v>0</v>
      </c>
      <c r="Q91" s="12"/>
      <c r="R91" s="12">
        <f>IFERROR(R89/R13,0)</f>
        <v>0</v>
      </c>
      <c r="S91" s="251"/>
      <c r="T91" s="12">
        <f>IFERROR(T89/T13,0)</f>
        <v>0</v>
      </c>
      <c r="U91" s="12"/>
      <c r="V91" s="12">
        <f>IFERROR(V89/V13,0)</f>
        <v>0</v>
      </c>
      <c r="W91" s="251"/>
      <c r="X91" s="12">
        <f>IFERROR(X89/X13,0)</f>
        <v>0</v>
      </c>
      <c r="Y91" s="12"/>
      <c r="Z91" s="142" t="e">
        <f ca="1">+Z89/Z13</f>
        <v>#REF!</v>
      </c>
      <c r="AB91" s="487"/>
      <c r="AC91" s="493"/>
      <c r="AE91" s="4"/>
      <c r="AF91" s="150"/>
      <c r="AG91" s="4"/>
      <c r="AH91" s="4"/>
      <c r="AI91" s="4"/>
    </row>
    <row r="92" spans="1:35" s="48" customFormat="1">
      <c r="A92" s="138" t="s">
        <v>541</v>
      </c>
      <c r="B92" s="139">
        <f ca="1">B89+B87+B78+B69+B46+B45+B70+B81</f>
        <v>1203</v>
      </c>
      <c r="C92" s="139"/>
      <c r="D92" s="139">
        <f ca="1">D89+D87+D78+D69+D46+D45+D70+D81</f>
        <v>1552</v>
      </c>
      <c r="E92" s="139"/>
      <c r="F92" s="139">
        <f ca="1">F89+F87+F78+F69+F46+F45+F70+F81</f>
        <v>1552</v>
      </c>
      <c r="G92" s="139"/>
      <c r="H92" s="139">
        <f ca="1">H89+H87+H78+H69+H46+H45+H70+H81</f>
        <v>-382</v>
      </c>
      <c r="I92" s="139"/>
      <c r="J92" s="139" t="e">
        <f>J89+J87+J78+J69+J46+J45+J70+J81</f>
        <v>#REF!</v>
      </c>
      <c r="K92" s="139"/>
      <c r="L92" s="139" t="e">
        <f>L89+L87+L78+L69+L46+L45+L70+L81</f>
        <v>#REF!</v>
      </c>
      <c r="M92" s="139"/>
      <c r="N92" s="139" t="e">
        <f>N89+N87+N78+N69+N46+N45+N70+N81</f>
        <v>#REF!</v>
      </c>
      <c r="O92" s="139"/>
      <c r="P92" s="139" t="e">
        <f>P89+P87+P78+P69+P46+P45+P70+P81</f>
        <v>#REF!</v>
      </c>
      <c r="Q92" s="139"/>
      <c r="R92" s="139" t="e">
        <f>R89+R87+R78+R69+R46+R45+R70+R81</f>
        <v>#REF!</v>
      </c>
      <c r="S92" s="139"/>
      <c r="T92" s="139" t="e">
        <f>T89+T87+T78+T69+T46+T45+T70+T81</f>
        <v>#REF!</v>
      </c>
      <c r="U92" s="139"/>
      <c r="V92" s="139" t="e">
        <f>V89+V87+V78+V69+V46+V45+V70+V81</f>
        <v>#REF!</v>
      </c>
      <c r="W92" s="139"/>
      <c r="X92" s="139" t="e">
        <f>X89+X87+X78+X69+X46+X45+X70+X81</f>
        <v>#REF!</v>
      </c>
      <c r="Y92" s="139"/>
      <c r="Z92" s="139" t="e">
        <f ca="1">Z89+Z87+Z78+Z69+Z46+Z45+Z70+Z81</f>
        <v>#REF!</v>
      </c>
      <c r="AA92" s="140"/>
      <c r="AB92" s="14"/>
      <c r="AC92" s="138"/>
      <c r="AD92" s="138"/>
      <c r="AE92" s="4"/>
      <c r="AF92" s="493"/>
      <c r="AG92" s="4"/>
      <c r="AH92" s="4"/>
      <c r="AI92" s="4"/>
    </row>
    <row r="93" spans="1:35">
      <c r="AB93" s="14"/>
      <c r="AE93" s="4"/>
      <c r="AF93" s="4"/>
      <c r="AG93" s="4"/>
      <c r="AH93" s="4"/>
      <c r="AI93" s="4"/>
    </row>
    <row r="94" spans="1:35">
      <c r="A94" s="576" t="s">
        <v>659</v>
      </c>
      <c r="B94" s="577">
        <f ca="1">+B85*0.9</f>
        <v>62</v>
      </c>
      <c r="C94" s="577"/>
      <c r="D94" s="577">
        <f ca="1">+D85*0.9</f>
        <v>396</v>
      </c>
      <c r="E94" s="577"/>
      <c r="F94" s="577">
        <f ca="1">+F85*0.9</f>
        <v>396</v>
      </c>
      <c r="G94" s="577"/>
      <c r="H94" s="577">
        <f ca="1">+H85*0.9</f>
        <v>-616</v>
      </c>
      <c r="I94" s="577"/>
      <c r="J94" s="577" t="e">
        <f>+J85*0.9</f>
        <v>#REF!</v>
      </c>
      <c r="K94" s="577"/>
      <c r="L94" s="577" t="e">
        <f>+L85*0.9</f>
        <v>#REF!</v>
      </c>
      <c r="M94" s="577"/>
      <c r="N94" s="577" t="e">
        <f>+N85*0.9</f>
        <v>#REF!</v>
      </c>
      <c r="O94" s="577"/>
      <c r="P94" s="577" t="e">
        <f>+P85*0.9</f>
        <v>#REF!</v>
      </c>
      <c r="Q94" s="577"/>
      <c r="R94" s="577" t="e">
        <f>+R85*0.9</f>
        <v>#REF!</v>
      </c>
      <c r="S94" s="577"/>
      <c r="T94" s="577" t="e">
        <f>+T85*0.9</f>
        <v>#REF!</v>
      </c>
      <c r="U94" s="577"/>
      <c r="V94" s="577" t="e">
        <f>+V85*0.9</f>
        <v>#REF!</v>
      </c>
      <c r="W94" s="577"/>
      <c r="X94" s="577" t="e">
        <f>+X85*0.9</f>
        <v>#REF!</v>
      </c>
      <c r="Y94" s="577"/>
      <c r="Z94" s="577" t="e">
        <f ca="1">+Z85*0.9</f>
        <v>#REF!</v>
      </c>
      <c r="AB94" s="14"/>
      <c r="AE94" s="4"/>
      <c r="AF94" s="4"/>
      <c r="AG94" s="4"/>
      <c r="AH94" s="4"/>
      <c r="AI94" s="4"/>
    </row>
    <row r="95" spans="1:35">
      <c r="A95" s="138"/>
      <c r="B95" s="139"/>
      <c r="C95" s="139"/>
      <c r="D95" s="139"/>
      <c r="E95" s="139"/>
      <c r="F95" s="139"/>
      <c r="G95" s="139"/>
      <c r="H95" s="139"/>
      <c r="I95" s="139"/>
      <c r="J95" s="139"/>
      <c r="K95" s="139"/>
      <c r="L95" s="139"/>
      <c r="M95" s="139"/>
      <c r="N95" s="139"/>
      <c r="O95" s="139"/>
      <c r="P95" s="139"/>
      <c r="Q95" s="139"/>
      <c r="R95" s="139"/>
      <c r="S95" s="139"/>
      <c r="T95" s="139"/>
      <c r="U95" s="139"/>
      <c r="V95" s="139"/>
      <c r="W95" s="139"/>
      <c r="X95" s="139"/>
      <c r="Y95" s="139"/>
      <c r="Z95" s="139"/>
      <c r="AA95"/>
      <c r="AB95"/>
    </row>
    <row r="96" spans="1:35">
      <c r="A96" s="578" t="s">
        <v>660</v>
      </c>
      <c r="B96" s="579">
        <f ca="1">+B85-B94</f>
        <v>7</v>
      </c>
      <c r="C96" s="579"/>
      <c r="D96" s="579">
        <f ca="1">+D85-D94</f>
        <v>44</v>
      </c>
      <c r="E96" s="579"/>
      <c r="F96" s="579">
        <f ca="1">+F85-F94</f>
        <v>44</v>
      </c>
      <c r="G96" s="579"/>
      <c r="H96" s="579">
        <f ca="1">+H85-H94</f>
        <v>-68</v>
      </c>
      <c r="I96" s="579"/>
      <c r="J96" s="579" t="e">
        <f>+J85-J94</f>
        <v>#REF!</v>
      </c>
      <c r="K96" s="579"/>
      <c r="L96" s="579" t="e">
        <f>+L85-L94</f>
        <v>#REF!</v>
      </c>
      <c r="M96" s="579"/>
      <c r="N96" s="579" t="e">
        <f>+N85-N94</f>
        <v>#REF!</v>
      </c>
      <c r="O96" s="579"/>
      <c r="P96" s="579" t="e">
        <f>+P85-P94</f>
        <v>#REF!</v>
      </c>
      <c r="Q96" s="579"/>
      <c r="R96" s="579" t="e">
        <f>+R85-R94</f>
        <v>#REF!</v>
      </c>
      <c r="S96" s="579"/>
      <c r="T96" s="579" t="e">
        <f>+T85-T94</f>
        <v>#REF!</v>
      </c>
      <c r="U96" s="579"/>
      <c r="V96" s="579" t="e">
        <f>+V85-V94</f>
        <v>#REF!</v>
      </c>
      <c r="W96" s="579"/>
      <c r="X96" s="579" t="e">
        <f>+X85-X94</f>
        <v>#REF!</v>
      </c>
      <c r="Y96" s="579"/>
      <c r="Z96" s="579" t="e">
        <f ca="1">+Z85-Z94</f>
        <v>#REF!</v>
      </c>
      <c r="AB96" s="14"/>
      <c r="AE96" s="4"/>
      <c r="AF96" s="4"/>
      <c r="AG96" s="4"/>
      <c r="AH96" s="4"/>
      <c r="AI96" s="4"/>
    </row>
    <row r="97" spans="1:35">
      <c r="A97" s="576" t="s">
        <v>661</v>
      </c>
      <c r="B97" s="577">
        <f ca="1">+B94*12.5%</f>
        <v>8</v>
      </c>
      <c r="C97" s="577"/>
      <c r="D97" s="577">
        <f ca="1">+D94*12.5%</f>
        <v>50</v>
      </c>
      <c r="E97" s="577"/>
      <c r="F97" s="577">
        <f ca="1">+F94*12.5%</f>
        <v>50</v>
      </c>
      <c r="G97" s="577"/>
      <c r="H97" s="577">
        <f ca="1">+H94*12.5%</f>
        <v>-77</v>
      </c>
      <c r="I97" s="577"/>
      <c r="J97" s="577" t="e">
        <f>+J94*12.5%</f>
        <v>#REF!</v>
      </c>
      <c r="K97" s="577"/>
      <c r="L97" s="577" t="e">
        <f>+L94*12.5%</f>
        <v>#REF!</v>
      </c>
      <c r="M97" s="577"/>
      <c r="N97" s="577" t="e">
        <f>+N94*12.5%</f>
        <v>#REF!</v>
      </c>
      <c r="O97" s="577"/>
      <c r="P97" s="577" t="e">
        <f>+P94*12.5%</f>
        <v>#REF!</v>
      </c>
      <c r="Q97" s="577"/>
      <c r="R97" s="577" t="e">
        <f>+R94*12.5%</f>
        <v>#REF!</v>
      </c>
      <c r="S97" s="577"/>
      <c r="T97" s="577" t="e">
        <f>+T94*0.875</f>
        <v>#REF!</v>
      </c>
      <c r="U97" s="577"/>
      <c r="V97" s="577" t="e">
        <f>+V94*0.875</f>
        <v>#REF!</v>
      </c>
      <c r="W97" s="577"/>
      <c r="X97" s="577" t="e">
        <f>+X94*12.5%</f>
        <v>#REF!</v>
      </c>
      <c r="Y97" s="577"/>
      <c r="Z97" s="577" t="e">
        <f ca="1">+Z94*12.5%</f>
        <v>#REF!</v>
      </c>
      <c r="AB97" s="14"/>
      <c r="AE97" s="4"/>
      <c r="AF97" s="4"/>
      <c r="AG97" s="4"/>
      <c r="AH97" s="4"/>
      <c r="AI97" s="4"/>
    </row>
    <row r="98" spans="1:35">
      <c r="A98" s="576" t="s">
        <v>662</v>
      </c>
      <c r="B98" s="577">
        <f ca="1">+B94-B97</f>
        <v>54</v>
      </c>
      <c r="C98" s="577"/>
      <c r="D98" s="577">
        <f ca="1">+D94-D97</f>
        <v>346</v>
      </c>
      <c r="E98" s="577"/>
      <c r="F98" s="577">
        <f ca="1">+F94-F97</f>
        <v>346</v>
      </c>
      <c r="G98" s="577"/>
      <c r="H98" s="577">
        <f ca="1">+H94-H97</f>
        <v>-539</v>
      </c>
      <c r="I98" s="577"/>
      <c r="J98" s="577" t="e">
        <f>+J94-J97</f>
        <v>#REF!</v>
      </c>
      <c r="K98" s="577"/>
      <c r="L98" s="577" t="e">
        <f>+L94-L97</f>
        <v>#REF!</v>
      </c>
      <c r="M98" s="577"/>
      <c r="N98" s="577" t="e">
        <f>+N94-N97</f>
        <v>#REF!</v>
      </c>
      <c r="O98" s="577"/>
      <c r="P98" s="577" t="e">
        <f>+P94-P97</f>
        <v>#REF!</v>
      </c>
      <c r="Q98" s="577"/>
      <c r="R98" s="577" t="e">
        <f>+R94-R97</f>
        <v>#REF!</v>
      </c>
      <c r="S98" s="577"/>
      <c r="T98" s="577"/>
      <c r="U98" s="577"/>
      <c r="V98" s="577"/>
      <c r="W98" s="577"/>
      <c r="X98" s="577" t="e">
        <f>+X94-X97</f>
        <v>#REF!</v>
      </c>
      <c r="Y98" s="577"/>
      <c r="Z98" s="577" t="e">
        <f ca="1">+Z94-Z97</f>
        <v>#REF!</v>
      </c>
      <c r="AB98" s="14"/>
      <c r="AE98" s="4"/>
      <c r="AF98" s="4"/>
      <c r="AG98" s="4"/>
      <c r="AH98" s="4"/>
      <c r="AI98" s="4"/>
    </row>
    <row r="99" spans="1:35">
      <c r="A99" s="138"/>
      <c r="T99">
        <f>IFERROR((T89+T87)/T13,0)</f>
        <v>0</v>
      </c>
      <c r="V99">
        <f>IFERROR((V89+V87)/V13,0)</f>
        <v>0</v>
      </c>
      <c r="Z99"/>
      <c r="AB99" s="14"/>
      <c r="AE99" s="4"/>
      <c r="AF99" s="150"/>
      <c r="AG99" s="4"/>
      <c r="AH99" s="4"/>
      <c r="AI99" s="4"/>
    </row>
    <row r="100" spans="1:35">
      <c r="A100" s="578" t="s">
        <v>663</v>
      </c>
      <c r="B100" s="579">
        <f ca="1">+B96*0.25</f>
        <v>2</v>
      </c>
      <c r="C100" s="579"/>
      <c r="D100" s="579">
        <f ca="1">+D96*0.25</f>
        <v>11</v>
      </c>
      <c r="E100" s="579"/>
      <c r="F100" s="579">
        <f ca="1">+F96*0.25</f>
        <v>11</v>
      </c>
      <c r="G100" s="579"/>
      <c r="H100" s="579">
        <f ca="1">+H96*0.25</f>
        <v>-17</v>
      </c>
      <c r="I100" s="579"/>
      <c r="J100" s="579" t="e">
        <f>+J96*0.25</f>
        <v>#REF!</v>
      </c>
      <c r="K100" s="579"/>
      <c r="L100" s="579" t="e">
        <f>+L96*0.25</f>
        <v>#REF!</v>
      </c>
      <c r="M100" s="579"/>
      <c r="N100" s="579" t="e">
        <f>+N96*0.25</f>
        <v>#REF!</v>
      </c>
      <c r="O100" s="579"/>
      <c r="P100" s="579" t="e">
        <f>+P96*0.25</f>
        <v>#REF!</v>
      </c>
      <c r="Q100" s="579"/>
      <c r="R100" s="579" t="e">
        <f>+R96*0.25</f>
        <v>#REF!</v>
      </c>
      <c r="S100" s="579"/>
      <c r="T100" s="579"/>
      <c r="U100" s="579"/>
      <c r="V100" s="579"/>
      <c r="W100" s="579"/>
      <c r="X100" s="579" t="e">
        <f>+X96*0.25</f>
        <v>#REF!</v>
      </c>
      <c r="Y100" s="579"/>
      <c r="Z100" s="579" t="e">
        <f ca="1">+Z96*0.25</f>
        <v>#REF!</v>
      </c>
      <c r="AB100" s="200"/>
      <c r="AC100" s="492"/>
      <c r="AE100" s="4"/>
      <c r="AF100" s="150"/>
      <c r="AG100" s="4"/>
      <c r="AH100" s="4"/>
    </row>
    <row r="101" spans="1:35">
      <c r="Z101"/>
      <c r="AB101" s="200"/>
      <c r="AC101" s="492"/>
      <c r="AE101" s="4"/>
      <c r="AF101" s="150"/>
      <c r="AG101" s="4"/>
      <c r="AH101" s="4"/>
    </row>
    <row r="102" spans="1:35" ht="13.5" thickBot="1">
      <c r="A102" s="578" t="s">
        <v>664</v>
      </c>
      <c r="B102" s="579">
        <f ca="1">+B96-B100</f>
        <v>5</v>
      </c>
      <c r="C102" s="579"/>
      <c r="D102" s="579">
        <f ca="1">+D96-D100</f>
        <v>33</v>
      </c>
      <c r="E102" s="579"/>
      <c r="F102" s="579">
        <f ca="1">+F96-F100</f>
        <v>33</v>
      </c>
      <c r="G102" s="579"/>
      <c r="H102" s="579">
        <f ca="1">+H96-H100</f>
        <v>-51</v>
      </c>
      <c r="I102" s="579"/>
      <c r="J102" s="579" t="e">
        <f>+J96-J100</f>
        <v>#REF!</v>
      </c>
      <c r="K102" s="579"/>
      <c r="L102" s="579" t="e">
        <f>+L96-L100</f>
        <v>#REF!</v>
      </c>
      <c r="M102" s="579"/>
      <c r="N102" s="579" t="e">
        <f>+N96-N100</f>
        <v>#REF!</v>
      </c>
      <c r="O102" s="579"/>
      <c r="P102" s="579" t="e">
        <f>+P96-P100</f>
        <v>#REF!</v>
      </c>
      <c r="Q102" s="579"/>
      <c r="R102" s="579" t="e">
        <f>+R96-R100</f>
        <v>#REF!</v>
      </c>
      <c r="S102" s="579"/>
      <c r="T102" s="579"/>
      <c r="U102" s="579"/>
      <c r="V102" s="579"/>
      <c r="W102" s="579"/>
      <c r="X102" s="579" t="e">
        <f>+X96-X100</f>
        <v>#REF!</v>
      </c>
      <c r="Y102" s="579"/>
      <c r="Z102" s="579" t="e">
        <f ca="1">+Z96-Z100</f>
        <v>#REF!</v>
      </c>
      <c r="AB102" s="14"/>
      <c r="AE102" s="4"/>
      <c r="AF102" s="474"/>
      <c r="AG102" s="475"/>
      <c r="AH102" s="4"/>
    </row>
    <row r="103" spans="1:35" ht="13.5" thickTop="1">
      <c r="A103" s="1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T103" s="20"/>
      <c r="U103" s="20"/>
      <c r="Z103" s="15"/>
      <c r="AB103" s="14"/>
      <c r="AE103" s="4"/>
      <c r="AF103" s="472"/>
      <c r="AG103" s="475"/>
      <c r="AH103" s="4"/>
    </row>
    <row r="104" spans="1:35">
      <c r="A104" s="1" t="s">
        <v>467</v>
      </c>
      <c r="B104" s="190">
        <f ca="1">((B26-Cost!AF146)+B29+(B31*0.87)+B35+B36+(B37*0.16)+B40+B42+B33+B47)*10%</f>
        <v>34.43</v>
      </c>
      <c r="C104" s="175"/>
      <c r="D104" s="190">
        <f ca="1">((D26-Cost!AH146)+D29+(D31*0.87)+D35+D36+(D37*0.16)+D40+D42+D33+D47)*10%</f>
        <v>11.73</v>
      </c>
      <c r="E104" s="21"/>
      <c r="F104" s="190">
        <f ca="1">((F26-Cost!AJ146)+F29+(F31*0.87)+F35+F36+(F37*0.16)+F40+F42+F33+F47)*10%</f>
        <v>11.73</v>
      </c>
      <c r="G104" s="21"/>
      <c r="H104" s="190">
        <f ca="1">((H26-Cost!AL146)+H29+(H31*0.87)+H35+H36+(H37*0.16)+H40+H42+H33+H47)*10%</f>
        <v>192.93</v>
      </c>
      <c r="I104" s="175"/>
      <c r="J104" s="190">
        <f>((J26-Cost!AN146)+J29+(J31*0.87)+J35+J36+(J37*0.16)+J40+J42+J33+J47)*10%</f>
        <v>0</v>
      </c>
      <c r="K104" s="21"/>
      <c r="L104" s="190">
        <f>((L26-Cost!AP146)+L29+(L31*0.87)+L35+L36+(L37*0.16)+L40+L42+L33+L47)*10%</f>
        <v>0</v>
      </c>
      <c r="M104" s="190"/>
      <c r="N104" s="190">
        <f>((N26-Cost!AR146)+N29+(N31*0.87)+N35+N36+(N37*0.16)+N40+N42+N33+N47)*10%</f>
        <v>0</v>
      </c>
      <c r="O104" s="190"/>
      <c r="P104" s="190">
        <f>((P26-Cost!AT146)+P29+(P31*0.87)+P35+P36+(P37*0.16)+P40+P42+P33+P47)*10%</f>
        <v>0</v>
      </c>
      <c r="Q104" s="190"/>
      <c r="R104" s="190">
        <f>((R26-Cost!AV146)+R29+(R31*0.87)+R35+R36+(R37*0.16)+R40+R42+R33+R47)*10%</f>
        <v>0</v>
      </c>
      <c r="S104" s="190"/>
      <c r="T104" s="190">
        <f>((T26-Cost!AX146)+T29+(T31*0.87)+T35+T36+(T37*0.16)+T40+T42+T33+T47)*10%</f>
        <v>0</v>
      </c>
      <c r="U104" s="190"/>
      <c r="V104" s="190">
        <f>((V26-Cost!AZ146)+V29+(V31*0.87)+V35+V36+(V37*0.16)+V40+V42+V33+V47)*10%</f>
        <v>0</v>
      </c>
      <c r="W104" s="195"/>
      <c r="X104" s="190">
        <f>((X26-Cost!BB146)+X29+(X31*0.87)+X35+X36+(X37*0.16)+X40+X42+X33+X47)*10%</f>
        <v>0</v>
      </c>
      <c r="Y104" s="190"/>
      <c r="Z104" s="190">
        <f ca="1">+B104+D104+F104+H104+J104+L104+N104+P104+R104+T104+V104+X104</f>
        <v>250.82</v>
      </c>
      <c r="AA104" s="21"/>
      <c r="AB104" s="157"/>
    </row>
    <row r="105" spans="1:35">
      <c r="A105" s="1"/>
      <c r="B105" s="190"/>
      <c r="C105" s="175"/>
      <c r="D105" s="190"/>
      <c r="E105" s="21"/>
      <c r="F105" s="190"/>
      <c r="G105" s="21"/>
      <c r="H105" s="190"/>
      <c r="I105" s="21"/>
      <c r="J105" s="190"/>
      <c r="K105" s="21"/>
      <c r="L105" s="190"/>
      <c r="M105" s="21"/>
      <c r="N105" s="190"/>
      <c r="O105" s="21"/>
      <c r="P105" s="190"/>
      <c r="Q105" s="21"/>
      <c r="R105" s="190"/>
      <c r="S105" s="21"/>
      <c r="T105" s="190"/>
      <c r="U105" s="21"/>
      <c r="V105" s="190"/>
      <c r="W105" s="1"/>
      <c r="X105" s="190"/>
      <c r="Y105" s="21"/>
      <c r="Z105" s="177"/>
      <c r="AA105" s="21"/>
      <c r="AB105" s="14"/>
    </row>
    <row r="106" spans="1:35">
      <c r="A106" s="21" t="s">
        <v>54</v>
      </c>
      <c r="B106" s="21" t="s">
        <v>3</v>
      </c>
      <c r="C106" s="21"/>
      <c r="D106" s="21" t="s">
        <v>4</v>
      </c>
      <c r="E106" s="21"/>
      <c r="F106" s="21" t="s">
        <v>5</v>
      </c>
      <c r="G106" s="21"/>
      <c r="H106" s="21" t="s">
        <v>6</v>
      </c>
      <c r="I106" s="21"/>
      <c r="J106" s="21" t="s">
        <v>7</v>
      </c>
      <c r="K106" s="21"/>
      <c r="L106" s="21" t="s">
        <v>8</v>
      </c>
      <c r="M106" s="21"/>
      <c r="N106" s="21" t="s">
        <v>9</v>
      </c>
      <c r="O106" s="21"/>
      <c r="P106" s="21" t="s">
        <v>10</v>
      </c>
      <c r="Q106" s="21"/>
      <c r="R106" s="21" t="s">
        <v>11</v>
      </c>
      <c r="S106" s="21"/>
      <c r="T106" s="21" t="s">
        <v>12</v>
      </c>
      <c r="U106" s="21"/>
      <c r="V106" s="21" t="s">
        <v>13</v>
      </c>
      <c r="W106" s="21"/>
      <c r="X106" s="21" t="s">
        <v>14</v>
      </c>
      <c r="Y106" s="21"/>
      <c r="Z106" s="21" t="s">
        <v>51</v>
      </c>
      <c r="AA106" s="21"/>
      <c r="AB106" s="14"/>
    </row>
    <row r="107" spans="1:35" hidden="1">
      <c r="A107" s="172" t="s">
        <v>424</v>
      </c>
      <c r="B107" s="20">
        <f>+B16+B17+B18+B19+B20+B21+B22+B23+B24+B25+B26+B37</f>
        <v>30</v>
      </c>
      <c r="C107" s="171"/>
      <c r="D107" s="20">
        <f>+D16+D17+D18+D19+D20+D21+D22+D23+D24+D25+D26+D37</f>
        <v>30</v>
      </c>
      <c r="E107" s="171"/>
      <c r="F107" s="20">
        <f>+F16+F17+F18+F19+F20+F21+F22+F23+F24+F25+F26+F37</f>
        <v>30</v>
      </c>
      <c r="G107" s="20"/>
      <c r="H107" s="20">
        <f>+H16+H17+H18+H19+H20+H21+H22+H23+H24+H25+H26+H37</f>
        <v>12</v>
      </c>
      <c r="I107" s="20"/>
      <c r="J107" s="20">
        <f>+J16+J17+J18+J19+J20+J21+J22+J23+J24+J25+J26+J37</f>
        <v>0</v>
      </c>
      <c r="K107" s="20"/>
      <c r="L107" s="20">
        <f>+L16+L17+L18+L19+L20+L21+L22+L23+L24+L25+L26+L37</f>
        <v>0</v>
      </c>
      <c r="M107" s="20"/>
      <c r="N107" s="20">
        <f>+N16+N17+N18+N19+N20+N21+N22+N23+N24+N25+N26+N37</f>
        <v>0</v>
      </c>
      <c r="O107" s="171"/>
      <c r="P107" s="20">
        <f>+P16+P17+P18+P19+P20+P21+P22+P23+P24+P25+P26+P37</f>
        <v>0</v>
      </c>
      <c r="Q107" s="171"/>
      <c r="R107" s="20">
        <f>+R16+R17+R18+R19+R20+R21+R22+R23+R24+R25+R26+R37</f>
        <v>0</v>
      </c>
      <c r="S107" s="20"/>
      <c r="T107" s="20">
        <f>+T16+T17+T18+T19+T20+T21+T22+T23+T24+T25+T26+T37</f>
        <v>0</v>
      </c>
      <c r="U107" s="20"/>
      <c r="V107" s="20">
        <f>+V16+V17+V18+V19+V20+V21+V22+V23+V24+V25+V26+V37</f>
        <v>0</v>
      </c>
      <c r="W107" s="20"/>
      <c r="X107" s="20">
        <f>+X16+X17+X18+X19+X20+X21+X22+X23+X24+X25+X26+X37</f>
        <v>0</v>
      </c>
      <c r="Y107" s="20"/>
      <c r="Z107" s="20">
        <f>+Z16+Z17+Z18+Z19+Z20+Z21+Z22+Z23+Z24+Z25+Z26+Z37</f>
        <v>102</v>
      </c>
      <c r="AA107" s="21"/>
      <c r="AB107" s="14"/>
    </row>
    <row r="108" spans="1:35" ht="13.5" hidden="1" thickBot="1">
      <c r="A108" s="172" t="s">
        <v>425</v>
      </c>
      <c r="B108" s="20">
        <f ca="1">+B29+B30+B31+B32+B33+B35+B36+B28+B40</f>
        <v>381</v>
      </c>
      <c r="C108" s="171"/>
      <c r="D108" s="20">
        <f ca="1">+D29+D30+D31+D32+D33+D35+D36+D28+D40</f>
        <v>67</v>
      </c>
      <c r="E108" s="171"/>
      <c r="F108" s="20">
        <f ca="1">+F29+F30+F31+F32+F33+F35+F36+F28+F40</f>
        <v>67</v>
      </c>
      <c r="G108" s="20"/>
      <c r="H108" s="20">
        <f ca="1">+H29+H30+H31+H32+H33+H35+H36+H28+H40</f>
        <v>1844</v>
      </c>
      <c r="I108" s="20"/>
      <c r="J108" s="20">
        <f>+J29+J30+J31+J32+J33+J35+J36+J28+J40</f>
        <v>0</v>
      </c>
      <c r="K108" s="20"/>
      <c r="L108" s="20">
        <f>+L29+L30+L31+L32+L33+L35+L36+L28+L40</f>
        <v>0</v>
      </c>
      <c r="M108" s="20"/>
      <c r="N108" s="20">
        <f>+N29+N30+N31+N32+N33+N35+N36+N28+N40</f>
        <v>0</v>
      </c>
      <c r="O108" s="171"/>
      <c r="P108" s="20">
        <f>+P29+P30+P31+P32+P33+P35+P36+P28+P40</f>
        <v>0</v>
      </c>
      <c r="Q108" s="171"/>
      <c r="R108" s="20">
        <f>+R29+R30+R31+R32+R33+R35+R36+R28+R40</f>
        <v>0</v>
      </c>
      <c r="S108" s="20"/>
      <c r="T108" s="20">
        <f>+T29+T30+T31+T32+T33+T35+T36+T28+T40</f>
        <v>0</v>
      </c>
      <c r="U108" s="20"/>
      <c r="V108" s="20">
        <f>+V29+V30+V31+V32+V33+V35+V36+V28+V40</f>
        <v>0</v>
      </c>
      <c r="W108" s="20"/>
      <c r="X108" s="20">
        <f>+X29+X30+X31+X32+X33+X35+X36+X28+X40</f>
        <v>0</v>
      </c>
      <c r="Y108" s="20"/>
      <c r="Z108" s="20">
        <f ca="1">+Z29+Z30+Z31+Z32+Z33+Z35+Z36+Z28+Z39+Z40</f>
        <v>2359</v>
      </c>
      <c r="AA108" s="175" t="e">
        <f ca="1">Z108/'SPL24Comp. USD'!#REF!</f>
        <v>#REF!</v>
      </c>
      <c r="AB108" s="580"/>
    </row>
    <row r="109" spans="1:35" hidden="1">
      <c r="A109" s="172" t="s">
        <v>426</v>
      </c>
      <c r="B109" s="20">
        <f>+B34+B38+B42</f>
        <v>0</v>
      </c>
      <c r="C109" s="171"/>
      <c r="D109" s="20">
        <f>+D34+D38+D42</f>
        <v>0</v>
      </c>
      <c r="E109" s="171"/>
      <c r="F109" s="20">
        <f>+F34+F38+F42</f>
        <v>0</v>
      </c>
      <c r="G109" s="20"/>
      <c r="H109" s="20">
        <f>+H34+H38+H42</f>
        <v>0</v>
      </c>
      <c r="I109" s="20"/>
      <c r="J109" s="20">
        <f>+J34+J38+J42</f>
        <v>0</v>
      </c>
      <c r="K109" s="20"/>
      <c r="L109" s="20">
        <f>+L34+L38+L42</f>
        <v>0</v>
      </c>
      <c r="M109" s="20"/>
      <c r="N109" s="20">
        <f>+N34+N38+N42</f>
        <v>0</v>
      </c>
      <c r="O109" s="171"/>
      <c r="P109" s="20">
        <f>+P34+P38+P42</f>
        <v>0</v>
      </c>
      <c r="Q109" s="171"/>
      <c r="R109" s="20">
        <f>+R34+R38+R42</f>
        <v>0</v>
      </c>
      <c r="S109" s="20"/>
      <c r="T109" s="20">
        <f>+T34+T38+T42</f>
        <v>0</v>
      </c>
      <c r="U109" s="20"/>
      <c r="V109" s="20">
        <f>+V34+V38+V42</f>
        <v>0</v>
      </c>
      <c r="W109" s="20"/>
      <c r="X109" s="20">
        <f>+X34+X38+X42</f>
        <v>0</v>
      </c>
      <c r="Y109" s="20"/>
      <c r="Z109" s="448">
        <f>+Z34+Z38+Z42</f>
        <v>0</v>
      </c>
      <c r="AA109" s="21"/>
      <c r="AB109" s="14"/>
    </row>
    <row r="110" spans="1:35" hidden="1">
      <c r="A110" s="172" t="s">
        <v>427</v>
      </c>
      <c r="B110" s="20">
        <f>+B46</f>
        <v>0</v>
      </c>
      <c r="C110" s="171"/>
      <c r="D110" s="20">
        <f>+D46</f>
        <v>0</v>
      </c>
      <c r="E110" s="171"/>
      <c r="F110" s="20">
        <f>+F46</f>
        <v>0</v>
      </c>
      <c r="G110" s="20"/>
      <c r="H110" s="20">
        <f>+H46</f>
        <v>0</v>
      </c>
      <c r="I110" s="20"/>
      <c r="J110" s="20">
        <f>+J46</f>
        <v>0</v>
      </c>
      <c r="K110" s="20"/>
      <c r="L110" s="20">
        <f>+L46</f>
        <v>0</v>
      </c>
      <c r="M110" s="20"/>
      <c r="N110" s="20">
        <f>+N46</f>
        <v>0</v>
      </c>
      <c r="O110" s="171"/>
      <c r="P110" s="20">
        <f>+P46</f>
        <v>0</v>
      </c>
      <c r="Q110" s="171"/>
      <c r="R110" s="20">
        <f>+R46</f>
        <v>0</v>
      </c>
      <c r="S110" s="20"/>
      <c r="T110" s="20">
        <f>+T46</f>
        <v>0</v>
      </c>
      <c r="U110" s="20"/>
      <c r="V110" s="20">
        <f>+V46</f>
        <v>0</v>
      </c>
      <c r="W110" s="20"/>
      <c r="X110" s="20">
        <f>+X46</f>
        <v>0</v>
      </c>
      <c r="Y110" s="20"/>
      <c r="Z110" s="20">
        <f>+Z46</f>
        <v>0</v>
      </c>
      <c r="AA110" s="21"/>
      <c r="AB110" s="251"/>
    </row>
    <row r="111" spans="1:35" hidden="1">
      <c r="A111" s="1" t="s">
        <v>428</v>
      </c>
      <c r="B111" s="20">
        <f ca="1">+B43+B44+B41+B47+B39</f>
        <v>64</v>
      </c>
      <c r="C111" s="171"/>
      <c r="D111" s="20">
        <f ca="1">+D43+D44+D41+D47+D39</f>
        <v>29</v>
      </c>
      <c r="E111" s="171"/>
      <c r="F111" s="20">
        <f ca="1">+F43+F44+F41+F47+F39</f>
        <v>29</v>
      </c>
      <c r="G111" s="20"/>
      <c r="H111" s="20">
        <f ca="1">+H43+H44+H41+H47+H39</f>
        <v>204</v>
      </c>
      <c r="I111" s="20"/>
      <c r="J111" s="20">
        <f>+J43+J44+J41+J47+J39</f>
        <v>0</v>
      </c>
      <c r="K111" s="20"/>
      <c r="L111" s="20">
        <f>+L43+L44+L41+L47+L39</f>
        <v>0</v>
      </c>
      <c r="M111" s="20"/>
      <c r="N111" s="20">
        <f>+N43+N44+N41+N47+N39</f>
        <v>0</v>
      </c>
      <c r="O111" s="171"/>
      <c r="P111" s="20">
        <f>+P43+P44+P41+P47+P39</f>
        <v>0</v>
      </c>
      <c r="Q111" s="171"/>
      <c r="R111" s="20">
        <f>+R43+R44+R41+R47+R39</f>
        <v>0</v>
      </c>
      <c r="S111" s="20"/>
      <c r="T111" s="20">
        <f>+T43+T44+T41+T47+T39</f>
        <v>0</v>
      </c>
      <c r="U111" s="20"/>
      <c r="V111" s="20">
        <f>+V43+V44+V41+V47+V39</f>
        <v>0</v>
      </c>
      <c r="W111" s="20"/>
      <c r="X111" s="20">
        <f>+X43+X44+X41+X47+X39</f>
        <v>0</v>
      </c>
      <c r="Y111" s="20"/>
      <c r="Z111" s="20">
        <f>+Z44+Z43</f>
        <v>0</v>
      </c>
      <c r="AA111" s="21"/>
      <c r="AB111" s="251"/>
    </row>
    <row r="112" spans="1:35" ht="13.5" hidden="1" thickBot="1">
      <c r="B112" s="360">
        <f ca="1">SUM(B107:B111)</f>
        <v>475</v>
      </c>
      <c r="C112" s="360"/>
      <c r="D112" s="360">
        <f t="shared" ref="D112:Z112" ca="1" si="48">SUM(D107:D111)</f>
        <v>126</v>
      </c>
      <c r="E112" s="360"/>
      <c r="F112" s="360">
        <f t="shared" ca="1" si="48"/>
        <v>126</v>
      </c>
      <c r="G112" s="173"/>
      <c r="H112" s="173">
        <f t="shared" ca="1" si="48"/>
        <v>2060</v>
      </c>
      <c r="I112" s="173"/>
      <c r="J112" s="173">
        <f t="shared" si="48"/>
        <v>0</v>
      </c>
      <c r="K112" s="173"/>
      <c r="L112" s="173">
        <f t="shared" si="48"/>
        <v>0</v>
      </c>
      <c r="M112" s="173"/>
      <c r="N112" s="360">
        <f t="shared" si="48"/>
        <v>0</v>
      </c>
      <c r="O112" s="360"/>
      <c r="P112" s="360">
        <f t="shared" si="48"/>
        <v>0</v>
      </c>
      <c r="Q112" s="360"/>
      <c r="R112" s="360">
        <f t="shared" si="48"/>
        <v>0</v>
      </c>
      <c r="S112" s="173"/>
      <c r="T112" s="173">
        <f t="shared" si="48"/>
        <v>0</v>
      </c>
      <c r="U112" s="173"/>
      <c r="V112" s="173">
        <f t="shared" si="48"/>
        <v>0</v>
      </c>
      <c r="W112" s="173"/>
      <c r="X112" s="173">
        <f t="shared" si="48"/>
        <v>0</v>
      </c>
      <c r="Y112" s="173"/>
      <c r="Z112" s="173">
        <f t="shared" ca="1" si="48"/>
        <v>2461</v>
      </c>
      <c r="AA112" s="21"/>
      <c r="AB112" s="251"/>
    </row>
    <row r="113" spans="1:32" hidden="1">
      <c r="F113" s="20">
        <f>SUM(B107:F107)</f>
        <v>90</v>
      </c>
      <c r="L113" s="20">
        <f>SUM(H107:L107)</f>
        <v>12</v>
      </c>
      <c r="R113" s="20">
        <f>SUM(N107:R107)</f>
        <v>0</v>
      </c>
      <c r="X113" s="20">
        <f>SUM(T107:X107)</f>
        <v>0</v>
      </c>
      <c r="Z113" s="20">
        <f>+Z107</f>
        <v>102</v>
      </c>
      <c r="AA113" s="21"/>
      <c r="AB113" s="945"/>
      <c r="AF113" s="149"/>
    </row>
    <row r="114" spans="1:32" hidden="1">
      <c r="A114" s="187"/>
      <c r="B114" s="179">
        <f ca="1">+B112-B49</f>
        <v>0</v>
      </c>
      <c r="C114" s="20"/>
      <c r="D114" s="179">
        <f ca="1">+D112-D49</f>
        <v>0</v>
      </c>
      <c r="E114" s="20"/>
      <c r="F114" s="179">
        <f ca="1">+F112-F49</f>
        <v>0</v>
      </c>
      <c r="G114" s="20"/>
      <c r="H114" s="179">
        <f ca="1">+H112-H49</f>
        <v>0</v>
      </c>
      <c r="I114" s="20"/>
      <c r="J114" s="179">
        <f>+J112-J49</f>
        <v>0</v>
      </c>
      <c r="K114" s="179"/>
      <c r="L114" s="179">
        <f>+L112-L49</f>
        <v>0</v>
      </c>
      <c r="M114" s="20"/>
      <c r="N114" s="179">
        <f>+N112-N49</f>
        <v>0</v>
      </c>
      <c r="O114" s="179"/>
      <c r="P114" s="179">
        <f>+P112-P49</f>
        <v>0</v>
      </c>
      <c r="Q114" s="179"/>
      <c r="R114" s="179">
        <f>+R112-R49</f>
        <v>0</v>
      </c>
      <c r="S114" s="20"/>
      <c r="T114" s="179">
        <f>+T112-T49</f>
        <v>0</v>
      </c>
      <c r="U114" s="179"/>
      <c r="V114" s="179">
        <f>+V112-V49</f>
        <v>0</v>
      </c>
      <c r="W114" s="20"/>
      <c r="X114" s="179">
        <f>+X112-X49</f>
        <v>0</v>
      </c>
      <c r="Y114" s="179"/>
      <c r="Z114" s="179">
        <f ca="1">+Z112-Z49</f>
        <v>-326</v>
      </c>
      <c r="AA114" s="21"/>
      <c r="AB114" s="251"/>
      <c r="AF114" s="149"/>
    </row>
    <row r="115" spans="1:32" hidden="1">
      <c r="A115" s="199" t="s">
        <v>619</v>
      </c>
      <c r="AA115" s="21"/>
      <c r="AB115" s="945"/>
      <c r="AF115" s="149"/>
    </row>
    <row r="116" spans="1:32" hidden="1">
      <c r="AA116" s="21"/>
      <c r="AF116" s="149"/>
    </row>
    <row r="117" spans="1:32" hidden="1">
      <c r="A117" s="172" t="s">
        <v>424</v>
      </c>
      <c r="B117" s="20">
        <f>+B53+B54+B55+B70+B56</f>
        <v>1000</v>
      </c>
      <c r="C117" s="20"/>
      <c r="D117" s="20">
        <f>+D53+D54+D55+D70+D56</f>
        <v>1000</v>
      </c>
      <c r="E117" s="20"/>
      <c r="F117" s="20">
        <f>+F53+F54+F55+F70+F56</f>
        <v>1000</v>
      </c>
      <c r="G117" s="20"/>
      <c r="H117" s="20">
        <f>+H53+H54+H55+H70+H56</f>
        <v>1000</v>
      </c>
      <c r="I117" s="20"/>
      <c r="J117" s="20">
        <f>+J53+J54+J55+J70+J56</f>
        <v>1000</v>
      </c>
      <c r="K117" s="20"/>
      <c r="L117" s="20">
        <f>+L53+L54+L55+L70+L56</f>
        <v>1000</v>
      </c>
      <c r="M117" s="20"/>
      <c r="N117" s="20">
        <f>+N53+N54+N55+N70+N56</f>
        <v>1000</v>
      </c>
      <c r="O117" s="20"/>
      <c r="P117" s="20">
        <f>+P53+P54+P55+P70+P56</f>
        <v>1000</v>
      </c>
      <c r="Q117" s="20"/>
      <c r="R117" s="20">
        <f>+R53+R54+R55+R70+R56</f>
        <v>1000</v>
      </c>
      <c r="S117" s="20"/>
      <c r="T117" s="20">
        <f>+T53+T54+T55+T70+T56</f>
        <v>1000</v>
      </c>
      <c r="U117" s="20"/>
      <c r="V117" s="20">
        <f>+V53+V54+V55+V70+V56</f>
        <v>1000</v>
      </c>
      <c r="W117" s="20"/>
      <c r="X117" s="20">
        <f>+X53+X54+X55+X70+X56</f>
        <v>1000</v>
      </c>
      <c r="Y117" s="20"/>
      <c r="Z117" s="20">
        <f>+Z53+Z54+Z55+Z70+Z56</f>
        <v>12000</v>
      </c>
      <c r="AA117" s="21"/>
      <c r="AF117" s="149"/>
    </row>
    <row r="118" spans="1:32" hidden="1">
      <c r="A118" s="172" t="s">
        <v>64</v>
      </c>
      <c r="B118" s="20">
        <f>+B59+B60+B61+B62+B64+B65+B68</f>
        <v>0</v>
      </c>
      <c r="C118" s="20"/>
      <c r="D118" s="20">
        <f>+D59+D60+D61+D62+D64+D65+D68</f>
        <v>0</v>
      </c>
      <c r="E118" s="20"/>
      <c r="F118" s="20">
        <f>+F59+F60+F61+F62+F64+F65+F68</f>
        <v>0</v>
      </c>
      <c r="G118" s="20"/>
      <c r="H118" s="20">
        <f>+H59+H60+H61+H62+H64+H65+H68</f>
        <v>0</v>
      </c>
      <c r="I118" s="20"/>
      <c r="J118" s="20">
        <f>+J59+J60+J61+J62+J64+J65+J68</f>
        <v>0</v>
      </c>
      <c r="K118" s="20"/>
      <c r="L118" s="20">
        <f>+L59+L60+L61+L62+L64+L65+L68</f>
        <v>0</v>
      </c>
      <c r="M118" s="20"/>
      <c r="N118" s="20">
        <f>+N59+N60+N61+N62+N64+N65+N68</f>
        <v>0</v>
      </c>
      <c r="O118" s="20"/>
      <c r="P118" s="20">
        <f>+P59+P60+P61+P62+P64+P65+P68</f>
        <v>0</v>
      </c>
      <c r="Q118" s="20"/>
      <c r="R118" s="20">
        <f>+R59+R60+R61+R62+R64+R65+R68</f>
        <v>0</v>
      </c>
      <c r="S118" s="20"/>
      <c r="T118" s="20">
        <f>+T59+T60+T61+T62+T64+T65+T68</f>
        <v>0</v>
      </c>
      <c r="U118" s="20"/>
      <c r="V118" s="20">
        <f>+V59+V60+V61+V62+V64+V65+V68</f>
        <v>0</v>
      </c>
      <c r="W118" s="20"/>
      <c r="X118" s="20">
        <f>+X59+X60+X61+X62+X64+X65+X68</f>
        <v>0</v>
      </c>
      <c r="Y118" s="20"/>
      <c r="Z118" s="20">
        <f>+Z59+Z60+Z61+Z62+Z64+Z65+Z68</f>
        <v>0</v>
      </c>
      <c r="AA118" s="21"/>
      <c r="AF118" s="149"/>
    </row>
    <row r="119" spans="1:32" hidden="1">
      <c r="A119" s="172" t="s">
        <v>430</v>
      </c>
      <c r="B119" s="20">
        <f>+B63</f>
        <v>0</v>
      </c>
      <c r="C119" s="20"/>
      <c r="D119" s="20">
        <f>+D63</f>
        <v>0</v>
      </c>
      <c r="E119" s="20"/>
      <c r="F119" s="20">
        <f>+F63</f>
        <v>0</v>
      </c>
      <c r="G119" s="20"/>
      <c r="H119" s="20">
        <f>+H63</f>
        <v>0</v>
      </c>
      <c r="I119" s="20"/>
      <c r="J119" s="20">
        <f>+J63</f>
        <v>0</v>
      </c>
      <c r="K119" s="20"/>
      <c r="L119" s="20">
        <f>+L63</f>
        <v>0</v>
      </c>
      <c r="M119" s="20"/>
      <c r="N119" s="20">
        <f>+N63</f>
        <v>0</v>
      </c>
      <c r="O119" s="20"/>
      <c r="P119" s="20">
        <f>+P63</f>
        <v>0</v>
      </c>
      <c r="Q119" s="20"/>
      <c r="R119" s="20">
        <f>+R63</f>
        <v>0</v>
      </c>
      <c r="S119" s="20"/>
      <c r="T119" s="20">
        <f>+T63</f>
        <v>0</v>
      </c>
      <c r="U119" s="20"/>
      <c r="V119" s="20">
        <f>+V63</f>
        <v>0</v>
      </c>
      <c r="W119" s="20"/>
      <c r="X119" s="20">
        <f>+X63</f>
        <v>0</v>
      </c>
      <c r="Y119" s="20"/>
      <c r="Z119" s="20">
        <f>+Z63</f>
        <v>0</v>
      </c>
      <c r="AA119" s="21"/>
      <c r="AF119" s="223"/>
    </row>
    <row r="120" spans="1:32" ht="13.5" hidden="1" thickBot="1">
      <c r="A120" s="172" t="s">
        <v>63</v>
      </c>
      <c r="B120" s="20">
        <f>+B57+B58</f>
        <v>50</v>
      </c>
      <c r="C120" s="20"/>
      <c r="D120" s="20">
        <f>+D57+D58</f>
        <v>50</v>
      </c>
      <c r="E120" s="20"/>
      <c r="F120" s="20">
        <f>+F57+F58</f>
        <v>50</v>
      </c>
      <c r="G120" s="20"/>
      <c r="H120" s="20">
        <f>+H57+H58</f>
        <v>50</v>
      </c>
      <c r="I120" s="20"/>
      <c r="J120" s="20">
        <f>+J57+J58</f>
        <v>50</v>
      </c>
      <c r="K120" s="20"/>
      <c r="L120" s="20">
        <f>+L57+L58</f>
        <v>50</v>
      </c>
      <c r="M120" s="20"/>
      <c r="N120" s="20">
        <f>+N57+N58</f>
        <v>50</v>
      </c>
      <c r="O120" s="20"/>
      <c r="P120" s="20">
        <f>+P57+P58</f>
        <v>50</v>
      </c>
      <c r="Q120" s="20"/>
      <c r="R120" s="20">
        <f>+R57+R58</f>
        <v>50</v>
      </c>
      <c r="S120" s="20"/>
      <c r="T120" s="20">
        <f>+T57+T58</f>
        <v>50</v>
      </c>
      <c r="U120" s="20"/>
      <c r="V120" s="20">
        <f>+V57+V58</f>
        <v>50</v>
      </c>
      <c r="W120" s="20"/>
      <c r="X120" s="20">
        <f>+X57+X58</f>
        <v>50</v>
      </c>
      <c r="Y120" s="20"/>
      <c r="Z120" s="20">
        <f>+Z57+Z58</f>
        <v>600</v>
      </c>
      <c r="AA120" s="21"/>
      <c r="AF120" s="483"/>
    </row>
    <row r="121" spans="1:32" ht="13.5" hidden="1" thickTop="1">
      <c r="A121" s="172" t="s">
        <v>431</v>
      </c>
      <c r="B121" s="20">
        <f>+B67+B66</f>
        <v>0</v>
      </c>
      <c r="C121" s="20"/>
      <c r="D121" s="20">
        <f>+D67+D66</f>
        <v>0</v>
      </c>
      <c r="E121" s="20"/>
      <c r="F121" s="20">
        <f>+F67+F66</f>
        <v>0</v>
      </c>
      <c r="G121" s="20"/>
      <c r="H121" s="20">
        <f>+H67+H66</f>
        <v>0</v>
      </c>
      <c r="I121" s="20"/>
      <c r="J121" s="20">
        <f>+J67+J66</f>
        <v>0</v>
      </c>
      <c r="K121" s="20"/>
      <c r="L121" s="20">
        <f>+L67+L66</f>
        <v>0</v>
      </c>
      <c r="M121" s="20"/>
      <c r="N121" s="20">
        <f>+N67+N66</f>
        <v>0</v>
      </c>
      <c r="O121" s="20"/>
      <c r="P121" s="20">
        <f>+P67+P66</f>
        <v>0</v>
      </c>
      <c r="Q121" s="20"/>
      <c r="R121" s="20">
        <f>+R67+R66</f>
        <v>0</v>
      </c>
      <c r="S121" s="20"/>
      <c r="T121" s="20">
        <f>+T67+T66</f>
        <v>0</v>
      </c>
      <c r="U121" s="20"/>
      <c r="V121" s="20">
        <f>+V67+V66</f>
        <v>0</v>
      </c>
      <c r="W121" s="20"/>
      <c r="X121" s="20">
        <f>+X67+X66</f>
        <v>0</v>
      </c>
      <c r="Y121" s="20"/>
      <c r="Z121" s="20">
        <f>+Z67+Z66</f>
        <v>0</v>
      </c>
      <c r="AA121" s="21"/>
      <c r="AB121" s="615"/>
    </row>
    <row r="122" spans="1:32" hidden="1">
      <c r="A122" s="172" t="s">
        <v>427</v>
      </c>
      <c r="B122" s="20">
        <f>+B69</f>
        <v>0</v>
      </c>
      <c r="C122" s="20"/>
      <c r="D122" s="20">
        <f>+D69</f>
        <v>0</v>
      </c>
      <c r="E122" s="20"/>
      <c r="F122" s="20">
        <f>+F69</f>
        <v>0</v>
      </c>
      <c r="G122" s="20"/>
      <c r="H122" s="20">
        <f>+H69</f>
        <v>0</v>
      </c>
      <c r="I122" s="20"/>
      <c r="J122" s="20">
        <f>+J69</f>
        <v>0</v>
      </c>
      <c r="K122" s="20"/>
      <c r="L122" s="20">
        <f>+L69</f>
        <v>0</v>
      </c>
      <c r="M122" s="20"/>
      <c r="N122" s="20">
        <f>+N69</f>
        <v>0</v>
      </c>
      <c r="O122" s="20"/>
      <c r="P122" s="20">
        <f>+P69</f>
        <v>0</v>
      </c>
      <c r="Q122" s="20"/>
      <c r="R122" s="20">
        <f>+R69</f>
        <v>0</v>
      </c>
      <c r="S122" s="20"/>
      <c r="T122" s="20">
        <f>+T69</f>
        <v>0</v>
      </c>
      <c r="U122" s="20"/>
      <c r="V122" s="20">
        <f>+V69</f>
        <v>0</v>
      </c>
      <c r="W122" s="20"/>
      <c r="X122" s="20">
        <f>+X69</f>
        <v>0</v>
      </c>
      <c r="Y122" s="20"/>
      <c r="Z122" s="20">
        <f>+Z69</f>
        <v>0</v>
      </c>
      <c r="AA122" s="21"/>
    </row>
    <row r="123" spans="1:32" ht="13.5" hidden="1" thickBot="1">
      <c r="B123" s="173">
        <f>SUM(B117:B122)</f>
        <v>1050</v>
      </c>
      <c r="C123" s="173"/>
      <c r="D123" s="173">
        <f t="shared" ref="D123:X123" si="49">SUM(D117:D122)</f>
        <v>1050</v>
      </c>
      <c r="E123" s="173"/>
      <c r="F123" s="173">
        <f t="shared" si="49"/>
        <v>1050</v>
      </c>
      <c r="G123" s="173"/>
      <c r="H123" s="173">
        <f t="shared" si="49"/>
        <v>1050</v>
      </c>
      <c r="I123" s="173"/>
      <c r="J123" s="173">
        <f t="shared" si="49"/>
        <v>1050</v>
      </c>
      <c r="K123" s="173"/>
      <c r="L123" s="173">
        <f t="shared" si="49"/>
        <v>1050</v>
      </c>
      <c r="M123" s="173"/>
      <c r="N123" s="173">
        <f t="shared" si="49"/>
        <v>1050</v>
      </c>
      <c r="O123" s="173"/>
      <c r="P123" s="173">
        <f t="shared" si="49"/>
        <v>1050</v>
      </c>
      <c r="Q123" s="173"/>
      <c r="R123" s="173">
        <f t="shared" si="49"/>
        <v>1050</v>
      </c>
      <c r="S123" s="173"/>
      <c r="T123" s="173">
        <f t="shared" si="49"/>
        <v>1050</v>
      </c>
      <c r="U123" s="173"/>
      <c r="V123" s="173">
        <f t="shared" si="49"/>
        <v>1050</v>
      </c>
      <c r="W123" s="173"/>
      <c r="X123" s="173">
        <f t="shared" si="49"/>
        <v>1050</v>
      </c>
      <c r="Y123" s="173"/>
      <c r="Z123" s="173">
        <f>SUM(Z117:Z122)</f>
        <v>12600</v>
      </c>
      <c r="AA123" s="21"/>
    </row>
    <row r="124" spans="1:32" hidden="1">
      <c r="AA124" s="21"/>
    </row>
    <row r="125" spans="1:32" hidden="1">
      <c r="A125" s="187"/>
      <c r="B125" s="179">
        <f>+B72-B123</f>
        <v>0</v>
      </c>
      <c r="C125" s="20"/>
      <c r="D125" s="179">
        <f>+D72-D123</f>
        <v>0</v>
      </c>
      <c r="E125" s="20"/>
      <c r="F125" s="179">
        <f>+F72-F123</f>
        <v>0</v>
      </c>
      <c r="G125" s="20"/>
      <c r="H125" s="179">
        <f>+H72-H123</f>
        <v>0</v>
      </c>
      <c r="I125" s="20"/>
      <c r="J125" s="179">
        <f>+J72-J123</f>
        <v>0</v>
      </c>
      <c r="K125" s="179"/>
      <c r="L125" s="179">
        <f>+L72-L123</f>
        <v>0</v>
      </c>
      <c r="M125" s="20"/>
      <c r="N125" s="179">
        <f>+N72-N123</f>
        <v>0</v>
      </c>
      <c r="O125" s="179"/>
      <c r="P125" s="179">
        <f>+P72-P123</f>
        <v>0</v>
      </c>
      <c r="Q125" s="179"/>
      <c r="R125" s="179">
        <f>+R72-R123</f>
        <v>0</v>
      </c>
      <c r="S125" s="20"/>
      <c r="T125" s="179">
        <f>+T72-T123</f>
        <v>0</v>
      </c>
      <c r="U125" s="179"/>
      <c r="V125" s="179">
        <f>+V72-V123</f>
        <v>0</v>
      </c>
      <c r="W125" s="20"/>
      <c r="X125" s="179">
        <f>+X72-X123</f>
        <v>0</v>
      </c>
      <c r="Y125" s="179"/>
      <c r="Z125" s="179">
        <f>+Z72-Z123</f>
        <v>0</v>
      </c>
      <c r="AA125" s="21"/>
    </row>
    <row r="126" spans="1:32" hidden="1">
      <c r="A126" s="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1"/>
      <c r="W126" s="1"/>
      <c r="X126" s="21"/>
      <c r="Y126" s="21"/>
      <c r="Z126" s="21"/>
      <c r="AA126" s="21"/>
    </row>
    <row r="127" spans="1:32" hidden="1">
      <c r="Z127"/>
    </row>
    <row r="128" spans="1:32" hidden="1">
      <c r="A128" s="21" t="s">
        <v>665</v>
      </c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</row>
    <row r="129" spans="1:26" hidden="1">
      <c r="A129" s="217" t="str">
        <f>+A28</f>
        <v>Lodging &amp; meals for field personnel</v>
      </c>
      <c r="B129" s="217">
        <f>+B28</f>
        <v>0</v>
      </c>
      <c r="C129" s="217"/>
      <c r="D129" s="217">
        <f>+D28</f>
        <v>0</v>
      </c>
      <c r="E129" s="217"/>
      <c r="F129" s="217">
        <f>+F28</f>
        <v>0</v>
      </c>
      <c r="G129" s="6"/>
      <c r="H129" s="217">
        <f t="shared" ref="H129:J134" si="50">+H28</f>
        <v>0</v>
      </c>
      <c r="I129" s="20"/>
      <c r="J129" s="217">
        <f t="shared" si="50"/>
        <v>0</v>
      </c>
      <c r="K129" s="20"/>
      <c r="L129" s="217">
        <f t="shared" ref="L129:N134" si="51">+L28</f>
        <v>0</v>
      </c>
      <c r="M129" s="20"/>
      <c r="N129" s="217">
        <f t="shared" si="51"/>
        <v>0</v>
      </c>
      <c r="O129" s="20"/>
      <c r="P129" s="217">
        <f t="shared" ref="P129:R134" si="52">+P28</f>
        <v>0</v>
      </c>
      <c r="Q129" s="20"/>
      <c r="R129" s="217">
        <f t="shared" si="52"/>
        <v>0</v>
      </c>
      <c r="S129" s="20"/>
      <c r="T129" s="217">
        <f t="shared" ref="T129:V134" si="53">+T28</f>
        <v>0</v>
      </c>
      <c r="U129" s="20"/>
      <c r="V129" s="217">
        <f t="shared" si="53"/>
        <v>0</v>
      </c>
      <c r="W129" s="20"/>
      <c r="X129" s="217">
        <f t="shared" ref="X129:X134" si="54">+X28</f>
        <v>0</v>
      </c>
      <c r="Y129" s="20"/>
      <c r="Z129" s="217">
        <f t="shared" ref="Z129:Z134" si="55">+Z28</f>
        <v>0</v>
      </c>
    </row>
    <row r="130" spans="1:26" hidden="1">
      <c r="A130" s="217" t="str">
        <f t="shared" ref="A130:F134" si="56">+A29</f>
        <v>Transportation of  field personnel</v>
      </c>
      <c r="B130" s="217">
        <f t="shared" si="56"/>
        <v>192</v>
      </c>
      <c r="C130" s="217"/>
      <c r="D130" s="217">
        <f t="shared" si="56"/>
        <v>0</v>
      </c>
      <c r="E130" s="217"/>
      <c r="F130" s="217">
        <f t="shared" si="56"/>
        <v>0</v>
      </c>
      <c r="G130" s="6"/>
      <c r="H130" s="217">
        <f t="shared" si="50"/>
        <v>192</v>
      </c>
      <c r="I130" s="20"/>
      <c r="J130" s="217">
        <f t="shared" si="50"/>
        <v>0</v>
      </c>
      <c r="K130" s="20"/>
      <c r="L130" s="217">
        <f t="shared" si="51"/>
        <v>0</v>
      </c>
      <c r="M130" s="20"/>
      <c r="N130" s="217">
        <f t="shared" si="51"/>
        <v>0</v>
      </c>
      <c r="O130" s="20"/>
      <c r="P130" s="217">
        <f t="shared" si="52"/>
        <v>0</v>
      </c>
      <c r="Q130" s="20"/>
      <c r="R130" s="217">
        <f t="shared" si="52"/>
        <v>0</v>
      </c>
      <c r="S130" s="20"/>
      <c r="T130" s="217">
        <f t="shared" si="53"/>
        <v>0</v>
      </c>
      <c r="U130" s="20"/>
      <c r="V130" s="217">
        <f t="shared" si="53"/>
        <v>0</v>
      </c>
      <c r="W130" s="20"/>
      <c r="X130" s="217">
        <f t="shared" si="54"/>
        <v>0</v>
      </c>
      <c r="Y130" s="20"/>
      <c r="Z130" s="217">
        <f t="shared" si="55"/>
        <v>384</v>
      </c>
    </row>
    <row r="131" spans="1:26" hidden="1">
      <c r="A131" s="217" t="str">
        <f t="shared" si="56"/>
        <v>Field Vehicle Rental</v>
      </c>
      <c r="B131" s="217">
        <f t="shared" si="56"/>
        <v>0</v>
      </c>
      <c r="C131" s="217"/>
      <c r="D131" s="217">
        <f t="shared" si="56"/>
        <v>0</v>
      </c>
      <c r="E131" s="217"/>
      <c r="F131" s="217">
        <f t="shared" si="56"/>
        <v>0</v>
      </c>
      <c r="G131" s="6"/>
      <c r="H131" s="217">
        <f t="shared" si="50"/>
        <v>0</v>
      </c>
      <c r="I131" s="20"/>
      <c r="J131" s="217">
        <f t="shared" si="50"/>
        <v>0</v>
      </c>
      <c r="K131" s="20"/>
      <c r="L131" s="217">
        <f t="shared" si="51"/>
        <v>0</v>
      </c>
      <c r="M131" s="20"/>
      <c r="N131" s="217">
        <f t="shared" si="51"/>
        <v>0</v>
      </c>
      <c r="O131" s="20"/>
      <c r="P131" s="217">
        <f t="shared" si="52"/>
        <v>0</v>
      </c>
      <c r="Q131" s="20"/>
      <c r="R131" s="217">
        <f t="shared" si="52"/>
        <v>0</v>
      </c>
      <c r="S131" s="20"/>
      <c r="T131" s="217">
        <f t="shared" si="53"/>
        <v>0</v>
      </c>
      <c r="U131" s="20"/>
      <c r="V131" s="217">
        <f t="shared" si="53"/>
        <v>0</v>
      </c>
      <c r="W131" s="20"/>
      <c r="X131" s="217">
        <f t="shared" si="54"/>
        <v>0</v>
      </c>
      <c r="Y131" s="20"/>
      <c r="Z131" s="217">
        <f t="shared" si="55"/>
        <v>0</v>
      </c>
    </row>
    <row r="132" spans="1:26" hidden="1">
      <c r="A132" s="217" t="str">
        <f t="shared" si="56"/>
        <v>Consumable materials &amp; warehouse supplies</v>
      </c>
      <c r="B132" s="217">
        <f t="shared" si="56"/>
        <v>67</v>
      </c>
      <c r="C132" s="217"/>
      <c r="D132" s="217">
        <f t="shared" si="56"/>
        <v>67</v>
      </c>
      <c r="E132" s="217"/>
      <c r="F132" s="217">
        <f t="shared" si="56"/>
        <v>67</v>
      </c>
      <c r="G132" s="6"/>
      <c r="H132" s="217">
        <f t="shared" si="50"/>
        <v>67</v>
      </c>
      <c r="I132" s="20"/>
      <c r="J132" s="217">
        <f t="shared" si="50"/>
        <v>0</v>
      </c>
      <c r="K132" s="20"/>
      <c r="L132" s="217">
        <f t="shared" si="51"/>
        <v>0</v>
      </c>
      <c r="M132" s="20"/>
      <c r="N132" s="217">
        <f t="shared" si="51"/>
        <v>0</v>
      </c>
      <c r="O132" s="20"/>
      <c r="P132" s="217">
        <f t="shared" si="52"/>
        <v>0</v>
      </c>
      <c r="Q132" s="20"/>
      <c r="R132" s="217">
        <f t="shared" si="52"/>
        <v>0</v>
      </c>
      <c r="S132" s="20"/>
      <c r="T132" s="217">
        <f t="shared" si="53"/>
        <v>0</v>
      </c>
      <c r="U132" s="20"/>
      <c r="V132" s="217">
        <f t="shared" si="53"/>
        <v>0</v>
      </c>
      <c r="W132" s="20"/>
      <c r="X132" s="217">
        <f t="shared" si="54"/>
        <v>0</v>
      </c>
      <c r="Y132" s="20"/>
      <c r="Z132" s="217">
        <f t="shared" si="55"/>
        <v>268</v>
      </c>
    </row>
    <row r="133" spans="1:26" hidden="1">
      <c r="A133" s="217" t="str">
        <f t="shared" si="56"/>
        <v>Equipment repairs &amp; maintenance</v>
      </c>
      <c r="B133" s="217">
        <f t="shared" ca="1" si="56"/>
        <v>122</v>
      </c>
      <c r="C133" s="217"/>
      <c r="D133" s="217">
        <f t="shared" ca="1" si="56"/>
        <v>0</v>
      </c>
      <c r="E133" s="217"/>
      <c r="F133" s="217">
        <f t="shared" ca="1" si="56"/>
        <v>0</v>
      </c>
      <c r="G133" s="6"/>
      <c r="H133" s="217">
        <f t="shared" ca="1" si="50"/>
        <v>122</v>
      </c>
      <c r="I133" s="20"/>
      <c r="J133" s="217">
        <f t="shared" si="50"/>
        <v>0</v>
      </c>
      <c r="K133" s="20"/>
      <c r="L133" s="217">
        <f t="shared" si="51"/>
        <v>0</v>
      </c>
      <c r="M133" s="20"/>
      <c r="N133" s="217">
        <f t="shared" si="51"/>
        <v>0</v>
      </c>
      <c r="O133" s="20"/>
      <c r="P133" s="217">
        <f t="shared" si="52"/>
        <v>0</v>
      </c>
      <c r="Q133" s="20"/>
      <c r="R133" s="217">
        <f t="shared" si="52"/>
        <v>0</v>
      </c>
      <c r="S133" s="20"/>
      <c r="T133" s="217">
        <f t="shared" si="53"/>
        <v>0</v>
      </c>
      <c r="U133" s="20"/>
      <c r="V133" s="217">
        <f t="shared" si="53"/>
        <v>0</v>
      </c>
      <c r="W133" s="20"/>
      <c r="X133" s="217">
        <f t="shared" si="54"/>
        <v>0</v>
      </c>
      <c r="Y133" s="20"/>
      <c r="Z133" s="217">
        <f t="shared" ca="1" si="55"/>
        <v>244</v>
      </c>
    </row>
    <row r="134" spans="1:26" hidden="1">
      <c r="A134" s="217" t="str">
        <f t="shared" si="56"/>
        <v xml:space="preserve">Equipment rental   </v>
      </c>
      <c r="B134" s="217">
        <f>+B33</f>
        <v>0</v>
      </c>
      <c r="C134" s="217"/>
      <c r="D134" s="217">
        <f>+D33</f>
        <v>0</v>
      </c>
      <c r="E134" s="217"/>
      <c r="F134" s="217">
        <f>+F33</f>
        <v>0</v>
      </c>
      <c r="G134" s="6"/>
      <c r="H134" s="217">
        <f t="shared" si="50"/>
        <v>0</v>
      </c>
      <c r="I134" s="20"/>
      <c r="J134" s="217">
        <f t="shared" si="50"/>
        <v>0</v>
      </c>
      <c r="K134" s="20"/>
      <c r="L134" s="217">
        <f t="shared" si="51"/>
        <v>0</v>
      </c>
      <c r="M134" s="20"/>
      <c r="N134" s="217">
        <f t="shared" si="51"/>
        <v>0</v>
      </c>
      <c r="O134" s="20"/>
      <c r="P134" s="217">
        <f t="shared" si="52"/>
        <v>0</v>
      </c>
      <c r="Q134" s="20"/>
      <c r="R134" s="217">
        <f t="shared" si="52"/>
        <v>0</v>
      </c>
      <c r="S134" s="20"/>
      <c r="T134" s="217">
        <f t="shared" si="53"/>
        <v>0</v>
      </c>
      <c r="U134" s="20"/>
      <c r="V134" s="217">
        <f t="shared" si="53"/>
        <v>0</v>
      </c>
      <c r="W134" s="20"/>
      <c r="X134" s="217">
        <f t="shared" si="54"/>
        <v>0</v>
      </c>
      <c r="Y134" s="20"/>
      <c r="Z134" s="217">
        <f t="shared" si="55"/>
        <v>0</v>
      </c>
    </row>
    <row r="135" spans="1:26" hidden="1">
      <c r="A135" s="217" t="str">
        <f t="shared" ref="A135:F136" si="57">+A35</f>
        <v>Transport &amp; installation of Units</v>
      </c>
      <c r="B135" s="217">
        <f t="shared" si="57"/>
        <v>0</v>
      </c>
      <c r="C135" s="217"/>
      <c r="D135" s="217">
        <f t="shared" si="57"/>
        <v>0</v>
      </c>
      <c r="E135" s="217"/>
      <c r="F135" s="217">
        <f t="shared" si="57"/>
        <v>0</v>
      </c>
      <c r="G135" s="6"/>
      <c r="H135" s="217">
        <f>+H35</f>
        <v>1463</v>
      </c>
      <c r="I135" s="20"/>
      <c r="J135" s="217">
        <f>+J35</f>
        <v>0</v>
      </c>
      <c r="K135" s="20"/>
      <c r="L135" s="217">
        <f>+L35</f>
        <v>0</v>
      </c>
      <c r="M135" s="20"/>
      <c r="N135" s="217">
        <f>+N35</f>
        <v>0</v>
      </c>
      <c r="O135" s="20"/>
      <c r="P135" s="217">
        <f>+P35</f>
        <v>0</v>
      </c>
      <c r="Q135" s="20"/>
      <c r="R135" s="217">
        <f>+R35</f>
        <v>0</v>
      </c>
      <c r="S135" s="20"/>
      <c r="T135" s="217">
        <f>+T35</f>
        <v>0</v>
      </c>
      <c r="U135" s="20"/>
      <c r="V135" s="217">
        <f>+V35</f>
        <v>0</v>
      </c>
      <c r="W135" s="20"/>
      <c r="X135" s="217">
        <f>+X35</f>
        <v>0</v>
      </c>
      <c r="Y135" s="20"/>
      <c r="Z135" s="217">
        <f>+Z35</f>
        <v>1463</v>
      </c>
    </row>
    <row r="136" spans="1:26" hidden="1">
      <c r="A136" s="217" t="str">
        <f t="shared" si="57"/>
        <v>Telephone expenses at wellsite</v>
      </c>
      <c r="B136" s="217">
        <f t="shared" si="57"/>
        <v>0</v>
      </c>
      <c r="C136" s="217"/>
      <c r="D136" s="217">
        <f t="shared" si="57"/>
        <v>0</v>
      </c>
      <c r="E136" s="217"/>
      <c r="F136" s="217">
        <f t="shared" si="57"/>
        <v>0</v>
      </c>
      <c r="G136" s="6"/>
      <c r="H136" s="217">
        <f>+H36</f>
        <v>0</v>
      </c>
      <c r="I136" s="20"/>
      <c r="J136" s="217">
        <f>+J36</f>
        <v>0</v>
      </c>
      <c r="K136" s="20"/>
      <c r="L136" s="217">
        <f>+L36</f>
        <v>0</v>
      </c>
      <c r="M136" s="20"/>
      <c r="N136" s="217">
        <f>+N36</f>
        <v>0</v>
      </c>
      <c r="O136" s="20"/>
      <c r="P136" s="217">
        <f>+P36</f>
        <v>0</v>
      </c>
      <c r="Q136" s="20"/>
      <c r="R136" s="217">
        <f>+R36</f>
        <v>0</v>
      </c>
      <c r="S136" s="20"/>
      <c r="T136" s="217">
        <f>+T36</f>
        <v>0</v>
      </c>
      <c r="U136" s="20"/>
      <c r="V136" s="217">
        <f>+V36</f>
        <v>0</v>
      </c>
      <c r="W136" s="20"/>
      <c r="X136" s="217">
        <f>+X36</f>
        <v>0</v>
      </c>
      <c r="Y136" s="20"/>
      <c r="Z136" s="217">
        <f>+Z36</f>
        <v>0</v>
      </c>
    </row>
    <row r="137" spans="1:26" ht="13.5" hidden="1" thickBot="1">
      <c r="B137" s="174">
        <f ca="1">SUM(B129:B136)</f>
        <v>381</v>
      </c>
      <c r="C137" s="174"/>
      <c r="D137" s="174">
        <f ca="1">SUM(D129:D136)</f>
        <v>67</v>
      </c>
      <c r="E137" s="174"/>
      <c r="F137" s="174">
        <f ca="1">SUM(F129:F136)</f>
        <v>67</v>
      </c>
      <c r="G137" s="174"/>
      <c r="H137" s="174">
        <f ca="1">SUM(H129:H136)</f>
        <v>1844</v>
      </c>
      <c r="I137" s="173"/>
      <c r="J137" s="174">
        <f>SUM(J129:J136)</f>
        <v>0</v>
      </c>
      <c r="K137" s="173"/>
      <c r="L137" s="174">
        <f>SUM(L129:L136)</f>
        <v>0</v>
      </c>
      <c r="M137" s="173"/>
      <c r="N137" s="174">
        <f>SUM(N129:N136)</f>
        <v>0</v>
      </c>
      <c r="O137" s="173"/>
      <c r="P137" s="174">
        <f>SUM(P129:P136)</f>
        <v>0</v>
      </c>
      <c r="Q137" s="173"/>
      <c r="R137" s="174">
        <f>SUM(R129:R136)</f>
        <v>0</v>
      </c>
      <c r="S137" s="173"/>
      <c r="T137" s="174">
        <f>SUM(T129:T136)</f>
        <v>0</v>
      </c>
      <c r="U137" s="173"/>
      <c r="V137" s="174">
        <f>SUM(V129:V136)</f>
        <v>0</v>
      </c>
      <c r="W137" s="173"/>
      <c r="X137" s="174">
        <f>SUM(X129:X136)</f>
        <v>0</v>
      </c>
      <c r="Y137" s="173"/>
      <c r="Z137" s="174">
        <f ca="1">SUM(Z129:Z136)</f>
        <v>2359</v>
      </c>
    </row>
    <row r="138" spans="1:26" hidden="1">
      <c r="Z138"/>
    </row>
    <row r="139" spans="1:26" hidden="1">
      <c r="F139" s="218">
        <f ca="1">SUM(B137:F137)</f>
        <v>515</v>
      </c>
      <c r="G139" s="156"/>
      <c r="L139" s="218">
        <f ca="1">SUM(H137:L137)</f>
        <v>1844</v>
      </c>
      <c r="R139" s="218">
        <f>SUM(N137:R137)</f>
        <v>0</v>
      </c>
      <c r="X139" s="218">
        <f>SUM(T137:X137)</f>
        <v>0</v>
      </c>
      <c r="Z139" s="218">
        <f ca="1">+Z137</f>
        <v>2359</v>
      </c>
    </row>
    <row r="140" spans="1:26" hidden="1">
      <c r="F140" s="219">
        <f>+F134+D134+B134</f>
        <v>0</v>
      </c>
      <c r="G140" s="219"/>
      <c r="L140" s="219">
        <f>+L134+J134+H134</f>
        <v>0</v>
      </c>
      <c r="R140" s="219">
        <f>+R134+P134+N134</f>
        <v>0</v>
      </c>
      <c r="X140" s="219">
        <f>+X134+V134+T134</f>
        <v>0</v>
      </c>
      <c r="Z140" s="219">
        <f>+Z134</f>
        <v>0</v>
      </c>
    </row>
    <row r="141" spans="1:26" hidden="1">
      <c r="F141" s="221">
        <f ca="1">+F139-F140</f>
        <v>515</v>
      </c>
      <c r="G141" s="219"/>
      <c r="L141" s="221">
        <f ca="1">+L139-L140</f>
        <v>1844</v>
      </c>
      <c r="R141" s="221">
        <f>+R139-R140</f>
        <v>0</v>
      </c>
      <c r="X141" s="221">
        <f>+X139-X140</f>
        <v>0</v>
      </c>
      <c r="Z141" s="221">
        <f ca="1">+Z139-Z140</f>
        <v>2359</v>
      </c>
    </row>
    <row r="142" spans="1:26" hidden="1">
      <c r="A142" s="21" t="s">
        <v>666</v>
      </c>
    </row>
    <row r="143" spans="1:26" hidden="1">
      <c r="A143" s="219" t="str">
        <f>+A16</f>
        <v xml:space="preserve">Salaries - Field Employees </v>
      </c>
      <c r="B143" s="219">
        <f>+B16</f>
        <v>0</v>
      </c>
      <c r="C143" s="219"/>
      <c r="D143" s="219">
        <f>+D16</f>
        <v>0</v>
      </c>
      <c r="E143" s="219"/>
      <c r="F143" s="219">
        <f>+F16</f>
        <v>0</v>
      </c>
      <c r="G143" s="219"/>
      <c r="H143" s="219">
        <f t="shared" ref="H143:J154" si="58">+H16</f>
        <v>0</v>
      </c>
      <c r="J143" s="219">
        <f t="shared" si="58"/>
        <v>0</v>
      </c>
      <c r="L143" s="219">
        <f t="shared" ref="L143:N154" si="59">+L16</f>
        <v>0</v>
      </c>
      <c r="N143" s="219">
        <f t="shared" si="59"/>
        <v>0</v>
      </c>
      <c r="P143" s="219">
        <f t="shared" ref="P143:R154" si="60">+P16</f>
        <v>0</v>
      </c>
      <c r="R143" s="219">
        <f t="shared" si="60"/>
        <v>0</v>
      </c>
      <c r="T143" s="219">
        <f t="shared" ref="T143:V154" si="61">+T16</f>
        <v>0</v>
      </c>
      <c r="V143" s="219">
        <f t="shared" si="61"/>
        <v>0</v>
      </c>
      <c r="X143" s="219">
        <f t="shared" ref="X143:X154" si="62">+X16</f>
        <v>0</v>
      </c>
      <c r="Z143" s="219">
        <f t="shared" ref="Z143:Z154" si="63">+Z16</f>
        <v>0</v>
      </c>
    </row>
    <row r="144" spans="1:26" hidden="1">
      <c r="A144" s="219" t="str">
        <f t="shared" ref="A144:F154" si="64">+A17</f>
        <v>Field Employee Benefits</v>
      </c>
      <c r="B144" s="219">
        <f t="shared" si="64"/>
        <v>0</v>
      </c>
      <c r="C144" s="219"/>
      <c r="D144" s="219">
        <f t="shared" si="64"/>
        <v>0</v>
      </c>
      <c r="E144" s="219"/>
      <c r="F144" s="219">
        <f t="shared" si="64"/>
        <v>0</v>
      </c>
      <c r="G144" s="219"/>
      <c r="H144" s="219">
        <f t="shared" si="58"/>
        <v>0</v>
      </c>
      <c r="J144" s="219">
        <f t="shared" si="58"/>
        <v>0</v>
      </c>
      <c r="L144" s="219">
        <f t="shared" si="59"/>
        <v>0</v>
      </c>
      <c r="N144" s="219">
        <f t="shared" si="59"/>
        <v>0</v>
      </c>
      <c r="P144" s="219">
        <f t="shared" si="60"/>
        <v>0</v>
      </c>
      <c r="R144" s="219">
        <f t="shared" si="60"/>
        <v>0</v>
      </c>
      <c r="T144" s="219">
        <f t="shared" si="61"/>
        <v>0</v>
      </c>
      <c r="V144" s="219">
        <f t="shared" si="61"/>
        <v>0</v>
      </c>
      <c r="X144" s="219">
        <f t="shared" si="62"/>
        <v>0</v>
      </c>
      <c r="Z144" s="219">
        <f t="shared" si="63"/>
        <v>0</v>
      </c>
    </row>
    <row r="145" spans="1:26" hidden="1">
      <c r="A145" s="219" t="str">
        <f t="shared" si="64"/>
        <v>Bon/Indemnization/Government Grants</v>
      </c>
      <c r="B145" s="219">
        <f t="shared" si="64"/>
        <v>0</v>
      </c>
      <c r="C145" s="219"/>
      <c r="D145" s="219">
        <f t="shared" si="64"/>
        <v>0</v>
      </c>
      <c r="E145" s="219"/>
      <c r="F145" s="219">
        <f t="shared" si="64"/>
        <v>0</v>
      </c>
      <c r="G145" s="219"/>
      <c r="H145" s="219">
        <f t="shared" si="58"/>
        <v>0</v>
      </c>
      <c r="J145" s="219">
        <f t="shared" si="58"/>
        <v>0</v>
      </c>
      <c r="L145" s="219">
        <f t="shared" si="59"/>
        <v>0</v>
      </c>
      <c r="N145" s="219">
        <f t="shared" si="59"/>
        <v>0</v>
      </c>
      <c r="P145" s="219">
        <f t="shared" si="60"/>
        <v>0</v>
      </c>
      <c r="R145" s="219">
        <f t="shared" si="60"/>
        <v>0</v>
      </c>
      <c r="T145" s="219">
        <f t="shared" si="61"/>
        <v>0</v>
      </c>
      <c r="V145" s="219">
        <f t="shared" si="61"/>
        <v>0</v>
      </c>
      <c r="X145" s="219">
        <f t="shared" si="62"/>
        <v>0</v>
      </c>
      <c r="Z145" s="219">
        <f t="shared" si="63"/>
        <v>0</v>
      </c>
    </row>
    <row r="146" spans="1:26" hidden="1">
      <c r="A146" s="219" t="str">
        <f t="shared" si="64"/>
        <v>Salaries - Field Employees Adminsitrative</v>
      </c>
      <c r="B146" s="219">
        <f t="shared" si="64"/>
        <v>0</v>
      </c>
      <c r="C146" s="219"/>
      <c r="D146" s="219">
        <f t="shared" si="64"/>
        <v>0</v>
      </c>
      <c r="E146" s="219"/>
      <c r="F146" s="219">
        <f t="shared" si="64"/>
        <v>0</v>
      </c>
      <c r="G146" s="219"/>
      <c r="H146" s="219">
        <f t="shared" si="58"/>
        <v>0</v>
      </c>
      <c r="J146" s="219">
        <f t="shared" si="58"/>
        <v>0</v>
      </c>
      <c r="L146" s="219">
        <f t="shared" si="59"/>
        <v>0</v>
      </c>
      <c r="N146" s="219">
        <f t="shared" si="59"/>
        <v>0</v>
      </c>
      <c r="P146" s="219">
        <f t="shared" si="60"/>
        <v>0</v>
      </c>
      <c r="R146" s="219">
        <f t="shared" si="60"/>
        <v>0</v>
      </c>
      <c r="T146" s="219">
        <f t="shared" si="61"/>
        <v>0</v>
      </c>
      <c r="V146" s="219">
        <f t="shared" si="61"/>
        <v>0</v>
      </c>
      <c r="X146" s="219">
        <f t="shared" si="62"/>
        <v>0</v>
      </c>
      <c r="Z146" s="219">
        <f t="shared" si="63"/>
        <v>0</v>
      </c>
    </row>
    <row r="147" spans="1:26" hidden="1">
      <c r="A147" s="219" t="str">
        <f t="shared" si="64"/>
        <v>Field Employee Benefits Administrative</v>
      </c>
      <c r="B147" s="219">
        <f t="shared" si="64"/>
        <v>0</v>
      </c>
      <c r="C147" s="219"/>
      <c r="D147" s="219">
        <f t="shared" si="64"/>
        <v>0</v>
      </c>
      <c r="E147" s="219"/>
      <c r="F147" s="219">
        <f t="shared" si="64"/>
        <v>0</v>
      </c>
      <c r="G147" s="219"/>
      <c r="H147" s="219">
        <f t="shared" si="58"/>
        <v>0</v>
      </c>
      <c r="J147" s="219">
        <f t="shared" si="58"/>
        <v>0</v>
      </c>
      <c r="L147" s="219">
        <f t="shared" si="59"/>
        <v>0</v>
      </c>
      <c r="N147" s="219">
        <f t="shared" si="59"/>
        <v>0</v>
      </c>
      <c r="P147" s="219">
        <f t="shared" si="60"/>
        <v>0</v>
      </c>
      <c r="R147" s="219">
        <f t="shared" si="60"/>
        <v>0</v>
      </c>
      <c r="T147" s="219">
        <f t="shared" si="61"/>
        <v>0</v>
      </c>
      <c r="V147" s="219">
        <f t="shared" si="61"/>
        <v>0</v>
      </c>
      <c r="X147" s="219">
        <f t="shared" si="62"/>
        <v>0</v>
      </c>
      <c r="Z147" s="219">
        <f t="shared" si="63"/>
        <v>0</v>
      </c>
    </row>
    <row r="148" spans="1:26" hidden="1">
      <c r="A148" s="219" t="str">
        <f t="shared" si="64"/>
        <v>Salaries - Warehouse Employees</v>
      </c>
      <c r="B148" s="219">
        <f t="shared" si="64"/>
        <v>0</v>
      </c>
      <c r="C148" s="219"/>
      <c r="D148" s="219">
        <f t="shared" si="64"/>
        <v>0</v>
      </c>
      <c r="E148" s="219"/>
      <c r="F148" s="219">
        <f t="shared" si="64"/>
        <v>0</v>
      </c>
      <c r="G148" s="219"/>
      <c r="H148" s="219">
        <f t="shared" si="58"/>
        <v>0</v>
      </c>
      <c r="J148" s="219">
        <f t="shared" si="58"/>
        <v>0</v>
      </c>
      <c r="L148" s="219">
        <f t="shared" si="59"/>
        <v>0</v>
      </c>
      <c r="N148" s="219">
        <f t="shared" si="59"/>
        <v>0</v>
      </c>
      <c r="P148" s="219">
        <f t="shared" si="60"/>
        <v>0</v>
      </c>
      <c r="R148" s="219">
        <f t="shared" si="60"/>
        <v>0</v>
      </c>
      <c r="T148" s="219">
        <f t="shared" si="61"/>
        <v>0</v>
      </c>
      <c r="V148" s="219">
        <f t="shared" si="61"/>
        <v>0</v>
      </c>
      <c r="X148" s="219">
        <f t="shared" si="62"/>
        <v>0</v>
      </c>
      <c r="Z148" s="219">
        <f t="shared" si="63"/>
        <v>0</v>
      </c>
    </row>
    <row r="149" spans="1:26" hidden="1">
      <c r="A149" s="219" t="str">
        <f t="shared" si="64"/>
        <v>Warehouse Benefits</v>
      </c>
      <c r="B149" s="219">
        <f t="shared" si="64"/>
        <v>0</v>
      </c>
      <c r="C149" s="219"/>
      <c r="D149" s="219">
        <f t="shared" si="64"/>
        <v>0</v>
      </c>
      <c r="E149" s="219"/>
      <c r="F149" s="219">
        <f t="shared" si="64"/>
        <v>0</v>
      </c>
      <c r="G149" s="219"/>
      <c r="H149" s="219">
        <f t="shared" si="58"/>
        <v>0</v>
      </c>
      <c r="J149" s="219">
        <f t="shared" si="58"/>
        <v>0</v>
      </c>
      <c r="L149" s="219">
        <f t="shared" si="59"/>
        <v>0</v>
      </c>
      <c r="N149" s="219">
        <f t="shared" si="59"/>
        <v>0</v>
      </c>
      <c r="P149" s="219">
        <f t="shared" si="60"/>
        <v>0</v>
      </c>
      <c r="R149" s="219">
        <f t="shared" si="60"/>
        <v>0</v>
      </c>
      <c r="T149" s="219">
        <f t="shared" si="61"/>
        <v>0</v>
      </c>
      <c r="V149" s="219">
        <f t="shared" si="61"/>
        <v>0</v>
      </c>
      <c r="X149" s="219">
        <f t="shared" si="62"/>
        <v>0</v>
      </c>
      <c r="Z149" s="219">
        <f t="shared" si="63"/>
        <v>0</v>
      </c>
    </row>
    <row r="150" spans="1:26" hidden="1">
      <c r="A150" s="219" t="str">
        <f t="shared" si="64"/>
        <v>Salaries - Warehouse Employees Adminitve</v>
      </c>
      <c r="B150" s="219">
        <f t="shared" si="64"/>
        <v>0</v>
      </c>
      <c r="C150" s="219"/>
      <c r="D150" s="219">
        <f t="shared" si="64"/>
        <v>0</v>
      </c>
      <c r="E150" s="219"/>
      <c r="F150" s="219">
        <f t="shared" si="64"/>
        <v>0</v>
      </c>
      <c r="G150" s="219"/>
      <c r="H150" s="219">
        <f t="shared" si="58"/>
        <v>0</v>
      </c>
      <c r="J150" s="219">
        <f t="shared" si="58"/>
        <v>0</v>
      </c>
      <c r="L150" s="219">
        <f t="shared" si="59"/>
        <v>0</v>
      </c>
      <c r="N150" s="219">
        <f t="shared" si="59"/>
        <v>0</v>
      </c>
      <c r="P150" s="219">
        <f t="shared" si="60"/>
        <v>0</v>
      </c>
      <c r="R150" s="219">
        <f t="shared" si="60"/>
        <v>0</v>
      </c>
      <c r="T150" s="219">
        <f t="shared" si="61"/>
        <v>0</v>
      </c>
      <c r="V150" s="219">
        <f t="shared" si="61"/>
        <v>0</v>
      </c>
      <c r="X150" s="219">
        <f t="shared" si="62"/>
        <v>0</v>
      </c>
      <c r="Z150" s="219">
        <f t="shared" si="63"/>
        <v>0</v>
      </c>
    </row>
    <row r="151" spans="1:26" hidden="1">
      <c r="A151" s="219" t="str">
        <f t="shared" si="64"/>
        <v>Bonuses Administrative</v>
      </c>
      <c r="B151" s="219">
        <f t="shared" si="64"/>
        <v>0</v>
      </c>
      <c r="C151" s="219"/>
      <c r="D151" s="219">
        <f t="shared" si="64"/>
        <v>0</v>
      </c>
      <c r="E151" s="219"/>
      <c r="F151" s="219">
        <f t="shared" si="64"/>
        <v>0</v>
      </c>
      <c r="G151" s="219"/>
      <c r="H151" s="219">
        <f t="shared" si="58"/>
        <v>0</v>
      </c>
      <c r="J151" s="219">
        <f t="shared" si="58"/>
        <v>0</v>
      </c>
      <c r="L151" s="219">
        <f t="shared" si="59"/>
        <v>0</v>
      </c>
      <c r="N151" s="219">
        <f t="shared" si="59"/>
        <v>0</v>
      </c>
      <c r="P151" s="219">
        <f t="shared" si="60"/>
        <v>0</v>
      </c>
      <c r="R151" s="219">
        <f t="shared" si="60"/>
        <v>0</v>
      </c>
      <c r="T151" s="219">
        <f t="shared" si="61"/>
        <v>0</v>
      </c>
      <c r="V151" s="219">
        <f t="shared" si="61"/>
        <v>0</v>
      </c>
      <c r="X151" s="219">
        <f t="shared" si="62"/>
        <v>0</v>
      </c>
      <c r="Z151" s="219">
        <f t="shared" si="63"/>
        <v>0</v>
      </c>
    </row>
    <row r="152" spans="1:26" hidden="1">
      <c r="A152" s="219" t="str">
        <f t="shared" si="64"/>
        <v>Warehouse Benefits Admintrative</v>
      </c>
      <c r="B152" s="219">
        <f t="shared" si="64"/>
        <v>0</v>
      </c>
      <c r="C152" s="219"/>
      <c r="D152" s="219">
        <f t="shared" si="64"/>
        <v>0</v>
      </c>
      <c r="E152" s="219"/>
      <c r="F152" s="219">
        <f t="shared" si="64"/>
        <v>0</v>
      </c>
      <c r="G152" s="219"/>
      <c r="H152" s="219">
        <f t="shared" si="58"/>
        <v>0</v>
      </c>
      <c r="J152" s="219">
        <f t="shared" si="58"/>
        <v>0</v>
      </c>
      <c r="L152" s="219">
        <f t="shared" si="59"/>
        <v>0</v>
      </c>
      <c r="N152" s="219">
        <f t="shared" si="59"/>
        <v>0</v>
      </c>
      <c r="P152" s="219">
        <f t="shared" si="60"/>
        <v>0</v>
      </c>
      <c r="R152" s="219">
        <f t="shared" si="60"/>
        <v>0</v>
      </c>
      <c r="T152" s="219">
        <f t="shared" si="61"/>
        <v>0</v>
      </c>
      <c r="V152" s="219">
        <f t="shared" si="61"/>
        <v>0</v>
      </c>
      <c r="X152" s="219">
        <f t="shared" si="62"/>
        <v>0</v>
      </c>
      <c r="Z152" s="219">
        <f t="shared" si="63"/>
        <v>0</v>
      </c>
    </row>
    <row r="153" spans="1:26" hidden="1">
      <c r="A153" s="219" t="str">
        <f t="shared" si="64"/>
        <v>Fees - Professional Field Staff</v>
      </c>
      <c r="B153" s="219">
        <f t="shared" si="64"/>
        <v>30</v>
      </c>
      <c r="C153" s="219"/>
      <c r="D153" s="219">
        <f t="shared" si="64"/>
        <v>30</v>
      </c>
      <c r="E153" s="219"/>
      <c r="F153" s="219">
        <f t="shared" si="64"/>
        <v>30</v>
      </c>
      <c r="G153" s="219"/>
      <c r="H153" s="219">
        <f t="shared" si="58"/>
        <v>12</v>
      </c>
      <c r="J153" s="219">
        <f t="shared" si="58"/>
        <v>0</v>
      </c>
      <c r="L153" s="219">
        <f t="shared" si="59"/>
        <v>0</v>
      </c>
      <c r="N153" s="219">
        <f t="shared" si="59"/>
        <v>0</v>
      </c>
      <c r="P153" s="219">
        <f t="shared" si="60"/>
        <v>0</v>
      </c>
      <c r="R153" s="219">
        <f t="shared" si="60"/>
        <v>0</v>
      </c>
      <c r="T153" s="219">
        <f t="shared" si="61"/>
        <v>0</v>
      </c>
      <c r="V153" s="219">
        <f t="shared" si="61"/>
        <v>0</v>
      </c>
      <c r="X153" s="219">
        <f t="shared" si="62"/>
        <v>0</v>
      </c>
      <c r="Z153" s="219">
        <f t="shared" si="63"/>
        <v>102</v>
      </c>
    </row>
    <row r="154" spans="1:26" hidden="1">
      <c r="A154" s="219" t="str">
        <f t="shared" si="64"/>
        <v>Recruitment and Advertising</v>
      </c>
      <c r="B154" s="219">
        <f t="shared" si="64"/>
        <v>0</v>
      </c>
      <c r="C154" s="219"/>
      <c r="D154" s="219">
        <f t="shared" si="64"/>
        <v>0</v>
      </c>
      <c r="E154" s="219"/>
      <c r="F154" s="219">
        <f t="shared" si="64"/>
        <v>0</v>
      </c>
      <c r="G154" s="219"/>
      <c r="H154" s="219">
        <f t="shared" si="58"/>
        <v>0</v>
      </c>
      <c r="J154" s="219">
        <f t="shared" si="58"/>
        <v>0</v>
      </c>
      <c r="L154" s="219">
        <f t="shared" si="59"/>
        <v>0</v>
      </c>
      <c r="N154" s="219">
        <f t="shared" si="59"/>
        <v>0</v>
      </c>
      <c r="P154" s="219">
        <f t="shared" si="60"/>
        <v>0</v>
      </c>
      <c r="R154" s="219">
        <f t="shared" si="60"/>
        <v>0</v>
      </c>
      <c r="T154" s="219">
        <f t="shared" si="61"/>
        <v>0</v>
      </c>
      <c r="V154" s="219">
        <f t="shared" si="61"/>
        <v>0</v>
      </c>
      <c r="X154" s="219">
        <f t="shared" si="62"/>
        <v>0</v>
      </c>
      <c r="Z154" s="219">
        <f t="shared" si="63"/>
        <v>0</v>
      </c>
    </row>
    <row r="155" spans="1:26" hidden="1">
      <c r="A155" s="219" t="str">
        <f>+A37</f>
        <v>Field Personnel Training</v>
      </c>
      <c r="B155" s="219">
        <f>+B37</f>
        <v>0</v>
      </c>
      <c r="C155" s="219"/>
      <c r="D155" s="219">
        <f>+D37</f>
        <v>0</v>
      </c>
      <c r="E155" s="219"/>
      <c r="F155" s="219">
        <f>+F37</f>
        <v>0</v>
      </c>
      <c r="G155" s="219"/>
      <c r="H155" s="219">
        <f>+H37</f>
        <v>0</v>
      </c>
      <c r="J155" s="219">
        <f>+J37</f>
        <v>0</v>
      </c>
      <c r="L155" s="219">
        <f>+L37</f>
        <v>0</v>
      </c>
      <c r="N155" s="219">
        <f>+N37</f>
        <v>0</v>
      </c>
      <c r="P155" s="219">
        <f>+P37</f>
        <v>0</v>
      </c>
      <c r="R155" s="219">
        <f>+R37</f>
        <v>0</v>
      </c>
      <c r="T155" s="219">
        <f>+T37</f>
        <v>0</v>
      </c>
      <c r="V155" s="219">
        <f>+V37</f>
        <v>0</v>
      </c>
      <c r="X155" s="219">
        <f>+X37</f>
        <v>0</v>
      </c>
      <c r="Z155" s="219">
        <f>+Z37</f>
        <v>0</v>
      </c>
    </row>
    <row r="156" spans="1:26" ht="13.5" hidden="1" thickBot="1">
      <c r="A156" s="219"/>
      <c r="B156" s="220">
        <f>SUM(B143:B155)</f>
        <v>30</v>
      </c>
      <c r="C156" s="220"/>
      <c r="D156" s="220">
        <f>SUM(D143:D155)</f>
        <v>30</v>
      </c>
      <c r="E156" s="220"/>
      <c r="F156" s="220">
        <f>SUM(F143:F155)</f>
        <v>30</v>
      </c>
      <c r="G156" s="6"/>
      <c r="H156" s="220">
        <f>SUM(H143:H155)</f>
        <v>12</v>
      </c>
      <c r="J156" s="220">
        <f>SUM(J143:J155)</f>
        <v>0</v>
      </c>
      <c r="L156" s="220">
        <f>SUM(L143:L155)</f>
        <v>0</v>
      </c>
      <c r="N156" s="220">
        <f>SUM(N143:N155)</f>
        <v>0</v>
      </c>
      <c r="P156" s="220">
        <f>SUM(P143:P155)</f>
        <v>0</v>
      </c>
      <c r="R156" s="220">
        <f>SUM(R143:R155)</f>
        <v>0</v>
      </c>
      <c r="T156" s="220">
        <f>SUM(T143:T155)</f>
        <v>0</v>
      </c>
      <c r="V156" s="220">
        <f>SUM(V143:V155)</f>
        <v>0</v>
      </c>
      <c r="X156" s="220">
        <f>SUM(X143:X155)</f>
        <v>0</v>
      </c>
      <c r="Z156" s="220">
        <f>SUM(Z143:Z155)</f>
        <v>102</v>
      </c>
    </row>
    <row r="157" spans="1:26" hidden="1">
      <c r="A157" s="219"/>
    </row>
    <row r="158" spans="1:26" hidden="1">
      <c r="A158" s="219"/>
      <c r="F158" s="211">
        <f>SUM(B156:F156)</f>
        <v>90</v>
      </c>
      <c r="G158" s="6"/>
      <c r="L158" s="211">
        <f>SUM(H156:L156)</f>
        <v>12</v>
      </c>
      <c r="R158" s="211">
        <f>SUM(N156:R156)</f>
        <v>0</v>
      </c>
    </row>
    <row r="159" spans="1:26" hidden="1">
      <c r="A159" s="219"/>
    </row>
    <row r="160" spans="1:26" hidden="1">
      <c r="A160" s="219"/>
    </row>
    <row r="161" spans="1:26" hidden="1">
      <c r="A161" s="219"/>
    </row>
    <row r="162" spans="1:26" hidden="1">
      <c r="A162" s="1"/>
    </row>
    <row r="163" spans="1:26" hidden="1">
      <c r="A163" s="1"/>
      <c r="B163" s="20">
        <f>+B16+B17</f>
        <v>0</v>
      </c>
      <c r="D163" s="20">
        <f>+D16+D17</f>
        <v>0</v>
      </c>
      <c r="F163" s="20">
        <f>+F16+F17</f>
        <v>0</v>
      </c>
      <c r="H163" s="20">
        <f>+H16+H17</f>
        <v>0</v>
      </c>
      <c r="J163" s="20">
        <f>+J16+J17</f>
        <v>0</v>
      </c>
      <c r="L163" s="20">
        <f>+L16+L17</f>
        <v>0</v>
      </c>
      <c r="N163" s="20">
        <f>+N16+N17</f>
        <v>0</v>
      </c>
      <c r="P163" s="20">
        <f>+P16+P17</f>
        <v>0</v>
      </c>
      <c r="R163" s="20">
        <f>+R16+R17</f>
        <v>0</v>
      </c>
      <c r="T163" s="20">
        <f>+T16+T17</f>
        <v>0</v>
      </c>
      <c r="V163" s="20">
        <f>+V16+V17</f>
        <v>0</v>
      </c>
      <c r="X163" s="20">
        <f>+X16+X17</f>
        <v>0</v>
      </c>
      <c r="Z163" s="15">
        <f>+B163+D163+F163+H163+J163+L163+N163+P163+R163+T163+V163+X163</f>
        <v>0</v>
      </c>
    </row>
    <row r="164" spans="1:26" hidden="1">
      <c r="A164" s="1"/>
      <c r="B164" s="20">
        <f>+B19+B20+B21+B22+B23+B24+B25</f>
        <v>0</v>
      </c>
      <c r="D164" s="20">
        <f>+D19+D20+D21+D22+D23+D24+D25</f>
        <v>0</v>
      </c>
      <c r="F164" s="20">
        <f>+F19+F20+F21+F22+F23+F24+F25</f>
        <v>0</v>
      </c>
      <c r="H164" s="20">
        <f>+H19+H20+H21+H22+H23+H24+H25</f>
        <v>0</v>
      </c>
      <c r="J164" s="20">
        <f>+J19+J20+J21+J22+J23+J24+J25</f>
        <v>0</v>
      </c>
      <c r="L164" s="20">
        <f>+L19+L20+L21+L22+L23+L24+L25</f>
        <v>0</v>
      </c>
      <c r="N164" s="20">
        <f>+N19+N20+N21+N22+N23+N24+N25</f>
        <v>0</v>
      </c>
      <c r="P164" s="20">
        <f>+P19+P20+P21+P22+P23+P24+P25</f>
        <v>0</v>
      </c>
      <c r="R164" s="20">
        <f>+R19+R20+R21+R22+R23+R24+R25</f>
        <v>0</v>
      </c>
      <c r="T164" s="20">
        <f>+T19+T20+T21+T22+T23+T24+T25</f>
        <v>0</v>
      </c>
      <c r="V164" s="20">
        <f>+V19+V20+V21+V22+V23+V24+V25</f>
        <v>0</v>
      </c>
      <c r="X164" s="20">
        <f>+X19+X20+X21+X22+X23+X24+X25</f>
        <v>0</v>
      </c>
      <c r="Z164" s="15">
        <f>+B164+D164+F164+H164+J164+L164+N164+P164+R164+T164+V164+X164</f>
        <v>0</v>
      </c>
    </row>
    <row r="165" spans="1:26" hidden="1">
      <c r="A165" s="1"/>
      <c r="B165" s="20">
        <f>+B53+B54+B70</f>
        <v>0</v>
      </c>
      <c r="D165" s="20">
        <f>+D53+D54+D70</f>
        <v>0</v>
      </c>
      <c r="F165" s="20">
        <f>+F53+F54+F70</f>
        <v>0</v>
      </c>
      <c r="H165" s="20">
        <f>+H53+H54+H70</f>
        <v>0</v>
      </c>
      <c r="J165" s="20">
        <f>+J53+J54+J70</f>
        <v>0</v>
      </c>
      <c r="L165" s="20">
        <f>+L53+L54+L70</f>
        <v>0</v>
      </c>
      <c r="N165" s="20">
        <f>+N53+N54+N70</f>
        <v>0</v>
      </c>
      <c r="P165" s="20">
        <f>+P53+P54+P70</f>
        <v>0</v>
      </c>
      <c r="R165" s="20">
        <f>+R53+R54+R70</f>
        <v>0</v>
      </c>
      <c r="T165" s="20">
        <f>+T53+T54+T70</f>
        <v>0</v>
      </c>
      <c r="V165" s="20">
        <f>+V53+V54+V70</f>
        <v>0</v>
      </c>
      <c r="X165" s="20">
        <f>+X53+X54+X70</f>
        <v>0</v>
      </c>
      <c r="Z165" s="15">
        <f>+B165+D165+F165+H165+J165+L165+N165+P165+R165+T165+V165+X165</f>
        <v>0</v>
      </c>
    </row>
    <row r="166" spans="1:26" ht="15.75" hidden="1">
      <c r="A166" s="18"/>
      <c r="B166" s="20">
        <f>SUM(B163:B165)</f>
        <v>0</v>
      </c>
      <c r="D166" s="20">
        <f>SUM(D163:D165)</f>
        <v>0</v>
      </c>
      <c r="F166" s="20">
        <f>SUM(F163:F165)</f>
        <v>0</v>
      </c>
      <c r="H166" s="20">
        <f>SUM(H163:H165)</f>
        <v>0</v>
      </c>
      <c r="J166" s="20">
        <f>SUM(J163:J165)</f>
        <v>0</v>
      </c>
      <c r="L166" s="20">
        <f>SUM(L163:L165)</f>
        <v>0</v>
      </c>
      <c r="N166" s="20">
        <f>SUM(N163:N165)</f>
        <v>0</v>
      </c>
      <c r="P166" s="20">
        <f>SUM(P163:P165)</f>
        <v>0</v>
      </c>
      <c r="R166" s="20">
        <f>SUM(R163:R165)</f>
        <v>0</v>
      </c>
      <c r="T166" s="20">
        <f>SUM(T163:T165)</f>
        <v>0</v>
      </c>
      <c r="V166" s="20">
        <f>SUM(V163:V165)</f>
        <v>0</v>
      </c>
      <c r="X166" s="20">
        <f>SUM(X163:X165)</f>
        <v>0</v>
      </c>
      <c r="Z166" s="15">
        <f>+B166+D166+F166+H166+J166+L166+N166+P166+R166+T166+V166+X166</f>
        <v>0</v>
      </c>
    </row>
    <row r="167" spans="1:26" hidden="1"/>
    <row r="168" spans="1:26" ht="15" hidden="1">
      <c r="B168" s="279" t="s">
        <v>667</v>
      </c>
      <c r="C168" s="279"/>
      <c r="D168" s="149"/>
      <c r="E168" s="149"/>
      <c r="F168" s="149"/>
    </row>
    <row r="169" spans="1:26" ht="15" hidden="1">
      <c r="B169" s="279" t="s">
        <v>668</v>
      </c>
      <c r="C169" s="279"/>
      <c r="D169" s="149"/>
      <c r="E169" s="149"/>
      <c r="F169" s="149"/>
    </row>
  </sheetData>
  <phoneticPr fontId="0" type="noConversion"/>
  <pageMargins left="0.75" right="0.75" top="1" bottom="1" header="0.5" footer="0.5"/>
  <pageSetup paperSize="9" scale="43" fitToHeight="3" orientation="landscape" horizontalDpi="300" verticalDpi="300" r:id="rId1"/>
  <headerFooter alignWithMargins="0"/>
  <ignoredErrors>
    <ignoredError sqref="X83:X84" unlockedFormula="1"/>
    <ignoredError sqref="J72" formula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8">
    <tabColor rgb="FFFFFF66"/>
    <pageSetUpPr fitToPage="1"/>
  </sheetPr>
  <dimension ref="A1:AV135"/>
  <sheetViews>
    <sheetView workbookViewId="0"/>
  </sheetViews>
  <sheetFormatPr baseColWidth="10" defaultColWidth="9.140625" defaultRowHeight="12.75"/>
  <cols>
    <col min="1" max="1" width="39.140625" bestFit="1" customWidth="1"/>
    <col min="2" max="2" width="14.42578125" customWidth="1"/>
    <col min="3" max="3" width="6.85546875" customWidth="1"/>
    <col min="4" max="4" width="14.42578125" customWidth="1"/>
    <col min="5" max="5" width="8.140625" customWidth="1"/>
    <col min="6" max="6" width="15.42578125" customWidth="1"/>
    <col min="7" max="7" width="8.42578125" customWidth="1"/>
    <col min="8" max="8" width="14.42578125" customWidth="1"/>
    <col min="9" max="9" width="6.85546875" customWidth="1"/>
    <col min="10" max="10" width="15.140625" customWidth="1"/>
    <col min="11" max="11" width="7" customWidth="1"/>
    <col min="12" max="12" width="14.140625" customWidth="1"/>
    <col min="13" max="13" width="7.140625" customWidth="1"/>
    <col min="14" max="14" width="15.42578125" customWidth="1"/>
    <col min="15" max="15" width="6.42578125" bestFit="1" customWidth="1"/>
    <col min="16" max="16" width="16.140625" customWidth="1"/>
    <col min="17" max="17" width="6.140625" customWidth="1"/>
    <col min="18" max="18" width="16" customWidth="1"/>
    <col min="19" max="19" width="6.85546875" customWidth="1"/>
    <col min="20" max="20" width="15" customWidth="1"/>
    <col min="21" max="21" width="7.140625" customWidth="1"/>
    <col min="22" max="22" width="16.42578125" customWidth="1"/>
    <col min="23" max="23" width="6.42578125" customWidth="1"/>
    <col min="24" max="24" width="14.85546875" customWidth="1"/>
    <col min="25" max="25" width="6.5703125" customWidth="1"/>
    <col min="26" max="26" width="17.42578125" style="8" customWidth="1"/>
    <col min="27" max="27" width="9.42578125" style="167" customWidth="1"/>
    <col min="28" max="28" width="19.140625" customWidth="1"/>
    <col min="29" max="29" width="16.42578125" bestFit="1" customWidth="1"/>
    <col min="30" max="30" width="15.42578125" customWidth="1"/>
    <col min="33" max="33" width="12.42578125" customWidth="1"/>
    <col min="34" max="34" width="12.5703125" customWidth="1"/>
    <col min="35" max="35" width="15" customWidth="1"/>
    <col min="36" max="36" width="18.42578125" customWidth="1"/>
    <col min="37" max="37" width="12.42578125" bestFit="1" customWidth="1"/>
    <col min="38" max="38" width="11.42578125" bestFit="1" customWidth="1"/>
    <col min="40" max="40" width="14.42578125" bestFit="1" customWidth="1"/>
    <col min="41" max="41" width="11.42578125" customWidth="1"/>
  </cols>
  <sheetData>
    <row r="1" spans="1:48" ht="15.75">
      <c r="A1" s="11" t="str">
        <f>'SPL 25 USD'!A1</f>
        <v>2025 Performance</v>
      </c>
      <c r="B1" s="195">
        <f>+'FX Rates'!B2</f>
        <v>1</v>
      </c>
      <c r="C1" s="195"/>
      <c r="D1" s="195">
        <f>+'FX Rates'!C2</f>
        <v>1</v>
      </c>
      <c r="E1" s="195"/>
      <c r="F1" s="195">
        <f>+'FX Rates'!D2</f>
        <v>1</v>
      </c>
      <c r="G1" s="195"/>
      <c r="H1" s="195">
        <f>+'FX Rates'!E2</f>
        <v>1</v>
      </c>
      <c r="I1" s="195"/>
      <c r="J1" s="195">
        <f>+'FX Rates'!F2</f>
        <v>1</v>
      </c>
      <c r="K1" s="195"/>
      <c r="L1" s="195">
        <f>+'FX Rates'!G2</f>
        <v>1</v>
      </c>
      <c r="M1" s="195"/>
      <c r="N1" s="195">
        <f>+'FX Rates'!H2</f>
        <v>1</v>
      </c>
      <c r="O1" s="195"/>
      <c r="P1" s="195">
        <f>+'FX Rates'!I2</f>
        <v>1</v>
      </c>
      <c r="Q1" s="195"/>
      <c r="R1" s="195">
        <f>+'FX Rates'!J2</f>
        <v>1</v>
      </c>
      <c r="S1" s="195"/>
      <c r="T1" s="195">
        <f>+'FX Rates'!K2</f>
        <v>1</v>
      </c>
      <c r="U1" s="195"/>
      <c r="V1" s="195">
        <f>+'FX Rates'!L2</f>
        <v>1</v>
      </c>
      <c r="W1" s="195"/>
      <c r="X1" s="195">
        <f>+'FX Rates'!M2</f>
        <v>1</v>
      </c>
      <c r="Y1" s="195"/>
      <c r="Z1" s="20"/>
    </row>
    <row r="2" spans="1:48" s="4" customFormat="1" ht="15.75">
      <c r="A2" s="11" t="s">
        <v>372</v>
      </c>
      <c r="B2" s="195"/>
      <c r="C2" s="195"/>
      <c r="D2" s="168"/>
      <c r="E2" s="168"/>
      <c r="F2"/>
      <c r="G2"/>
      <c r="H2"/>
      <c r="I2"/>
      <c r="J2" s="20">
        <f>+J49</f>
        <v>0</v>
      </c>
      <c r="K2" s="20"/>
      <c r="L2" s="20">
        <f>+L49</f>
        <v>0</v>
      </c>
      <c r="M2" s="20"/>
      <c r="N2" s="20">
        <f>+N49</f>
        <v>0</v>
      </c>
      <c r="O2" s="20"/>
      <c r="P2" s="20">
        <f>+P49</f>
        <v>0</v>
      </c>
      <c r="Q2" s="20"/>
      <c r="R2" s="20">
        <f>+R49</f>
        <v>0</v>
      </c>
      <c r="S2" s="20"/>
      <c r="T2"/>
      <c r="U2"/>
      <c r="V2"/>
      <c r="W2"/>
      <c r="X2"/>
      <c r="Y2"/>
      <c r="Z2" s="8"/>
      <c r="AA2" s="239"/>
      <c r="AB2" s="453">
        <v>-239614229</v>
      </c>
    </row>
    <row r="3" spans="1:48" ht="15.75">
      <c r="A3" s="18" t="s">
        <v>373</v>
      </c>
      <c r="B3" s="195">
        <f>+'FX Rates'!B4</f>
        <v>0</v>
      </c>
      <c r="C3" s="195"/>
      <c r="D3" s="149"/>
      <c r="E3" s="149"/>
      <c r="F3" s="149"/>
      <c r="G3" s="149"/>
      <c r="H3" s="149"/>
      <c r="I3" s="149"/>
      <c r="J3" s="149">
        <f>+J1-J2</f>
        <v>1</v>
      </c>
      <c r="K3" s="149"/>
      <c r="L3" s="149">
        <f>+L1-L2</f>
        <v>1</v>
      </c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B3" s="149"/>
    </row>
    <row r="4" spans="1:48">
      <c r="B4" s="21">
        <v>2025</v>
      </c>
      <c r="C4" s="21"/>
      <c r="D4" s="21">
        <f>B4</f>
        <v>2025</v>
      </c>
      <c r="E4" s="21"/>
      <c r="F4" s="21">
        <f>D4</f>
        <v>2025</v>
      </c>
      <c r="G4" s="21"/>
      <c r="H4" s="21">
        <f>F4</f>
        <v>2025</v>
      </c>
      <c r="I4" s="21"/>
      <c r="J4" s="21">
        <f>H4</f>
        <v>2025</v>
      </c>
      <c r="K4" s="21"/>
      <c r="L4" s="21">
        <f>J4</f>
        <v>2025</v>
      </c>
      <c r="M4" s="21"/>
      <c r="N4" s="21">
        <f>L4</f>
        <v>2025</v>
      </c>
      <c r="O4" s="21"/>
      <c r="P4" s="21">
        <f>N4</f>
        <v>2025</v>
      </c>
      <c r="Q4" s="21"/>
      <c r="R4" s="21">
        <f>P4</f>
        <v>2025</v>
      </c>
      <c r="S4" s="21"/>
      <c r="T4" s="21">
        <f>R4</f>
        <v>2025</v>
      </c>
      <c r="U4" s="21"/>
      <c r="V4" s="21">
        <f>T4</f>
        <v>2025</v>
      </c>
      <c r="W4" s="21"/>
      <c r="X4" s="21">
        <f>V4</f>
        <v>2025</v>
      </c>
      <c r="Y4" s="21"/>
      <c r="Z4" s="21">
        <f>X4</f>
        <v>2025</v>
      </c>
    </row>
    <row r="5" spans="1:48" ht="15.75">
      <c r="A5" s="18" t="s">
        <v>44</v>
      </c>
      <c r="B5" s="21" t="s">
        <v>3</v>
      </c>
      <c r="C5" s="21"/>
      <c r="D5" s="21" t="s">
        <v>4</v>
      </c>
      <c r="E5" s="21"/>
      <c r="F5" s="21" t="s">
        <v>5</v>
      </c>
      <c r="G5" s="21"/>
      <c r="H5" s="21" t="s">
        <v>6</v>
      </c>
      <c r="I5" s="21"/>
      <c r="J5" s="21" t="s">
        <v>7</v>
      </c>
      <c r="K5" s="21"/>
      <c r="L5" s="21" t="s">
        <v>8</v>
      </c>
      <c r="M5" s="21"/>
      <c r="N5" s="21" t="s">
        <v>9</v>
      </c>
      <c r="O5" s="21"/>
      <c r="P5" s="21" t="s">
        <v>10</v>
      </c>
      <c r="Q5" s="21"/>
      <c r="R5" s="21" t="s">
        <v>11</v>
      </c>
      <c r="S5" s="21"/>
      <c r="T5" s="21" t="s">
        <v>12</v>
      </c>
      <c r="U5" s="21"/>
      <c r="V5" s="21" t="s">
        <v>13</v>
      </c>
      <c r="W5" s="21"/>
      <c r="X5" s="21" t="s">
        <v>14</v>
      </c>
      <c r="Y5" s="21"/>
      <c r="Z5" s="21" t="s">
        <v>51</v>
      </c>
    </row>
    <row r="6" spans="1:48">
      <c r="A6" s="6" t="s">
        <v>376</v>
      </c>
    </row>
    <row r="7" spans="1:48">
      <c r="A7" s="757" t="s">
        <v>669</v>
      </c>
      <c r="B7" s="14">
        <f ca="1">+'Sales-OPD-2025'!C11</f>
        <v>2728</v>
      </c>
      <c r="C7" s="907">
        <f ca="1">IFERROR(B7/$B$13,0)</f>
        <v>1</v>
      </c>
      <c r="D7" s="14">
        <f ca="1">+'Sales-OPD-2025'!D11</f>
        <v>2728</v>
      </c>
      <c r="E7" s="907">
        <f ca="1">IFERROR(D7/$D$13,0)</f>
        <v>1</v>
      </c>
      <c r="F7" s="14">
        <f ca="1">+'Sales-OPD-2025'!E11</f>
        <v>2728</v>
      </c>
      <c r="G7" s="907">
        <f ca="1">IFERROR(F7/F13,0)</f>
        <v>1</v>
      </c>
      <c r="H7" s="14">
        <f ca="1">+'Sales-OPD-2025'!G11</f>
        <v>2728</v>
      </c>
      <c r="I7" s="907">
        <f ca="1">IFERROR(H7/H13,0)</f>
        <v>1</v>
      </c>
      <c r="J7" s="14" t="e">
        <f>+'Sales-OPD-2025'!H11</f>
        <v>#REF!</v>
      </c>
      <c r="K7" s="907">
        <f>IFERROR(J7/J13,0)</f>
        <v>0</v>
      </c>
      <c r="L7" s="14" t="e">
        <f>+'Sales-OPD-2025'!I11</f>
        <v>#REF!</v>
      </c>
      <c r="M7" s="907">
        <f>IFERROR(L7/L13,0)</f>
        <v>0</v>
      </c>
      <c r="N7" s="14" t="e">
        <f>+'Sales-OPD-2025'!K11</f>
        <v>#REF!</v>
      </c>
      <c r="O7" s="907">
        <f>IFERROR(N7/N13,0)</f>
        <v>0</v>
      </c>
      <c r="P7" s="14" t="e">
        <f>+'Sales-OPD-2025'!L11</f>
        <v>#REF!</v>
      </c>
      <c r="Q7" s="907">
        <f>IFERROR(P7/P13,0)</f>
        <v>0</v>
      </c>
      <c r="R7" s="14" t="e">
        <f>+'Sales-OPD-2025'!M11</f>
        <v>#REF!</v>
      </c>
      <c r="S7" s="907">
        <f>IFERROR(R7/R13,0)</f>
        <v>0</v>
      </c>
      <c r="T7" s="152" t="e">
        <f>+'Sales-OPD-2025'!O11</f>
        <v>#REF!</v>
      </c>
      <c r="U7" s="907">
        <f>IFERROR(T7/T13,0)</f>
        <v>0</v>
      </c>
      <c r="V7" s="14" t="e">
        <f>+'Sales-OPD-2025'!P11</f>
        <v>#REF!</v>
      </c>
      <c r="W7" s="907">
        <f>IFERROR(V7/V13,0)</f>
        <v>0</v>
      </c>
      <c r="X7" s="160" t="e">
        <f>+'Sales-OPD-2025'!Q11</f>
        <v>#REF!</v>
      </c>
      <c r="Y7" s="907">
        <f>IFERROR(X7/X13,0)</f>
        <v>0</v>
      </c>
      <c r="Z7" s="15" t="e">
        <f t="shared" ref="Z7:Z12" ca="1" si="0">+B7+D7+F7+H7+J7+L7+N7+P7+R7+T7+V7+X7</f>
        <v>#REF!</v>
      </c>
      <c r="AA7" s="908" t="e">
        <f ca="1">+Z7/$Z$13</f>
        <v>#REF!</v>
      </c>
      <c r="AB7" s="14" t="e">
        <f>SUM(T7:X7)</f>
        <v>#REF!</v>
      </c>
      <c r="AC7" s="149"/>
    </row>
    <row r="8" spans="1:48">
      <c r="A8" s="757" t="s">
        <v>377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5">
        <f t="shared" si="0"/>
        <v>0</v>
      </c>
      <c r="AB8" s="20"/>
    </row>
    <row r="9" spans="1:48">
      <c r="A9" s="757" t="s">
        <v>378</v>
      </c>
      <c r="B9" s="14"/>
      <c r="C9" s="907">
        <f ca="1">+B9/$B$13</f>
        <v>0</v>
      </c>
      <c r="D9" s="14"/>
      <c r="E9" s="907">
        <f ca="1">+D9/$B$13</f>
        <v>0</v>
      </c>
      <c r="F9" s="14"/>
      <c r="G9" s="907">
        <f ca="1">+F9/$B$13</f>
        <v>0</v>
      </c>
      <c r="H9" s="14"/>
      <c r="I9" s="907">
        <f ca="1">+H9/$B$13</f>
        <v>0</v>
      </c>
      <c r="J9" s="14"/>
      <c r="K9" s="907">
        <f ca="1">+J9/$B$13</f>
        <v>0</v>
      </c>
      <c r="L9" s="14"/>
      <c r="M9" s="907">
        <f ca="1">+L9/$B$13</f>
        <v>0</v>
      </c>
      <c r="N9" s="14"/>
      <c r="O9" s="907">
        <f ca="1">+N9/$B$13</f>
        <v>0</v>
      </c>
      <c r="P9" s="14"/>
      <c r="Q9" s="907">
        <f ca="1">+P9/$B$13</f>
        <v>0</v>
      </c>
      <c r="R9" s="14"/>
      <c r="S9" s="907">
        <f ca="1">+R9/$B$13</f>
        <v>0</v>
      </c>
      <c r="T9" s="14"/>
      <c r="U9" s="907">
        <f ca="1">+T9/$B$13</f>
        <v>0</v>
      </c>
      <c r="V9" s="14"/>
      <c r="W9" s="907">
        <f ca="1">+V9/$B$13</f>
        <v>0</v>
      </c>
      <c r="X9" s="14"/>
      <c r="Y9" s="907">
        <f ca="1">+X9/$B$13</f>
        <v>0</v>
      </c>
      <c r="Z9" s="15">
        <f t="shared" si="0"/>
        <v>0</v>
      </c>
      <c r="AA9" s="908" t="e">
        <f ca="1">+Z9/$Z$13</f>
        <v>#REF!</v>
      </c>
      <c r="AB9" s="14"/>
      <c r="AC9" s="14"/>
    </row>
    <row r="10" spans="1:48">
      <c r="A10" s="757" t="s">
        <v>379</v>
      </c>
      <c r="B10" s="14"/>
      <c r="C10" s="907"/>
      <c r="D10" s="14"/>
      <c r="E10" s="907"/>
      <c r="F10" s="14"/>
      <c r="G10" s="907"/>
      <c r="H10" s="14"/>
      <c r="I10" s="907"/>
      <c r="J10" s="14"/>
      <c r="K10" s="907"/>
      <c r="L10" s="14"/>
      <c r="M10" s="907"/>
      <c r="N10" s="14"/>
      <c r="O10" s="907"/>
      <c r="P10" s="14"/>
      <c r="Q10" s="907"/>
      <c r="R10" s="14"/>
      <c r="S10" s="907"/>
      <c r="T10" s="14"/>
      <c r="U10" s="907"/>
      <c r="V10" s="14"/>
      <c r="W10" s="907"/>
      <c r="X10" s="14"/>
      <c r="Y10" s="907"/>
      <c r="Z10" s="15">
        <f t="shared" si="0"/>
        <v>0</v>
      </c>
      <c r="AB10" s="14"/>
      <c r="AC10" s="20"/>
    </row>
    <row r="11" spans="1:48" s="35" customFormat="1">
      <c r="A11" s="32" t="s">
        <v>380</v>
      </c>
      <c r="B11" s="14"/>
      <c r="C11" s="907"/>
      <c r="D11" s="14"/>
      <c r="E11" s="907"/>
      <c r="F11" s="14"/>
      <c r="G11" s="907"/>
      <c r="H11" s="14"/>
      <c r="I11" s="907"/>
      <c r="J11" s="14"/>
      <c r="K11" s="907"/>
      <c r="L11" s="14"/>
      <c r="M11" s="907"/>
      <c r="N11" s="14"/>
      <c r="O11" s="907"/>
      <c r="P11" s="14"/>
      <c r="Q11" s="907"/>
      <c r="R11" s="14">
        <f>18946447-18946447</f>
        <v>0</v>
      </c>
      <c r="S11" s="907"/>
      <c r="T11" s="14"/>
      <c r="U11" s="907"/>
      <c r="V11" s="33"/>
      <c r="W11" s="907"/>
      <c r="X11" s="33"/>
      <c r="Y11" s="907"/>
      <c r="Z11" s="15">
        <f t="shared" si="0"/>
        <v>0</v>
      </c>
      <c r="AA11" s="243"/>
      <c r="AB11" s="14"/>
    </row>
    <row r="12" spans="1:48">
      <c r="A12" s="757" t="s">
        <v>59</v>
      </c>
      <c r="B12" s="20"/>
      <c r="C12" s="907"/>
      <c r="D12" s="14"/>
      <c r="E12" s="907"/>
      <c r="F12" s="14"/>
      <c r="G12" s="907"/>
      <c r="H12" s="14"/>
      <c r="I12" s="907"/>
      <c r="J12" s="14"/>
      <c r="K12" s="907"/>
      <c r="L12" s="14"/>
      <c r="M12" s="907"/>
      <c r="N12" s="14"/>
      <c r="O12" s="907"/>
      <c r="P12" s="14"/>
      <c r="Q12" s="907"/>
      <c r="R12" s="14"/>
      <c r="S12" s="907"/>
      <c r="T12" s="20"/>
      <c r="U12" s="907"/>
      <c r="V12" s="20"/>
      <c r="W12" s="907"/>
      <c r="X12" s="20"/>
      <c r="Y12" s="907"/>
      <c r="Z12" s="15">
        <f t="shared" si="0"/>
        <v>0</v>
      </c>
      <c r="AB12" s="152">
        <v>4182523188</v>
      </c>
    </row>
    <row r="13" spans="1:48" s="1" customFormat="1" ht="13.5" thickBot="1">
      <c r="A13" s="6" t="s">
        <v>381</v>
      </c>
      <c r="B13" s="40">
        <f ca="1">SUM(B7:B12)</f>
        <v>2728</v>
      </c>
      <c r="C13" s="907">
        <f ca="1">IFERROR(B13/$B$13,0)</f>
        <v>1</v>
      </c>
      <c r="D13" s="40">
        <f ca="1">SUM(D7:D12)</f>
        <v>2728</v>
      </c>
      <c r="E13" s="907">
        <f ca="1">IFERROR(D13/D13,0)</f>
        <v>1</v>
      </c>
      <c r="F13" s="40">
        <f t="shared" ref="F13:T13" ca="1" si="1">SUM(F7:F12)</f>
        <v>2728</v>
      </c>
      <c r="G13" s="907">
        <f ca="1">IFERROR(F13/F13,0)</f>
        <v>1</v>
      </c>
      <c r="H13" s="40">
        <f t="shared" ca="1" si="1"/>
        <v>2728</v>
      </c>
      <c r="I13" s="907">
        <f ca="1">IFERROR(H13/H13,0)</f>
        <v>1</v>
      </c>
      <c r="J13" s="40" t="e">
        <f t="shared" si="1"/>
        <v>#REF!</v>
      </c>
      <c r="K13" s="907">
        <f>IFERROR(J13/J13,0)</f>
        <v>0</v>
      </c>
      <c r="L13" s="40" t="e">
        <f t="shared" si="1"/>
        <v>#REF!</v>
      </c>
      <c r="M13" s="907">
        <f>IFERROR(L13/L13,0)</f>
        <v>0</v>
      </c>
      <c r="N13" s="40" t="e">
        <f t="shared" si="1"/>
        <v>#REF!</v>
      </c>
      <c r="O13" s="907">
        <f>IFERROR(N13/N13,0)</f>
        <v>0</v>
      </c>
      <c r="P13" s="40" t="e">
        <f t="shared" si="1"/>
        <v>#REF!</v>
      </c>
      <c r="Q13" s="907">
        <f>IFERROR(P13/P13,0)</f>
        <v>0</v>
      </c>
      <c r="R13" s="40" t="e">
        <f t="shared" si="1"/>
        <v>#REF!</v>
      </c>
      <c r="S13" s="907">
        <f>IFERROR(R13/R13,0)</f>
        <v>0</v>
      </c>
      <c r="T13" s="40" t="e">
        <f t="shared" si="1"/>
        <v>#REF!</v>
      </c>
      <c r="U13" s="907">
        <f>IFERROR(T13/T13,0)</f>
        <v>0</v>
      </c>
      <c r="V13" s="40" t="e">
        <f>SUM(V7:V12)</f>
        <v>#REF!</v>
      </c>
      <c r="W13" s="907">
        <f>IFERROR(V13/V13,0)</f>
        <v>0</v>
      </c>
      <c r="X13" s="40" t="e">
        <f>SUM(X7:X12)</f>
        <v>#REF!</v>
      </c>
      <c r="Y13" s="907">
        <f>IFERROR(X13/X13,0)</f>
        <v>0</v>
      </c>
      <c r="Z13" s="40" t="e">
        <f ca="1">SUM(Z7:Z12)</f>
        <v>#REF!</v>
      </c>
      <c r="AA13" s="21"/>
      <c r="AB13" s="14" t="e">
        <f ca="1">+DPL25Summary!Z89</f>
        <v>#REF!</v>
      </c>
    </row>
    <row r="14" spans="1:48" ht="13.5" thickTop="1">
      <c r="A14" s="757"/>
      <c r="B14" s="20"/>
      <c r="C14" s="907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15"/>
      <c r="AB14" s="946" t="e">
        <f ca="1">+AB12-AB13</f>
        <v>#REF!</v>
      </c>
      <c r="AC14" s="168"/>
      <c r="AD14" s="20"/>
      <c r="AI14" s="149"/>
    </row>
    <row r="15" spans="1:48" ht="13.5" thickBot="1">
      <c r="A15" s="6" t="s">
        <v>382</v>
      </c>
      <c r="B15" s="20"/>
      <c r="C15" s="907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15"/>
      <c r="AB15" s="20"/>
      <c r="AI15" s="149"/>
      <c r="AL15" s="187"/>
      <c r="AM15" s="187"/>
      <c r="AN15" s="204"/>
    </row>
    <row r="16" spans="1:48">
      <c r="A16" s="757" t="s">
        <v>266</v>
      </c>
      <c r="B16" s="488"/>
      <c r="C16" s="944">
        <f t="shared" ref="C16:C49" ca="1" si="2">+B16/$B$13</f>
        <v>0</v>
      </c>
      <c r="D16" s="488"/>
      <c r="E16" s="943">
        <f ca="1">IFERROR(D16/$D$13,0)</f>
        <v>0</v>
      </c>
      <c r="F16" s="488"/>
      <c r="G16" s="943">
        <f ca="1">IFERROR(F16/$F$13,0)</f>
        <v>0</v>
      </c>
      <c r="H16" s="488"/>
      <c r="I16" s="944">
        <f ca="1">IFERROR(H16/$H$13,0)</f>
        <v>0</v>
      </c>
      <c r="J16" s="488"/>
      <c r="K16" s="947">
        <f>IFERROR(J16/$J$13,0)</f>
        <v>0</v>
      </c>
      <c r="L16" s="488"/>
      <c r="M16" s="948">
        <f>IFERROR(L16/$L$13,0)</f>
        <v>0</v>
      </c>
      <c r="N16" s="488"/>
      <c r="O16" s="948">
        <f>IFERROR(N16/$N$13,0)</f>
        <v>0</v>
      </c>
      <c r="P16" s="488"/>
      <c r="Q16" s="947">
        <f>IFERROR(P16/$P$13,0)</f>
        <v>0</v>
      </c>
      <c r="R16" s="488"/>
      <c r="S16" s="911">
        <f>IFERROR(R16/$R$13,0)</f>
        <v>0</v>
      </c>
      <c r="T16" s="473"/>
      <c r="U16" s="911">
        <f>IFERROR(T16/$T$13,0)</f>
        <v>0</v>
      </c>
      <c r="V16" s="473"/>
      <c r="W16" s="911">
        <f t="shared" ref="W16:W25" si="3">IFERROR(V16/$V$13,0)</f>
        <v>0</v>
      </c>
      <c r="X16" s="473"/>
      <c r="Y16" s="911">
        <f>IFERROR(X16/$X$13,0)</f>
        <v>0</v>
      </c>
      <c r="Z16" s="15">
        <f t="shared" ref="Z16:Z47" si="4">+B16+D16+F16+H16+J16+L16+N16+P16+R16+T16+V16+X16</f>
        <v>0</v>
      </c>
      <c r="AA16" s="913" t="e">
        <f ca="1">+Z16/$Z$13</f>
        <v>#REF!</v>
      </c>
      <c r="AB16" s="20"/>
      <c r="AC16" s="308"/>
      <c r="AD16" s="407"/>
      <c r="AE16" s="407"/>
      <c r="AF16" s="407"/>
      <c r="AG16" s="408"/>
      <c r="AI16" s="149"/>
      <c r="AL16" s="555"/>
      <c r="AM16" s="187"/>
      <c r="AN16" s="223"/>
      <c r="AO16" s="149"/>
      <c r="AP16" s="149"/>
      <c r="AQ16" s="149"/>
      <c r="AR16" s="149"/>
      <c r="AS16" s="149"/>
      <c r="AT16" s="149"/>
      <c r="AU16" s="149"/>
      <c r="AV16" s="149"/>
    </row>
    <row r="17" spans="1:48">
      <c r="A17" s="757" t="s">
        <v>268</v>
      </c>
      <c r="B17" s="200"/>
      <c r="C17" s="910">
        <f t="shared" ca="1" si="2"/>
        <v>0</v>
      </c>
      <c r="D17" s="200"/>
      <c r="E17" s="909">
        <f ca="1">IFERROR(D17/$D$13,0)</f>
        <v>0</v>
      </c>
      <c r="F17" s="200"/>
      <c r="G17" s="909">
        <f ca="1">IFERROR(F17/$F$13,0)</f>
        <v>0</v>
      </c>
      <c r="H17" s="200"/>
      <c r="I17" s="910">
        <f t="shared" ref="I17:I49" ca="1" si="5">IFERROR(H17/$H$13,0)</f>
        <v>0</v>
      </c>
      <c r="J17" s="200"/>
      <c r="K17" s="911">
        <f t="shared" ref="K17:K49" si="6">IFERROR(J17/$J$13,0)</f>
        <v>0</v>
      </c>
      <c r="L17" s="200"/>
      <c r="M17" s="912">
        <f t="shared" ref="M17:M49" si="7">IFERROR(L17/$L$13,0)</f>
        <v>0</v>
      </c>
      <c r="N17" s="200"/>
      <c r="O17" s="948">
        <f t="shared" ref="O17:O49" si="8">IFERROR(N17/$N$13,0)</f>
        <v>0</v>
      </c>
      <c r="P17" s="473"/>
      <c r="Q17" s="947">
        <f t="shared" ref="Q17:Q49" si="9">IFERROR(P17/$P$13,0)</f>
        <v>0</v>
      </c>
      <c r="R17" s="473"/>
      <c r="S17" s="911">
        <f t="shared" ref="S17:S49" si="10">IFERROR(R17/$R$13,0)</f>
        <v>0</v>
      </c>
      <c r="T17" s="473"/>
      <c r="U17" s="911">
        <f t="shared" ref="U17:U55" si="11">IFERROR(T17/$T$13,0)</f>
        <v>0</v>
      </c>
      <c r="V17" s="473"/>
      <c r="W17" s="911">
        <f t="shared" si="3"/>
        <v>0</v>
      </c>
      <c r="X17" s="473"/>
      <c r="Y17" s="911">
        <f t="shared" ref="Y17:Y49" si="12">IFERROR(X17/$X$13,0)</f>
        <v>0</v>
      </c>
      <c r="Z17" s="15">
        <f t="shared" si="4"/>
        <v>0</v>
      </c>
      <c r="AA17" s="913" t="e">
        <f t="shared" ref="AA17:AA49" ca="1" si="13">+Z17/$Z$13</f>
        <v>#REF!</v>
      </c>
      <c r="AB17" s="159"/>
      <c r="AC17" s="478"/>
      <c r="AD17" s="168"/>
      <c r="AG17" s="224"/>
      <c r="AI17" s="149"/>
      <c r="AL17" s="555"/>
      <c r="AM17" s="187"/>
      <c r="AN17" s="223"/>
      <c r="AO17" s="149"/>
      <c r="AP17" s="149"/>
      <c r="AQ17" s="149"/>
      <c r="AR17" s="149"/>
      <c r="AS17" s="149"/>
      <c r="AT17" s="149"/>
      <c r="AU17" s="149"/>
      <c r="AV17" s="149"/>
    </row>
    <row r="18" spans="1:48">
      <c r="A18" s="933" t="s">
        <v>383</v>
      </c>
      <c r="B18" s="14"/>
      <c r="C18" s="910">
        <f t="shared" ca="1" si="2"/>
        <v>0</v>
      </c>
      <c r="D18" s="200"/>
      <c r="E18" s="909">
        <f t="shared" ref="E18:E48" ca="1" si="14">IFERROR(D18/$D$13,0)</f>
        <v>0</v>
      </c>
      <c r="F18" s="200"/>
      <c r="G18" s="909">
        <f t="shared" ref="G18:G49" ca="1" si="15">IFERROR(F18/$F$13,0)</f>
        <v>0</v>
      </c>
      <c r="H18" s="200"/>
      <c r="I18" s="910">
        <f t="shared" ca="1" si="5"/>
        <v>0</v>
      </c>
      <c r="J18" s="200"/>
      <c r="K18" s="911">
        <f t="shared" si="6"/>
        <v>0</v>
      </c>
      <c r="L18" s="200"/>
      <c r="M18" s="912">
        <f t="shared" si="7"/>
        <v>0</v>
      </c>
      <c r="N18" s="200"/>
      <c r="O18" s="912">
        <f t="shared" si="8"/>
        <v>0</v>
      </c>
      <c r="P18" s="200"/>
      <c r="Q18" s="911">
        <f t="shared" si="9"/>
        <v>0</v>
      </c>
      <c r="R18" s="200"/>
      <c r="S18" s="911">
        <f t="shared" si="10"/>
        <v>0</v>
      </c>
      <c r="T18" s="200"/>
      <c r="U18" s="911">
        <f t="shared" si="11"/>
        <v>0</v>
      </c>
      <c r="V18" s="200"/>
      <c r="W18" s="911">
        <f t="shared" si="3"/>
        <v>0</v>
      </c>
      <c r="X18" s="200"/>
      <c r="Y18" s="911">
        <f t="shared" si="12"/>
        <v>0</v>
      </c>
      <c r="Z18" s="15">
        <f t="shared" si="4"/>
        <v>0</v>
      </c>
      <c r="AA18" s="913" t="e">
        <f t="shared" ca="1" si="13"/>
        <v>#REF!</v>
      </c>
      <c r="AB18" s="159"/>
      <c r="AC18" s="478"/>
      <c r="AD18" s="168"/>
      <c r="AG18" s="224"/>
      <c r="AI18" s="149"/>
      <c r="AL18" s="555"/>
      <c r="AM18" s="187"/>
      <c r="AN18" s="223"/>
      <c r="AO18" s="149"/>
      <c r="AP18" s="149"/>
      <c r="AQ18" s="149"/>
      <c r="AR18" s="149"/>
      <c r="AS18" s="149"/>
      <c r="AT18" s="149"/>
      <c r="AU18" s="149"/>
      <c r="AV18" s="149"/>
    </row>
    <row r="19" spans="1:48" ht="13.5" thickBot="1">
      <c r="A19" s="757" t="s">
        <v>269</v>
      </c>
      <c r="B19" s="200"/>
      <c r="C19" s="910">
        <f t="shared" ca="1" si="2"/>
        <v>0</v>
      </c>
      <c r="D19" s="200"/>
      <c r="E19" s="909">
        <f t="shared" ca="1" si="14"/>
        <v>0</v>
      </c>
      <c r="F19" s="200"/>
      <c r="G19" s="909">
        <f t="shared" ca="1" si="15"/>
        <v>0</v>
      </c>
      <c r="H19" s="200"/>
      <c r="I19" s="910">
        <f t="shared" ca="1" si="5"/>
        <v>0</v>
      </c>
      <c r="J19" s="200"/>
      <c r="K19" s="911">
        <f t="shared" si="6"/>
        <v>0</v>
      </c>
      <c r="L19" s="200"/>
      <c r="M19" s="911">
        <f t="shared" si="7"/>
        <v>0</v>
      </c>
      <c r="N19" s="200"/>
      <c r="O19" s="911">
        <f t="shared" si="8"/>
        <v>0</v>
      </c>
      <c r="P19" s="200"/>
      <c r="Q19" s="911">
        <f t="shared" si="9"/>
        <v>0</v>
      </c>
      <c r="R19" s="200"/>
      <c r="S19" s="911">
        <f t="shared" si="10"/>
        <v>0</v>
      </c>
      <c r="T19" s="200"/>
      <c r="U19" s="911">
        <f t="shared" si="11"/>
        <v>0</v>
      </c>
      <c r="V19" s="200"/>
      <c r="W19" s="911">
        <f t="shared" si="3"/>
        <v>0</v>
      </c>
      <c r="X19" s="200"/>
      <c r="Y19" s="911">
        <f t="shared" si="12"/>
        <v>0</v>
      </c>
      <c r="Z19" s="15">
        <f t="shared" si="4"/>
        <v>0</v>
      </c>
      <c r="AA19" s="913" t="e">
        <f t="shared" ca="1" si="13"/>
        <v>#REF!</v>
      </c>
      <c r="AB19" s="159"/>
      <c r="AC19" s="479"/>
      <c r="AD19" s="480"/>
      <c r="AE19" s="481"/>
      <c r="AF19" s="481"/>
      <c r="AG19" s="482"/>
      <c r="AI19" s="149"/>
      <c r="AL19" s="555"/>
      <c r="AM19" s="187"/>
      <c r="AN19" s="223"/>
      <c r="AO19" s="149"/>
      <c r="AP19" s="149"/>
      <c r="AQ19" s="149"/>
      <c r="AR19" s="149"/>
      <c r="AS19" s="149"/>
      <c r="AT19" s="149"/>
      <c r="AU19" s="149"/>
      <c r="AV19" s="149"/>
    </row>
    <row r="20" spans="1:48">
      <c r="A20" s="757" t="s">
        <v>384</v>
      </c>
      <c r="B20" s="200"/>
      <c r="C20" s="910">
        <f t="shared" ca="1" si="2"/>
        <v>0</v>
      </c>
      <c r="D20" s="200"/>
      <c r="E20" s="909">
        <f t="shared" ca="1" si="14"/>
        <v>0</v>
      </c>
      <c r="F20" s="200"/>
      <c r="G20" s="909">
        <f t="shared" ca="1" si="15"/>
        <v>0</v>
      </c>
      <c r="H20" s="200"/>
      <c r="I20" s="910">
        <f t="shared" ca="1" si="5"/>
        <v>0</v>
      </c>
      <c r="J20" s="200"/>
      <c r="K20" s="911">
        <f t="shared" si="6"/>
        <v>0</v>
      </c>
      <c r="L20" s="200"/>
      <c r="M20" s="911">
        <f t="shared" si="7"/>
        <v>0</v>
      </c>
      <c r="N20" s="200"/>
      <c r="O20" s="911">
        <f t="shared" si="8"/>
        <v>0</v>
      </c>
      <c r="P20" s="200"/>
      <c r="Q20" s="911">
        <f t="shared" si="9"/>
        <v>0</v>
      </c>
      <c r="R20" s="200"/>
      <c r="S20" s="911">
        <f t="shared" si="10"/>
        <v>0</v>
      </c>
      <c r="T20" s="200"/>
      <c r="U20" s="911">
        <f t="shared" si="11"/>
        <v>0</v>
      </c>
      <c r="V20" s="200"/>
      <c r="W20" s="911">
        <f t="shared" si="3"/>
        <v>0</v>
      </c>
      <c r="X20" s="200"/>
      <c r="Y20" s="911">
        <f t="shared" si="12"/>
        <v>0</v>
      </c>
      <c r="Z20" s="15">
        <f t="shared" si="4"/>
        <v>0</v>
      </c>
      <c r="AA20" s="913" t="e">
        <f t="shared" ca="1" si="13"/>
        <v>#REF!</v>
      </c>
      <c r="AB20" s="159"/>
      <c r="AI20" s="149"/>
      <c r="AN20" s="149"/>
      <c r="AO20" s="149"/>
      <c r="AP20" s="149"/>
      <c r="AQ20" s="149"/>
      <c r="AR20" s="149"/>
      <c r="AS20" s="149"/>
      <c r="AT20" s="149"/>
      <c r="AU20" s="149"/>
      <c r="AV20" s="149"/>
    </row>
    <row r="21" spans="1:48">
      <c r="A21" s="757" t="s">
        <v>385</v>
      </c>
      <c r="B21" s="490"/>
      <c r="C21" s="944">
        <f t="shared" ca="1" si="2"/>
        <v>0</v>
      </c>
      <c r="D21" s="488"/>
      <c r="E21" s="943">
        <f t="shared" ca="1" si="14"/>
        <v>0</v>
      </c>
      <c r="F21" s="488"/>
      <c r="G21" s="943">
        <f t="shared" ca="1" si="15"/>
        <v>0</v>
      </c>
      <c r="H21" s="488"/>
      <c r="I21" s="944">
        <f t="shared" ca="1" si="5"/>
        <v>0</v>
      </c>
      <c r="J21" s="488"/>
      <c r="K21" s="947">
        <f t="shared" si="6"/>
        <v>0</v>
      </c>
      <c r="L21" s="488"/>
      <c r="M21" s="947">
        <f t="shared" si="7"/>
        <v>0</v>
      </c>
      <c r="N21" s="488"/>
      <c r="O21" s="947">
        <f t="shared" si="8"/>
        <v>0</v>
      </c>
      <c r="P21" s="488"/>
      <c r="Q21" s="947">
        <f t="shared" si="9"/>
        <v>0</v>
      </c>
      <c r="R21" s="488"/>
      <c r="S21" s="911">
        <f t="shared" si="10"/>
        <v>0</v>
      </c>
      <c r="T21" s="488"/>
      <c r="U21" s="911">
        <f t="shared" si="11"/>
        <v>0</v>
      </c>
      <c r="V21" s="473"/>
      <c r="W21" s="911">
        <f t="shared" si="3"/>
        <v>0</v>
      </c>
      <c r="X21" s="200"/>
      <c r="Y21" s="911">
        <f t="shared" si="12"/>
        <v>0</v>
      </c>
      <c r="Z21" s="15">
        <f t="shared" si="4"/>
        <v>0</v>
      </c>
      <c r="AA21" s="913" t="e">
        <f t="shared" ca="1" si="13"/>
        <v>#REF!</v>
      </c>
      <c r="AI21" s="149"/>
      <c r="AN21" s="149"/>
      <c r="AO21" s="149"/>
      <c r="AP21" s="149"/>
      <c r="AQ21" s="149"/>
      <c r="AR21" s="149"/>
      <c r="AS21" s="149"/>
      <c r="AT21" s="149"/>
      <c r="AU21" s="149"/>
      <c r="AV21" s="149"/>
    </row>
    <row r="22" spans="1:48">
      <c r="A22" s="757" t="s">
        <v>386</v>
      </c>
      <c r="B22" s="202"/>
      <c r="C22" s="910">
        <f t="shared" ca="1" si="2"/>
        <v>0</v>
      </c>
      <c r="D22" s="200"/>
      <c r="E22" s="909">
        <f t="shared" ca="1" si="14"/>
        <v>0</v>
      </c>
      <c r="F22" s="200"/>
      <c r="G22" s="909">
        <f t="shared" ca="1" si="15"/>
        <v>0</v>
      </c>
      <c r="H22" s="200"/>
      <c r="I22" s="910">
        <f t="shared" ca="1" si="5"/>
        <v>0</v>
      </c>
      <c r="J22" s="200"/>
      <c r="K22" s="911">
        <f t="shared" si="6"/>
        <v>0</v>
      </c>
      <c r="L22" s="200"/>
      <c r="M22" s="911">
        <f t="shared" si="7"/>
        <v>0</v>
      </c>
      <c r="N22" s="200"/>
      <c r="O22" s="911">
        <f t="shared" si="8"/>
        <v>0</v>
      </c>
      <c r="P22" s="200"/>
      <c r="Q22" s="911">
        <f t="shared" si="9"/>
        <v>0</v>
      </c>
      <c r="R22" s="200"/>
      <c r="S22" s="911">
        <f t="shared" si="10"/>
        <v>0</v>
      </c>
      <c r="T22" s="200"/>
      <c r="U22" s="911">
        <f t="shared" si="11"/>
        <v>0</v>
      </c>
      <c r="V22" s="200"/>
      <c r="W22" s="911">
        <f t="shared" si="3"/>
        <v>0</v>
      </c>
      <c r="X22" s="200"/>
      <c r="Y22" s="911">
        <f t="shared" si="12"/>
        <v>0</v>
      </c>
      <c r="Z22" s="15">
        <f t="shared" si="4"/>
        <v>0</v>
      </c>
      <c r="AA22" s="913" t="e">
        <f t="shared" ca="1" si="13"/>
        <v>#REF!</v>
      </c>
      <c r="AB22" s="149"/>
      <c r="AI22" s="149"/>
      <c r="AL22" s="149"/>
      <c r="AN22" s="149"/>
      <c r="AO22" s="149"/>
      <c r="AP22" s="149"/>
      <c r="AQ22" s="149"/>
      <c r="AR22" s="149"/>
      <c r="AS22" s="149"/>
      <c r="AT22" s="149"/>
      <c r="AU22" s="149"/>
      <c r="AV22" s="149"/>
    </row>
    <row r="23" spans="1:48">
      <c r="A23" s="757" t="s">
        <v>387</v>
      </c>
      <c r="B23" s="200"/>
      <c r="C23" s="910">
        <f t="shared" ca="1" si="2"/>
        <v>0</v>
      </c>
      <c r="D23" s="200"/>
      <c r="E23" s="909">
        <f t="shared" ca="1" si="14"/>
        <v>0</v>
      </c>
      <c r="F23" s="200"/>
      <c r="G23" s="909">
        <f t="shared" ca="1" si="15"/>
        <v>0</v>
      </c>
      <c r="H23" s="200"/>
      <c r="I23" s="910">
        <f t="shared" ca="1" si="5"/>
        <v>0</v>
      </c>
      <c r="J23" s="200"/>
      <c r="K23" s="911">
        <f t="shared" si="6"/>
        <v>0</v>
      </c>
      <c r="L23" s="200"/>
      <c r="M23" s="911">
        <f t="shared" si="7"/>
        <v>0</v>
      </c>
      <c r="N23" s="200"/>
      <c r="O23" s="911">
        <f t="shared" si="8"/>
        <v>0</v>
      </c>
      <c r="P23" s="200"/>
      <c r="Q23" s="911">
        <f t="shared" si="9"/>
        <v>0</v>
      </c>
      <c r="R23" s="200"/>
      <c r="S23" s="911">
        <f t="shared" si="10"/>
        <v>0</v>
      </c>
      <c r="T23" s="200"/>
      <c r="U23" s="911">
        <f t="shared" si="11"/>
        <v>0</v>
      </c>
      <c r="V23" s="200"/>
      <c r="W23" s="911">
        <f t="shared" si="3"/>
        <v>0</v>
      </c>
      <c r="X23" s="200"/>
      <c r="Y23" s="911">
        <f t="shared" si="12"/>
        <v>0</v>
      </c>
      <c r="Z23" s="15">
        <f t="shared" si="4"/>
        <v>0</v>
      </c>
      <c r="AA23" s="913" t="e">
        <f t="shared" ca="1" si="13"/>
        <v>#REF!</v>
      </c>
      <c r="AB23" s="149"/>
      <c r="AI23" s="149"/>
      <c r="AL23" s="149"/>
      <c r="AN23" s="149"/>
      <c r="AO23" s="149"/>
      <c r="AP23" s="149"/>
      <c r="AQ23" s="149"/>
      <c r="AR23" s="149"/>
      <c r="AS23" s="149"/>
      <c r="AT23" s="149"/>
      <c r="AU23" s="149"/>
      <c r="AV23" s="149"/>
    </row>
    <row r="24" spans="1:48">
      <c r="A24" s="757" t="s">
        <v>388</v>
      </c>
      <c r="B24" s="200"/>
      <c r="C24" s="910">
        <f t="shared" ca="1" si="2"/>
        <v>0</v>
      </c>
      <c r="D24" s="200"/>
      <c r="E24" s="909">
        <f t="shared" ca="1" si="14"/>
        <v>0</v>
      </c>
      <c r="F24" s="200"/>
      <c r="G24" s="909">
        <f t="shared" ca="1" si="15"/>
        <v>0</v>
      </c>
      <c r="H24" s="200"/>
      <c r="I24" s="910">
        <f t="shared" ca="1" si="5"/>
        <v>0</v>
      </c>
      <c r="J24" s="200"/>
      <c r="K24" s="911">
        <f t="shared" si="6"/>
        <v>0</v>
      </c>
      <c r="L24" s="200"/>
      <c r="M24" s="911">
        <f t="shared" si="7"/>
        <v>0</v>
      </c>
      <c r="N24" s="200"/>
      <c r="O24" s="911">
        <f t="shared" si="8"/>
        <v>0</v>
      </c>
      <c r="P24" s="200"/>
      <c r="Q24" s="911">
        <f t="shared" si="9"/>
        <v>0</v>
      </c>
      <c r="R24" s="200"/>
      <c r="S24" s="911">
        <f t="shared" si="10"/>
        <v>0</v>
      </c>
      <c r="T24" s="200"/>
      <c r="U24" s="911">
        <f t="shared" si="11"/>
        <v>0</v>
      </c>
      <c r="V24" s="200"/>
      <c r="W24" s="911">
        <f t="shared" si="3"/>
        <v>0</v>
      </c>
      <c r="X24" s="200"/>
      <c r="Y24" s="911">
        <f t="shared" si="12"/>
        <v>0</v>
      </c>
      <c r="Z24" s="15">
        <f t="shared" si="4"/>
        <v>0</v>
      </c>
      <c r="AA24" s="253" t="e">
        <f t="shared" ca="1" si="13"/>
        <v>#REF!</v>
      </c>
      <c r="AB24" s="149"/>
      <c r="AH24" s="150"/>
      <c r="AI24" s="150"/>
      <c r="AJ24" s="150"/>
      <c r="AK24" s="150"/>
      <c r="AL24" s="4"/>
      <c r="AM24" s="4"/>
      <c r="AN24" s="149"/>
      <c r="AO24" s="149"/>
      <c r="AP24" s="149"/>
      <c r="AQ24" s="149"/>
      <c r="AR24" s="149"/>
      <c r="AS24" s="149"/>
      <c r="AT24" s="149"/>
      <c r="AU24" s="149"/>
      <c r="AV24" s="149"/>
    </row>
    <row r="25" spans="1:48">
      <c r="A25" s="757" t="s">
        <v>389</v>
      </c>
      <c r="B25" s="200"/>
      <c r="C25" s="910">
        <f t="shared" ca="1" si="2"/>
        <v>0</v>
      </c>
      <c r="D25" s="200"/>
      <c r="E25" s="909">
        <f t="shared" ca="1" si="14"/>
        <v>0</v>
      </c>
      <c r="F25" s="200"/>
      <c r="G25" s="909">
        <f t="shared" ca="1" si="15"/>
        <v>0</v>
      </c>
      <c r="H25" s="200"/>
      <c r="I25" s="910">
        <f t="shared" ca="1" si="5"/>
        <v>0</v>
      </c>
      <c r="J25" s="200"/>
      <c r="K25" s="911">
        <f t="shared" si="6"/>
        <v>0</v>
      </c>
      <c r="L25" s="200"/>
      <c r="M25" s="911">
        <f t="shared" si="7"/>
        <v>0</v>
      </c>
      <c r="N25" s="200"/>
      <c r="O25" s="911">
        <f t="shared" si="8"/>
        <v>0</v>
      </c>
      <c r="P25" s="200"/>
      <c r="Q25" s="911">
        <f t="shared" si="9"/>
        <v>0</v>
      </c>
      <c r="R25" s="200"/>
      <c r="S25" s="911">
        <f t="shared" si="10"/>
        <v>0</v>
      </c>
      <c r="T25" s="200"/>
      <c r="U25" s="911">
        <f t="shared" si="11"/>
        <v>0</v>
      </c>
      <c r="V25" s="200"/>
      <c r="W25" s="911">
        <f t="shared" si="3"/>
        <v>0</v>
      </c>
      <c r="X25" s="200"/>
      <c r="Y25" s="911">
        <f t="shared" si="12"/>
        <v>0</v>
      </c>
      <c r="Z25" s="15">
        <f t="shared" si="4"/>
        <v>0</v>
      </c>
      <c r="AA25" s="908" t="e">
        <f t="shared" ca="1" si="13"/>
        <v>#REF!</v>
      </c>
      <c r="AB25" s="149"/>
      <c r="AH25" s="150"/>
      <c r="AI25" s="150"/>
      <c r="AJ25" s="150"/>
      <c r="AK25" s="150"/>
      <c r="AL25" s="4"/>
      <c r="AM25" s="4"/>
      <c r="AN25" s="149"/>
      <c r="AO25" s="149"/>
      <c r="AP25" s="149"/>
      <c r="AQ25" s="149"/>
      <c r="AR25" s="149"/>
      <c r="AS25" s="149"/>
      <c r="AT25" s="149"/>
      <c r="AU25" s="149"/>
      <c r="AV25" s="149"/>
    </row>
    <row r="26" spans="1:48" s="4" customFormat="1">
      <c r="A26" s="757" t="s">
        <v>390</v>
      </c>
      <c r="B26" s="200">
        <f>+Cost!AF28+Cost!AF95</f>
        <v>30</v>
      </c>
      <c r="C26" s="910">
        <f t="shared" ca="1" si="2"/>
        <v>1.0999999999999999E-2</v>
      </c>
      <c r="D26" s="200">
        <f>+Cost!AH28+Cost!AH95</f>
        <v>30</v>
      </c>
      <c r="E26" s="909">
        <f t="shared" ca="1" si="14"/>
        <v>1.0999999999999999E-2</v>
      </c>
      <c r="F26" s="200">
        <f>+Cost!AJ28+Cost!AJ95</f>
        <v>30</v>
      </c>
      <c r="G26" s="909">
        <f t="shared" ca="1" si="15"/>
        <v>1.0999999999999999E-2</v>
      </c>
      <c r="H26" s="200">
        <f>+Cost!AL28+Cost!AL95</f>
        <v>12</v>
      </c>
      <c r="I26" s="910">
        <f t="shared" ca="1" si="5"/>
        <v>4.0000000000000001E-3</v>
      </c>
      <c r="J26" s="200">
        <f>+Cost!AN28+Cost!AN95</f>
        <v>0</v>
      </c>
      <c r="K26" s="911">
        <f t="shared" si="6"/>
        <v>0</v>
      </c>
      <c r="L26" s="200">
        <f>+Cost!AP28+Cost!AP95</f>
        <v>0</v>
      </c>
      <c r="M26" s="911">
        <f t="shared" si="7"/>
        <v>0</v>
      </c>
      <c r="N26" s="200">
        <f>+Cost!AR28+Cost!AR95</f>
        <v>0</v>
      </c>
      <c r="O26" s="911">
        <f t="shared" si="8"/>
        <v>0</v>
      </c>
      <c r="P26" s="200">
        <f>+Cost!AT28+Cost!AT95</f>
        <v>0</v>
      </c>
      <c r="Q26" s="911">
        <f t="shared" si="9"/>
        <v>0</v>
      </c>
      <c r="R26" s="200">
        <f>+Cost!AV28+Cost!AV95</f>
        <v>0</v>
      </c>
      <c r="S26" s="911">
        <f t="shared" si="10"/>
        <v>0</v>
      </c>
      <c r="T26" s="200">
        <f>+Cost!AX28+Cost!AX95</f>
        <v>0</v>
      </c>
      <c r="U26" s="911">
        <f>IFERROR(T26/$R$13,0)</f>
        <v>0</v>
      </c>
      <c r="V26" s="200">
        <f>+Cost!AZ28+Cost!AZ95</f>
        <v>0</v>
      </c>
      <c r="W26" s="911">
        <f>IFERROR(V26/$R$13,0)</f>
        <v>0</v>
      </c>
      <c r="X26" s="200">
        <f>+Cost!BB28+Cost!BB95</f>
        <v>0</v>
      </c>
      <c r="Y26" s="911">
        <f>IFERROR(X26/$R$13,0)</f>
        <v>0</v>
      </c>
      <c r="Z26" s="15">
        <f t="shared" si="4"/>
        <v>102</v>
      </c>
      <c r="AA26" s="252" t="e">
        <f t="shared" ca="1" si="13"/>
        <v>#REF!</v>
      </c>
      <c r="AB26" s="20"/>
      <c r="AI26" s="150"/>
      <c r="AJ26" s="150"/>
      <c r="AN26" s="150"/>
      <c r="AO26" s="150"/>
      <c r="AP26" s="150"/>
      <c r="AQ26" s="150"/>
      <c r="AR26" s="150"/>
      <c r="AS26" s="150"/>
      <c r="AT26" s="150"/>
      <c r="AU26" s="150"/>
      <c r="AV26" s="150"/>
    </row>
    <row r="27" spans="1:48" s="4" customFormat="1">
      <c r="A27" s="757" t="s">
        <v>391</v>
      </c>
      <c r="B27" s="14"/>
      <c r="C27" s="907">
        <f t="shared" ca="1" si="2"/>
        <v>0</v>
      </c>
      <c r="D27" s="14"/>
      <c r="E27" s="909">
        <f t="shared" ca="1" si="14"/>
        <v>0</v>
      </c>
      <c r="F27" s="14"/>
      <c r="G27" s="909">
        <f t="shared" ca="1" si="15"/>
        <v>0</v>
      </c>
      <c r="H27" s="14"/>
      <c r="I27" s="910">
        <f t="shared" ca="1" si="5"/>
        <v>0</v>
      </c>
      <c r="J27" s="14"/>
      <c r="K27" s="911">
        <f t="shared" si="6"/>
        <v>0</v>
      </c>
      <c r="L27" s="14"/>
      <c r="M27" s="912">
        <f t="shared" si="7"/>
        <v>0</v>
      </c>
      <c r="N27" s="14"/>
      <c r="O27" s="912">
        <f t="shared" si="8"/>
        <v>0</v>
      </c>
      <c r="P27" s="200"/>
      <c r="Q27" s="911">
        <f t="shared" si="9"/>
        <v>0</v>
      </c>
      <c r="R27" s="14"/>
      <c r="S27" s="911">
        <f t="shared" si="10"/>
        <v>0</v>
      </c>
      <c r="T27" s="14"/>
      <c r="U27" s="911"/>
      <c r="V27" s="14"/>
      <c r="W27" s="911"/>
      <c r="X27" s="200"/>
      <c r="Y27" s="911">
        <f t="shared" si="12"/>
        <v>0</v>
      </c>
      <c r="Z27" s="15">
        <f t="shared" si="4"/>
        <v>0</v>
      </c>
      <c r="AA27" s="252" t="e">
        <f t="shared" ca="1" si="13"/>
        <v>#REF!</v>
      </c>
      <c r="AB27" s="20"/>
      <c r="AH27" s="458"/>
      <c r="AI27" s="150"/>
      <c r="AJ27" s="150"/>
      <c r="AK27" s="914"/>
      <c r="AN27" s="150"/>
      <c r="AO27" s="150"/>
      <c r="AP27" s="150"/>
      <c r="AQ27" s="150"/>
      <c r="AR27" s="150"/>
      <c r="AS27" s="150"/>
      <c r="AT27" s="150"/>
      <c r="AU27" s="150"/>
      <c r="AV27" s="150"/>
    </row>
    <row r="28" spans="1:48" s="4" customFormat="1">
      <c r="A28" s="757" t="s">
        <v>392</v>
      </c>
      <c r="B28" s="14"/>
      <c r="C28" s="910">
        <f t="shared" ca="1" si="2"/>
        <v>0</v>
      </c>
      <c r="D28" s="14"/>
      <c r="E28" s="909">
        <f t="shared" ca="1" si="14"/>
        <v>0</v>
      </c>
      <c r="F28" s="14"/>
      <c r="G28" s="909">
        <f t="shared" ca="1" si="15"/>
        <v>0</v>
      </c>
      <c r="H28" s="14"/>
      <c r="I28" s="910">
        <f t="shared" ca="1" si="5"/>
        <v>0</v>
      </c>
      <c r="J28" s="14"/>
      <c r="K28" s="911">
        <f t="shared" si="6"/>
        <v>0</v>
      </c>
      <c r="L28" s="14"/>
      <c r="M28" s="912">
        <f t="shared" si="7"/>
        <v>0</v>
      </c>
      <c r="N28" s="14"/>
      <c r="O28" s="912">
        <f t="shared" si="8"/>
        <v>0</v>
      </c>
      <c r="P28" s="14"/>
      <c r="Q28" s="911">
        <f t="shared" si="9"/>
        <v>0</v>
      </c>
      <c r="R28" s="14"/>
      <c r="S28" s="911">
        <f t="shared" si="10"/>
        <v>0</v>
      </c>
      <c r="T28" s="14"/>
      <c r="U28" s="911"/>
      <c r="V28" s="14"/>
      <c r="W28" s="911"/>
      <c r="X28" s="14"/>
      <c r="Y28" s="911">
        <f t="shared" si="12"/>
        <v>0</v>
      </c>
      <c r="Z28" s="15">
        <f t="shared" si="4"/>
        <v>0</v>
      </c>
      <c r="AA28" s="252" t="e">
        <f t="shared" ca="1" si="13"/>
        <v>#REF!</v>
      </c>
      <c r="AB28" s="20"/>
      <c r="AI28" s="150"/>
      <c r="AJ28" s="150"/>
      <c r="AN28" s="453"/>
      <c r="AO28" s="453"/>
      <c r="AP28" s="453"/>
      <c r="AQ28" s="453"/>
      <c r="AR28" s="453"/>
    </row>
    <row r="29" spans="1:48" s="4" customFormat="1">
      <c r="A29" s="757" t="s">
        <v>501</v>
      </c>
      <c r="B29" s="14">
        <f>+Cost!AF43</f>
        <v>192</v>
      </c>
      <c r="C29" s="907">
        <f t="shared" ca="1" si="2"/>
        <v>7.0000000000000007E-2</v>
      </c>
      <c r="D29" s="14">
        <f>+Cost!AH43</f>
        <v>0</v>
      </c>
      <c r="E29" s="909">
        <f t="shared" ca="1" si="14"/>
        <v>0</v>
      </c>
      <c r="F29" s="14">
        <f>+Cost!AJ43</f>
        <v>0</v>
      </c>
      <c r="G29" s="909">
        <f t="shared" ca="1" si="15"/>
        <v>0</v>
      </c>
      <c r="H29" s="14">
        <f>+Cost!AL43</f>
        <v>192</v>
      </c>
      <c r="I29" s="910">
        <f t="shared" ca="1" si="5"/>
        <v>7.0000000000000007E-2</v>
      </c>
      <c r="J29" s="14">
        <f>+Cost!AN43</f>
        <v>0</v>
      </c>
      <c r="K29" s="911">
        <f t="shared" si="6"/>
        <v>0</v>
      </c>
      <c r="L29" s="14">
        <f>+Cost!AP43</f>
        <v>0</v>
      </c>
      <c r="M29" s="912">
        <f t="shared" si="7"/>
        <v>0</v>
      </c>
      <c r="N29" s="14">
        <f>+Cost!AR43</f>
        <v>0</v>
      </c>
      <c r="O29" s="912">
        <f t="shared" si="8"/>
        <v>0</v>
      </c>
      <c r="P29" s="14">
        <f>+Cost!AT43</f>
        <v>0</v>
      </c>
      <c r="Q29" s="911">
        <f t="shared" si="9"/>
        <v>0</v>
      </c>
      <c r="R29" s="14">
        <f>+Cost!AV43</f>
        <v>0</v>
      </c>
      <c r="S29" s="911">
        <f t="shared" si="10"/>
        <v>0</v>
      </c>
      <c r="T29" s="14">
        <f>+Cost!AX43</f>
        <v>0</v>
      </c>
      <c r="U29" s="911">
        <f>IFERROR(T29/$R$13,0)</f>
        <v>0</v>
      </c>
      <c r="V29" s="14">
        <f>+Cost!AZ43</f>
        <v>0</v>
      </c>
      <c r="W29" s="911">
        <f>IFERROR(V29/$R$13,0)</f>
        <v>0</v>
      </c>
      <c r="X29" s="14">
        <f>+Cost!BB43</f>
        <v>0</v>
      </c>
      <c r="Y29" s="911">
        <f>IFERROR(X29/$R$13,0)</f>
        <v>0</v>
      </c>
      <c r="Z29" s="15">
        <f t="shared" si="4"/>
        <v>384</v>
      </c>
      <c r="AA29" s="253" t="e">
        <f t="shared" ca="1" si="13"/>
        <v>#REF!</v>
      </c>
      <c r="AB29" s="20"/>
      <c r="AI29" s="150"/>
      <c r="AJ29" s="150"/>
      <c r="AK29" s="915"/>
    </row>
    <row r="30" spans="1:48" s="4" customFormat="1">
      <c r="A30" s="757" t="s">
        <v>393</v>
      </c>
      <c r="B30" s="14"/>
      <c r="C30" s="910">
        <f t="shared" ca="1" si="2"/>
        <v>0</v>
      </c>
      <c r="D30" s="14"/>
      <c r="E30" s="909">
        <f t="shared" ca="1" si="14"/>
        <v>0</v>
      </c>
      <c r="F30" s="14"/>
      <c r="G30" s="909">
        <f t="shared" ca="1" si="15"/>
        <v>0</v>
      </c>
      <c r="H30" s="14"/>
      <c r="I30" s="910">
        <f t="shared" ca="1" si="5"/>
        <v>0</v>
      </c>
      <c r="J30" s="14"/>
      <c r="K30" s="911">
        <f t="shared" si="6"/>
        <v>0</v>
      </c>
      <c r="L30" s="14"/>
      <c r="M30" s="912">
        <f t="shared" si="7"/>
        <v>0</v>
      </c>
      <c r="N30" s="14"/>
      <c r="O30" s="912">
        <f t="shared" si="8"/>
        <v>0</v>
      </c>
      <c r="P30" s="14"/>
      <c r="Q30" s="911">
        <f t="shared" si="9"/>
        <v>0</v>
      </c>
      <c r="R30" s="14"/>
      <c r="S30" s="911">
        <f t="shared" si="10"/>
        <v>0</v>
      </c>
      <c r="T30" s="14"/>
      <c r="U30" s="911"/>
      <c r="V30" s="14"/>
      <c r="W30" s="911"/>
      <c r="X30" s="14"/>
      <c r="Y30" s="911">
        <f t="shared" si="12"/>
        <v>0</v>
      </c>
      <c r="Z30" s="15">
        <f t="shared" si="4"/>
        <v>0</v>
      </c>
      <c r="AA30" s="253" t="e">
        <f t="shared" ca="1" si="13"/>
        <v>#REF!</v>
      </c>
      <c r="AB30" s="20"/>
      <c r="AI30" s="150"/>
      <c r="AJ30" s="459"/>
      <c r="AK30" s="150"/>
    </row>
    <row r="31" spans="1:48" s="4" customFormat="1">
      <c r="A31" s="757" t="s">
        <v>394</v>
      </c>
      <c r="B31" s="14">
        <f>Cost!AF53</f>
        <v>67</v>
      </c>
      <c r="C31" s="907">
        <f t="shared" ca="1" si="2"/>
        <v>0.02</v>
      </c>
      <c r="D31" s="14">
        <f>Cost!AH53</f>
        <v>67</v>
      </c>
      <c r="E31" s="909">
        <f t="shared" ca="1" si="14"/>
        <v>2.46E-2</v>
      </c>
      <c r="F31" s="14">
        <f>Cost!AJ53</f>
        <v>67</v>
      </c>
      <c r="G31" s="909">
        <f t="shared" ca="1" si="15"/>
        <v>2.46E-2</v>
      </c>
      <c r="H31" s="14">
        <f>Cost!AL53</f>
        <v>67</v>
      </c>
      <c r="I31" s="910">
        <f t="shared" ca="1" si="5"/>
        <v>2.5000000000000001E-2</v>
      </c>
      <c r="J31" s="14">
        <f>Cost!AN53</f>
        <v>0</v>
      </c>
      <c r="K31" s="911">
        <f t="shared" si="6"/>
        <v>0</v>
      </c>
      <c r="L31" s="14">
        <f>Cost!AP53</f>
        <v>0</v>
      </c>
      <c r="M31" s="912">
        <f t="shared" si="7"/>
        <v>0</v>
      </c>
      <c r="N31" s="14">
        <f>Cost!AR53</f>
        <v>0</v>
      </c>
      <c r="O31" s="912">
        <f t="shared" si="8"/>
        <v>0</v>
      </c>
      <c r="P31" s="14">
        <f>Cost!AT53</f>
        <v>0</v>
      </c>
      <c r="Q31" s="911">
        <f t="shared" si="9"/>
        <v>0</v>
      </c>
      <c r="R31" s="14">
        <f>Cost!AV53</f>
        <v>0</v>
      </c>
      <c r="S31" s="911">
        <f t="shared" si="10"/>
        <v>0</v>
      </c>
      <c r="T31" s="14">
        <f>Cost!AX53</f>
        <v>0</v>
      </c>
      <c r="U31" s="911">
        <f>IFERROR(T31/$R$13,0)</f>
        <v>0</v>
      </c>
      <c r="V31" s="14">
        <f>Cost!AZ53</f>
        <v>0</v>
      </c>
      <c r="W31" s="911">
        <f>IFERROR(V31/$R$13,0)</f>
        <v>0</v>
      </c>
      <c r="X31" s="14">
        <f>Cost!BB53</f>
        <v>0</v>
      </c>
      <c r="Y31" s="911">
        <f>IFERROR(X31/$R$13,0)</f>
        <v>0</v>
      </c>
      <c r="Z31" s="15">
        <f t="shared" si="4"/>
        <v>268</v>
      </c>
      <c r="AA31" s="252" t="e">
        <f t="shared" ca="1" si="13"/>
        <v>#REF!</v>
      </c>
      <c r="AB31" s="20"/>
      <c r="AI31" s="150"/>
      <c r="AJ31" s="149"/>
      <c r="AK31" s="915"/>
    </row>
    <row r="32" spans="1:48" s="4" customFormat="1">
      <c r="A32" s="757" t="s">
        <v>307</v>
      </c>
      <c r="B32" s="14">
        <f ca="1">+Cost!AF85</f>
        <v>122</v>
      </c>
      <c r="C32" s="907">
        <f t="shared" ca="1" si="2"/>
        <v>0.04</v>
      </c>
      <c r="D32" s="14">
        <f ca="1">+Cost!AH85</f>
        <v>0</v>
      </c>
      <c r="E32" s="909">
        <f t="shared" ca="1" si="14"/>
        <v>0</v>
      </c>
      <c r="F32" s="14">
        <f ca="1">+Cost!AJ85</f>
        <v>0</v>
      </c>
      <c r="G32" s="909">
        <f t="shared" ca="1" si="15"/>
        <v>0</v>
      </c>
      <c r="H32" s="14">
        <f ca="1">+Cost!AL85</f>
        <v>122</v>
      </c>
      <c r="I32" s="910">
        <f t="shared" ca="1" si="5"/>
        <v>4.4999999999999998E-2</v>
      </c>
      <c r="J32" s="14">
        <f>+Cost!AN85</f>
        <v>0</v>
      </c>
      <c r="K32" s="911">
        <f t="shared" si="6"/>
        <v>0</v>
      </c>
      <c r="L32" s="14">
        <f>+Cost!AP85</f>
        <v>0</v>
      </c>
      <c r="M32" s="912">
        <f t="shared" si="7"/>
        <v>0</v>
      </c>
      <c r="N32" s="14">
        <f>+Cost!AR85</f>
        <v>0</v>
      </c>
      <c r="O32" s="912">
        <f t="shared" si="8"/>
        <v>0</v>
      </c>
      <c r="P32" s="14">
        <f>+Cost!AT85</f>
        <v>0</v>
      </c>
      <c r="Q32" s="911">
        <f t="shared" si="9"/>
        <v>0</v>
      </c>
      <c r="R32" s="14">
        <f>+Cost!AV85</f>
        <v>0</v>
      </c>
      <c r="S32" s="911">
        <f t="shared" si="10"/>
        <v>0</v>
      </c>
      <c r="T32" s="14">
        <f>+Cost!AX85</f>
        <v>0</v>
      </c>
      <c r="U32" s="911">
        <f>IFERROR(T32/$R$13,0)</f>
        <v>0</v>
      </c>
      <c r="V32" s="14">
        <f>+Cost!AZ85</f>
        <v>0</v>
      </c>
      <c r="W32" s="911">
        <f>IFERROR(V32/$R$13,0)</f>
        <v>0</v>
      </c>
      <c r="X32" s="14">
        <f>+Cost!BB85</f>
        <v>0</v>
      </c>
      <c r="Y32" s="911">
        <f>IFERROR(X32/$R$13,0)</f>
        <v>0</v>
      </c>
      <c r="Z32" s="15">
        <f t="shared" ca="1" si="4"/>
        <v>244</v>
      </c>
      <c r="AA32" s="253" t="e">
        <f t="shared" ca="1" si="13"/>
        <v>#REF!</v>
      </c>
      <c r="AB32" s="20"/>
      <c r="AI32" s="150"/>
      <c r="AJ32" s="149"/>
      <c r="AK32" s="915"/>
    </row>
    <row r="33" spans="1:38" s="4" customFormat="1">
      <c r="A33" s="757" t="s">
        <v>395</v>
      </c>
      <c r="B33" s="14">
        <f>+Cost!AF60</f>
        <v>0</v>
      </c>
      <c r="C33" s="907">
        <f t="shared" ca="1" si="2"/>
        <v>0</v>
      </c>
      <c r="D33" s="14">
        <f>+Cost!AH60</f>
        <v>0</v>
      </c>
      <c r="E33" s="909">
        <f t="shared" ca="1" si="14"/>
        <v>0</v>
      </c>
      <c r="F33" s="14">
        <f>+Cost!AJ60</f>
        <v>0</v>
      </c>
      <c r="G33" s="909">
        <f t="shared" ca="1" si="15"/>
        <v>0</v>
      </c>
      <c r="H33" s="14">
        <f>+Cost!AL60</f>
        <v>0</v>
      </c>
      <c r="I33" s="910">
        <f t="shared" ca="1" si="5"/>
        <v>0</v>
      </c>
      <c r="J33" s="14">
        <f>+Cost!AN60</f>
        <v>0</v>
      </c>
      <c r="K33" s="911">
        <f t="shared" si="6"/>
        <v>0</v>
      </c>
      <c r="L33" s="14">
        <f>+Cost!AP60</f>
        <v>0</v>
      </c>
      <c r="M33" s="912">
        <f t="shared" si="7"/>
        <v>0</v>
      </c>
      <c r="N33" s="14">
        <f>+Cost!AR60</f>
        <v>0</v>
      </c>
      <c r="O33" s="912">
        <f t="shared" si="8"/>
        <v>0</v>
      </c>
      <c r="P33" s="14">
        <f>+Cost!AT60</f>
        <v>0</v>
      </c>
      <c r="Q33" s="911">
        <f t="shared" si="9"/>
        <v>0</v>
      </c>
      <c r="R33" s="14">
        <f>+Cost!AV60</f>
        <v>0</v>
      </c>
      <c r="S33" s="911">
        <f t="shared" si="10"/>
        <v>0</v>
      </c>
      <c r="T33" s="14">
        <f>+Cost!AX60</f>
        <v>0</v>
      </c>
      <c r="U33" s="911">
        <f>IFERROR(T33/$R$13,0)</f>
        <v>0</v>
      </c>
      <c r="V33" s="14">
        <f>+Cost!AZ60</f>
        <v>0</v>
      </c>
      <c r="W33" s="911">
        <f>IFERROR(V33/$R$13,0)</f>
        <v>0</v>
      </c>
      <c r="X33" s="14">
        <f>+Cost!BB60</f>
        <v>0</v>
      </c>
      <c r="Y33" s="911">
        <f>IFERROR(X33/$R$13,0)</f>
        <v>0</v>
      </c>
      <c r="Z33" s="15">
        <f t="shared" si="4"/>
        <v>0</v>
      </c>
      <c r="AA33" s="253" t="e">
        <f t="shared" ca="1" si="13"/>
        <v>#REF!</v>
      </c>
      <c r="AB33" s="20"/>
      <c r="AI33" s="150"/>
      <c r="AJ33" s="459"/>
    </row>
    <row r="34" spans="1:38" s="4" customFormat="1">
      <c r="A34" s="757" t="s">
        <v>396</v>
      </c>
      <c r="B34" s="15"/>
      <c r="C34" s="909">
        <f t="shared" ca="1" si="2"/>
        <v>0</v>
      </c>
      <c r="D34" s="14"/>
      <c r="E34" s="909">
        <f t="shared" ca="1" si="14"/>
        <v>0</v>
      </c>
      <c r="F34" s="14"/>
      <c r="G34" s="909">
        <f t="shared" ca="1" si="15"/>
        <v>0</v>
      </c>
      <c r="H34" s="14"/>
      <c r="I34" s="910">
        <f t="shared" ca="1" si="5"/>
        <v>0</v>
      </c>
      <c r="J34" s="14"/>
      <c r="K34" s="911">
        <f t="shared" si="6"/>
        <v>0</v>
      </c>
      <c r="L34" s="14"/>
      <c r="M34" s="911">
        <f t="shared" si="7"/>
        <v>0</v>
      </c>
      <c r="N34" s="14"/>
      <c r="O34" s="911">
        <f t="shared" si="8"/>
        <v>0</v>
      </c>
      <c r="P34" s="14"/>
      <c r="Q34" s="911">
        <f t="shared" si="9"/>
        <v>0</v>
      </c>
      <c r="R34" s="14"/>
      <c r="S34" s="911">
        <f t="shared" si="10"/>
        <v>0</v>
      </c>
      <c r="T34" s="14"/>
      <c r="U34" s="911"/>
      <c r="V34" s="14"/>
      <c r="W34" s="911"/>
      <c r="X34" s="14"/>
      <c r="Y34" s="911">
        <f t="shared" si="12"/>
        <v>0</v>
      </c>
      <c r="Z34" s="15">
        <f t="shared" si="4"/>
        <v>0</v>
      </c>
      <c r="AA34" s="319" t="e">
        <f t="shared" ca="1" si="13"/>
        <v>#REF!</v>
      </c>
      <c r="AB34" s="20"/>
      <c r="AH34" s="458"/>
      <c r="AI34" s="150"/>
      <c r="AJ34" s="150"/>
      <c r="AK34" s="915"/>
    </row>
    <row r="35" spans="1:38" s="4" customFormat="1">
      <c r="A35" s="757" t="s">
        <v>290</v>
      </c>
      <c r="B35" s="14">
        <f>+Cost!AF68</f>
        <v>0</v>
      </c>
      <c r="C35" s="907">
        <f t="shared" ca="1" si="2"/>
        <v>0</v>
      </c>
      <c r="D35" s="14">
        <f>+Cost!AH68</f>
        <v>0</v>
      </c>
      <c r="E35" s="909">
        <f t="shared" ca="1" si="14"/>
        <v>0</v>
      </c>
      <c r="F35" s="14">
        <f>+Cost!AJ68</f>
        <v>0</v>
      </c>
      <c r="G35" s="909">
        <f t="shared" ca="1" si="15"/>
        <v>0</v>
      </c>
      <c r="H35" s="14">
        <f>+Cost!AL68</f>
        <v>1463</v>
      </c>
      <c r="I35" s="910">
        <f t="shared" ca="1" si="5"/>
        <v>0.53600000000000003</v>
      </c>
      <c r="J35" s="14">
        <f>+Cost!AN68</f>
        <v>0</v>
      </c>
      <c r="K35" s="911">
        <f t="shared" si="6"/>
        <v>0</v>
      </c>
      <c r="L35" s="14">
        <f>+Cost!AP68</f>
        <v>0</v>
      </c>
      <c r="M35" s="912">
        <f t="shared" si="7"/>
        <v>0</v>
      </c>
      <c r="N35" s="14">
        <f>+Cost!AR68</f>
        <v>0</v>
      </c>
      <c r="O35" s="912">
        <f t="shared" si="8"/>
        <v>0</v>
      </c>
      <c r="P35" s="14">
        <f>+Cost!AT68</f>
        <v>0</v>
      </c>
      <c r="Q35" s="911">
        <f t="shared" si="9"/>
        <v>0</v>
      </c>
      <c r="R35" s="14">
        <f>+Cost!AV68</f>
        <v>0</v>
      </c>
      <c r="S35" s="911">
        <f t="shared" si="10"/>
        <v>0</v>
      </c>
      <c r="T35" s="14">
        <f>+Cost!AX68</f>
        <v>0</v>
      </c>
      <c r="U35" s="911"/>
      <c r="V35" s="14">
        <f>+Cost!AZ68</f>
        <v>0</v>
      </c>
      <c r="W35" s="911"/>
      <c r="X35" s="14">
        <f>+Cost!BB68</f>
        <v>0</v>
      </c>
      <c r="Y35" s="911">
        <f t="shared" si="12"/>
        <v>0</v>
      </c>
      <c r="Z35" s="15">
        <f t="shared" si="4"/>
        <v>1463</v>
      </c>
      <c r="AA35" s="253" t="e">
        <f t="shared" ca="1" si="13"/>
        <v>#REF!</v>
      </c>
      <c r="AB35" s="20"/>
      <c r="AI35" s="150"/>
      <c r="AJ35" s="150"/>
      <c r="AK35" s="915"/>
      <c r="AL35" s="914"/>
    </row>
    <row r="36" spans="1:38" s="4" customFormat="1" ht="12" customHeight="1">
      <c r="A36" s="757" t="s">
        <v>297</v>
      </c>
      <c r="B36" s="14">
        <f>Cost!AF71</f>
        <v>0</v>
      </c>
      <c r="C36" s="907">
        <f t="shared" ca="1" si="2"/>
        <v>0</v>
      </c>
      <c r="D36" s="14">
        <f>Cost!AH71</f>
        <v>0</v>
      </c>
      <c r="E36" s="909">
        <f t="shared" ca="1" si="14"/>
        <v>0</v>
      </c>
      <c r="F36" s="14">
        <f>Cost!AJ71</f>
        <v>0</v>
      </c>
      <c r="G36" s="909">
        <f t="shared" ca="1" si="15"/>
        <v>0</v>
      </c>
      <c r="H36" s="14">
        <f>Cost!AL71</f>
        <v>0</v>
      </c>
      <c r="I36" s="910">
        <f t="shared" ca="1" si="5"/>
        <v>0</v>
      </c>
      <c r="J36" s="14">
        <f>Cost!AN71</f>
        <v>0</v>
      </c>
      <c r="K36" s="911">
        <f t="shared" si="6"/>
        <v>0</v>
      </c>
      <c r="L36" s="14">
        <f>Cost!AP71</f>
        <v>0</v>
      </c>
      <c r="M36" s="912">
        <f t="shared" si="7"/>
        <v>0</v>
      </c>
      <c r="N36" s="14">
        <f>Cost!AR71</f>
        <v>0</v>
      </c>
      <c r="O36" s="912">
        <f t="shared" si="8"/>
        <v>0</v>
      </c>
      <c r="P36" s="14">
        <f>Cost!AT71</f>
        <v>0</v>
      </c>
      <c r="Q36" s="911">
        <f t="shared" si="9"/>
        <v>0</v>
      </c>
      <c r="R36" s="14">
        <f>Cost!AV71</f>
        <v>0</v>
      </c>
      <c r="S36" s="911">
        <f t="shared" si="10"/>
        <v>0</v>
      </c>
      <c r="T36" s="14">
        <f>Cost!AX71</f>
        <v>0</v>
      </c>
      <c r="U36" s="911">
        <f>IFERROR(T36/$R$13,0)</f>
        <v>0</v>
      </c>
      <c r="V36" s="14">
        <f>Cost!AZ71</f>
        <v>0</v>
      </c>
      <c r="W36" s="911">
        <f>IFERROR(V36/$R$13,0)</f>
        <v>0</v>
      </c>
      <c r="X36" s="14">
        <f>Cost!BB71</f>
        <v>0</v>
      </c>
      <c r="Y36" s="911">
        <f>IFERROR(X36/$R$13,0)</f>
        <v>0</v>
      </c>
      <c r="Z36" s="15">
        <f t="shared" si="4"/>
        <v>0</v>
      </c>
      <c r="AA36" s="253" t="e">
        <f t="shared" ca="1" si="13"/>
        <v>#REF!</v>
      </c>
      <c r="AB36" s="20"/>
      <c r="AI36" s="460"/>
      <c r="AJ36" s="461"/>
      <c r="AK36" s="462"/>
      <c r="AL36" s="452"/>
    </row>
    <row r="37" spans="1:38" s="4" customFormat="1">
      <c r="A37" s="757" t="s">
        <v>299</v>
      </c>
      <c r="B37" s="14">
        <f>+Cost!AF76</f>
        <v>0</v>
      </c>
      <c r="C37" s="910">
        <f t="shared" ca="1" si="2"/>
        <v>0</v>
      </c>
      <c r="D37" s="14">
        <f>+Cost!AH76</f>
        <v>0</v>
      </c>
      <c r="E37" s="909">
        <f t="shared" ca="1" si="14"/>
        <v>0</v>
      </c>
      <c r="F37" s="14">
        <f>+Cost!AJ76</f>
        <v>0</v>
      </c>
      <c r="G37" s="909">
        <f t="shared" ca="1" si="15"/>
        <v>0</v>
      </c>
      <c r="H37" s="14">
        <f>+Cost!AL76</f>
        <v>0</v>
      </c>
      <c r="I37" s="910">
        <f t="shared" ca="1" si="5"/>
        <v>0</v>
      </c>
      <c r="J37" s="14">
        <f>+Cost!AN76</f>
        <v>0</v>
      </c>
      <c r="K37" s="911">
        <f t="shared" si="6"/>
        <v>0</v>
      </c>
      <c r="L37" s="14">
        <f>+Cost!AP76</f>
        <v>0</v>
      </c>
      <c r="M37" s="912">
        <f t="shared" si="7"/>
        <v>0</v>
      </c>
      <c r="N37" s="14">
        <f>+Cost!AR76</f>
        <v>0</v>
      </c>
      <c r="O37" s="912">
        <f t="shared" si="8"/>
        <v>0</v>
      </c>
      <c r="P37" s="14">
        <f>+Cost!AT76</f>
        <v>0</v>
      </c>
      <c r="Q37" s="911">
        <f t="shared" si="9"/>
        <v>0</v>
      </c>
      <c r="R37" s="14">
        <f>+Cost!AV76</f>
        <v>0</v>
      </c>
      <c r="S37" s="911">
        <f t="shared" si="10"/>
        <v>0</v>
      </c>
      <c r="T37" s="14">
        <f>+Cost!AX76</f>
        <v>0</v>
      </c>
      <c r="U37" s="911">
        <f>IFERROR(T37/$R$13,0)</f>
        <v>0</v>
      </c>
      <c r="V37" s="14">
        <f>+Cost!AZ76</f>
        <v>0</v>
      </c>
      <c r="W37" s="911">
        <f>IFERROR(V37/$R$13,0)</f>
        <v>0</v>
      </c>
      <c r="X37" s="14">
        <f>+Cost!BB76</f>
        <v>0</v>
      </c>
      <c r="Y37" s="911">
        <f>IFERROR(X37/$R$13,0)</f>
        <v>0</v>
      </c>
      <c r="Z37" s="15">
        <f t="shared" si="4"/>
        <v>0</v>
      </c>
      <c r="AA37" s="253" t="e">
        <f t="shared" ca="1" si="13"/>
        <v>#REF!</v>
      </c>
      <c r="AB37" s="20"/>
      <c r="AI37" s="150"/>
      <c r="AJ37" s="150"/>
      <c r="AK37" s="150"/>
    </row>
    <row r="38" spans="1:38" s="4" customFormat="1">
      <c r="A38" s="757" t="s">
        <v>397</v>
      </c>
      <c r="B38" s="14"/>
      <c r="C38" s="907">
        <f t="shared" ca="1" si="2"/>
        <v>0</v>
      </c>
      <c r="D38" s="14"/>
      <c r="E38" s="909">
        <f t="shared" ca="1" si="14"/>
        <v>0</v>
      </c>
      <c r="F38" s="14"/>
      <c r="G38" s="909">
        <f t="shared" ca="1" si="15"/>
        <v>0</v>
      </c>
      <c r="H38" s="14"/>
      <c r="I38" s="910">
        <f t="shared" ca="1" si="5"/>
        <v>0</v>
      </c>
      <c r="J38" s="14"/>
      <c r="K38" s="911">
        <f t="shared" si="6"/>
        <v>0</v>
      </c>
      <c r="L38" s="14"/>
      <c r="M38" s="912">
        <f t="shared" si="7"/>
        <v>0</v>
      </c>
      <c r="N38" s="14"/>
      <c r="O38" s="912">
        <f t="shared" si="8"/>
        <v>0</v>
      </c>
      <c r="P38" s="14"/>
      <c r="Q38" s="911">
        <f t="shared" si="9"/>
        <v>0</v>
      </c>
      <c r="R38" s="14"/>
      <c r="S38" s="911">
        <f t="shared" si="10"/>
        <v>0</v>
      </c>
      <c r="T38" s="14"/>
      <c r="U38" s="911"/>
      <c r="V38" s="14"/>
      <c r="W38" s="911"/>
      <c r="X38" s="14"/>
      <c r="Y38" s="911">
        <f t="shared" si="12"/>
        <v>0</v>
      </c>
      <c r="Z38" s="15">
        <f t="shared" si="4"/>
        <v>0</v>
      </c>
      <c r="AA38" s="253" t="e">
        <f t="shared" ca="1" si="13"/>
        <v>#REF!</v>
      </c>
      <c r="AB38" s="14"/>
      <c r="AI38" s="150"/>
      <c r="AK38" s="150"/>
    </row>
    <row r="39" spans="1:38" s="4" customFormat="1">
      <c r="A39" s="757" t="s">
        <v>398</v>
      </c>
      <c r="B39" s="14">
        <f>+Cost!AF4</f>
        <v>0</v>
      </c>
      <c r="C39" s="907">
        <f t="shared" ca="1" si="2"/>
        <v>0</v>
      </c>
      <c r="D39" s="14">
        <f>+Cost!AH4</f>
        <v>0</v>
      </c>
      <c r="E39" s="909">
        <f t="shared" ca="1" si="14"/>
        <v>0</v>
      </c>
      <c r="F39" s="14">
        <f>+Cost!AJ4</f>
        <v>0</v>
      </c>
      <c r="G39" s="909">
        <f t="shared" ca="1" si="15"/>
        <v>0</v>
      </c>
      <c r="H39" s="14">
        <f>+Cost!AL4</f>
        <v>0</v>
      </c>
      <c r="I39" s="910">
        <f t="shared" ca="1" si="5"/>
        <v>0</v>
      </c>
      <c r="J39" s="14">
        <f>+Cost!AN4</f>
        <v>0</v>
      </c>
      <c r="K39" s="911">
        <f t="shared" si="6"/>
        <v>0</v>
      </c>
      <c r="L39" s="14">
        <f>+Cost!AP4</f>
        <v>0</v>
      </c>
      <c r="M39" s="912">
        <f t="shared" si="7"/>
        <v>0</v>
      </c>
      <c r="N39" s="14">
        <f>+Cost!AR4</f>
        <v>0</v>
      </c>
      <c r="O39" s="912">
        <f t="shared" si="8"/>
        <v>0</v>
      </c>
      <c r="P39" s="14">
        <f>+Cost!AT4</f>
        <v>0</v>
      </c>
      <c r="Q39" s="911">
        <f t="shared" si="9"/>
        <v>0</v>
      </c>
      <c r="R39" s="14">
        <f>+Cost!AV4</f>
        <v>0</v>
      </c>
      <c r="S39" s="911">
        <f t="shared" si="10"/>
        <v>0</v>
      </c>
      <c r="T39" s="14">
        <f>+Cost!AX4</f>
        <v>0</v>
      </c>
      <c r="U39" s="911">
        <f>IFERROR(T39/$R$13,0)</f>
        <v>0</v>
      </c>
      <c r="V39" s="14">
        <f>+Cost!AZ4</f>
        <v>0</v>
      </c>
      <c r="W39" s="911">
        <f>IFERROR(V39/$R$13,0)</f>
        <v>0</v>
      </c>
      <c r="X39" s="14">
        <f>+Cost!L4+Cost!AZ4</f>
        <v>0</v>
      </c>
      <c r="Y39" s="911">
        <f>IFERROR(X39/$X$13,0)</f>
        <v>0</v>
      </c>
      <c r="Z39" s="15">
        <f>+B39+D39+F39+H39+J39+L39+N39+P39+R39+T39+V39+X39</f>
        <v>0</v>
      </c>
      <c r="AA39" s="252" t="e">
        <f t="shared" ca="1" si="13"/>
        <v>#REF!</v>
      </c>
      <c r="AB39" s="20"/>
      <c r="AI39" s="150"/>
      <c r="AK39" s="150"/>
    </row>
    <row r="40" spans="1:38" s="4" customFormat="1">
      <c r="A40" s="757" t="s">
        <v>399</v>
      </c>
      <c r="B40" s="14"/>
      <c r="C40" s="907">
        <f t="shared" ca="1" si="2"/>
        <v>0</v>
      </c>
      <c r="D40" s="14"/>
      <c r="E40" s="909">
        <f t="shared" ca="1" si="14"/>
        <v>0</v>
      </c>
      <c r="F40" s="14"/>
      <c r="G40" s="909">
        <f t="shared" ca="1" si="15"/>
        <v>0</v>
      </c>
      <c r="H40" s="14"/>
      <c r="I40" s="910">
        <f t="shared" ca="1" si="5"/>
        <v>0</v>
      </c>
      <c r="J40" s="14"/>
      <c r="K40" s="911">
        <f t="shared" si="6"/>
        <v>0</v>
      </c>
      <c r="L40" s="14"/>
      <c r="M40" s="912">
        <f t="shared" si="7"/>
        <v>0</v>
      </c>
      <c r="N40" s="14"/>
      <c r="O40" s="912">
        <f t="shared" si="8"/>
        <v>0</v>
      </c>
      <c r="P40" s="14"/>
      <c r="Q40" s="911">
        <f t="shared" si="9"/>
        <v>0</v>
      </c>
      <c r="R40" s="14"/>
      <c r="S40" s="911">
        <f t="shared" si="10"/>
        <v>0</v>
      </c>
      <c r="T40" s="14"/>
      <c r="U40" s="911"/>
      <c r="V40" s="14"/>
      <c r="W40" s="911"/>
      <c r="X40" s="14"/>
      <c r="Y40" s="911">
        <f>IFERROR(X40/$X$13,0)</f>
        <v>0</v>
      </c>
      <c r="Z40" s="15">
        <f>+B40+D40+F40+H40+J40+L40+N40+P40+R40+T40+V40+X40</f>
        <v>0</v>
      </c>
      <c r="AA40" s="252" t="e">
        <f t="shared" ca="1" si="13"/>
        <v>#REF!</v>
      </c>
      <c r="AB40" s="20"/>
      <c r="AI40" s="150"/>
      <c r="AK40" s="150"/>
    </row>
    <row r="41" spans="1:38" s="4" customFormat="1">
      <c r="A41" s="757" t="s">
        <v>400</v>
      </c>
      <c r="B41" s="14"/>
      <c r="C41" s="907">
        <f t="shared" ca="1" si="2"/>
        <v>0</v>
      </c>
      <c r="D41" s="14"/>
      <c r="E41" s="909">
        <f t="shared" ca="1" si="14"/>
        <v>0</v>
      </c>
      <c r="F41" s="14"/>
      <c r="G41" s="909">
        <f t="shared" ca="1" si="15"/>
        <v>0</v>
      </c>
      <c r="H41" s="14"/>
      <c r="I41" s="910">
        <f t="shared" ca="1" si="5"/>
        <v>0</v>
      </c>
      <c r="J41" s="14"/>
      <c r="K41" s="911">
        <f t="shared" si="6"/>
        <v>0</v>
      </c>
      <c r="L41" s="14"/>
      <c r="M41" s="912">
        <f t="shared" si="7"/>
        <v>0</v>
      </c>
      <c r="N41" s="14"/>
      <c r="O41" s="912">
        <f t="shared" si="8"/>
        <v>0</v>
      </c>
      <c r="P41" s="14"/>
      <c r="Q41" s="911">
        <f t="shared" si="9"/>
        <v>0</v>
      </c>
      <c r="R41" s="14"/>
      <c r="S41" s="911">
        <f t="shared" si="10"/>
        <v>0</v>
      </c>
      <c r="T41" s="14"/>
      <c r="U41" s="911"/>
      <c r="V41" s="14"/>
      <c r="W41" s="911"/>
      <c r="X41" s="14"/>
      <c r="Y41" s="911">
        <f t="shared" si="12"/>
        <v>0</v>
      </c>
      <c r="Z41" s="15">
        <f t="shared" si="4"/>
        <v>0</v>
      </c>
      <c r="AA41" s="252" t="e">
        <f t="shared" ca="1" si="13"/>
        <v>#REF!</v>
      </c>
      <c r="AB41" s="20"/>
      <c r="AI41" s="150"/>
      <c r="AK41" s="150"/>
    </row>
    <row r="42" spans="1:38" s="4" customFormat="1">
      <c r="A42" s="757" t="s">
        <v>66</v>
      </c>
      <c r="B42" s="14">
        <f>Cost!AF100</f>
        <v>0</v>
      </c>
      <c r="C42" s="907">
        <f t="shared" ca="1" si="2"/>
        <v>0</v>
      </c>
      <c r="D42" s="14">
        <f>Cost!AH100</f>
        <v>0</v>
      </c>
      <c r="E42" s="909">
        <f t="shared" ca="1" si="14"/>
        <v>0</v>
      </c>
      <c r="F42" s="14">
        <f>Cost!AJ100</f>
        <v>0</v>
      </c>
      <c r="G42" s="909">
        <f t="shared" ca="1" si="15"/>
        <v>0</v>
      </c>
      <c r="H42" s="14">
        <f>Cost!AL100</f>
        <v>0</v>
      </c>
      <c r="I42" s="910">
        <f t="shared" ca="1" si="5"/>
        <v>0</v>
      </c>
      <c r="J42" s="14">
        <f>Cost!AN100</f>
        <v>0</v>
      </c>
      <c r="K42" s="911">
        <f t="shared" si="6"/>
        <v>0</v>
      </c>
      <c r="L42" s="14">
        <f>Cost!AP100</f>
        <v>0</v>
      </c>
      <c r="M42" s="912">
        <f t="shared" si="7"/>
        <v>0</v>
      </c>
      <c r="N42" s="14">
        <f>Cost!AR100</f>
        <v>0</v>
      </c>
      <c r="O42" s="912">
        <f t="shared" si="8"/>
        <v>0</v>
      </c>
      <c r="P42" s="14">
        <f>Cost!AT100</f>
        <v>0</v>
      </c>
      <c r="Q42" s="911">
        <f t="shared" si="9"/>
        <v>0</v>
      </c>
      <c r="R42" s="14">
        <f>Cost!AV100</f>
        <v>0</v>
      </c>
      <c r="S42" s="911">
        <f t="shared" si="10"/>
        <v>0</v>
      </c>
      <c r="T42" s="14">
        <f>Cost!AX100</f>
        <v>0</v>
      </c>
      <c r="U42" s="911">
        <f>IFERROR(T42/$R$13,0)</f>
        <v>0</v>
      </c>
      <c r="V42" s="14">
        <f>Cost!AZ100</f>
        <v>0</v>
      </c>
      <c r="W42" s="911">
        <f>IFERROR(V42/$R$13,0)</f>
        <v>0</v>
      </c>
      <c r="X42" s="14">
        <f>Cost!BB100</f>
        <v>0</v>
      </c>
      <c r="Y42" s="911">
        <f>IFERROR(X42/$R$13,0)</f>
        <v>0</v>
      </c>
      <c r="Z42" s="15">
        <f t="shared" si="4"/>
        <v>0</v>
      </c>
      <c r="AA42" s="253" t="e">
        <f t="shared" ca="1" si="13"/>
        <v>#REF!</v>
      </c>
      <c r="AB42" s="20"/>
      <c r="AD42" s="150"/>
      <c r="AI42" s="150"/>
      <c r="AK42" s="150"/>
    </row>
    <row r="43" spans="1:38" s="4" customFormat="1">
      <c r="A43" s="757" t="s">
        <v>401</v>
      </c>
      <c r="B43" s="14"/>
      <c r="C43" s="907">
        <f t="shared" ca="1" si="2"/>
        <v>0</v>
      </c>
      <c r="D43" s="14"/>
      <c r="E43" s="909">
        <f t="shared" ca="1" si="14"/>
        <v>0</v>
      </c>
      <c r="F43" s="14"/>
      <c r="G43" s="909">
        <f t="shared" ca="1" si="15"/>
        <v>0</v>
      </c>
      <c r="H43" s="14"/>
      <c r="I43" s="910">
        <f t="shared" ca="1" si="5"/>
        <v>0</v>
      </c>
      <c r="J43" s="14"/>
      <c r="K43" s="911">
        <f t="shared" si="6"/>
        <v>0</v>
      </c>
      <c r="L43" s="200"/>
      <c r="M43" s="912">
        <f t="shared" si="7"/>
        <v>0</v>
      </c>
      <c r="N43" s="14"/>
      <c r="O43" s="912">
        <f t="shared" si="8"/>
        <v>0</v>
      </c>
      <c r="P43" s="14"/>
      <c r="Q43" s="911">
        <f t="shared" si="9"/>
        <v>0</v>
      </c>
      <c r="R43" s="14"/>
      <c r="S43" s="911">
        <f t="shared" si="10"/>
        <v>0</v>
      </c>
      <c r="T43" s="14"/>
      <c r="U43" s="911"/>
      <c r="V43" s="14"/>
      <c r="W43" s="911"/>
      <c r="X43" s="14"/>
      <c r="Y43" s="911">
        <f t="shared" si="12"/>
        <v>0</v>
      </c>
      <c r="Z43" s="15">
        <f t="shared" si="4"/>
        <v>0</v>
      </c>
      <c r="AA43" s="253" t="e">
        <f t="shared" ca="1" si="13"/>
        <v>#REF!</v>
      </c>
      <c r="AB43" s="20"/>
      <c r="AD43" s="150"/>
      <c r="AI43" s="150"/>
      <c r="AK43" s="150"/>
    </row>
    <row r="44" spans="1:38" s="4" customFormat="1">
      <c r="A44" s="757" t="s">
        <v>402</v>
      </c>
      <c r="B44" s="14"/>
      <c r="C44" s="909">
        <f t="shared" ca="1" si="2"/>
        <v>0</v>
      </c>
      <c r="E44" s="909">
        <f t="shared" ca="1" si="14"/>
        <v>0</v>
      </c>
      <c r="F44" s="14"/>
      <c r="G44" s="909">
        <f t="shared" ca="1" si="15"/>
        <v>0</v>
      </c>
      <c r="H44" s="14"/>
      <c r="I44" s="910">
        <f t="shared" ca="1" si="5"/>
        <v>0</v>
      </c>
      <c r="J44" s="14"/>
      <c r="K44" s="911">
        <f t="shared" si="6"/>
        <v>0</v>
      </c>
      <c r="L44" s="200"/>
      <c r="M44" s="912">
        <f t="shared" si="7"/>
        <v>0</v>
      </c>
      <c r="N44" s="14"/>
      <c r="O44" s="912">
        <f t="shared" si="8"/>
        <v>0</v>
      </c>
      <c r="P44" s="14"/>
      <c r="Q44" s="911">
        <f t="shared" si="9"/>
        <v>0</v>
      </c>
      <c r="R44" s="14"/>
      <c r="S44" s="911">
        <f t="shared" si="10"/>
        <v>0</v>
      </c>
      <c r="T44" s="14"/>
      <c r="U44" s="911">
        <f t="shared" si="11"/>
        <v>0</v>
      </c>
      <c r="V44" s="200"/>
      <c r="W44" s="911">
        <f>IFERROR(V44/$V$13,0)</f>
        <v>0</v>
      </c>
      <c r="X44" s="14"/>
      <c r="Y44" s="911">
        <f t="shared" si="12"/>
        <v>0</v>
      </c>
      <c r="Z44" s="15">
        <f t="shared" si="4"/>
        <v>0</v>
      </c>
      <c r="AA44" s="320" t="e">
        <f t="shared" ca="1" si="13"/>
        <v>#REF!</v>
      </c>
      <c r="AB44" s="20"/>
      <c r="AD44" s="150"/>
      <c r="AI44" s="150"/>
    </row>
    <row r="45" spans="1:38" s="4" customFormat="1">
      <c r="A45" s="757" t="s">
        <v>403</v>
      </c>
      <c r="B45" s="17"/>
      <c r="C45" s="907">
        <f t="shared" ca="1" si="2"/>
        <v>0</v>
      </c>
      <c r="E45" s="909">
        <f t="shared" ca="1" si="14"/>
        <v>0</v>
      </c>
      <c r="F45" s="17"/>
      <c r="G45" s="909">
        <f t="shared" ca="1" si="15"/>
        <v>0</v>
      </c>
      <c r="H45" s="14"/>
      <c r="I45" s="910">
        <f t="shared" ca="1" si="5"/>
        <v>0</v>
      </c>
      <c r="J45" s="14"/>
      <c r="K45" s="911">
        <f t="shared" si="6"/>
        <v>0</v>
      </c>
      <c r="L45" s="14"/>
      <c r="M45" s="912">
        <f t="shared" si="7"/>
        <v>0</v>
      </c>
      <c r="N45" s="14"/>
      <c r="O45" s="912">
        <f t="shared" si="8"/>
        <v>0</v>
      </c>
      <c r="P45" s="14"/>
      <c r="Q45" s="911">
        <f t="shared" si="9"/>
        <v>0</v>
      </c>
      <c r="R45" s="14"/>
      <c r="S45" s="911">
        <f t="shared" si="10"/>
        <v>0</v>
      </c>
      <c r="T45" s="14"/>
      <c r="U45" s="911">
        <f t="shared" si="11"/>
        <v>0</v>
      </c>
      <c r="V45" s="14"/>
      <c r="W45" s="911">
        <f>IFERROR(V45/$V$13,0)</f>
        <v>0</v>
      </c>
      <c r="X45" s="14"/>
      <c r="Y45" s="911">
        <f t="shared" si="12"/>
        <v>0</v>
      </c>
      <c r="Z45" s="15">
        <f t="shared" si="4"/>
        <v>0</v>
      </c>
      <c r="AA45" s="252" t="e">
        <f t="shared" ca="1" si="13"/>
        <v>#REF!</v>
      </c>
      <c r="AB45" s="20"/>
      <c r="AD45" s="150"/>
      <c r="AI45" s="150"/>
    </row>
    <row r="46" spans="1:38" s="4" customFormat="1">
      <c r="A46" s="757" t="s">
        <v>404</v>
      </c>
      <c r="B46" s="17"/>
      <c r="C46" s="907">
        <f t="shared" ca="1" si="2"/>
        <v>0</v>
      </c>
      <c r="D46" s="17"/>
      <c r="E46" s="909">
        <f t="shared" ca="1" si="14"/>
        <v>0</v>
      </c>
      <c r="F46" s="14"/>
      <c r="G46" s="909">
        <f t="shared" ca="1" si="15"/>
        <v>0</v>
      </c>
      <c r="H46" s="14"/>
      <c r="I46" s="910">
        <f t="shared" ca="1" si="5"/>
        <v>0</v>
      </c>
      <c r="J46" s="17"/>
      <c r="K46" s="911">
        <f t="shared" si="6"/>
        <v>0</v>
      </c>
      <c r="L46" s="14"/>
      <c r="M46" s="912">
        <f t="shared" si="7"/>
        <v>0</v>
      </c>
      <c r="N46" s="14"/>
      <c r="O46" s="912">
        <f t="shared" si="8"/>
        <v>0</v>
      </c>
      <c r="P46" s="17"/>
      <c r="Q46" s="911">
        <f t="shared" si="9"/>
        <v>0</v>
      </c>
      <c r="R46" s="17"/>
      <c r="S46" s="911">
        <f t="shared" si="10"/>
        <v>0</v>
      </c>
      <c r="T46" s="14"/>
      <c r="U46" s="911">
        <f t="shared" si="11"/>
        <v>0</v>
      </c>
      <c r="V46" s="17"/>
      <c r="W46" s="911">
        <f>IFERROR(V46/$V$13,0)</f>
        <v>0</v>
      </c>
      <c r="X46" s="14"/>
      <c r="Y46" s="911">
        <f t="shared" si="12"/>
        <v>0</v>
      </c>
      <c r="Z46" s="15">
        <f t="shared" si="4"/>
        <v>0</v>
      </c>
      <c r="AA46" s="252" t="e">
        <f t="shared" ca="1" si="13"/>
        <v>#REF!</v>
      </c>
      <c r="AB46" s="17"/>
      <c r="AC46" s="4" t="s">
        <v>670</v>
      </c>
      <c r="AD46" s="150"/>
      <c r="AI46" s="150"/>
    </row>
    <row r="47" spans="1:38" s="37" customFormat="1">
      <c r="A47" s="32" t="s">
        <v>406</v>
      </c>
      <c r="B47" s="17">
        <f ca="1">+Cost!AF128</f>
        <v>64</v>
      </c>
      <c r="C47" s="907">
        <f t="shared" ca="1" si="2"/>
        <v>0.02</v>
      </c>
      <c r="D47" s="17">
        <f ca="1">+Cost!AH128</f>
        <v>29</v>
      </c>
      <c r="E47" s="909">
        <f ca="1">IFERROR(D47/$D$13,0)</f>
        <v>1.06E-2</v>
      </c>
      <c r="F47" s="17">
        <f ca="1">+Cost!AJ128</f>
        <v>29</v>
      </c>
      <c r="G47" s="909">
        <f t="shared" ca="1" si="15"/>
        <v>1.06E-2</v>
      </c>
      <c r="H47" s="17">
        <f ca="1">+Cost!AL128</f>
        <v>204</v>
      </c>
      <c r="I47" s="910">
        <f t="shared" ca="1" si="5"/>
        <v>7.4999999999999997E-2</v>
      </c>
      <c r="J47" s="17">
        <f>+Cost!AN128</f>
        <v>0</v>
      </c>
      <c r="K47" s="911">
        <f t="shared" si="6"/>
        <v>0</v>
      </c>
      <c r="L47" s="17">
        <f>+Cost!AP128</f>
        <v>0</v>
      </c>
      <c r="M47" s="912">
        <f t="shared" si="7"/>
        <v>0</v>
      </c>
      <c r="N47" s="17">
        <f>+Cost!AR128</f>
        <v>0</v>
      </c>
      <c r="O47" s="912">
        <f t="shared" si="8"/>
        <v>0</v>
      </c>
      <c r="P47" s="17">
        <f>+Cost!AT128</f>
        <v>0</v>
      </c>
      <c r="Q47" s="911">
        <f t="shared" si="9"/>
        <v>0</v>
      </c>
      <c r="R47" s="17">
        <f>+Cost!AV128</f>
        <v>0</v>
      </c>
      <c r="S47" s="911">
        <f t="shared" si="10"/>
        <v>0</v>
      </c>
      <c r="T47" s="17">
        <f>+Cost!AX128</f>
        <v>0</v>
      </c>
      <c r="U47" s="911">
        <f>IFERROR(T47/$R$13,0)</f>
        <v>0</v>
      </c>
      <c r="V47" s="17">
        <f>+Cost!AZ128</f>
        <v>0</v>
      </c>
      <c r="W47" s="911">
        <f>IFERROR(V47/$R$13,0)</f>
        <v>0</v>
      </c>
      <c r="X47" s="17">
        <f>+Cost!BB128</f>
        <v>0</v>
      </c>
      <c r="Y47" s="911">
        <f>IFERROR(X47/$R$13,0)</f>
        <v>0</v>
      </c>
      <c r="Z47" s="15">
        <f t="shared" ca="1" si="4"/>
        <v>326</v>
      </c>
      <c r="AA47" s="252" t="e">
        <f t="shared" ca="1" si="13"/>
        <v>#REF!</v>
      </c>
      <c r="AB47" s="20">
        <f>+(5974.5*'FX Rates'!L2)</f>
        <v>5975</v>
      </c>
      <c r="AI47" s="151"/>
    </row>
    <row r="48" spans="1:38" s="4" customFormat="1">
      <c r="A48" s="757"/>
      <c r="B48" s="17"/>
      <c r="C48" s="907">
        <f t="shared" ca="1" si="2"/>
        <v>0</v>
      </c>
      <c r="D48" s="14"/>
      <c r="E48" s="909">
        <f t="shared" ca="1" si="14"/>
        <v>0</v>
      </c>
      <c r="F48" s="14"/>
      <c r="G48" s="909">
        <f t="shared" ca="1" si="15"/>
        <v>0</v>
      </c>
      <c r="H48" s="14"/>
      <c r="I48" s="910">
        <f t="shared" ca="1" si="5"/>
        <v>0</v>
      </c>
      <c r="J48" s="14"/>
      <c r="K48" s="911">
        <f t="shared" si="6"/>
        <v>0</v>
      </c>
      <c r="L48" s="14"/>
      <c r="M48" s="912">
        <f t="shared" si="7"/>
        <v>0</v>
      </c>
      <c r="N48" s="14"/>
      <c r="O48" s="912">
        <f t="shared" si="8"/>
        <v>0</v>
      </c>
      <c r="P48" s="14"/>
      <c r="Q48" s="911">
        <f t="shared" si="9"/>
        <v>0</v>
      </c>
      <c r="R48" s="14"/>
      <c r="S48" s="911">
        <f t="shared" si="10"/>
        <v>0</v>
      </c>
      <c r="T48" s="14"/>
      <c r="U48" s="911">
        <f t="shared" si="11"/>
        <v>0</v>
      </c>
      <c r="V48" s="14"/>
      <c r="W48" s="911">
        <f>IFERROR(V48/$V$13,0)</f>
        <v>0</v>
      </c>
      <c r="X48" s="14"/>
      <c r="Y48" s="911">
        <f t="shared" si="12"/>
        <v>0</v>
      </c>
      <c r="Z48" s="15"/>
      <c r="AA48" s="252" t="e">
        <f t="shared" ca="1" si="13"/>
        <v>#REF!</v>
      </c>
      <c r="AI48" s="150"/>
    </row>
    <row r="49" spans="1:35" s="1" customFormat="1" ht="13.5" thickBot="1">
      <c r="A49" s="6" t="s">
        <v>407</v>
      </c>
      <c r="B49" s="16">
        <f t="shared" ref="B49:Z49" ca="1" si="16">SUM(B16:B48)</f>
        <v>475</v>
      </c>
      <c r="C49" s="907">
        <f t="shared" ca="1" si="2"/>
        <v>0.17</v>
      </c>
      <c r="D49" s="16">
        <f t="shared" ca="1" si="16"/>
        <v>126</v>
      </c>
      <c r="E49" s="909">
        <f ca="1">IFERROR(D49/$D$13,0)</f>
        <v>4.6199999999999998E-2</v>
      </c>
      <c r="F49" s="16">
        <f t="shared" ca="1" si="16"/>
        <v>126</v>
      </c>
      <c r="G49" s="909">
        <f t="shared" ca="1" si="15"/>
        <v>4.6199999999999998E-2</v>
      </c>
      <c r="H49" s="16">
        <f ca="1">SUM(H16:H48)</f>
        <v>2060</v>
      </c>
      <c r="I49" s="910">
        <f t="shared" ca="1" si="5"/>
        <v>0.755</v>
      </c>
      <c r="J49" s="16">
        <f t="shared" si="16"/>
        <v>0</v>
      </c>
      <c r="K49" s="911">
        <f t="shared" si="6"/>
        <v>0</v>
      </c>
      <c r="L49" s="16">
        <f t="shared" si="16"/>
        <v>0</v>
      </c>
      <c r="M49" s="912">
        <f t="shared" si="7"/>
        <v>0</v>
      </c>
      <c r="N49" s="16">
        <f t="shared" si="16"/>
        <v>0</v>
      </c>
      <c r="O49" s="912">
        <f t="shared" si="8"/>
        <v>0</v>
      </c>
      <c r="P49" s="16">
        <f t="shared" si="16"/>
        <v>0</v>
      </c>
      <c r="Q49" s="911">
        <f t="shared" si="9"/>
        <v>0</v>
      </c>
      <c r="R49" s="16">
        <f t="shared" si="16"/>
        <v>0</v>
      </c>
      <c r="S49" s="911">
        <f t="shared" si="10"/>
        <v>0</v>
      </c>
      <c r="T49" s="16">
        <f t="shared" si="16"/>
        <v>0</v>
      </c>
      <c r="U49" s="911">
        <f t="shared" si="11"/>
        <v>0</v>
      </c>
      <c r="V49" s="16">
        <f t="shared" si="16"/>
        <v>0</v>
      </c>
      <c r="W49" s="911">
        <f>IFERROR(V49/$V$13,0)</f>
        <v>0</v>
      </c>
      <c r="X49" s="16">
        <f t="shared" si="16"/>
        <v>0</v>
      </c>
      <c r="Y49" s="911">
        <f t="shared" si="12"/>
        <v>0</v>
      </c>
      <c r="Z49" s="16">
        <f t="shared" ca="1" si="16"/>
        <v>2787</v>
      </c>
      <c r="AA49" s="252" t="e">
        <f t="shared" ca="1" si="13"/>
        <v>#REF!</v>
      </c>
      <c r="AB49" s="20">
        <f>SUM(AB34:AB46)</f>
        <v>0</v>
      </c>
      <c r="AC49" s="216"/>
      <c r="AD49" s="156"/>
      <c r="AI49" s="154"/>
    </row>
    <row r="50" spans="1:35" s="1" customFormat="1" ht="13.5" thickTop="1">
      <c r="A50" s="6"/>
      <c r="B50" s="15"/>
      <c r="C50" s="907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911">
        <f t="shared" si="11"/>
        <v>0</v>
      </c>
      <c r="V50" s="15"/>
      <c r="W50" s="911"/>
      <c r="X50" s="15"/>
      <c r="Y50" s="15"/>
      <c r="Z50" s="15"/>
      <c r="AA50" s="21"/>
      <c r="AI50" s="154"/>
    </row>
    <row r="51" spans="1:35" s="1" customFormat="1">
      <c r="A51" s="6"/>
      <c r="B51" s="15"/>
      <c r="C51" s="907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911">
        <f t="shared" si="11"/>
        <v>0</v>
      </c>
      <c r="V51" s="15"/>
      <c r="W51" s="911"/>
      <c r="X51" s="15"/>
      <c r="Y51" s="15"/>
      <c r="Z51" s="15"/>
      <c r="AA51" s="21"/>
      <c r="AB51" s="156"/>
      <c r="AI51" s="154"/>
    </row>
    <row r="52" spans="1:35" ht="13.5" thickBot="1">
      <c r="A52" s="6" t="s">
        <v>410</v>
      </c>
      <c r="B52" s="46">
        <f ca="1">IF(B$13=0,0,B$13/DPL25Summary!B$13*DPL25Summary!B$72)</f>
        <v>1050</v>
      </c>
      <c r="C52" s="907">
        <f ca="1">+B52/$B$13</f>
        <v>0.38</v>
      </c>
      <c r="D52" s="46">
        <f ca="1">IF(D$13=0,0,D$13/DPL25Summary!D$13*DPL25Summary!D$72)</f>
        <v>1050</v>
      </c>
      <c r="E52" s="909">
        <f ca="1">IFERROR(D52/$D$13,0)</f>
        <v>0.38490000000000002</v>
      </c>
      <c r="F52" s="46">
        <f ca="1">IF(F$13=0,0,F$13/DPL25Summary!F$13*DPL25Summary!F$72)</f>
        <v>1050</v>
      </c>
      <c r="G52" s="909">
        <f ca="1">IFERROR(F52/$F$13,0)</f>
        <v>0.38490000000000002</v>
      </c>
      <c r="H52" s="46">
        <f ca="1">IF(H$13=0,0,H$13/DPL25Summary!H$13*DPL25Summary!H$72)</f>
        <v>1050</v>
      </c>
      <c r="I52" s="910">
        <f ca="1">IFERROR(H52/$H$13,0)</f>
        <v>0.38500000000000001</v>
      </c>
      <c r="J52" s="46" t="e">
        <f>IF(J$13=0,0,J$13/DPL25Summary!J$13*DPL25Summary!J$72)</f>
        <v>#REF!</v>
      </c>
      <c r="K52" s="911">
        <f>IFERROR(J52/$J$13,0)</f>
        <v>0</v>
      </c>
      <c r="L52" s="46" t="e">
        <f>IF(L$13=0,0,L$13/DPL25Summary!L$13*DPL25Summary!L$72)</f>
        <v>#REF!</v>
      </c>
      <c r="M52" s="912">
        <f>IFERROR(L52/$L$13,0)</f>
        <v>0</v>
      </c>
      <c r="N52" s="46" t="e">
        <f>IF(N$13=0,0,N$13/DPL25Summary!N$13*DPL25Summary!N$72)</f>
        <v>#REF!</v>
      </c>
      <c r="O52" s="912">
        <f>IFERROR(N52/$N$13,0)</f>
        <v>0</v>
      </c>
      <c r="P52" s="46" t="e">
        <f>IF(P$13=0,0,P$13/DPL25Summary!P$13*DPL25Summary!P$72)</f>
        <v>#REF!</v>
      </c>
      <c r="Q52" s="911">
        <f>IFERROR(P52/$P$13,0)</f>
        <v>0</v>
      </c>
      <c r="R52" s="46" t="e">
        <f>IF(R$13=0,0,R$13/DPL25Summary!R$13*DPL25Summary!R$72)</f>
        <v>#REF!</v>
      </c>
      <c r="S52" s="911">
        <f>IFERROR(R52/$R$13,0)</f>
        <v>0</v>
      </c>
      <c r="T52" s="46" t="e">
        <f>IF(T$13=0,0,T$13/DPL25Summary!T$13*DPL25Summary!T$72)</f>
        <v>#REF!</v>
      </c>
      <c r="U52" s="911">
        <f t="shared" si="11"/>
        <v>0</v>
      </c>
      <c r="V52" s="46" t="e">
        <f>IF(V$13=0,0,V$13/DPL25Summary!V$13*DPL25Summary!V$72)</f>
        <v>#REF!</v>
      </c>
      <c r="W52" s="911">
        <f>IFERROR(V52/$V$13,0)</f>
        <v>0</v>
      </c>
      <c r="X52" s="46" t="e">
        <f>IF(X$13=0,0,X$13/DPL25Summary!X$13*DPL25Summary!X$72)</f>
        <v>#REF!</v>
      </c>
      <c r="Y52" s="911">
        <f>IFERROR(X52/$X$13,0)</f>
        <v>0</v>
      </c>
      <c r="Z52" s="46" t="e">
        <f ca="1">IF(Z$13=0,0,Z$13/DPL25Summary!Z$13*DPL25Summary!Z$72)</f>
        <v>#REF!</v>
      </c>
      <c r="AA52" s="252" t="e">
        <f ca="1">+Z52/$Z$13</f>
        <v>#REF!</v>
      </c>
    </row>
    <row r="53" spans="1:35" s="1" customFormat="1">
      <c r="A53" s="6"/>
      <c r="B53" s="15"/>
      <c r="C53" s="907"/>
      <c r="D53" s="15"/>
      <c r="E53" s="15"/>
      <c r="F53" s="15"/>
      <c r="G53" s="15"/>
      <c r="H53" s="15"/>
      <c r="I53" s="15"/>
      <c r="J53" s="15"/>
      <c r="K53" s="15"/>
      <c r="L53" s="15"/>
      <c r="M53" s="912">
        <f>IFERROR(L53/$L$13,0)</f>
        <v>0</v>
      </c>
      <c r="N53" s="15"/>
      <c r="O53" s="912">
        <f>IFERROR(N53/$N$13,0)</f>
        <v>0</v>
      </c>
      <c r="P53" s="15"/>
      <c r="Q53" s="911">
        <f>IFERROR(P53/$P$13,0)</f>
        <v>0</v>
      </c>
      <c r="R53" s="15"/>
      <c r="S53" s="911">
        <f>IFERROR(R53/$R$13,0)</f>
        <v>0</v>
      </c>
      <c r="T53" s="15"/>
      <c r="U53" s="911">
        <f t="shared" si="11"/>
        <v>0</v>
      </c>
      <c r="V53" s="15"/>
      <c r="W53" s="911">
        <f>IFERROR(V53/$V$13,0)</f>
        <v>0</v>
      </c>
      <c r="X53" s="15"/>
      <c r="Y53" s="911">
        <f>IFERROR(X53/$X$13,0)</f>
        <v>0</v>
      </c>
      <c r="Z53" s="15"/>
      <c r="AA53" s="21"/>
    </row>
    <row r="54" spans="1:35" s="1" customFormat="1">
      <c r="A54" s="6"/>
      <c r="B54" s="15"/>
      <c r="C54" s="907"/>
      <c r="D54" s="15"/>
      <c r="E54" s="15"/>
      <c r="F54" s="15"/>
      <c r="G54" s="15"/>
      <c r="H54" s="15"/>
      <c r="I54" s="15"/>
      <c r="J54" s="15"/>
      <c r="K54" s="15"/>
      <c r="L54" s="15"/>
      <c r="M54" s="912">
        <f>IFERROR(L54/$L$13,0)</f>
        <v>0</v>
      </c>
      <c r="N54" s="15"/>
      <c r="O54" s="912">
        <f>IFERROR(N54/$N$13,0)</f>
        <v>0</v>
      </c>
      <c r="P54" s="15"/>
      <c r="Q54" s="911">
        <f>IFERROR(P54/$P$13,0)</f>
        <v>0</v>
      </c>
      <c r="R54" s="15"/>
      <c r="S54" s="911">
        <f>IFERROR(R54/$R$13,0)</f>
        <v>0</v>
      </c>
      <c r="T54" s="15"/>
      <c r="U54" s="911">
        <f t="shared" si="11"/>
        <v>0</v>
      </c>
      <c r="V54" s="15"/>
      <c r="W54" s="911">
        <f>IFERROR(V54/$V$13,0)</f>
        <v>0</v>
      </c>
      <c r="X54" s="15"/>
      <c r="Y54" s="911">
        <f>IFERROR(X54/$X$13,0)</f>
        <v>0</v>
      </c>
      <c r="Z54" s="15"/>
      <c r="AA54" s="21"/>
    </row>
    <row r="55" spans="1:35" s="1" customFormat="1" ht="13.5" thickBot="1">
      <c r="A55" s="6" t="s">
        <v>432</v>
      </c>
      <c r="B55" s="26">
        <f t="shared" ref="B55:X55" ca="1" si="17">B13-B49-B52</f>
        <v>1203</v>
      </c>
      <c r="C55" s="907">
        <f ca="1">+B55/$B$13</f>
        <v>0.44</v>
      </c>
      <c r="D55" s="26">
        <f t="shared" ca="1" si="17"/>
        <v>1552</v>
      </c>
      <c r="E55" s="909">
        <f ca="1">IFERROR(D55/$D$13,0)</f>
        <v>0.56889999999999996</v>
      </c>
      <c r="F55" s="26">
        <f t="shared" ca="1" si="17"/>
        <v>1552</v>
      </c>
      <c r="G55" s="909">
        <f ca="1">IFERROR(F55/$F$13,0)</f>
        <v>0.56889999999999996</v>
      </c>
      <c r="H55" s="26">
        <f t="shared" ca="1" si="17"/>
        <v>-382</v>
      </c>
      <c r="I55" s="910">
        <f ca="1">IFERROR(H55/$H$13,0)</f>
        <v>-0.14000000000000001</v>
      </c>
      <c r="J55" s="26" t="e">
        <f t="shared" si="17"/>
        <v>#REF!</v>
      </c>
      <c r="K55" s="911">
        <f>IFERROR(J55/$J$13,0)</f>
        <v>0</v>
      </c>
      <c r="L55" s="26" t="e">
        <f t="shared" si="17"/>
        <v>#REF!</v>
      </c>
      <c r="M55" s="912">
        <f>IFERROR(L55/$L$13,0)</f>
        <v>0</v>
      </c>
      <c r="N55" s="26" t="e">
        <f t="shared" si="17"/>
        <v>#REF!</v>
      </c>
      <c r="O55" s="912">
        <f>IFERROR(N55/$N$13,0)</f>
        <v>0</v>
      </c>
      <c r="P55" s="26" t="e">
        <f t="shared" si="17"/>
        <v>#REF!</v>
      </c>
      <c r="Q55" s="911">
        <f>IFERROR(P55/$P$13,0)</f>
        <v>0</v>
      </c>
      <c r="R55" s="26" t="e">
        <f t="shared" si="17"/>
        <v>#REF!</v>
      </c>
      <c r="S55" s="911">
        <f>IFERROR(R55/$R$13,0)</f>
        <v>0</v>
      </c>
      <c r="T55" s="26" t="e">
        <f t="shared" si="17"/>
        <v>#REF!</v>
      </c>
      <c r="U55" s="911">
        <f t="shared" si="11"/>
        <v>0</v>
      </c>
      <c r="V55" s="26" t="e">
        <f t="shared" si="17"/>
        <v>#REF!</v>
      </c>
      <c r="W55" s="911">
        <f>IFERROR(V55/$V$13,0)</f>
        <v>0</v>
      </c>
      <c r="X55" s="26" t="e">
        <f t="shared" si="17"/>
        <v>#REF!</v>
      </c>
      <c r="Y55" s="911">
        <f>IFERROR(X55/$X$13,0)</f>
        <v>0</v>
      </c>
      <c r="Z55" s="26" t="e">
        <f ca="1">Z13-Z49-Z52</f>
        <v>#REF!</v>
      </c>
      <c r="AA55" s="252" t="e">
        <f ca="1">+Z55/$Z$13</f>
        <v>#REF!</v>
      </c>
    </row>
    <row r="56" spans="1:35">
      <c r="A56" s="6" t="s">
        <v>433</v>
      </c>
      <c r="B56" s="13">
        <f t="shared" ref="B56:Z56" ca="1" si="18">+IF(B55=0,0,B55/B13)</f>
        <v>0.44</v>
      </c>
      <c r="C56" s="907"/>
      <c r="D56" s="13">
        <f t="shared" ca="1" si="18"/>
        <v>0.56999999999999995</v>
      </c>
      <c r="E56" s="13"/>
      <c r="F56" s="13">
        <f t="shared" ca="1" si="18"/>
        <v>0.56999999999999995</v>
      </c>
      <c r="G56" s="13"/>
      <c r="H56" s="13">
        <f t="shared" ca="1" si="18"/>
        <v>-0.14000000000000001</v>
      </c>
      <c r="I56" s="13"/>
      <c r="J56" s="13" t="e">
        <f t="shared" si="18"/>
        <v>#REF!</v>
      </c>
      <c r="K56" s="13"/>
      <c r="L56" s="13" t="e">
        <f t="shared" si="18"/>
        <v>#REF!</v>
      </c>
      <c r="M56" s="13"/>
      <c r="N56" s="13" t="e">
        <f t="shared" si="18"/>
        <v>#REF!</v>
      </c>
      <c r="O56" s="13"/>
      <c r="P56" s="13" t="e">
        <f t="shared" si="18"/>
        <v>#REF!</v>
      </c>
      <c r="Q56" s="13"/>
      <c r="R56" s="13" t="e">
        <f t="shared" si="18"/>
        <v>#REF!</v>
      </c>
      <c r="S56" s="13"/>
      <c r="T56" s="13" t="e">
        <f t="shared" si="18"/>
        <v>#REF!</v>
      </c>
      <c r="U56" s="13"/>
      <c r="V56" s="13" t="e">
        <f t="shared" si="18"/>
        <v>#REF!</v>
      </c>
      <c r="W56" s="13"/>
      <c r="X56" s="13" t="e">
        <f t="shared" si="18"/>
        <v>#REF!</v>
      </c>
      <c r="Y56" s="13"/>
      <c r="Z56" s="13" t="e">
        <f t="shared" ca="1" si="18"/>
        <v>#REF!</v>
      </c>
    </row>
    <row r="57" spans="1:35" s="1" customFormat="1">
      <c r="A57" s="6"/>
      <c r="B57" s="15"/>
      <c r="C57" s="907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21"/>
    </row>
    <row r="58" spans="1:35" s="1" customFormat="1">
      <c r="A58" s="6"/>
      <c r="B58" s="15"/>
      <c r="C58" s="907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21"/>
    </row>
    <row r="59" spans="1:35" s="1" customFormat="1">
      <c r="A59" s="6"/>
      <c r="B59" s="15"/>
      <c r="C59" s="907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21"/>
    </row>
    <row r="60" spans="1:35" s="1" customFormat="1">
      <c r="A60" s="6" t="s">
        <v>671</v>
      </c>
      <c r="B60" s="15"/>
      <c r="C60" s="907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21"/>
    </row>
    <row r="61" spans="1:35" s="1" customFormat="1">
      <c r="A61" s="6"/>
      <c r="B61" s="15"/>
      <c r="C61" s="907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21"/>
    </row>
    <row r="62" spans="1:35" s="1" customFormat="1">
      <c r="A62" s="757" t="s">
        <v>672</v>
      </c>
      <c r="B62" s="39">
        <f t="shared" ref="B62:Z62" ca="1" si="19">B$13-B$49</f>
        <v>2253</v>
      </c>
      <c r="C62" s="907"/>
      <c r="D62" s="39">
        <f t="shared" ca="1" si="19"/>
        <v>2602</v>
      </c>
      <c r="E62" s="39"/>
      <c r="F62" s="39">
        <f t="shared" ca="1" si="19"/>
        <v>2602</v>
      </c>
      <c r="G62" s="39"/>
      <c r="H62" s="39">
        <f t="shared" ca="1" si="19"/>
        <v>668</v>
      </c>
      <c r="I62" s="39"/>
      <c r="J62" s="39" t="e">
        <f t="shared" si="19"/>
        <v>#REF!</v>
      </c>
      <c r="K62" s="39"/>
      <c r="L62" s="39" t="e">
        <f t="shared" si="19"/>
        <v>#REF!</v>
      </c>
      <c r="M62" s="39"/>
      <c r="N62" s="39" t="e">
        <f t="shared" si="19"/>
        <v>#REF!</v>
      </c>
      <c r="O62" s="39"/>
      <c r="P62" s="39" t="e">
        <f t="shared" si="19"/>
        <v>#REF!</v>
      </c>
      <c r="Q62" s="39"/>
      <c r="R62" s="39" t="e">
        <f t="shared" si="19"/>
        <v>#REF!</v>
      </c>
      <c r="S62" s="39"/>
      <c r="T62" s="39" t="e">
        <f t="shared" si="19"/>
        <v>#REF!</v>
      </c>
      <c r="U62" s="39"/>
      <c r="V62" s="39" t="e">
        <f t="shared" si="19"/>
        <v>#REF!</v>
      </c>
      <c r="W62" s="39"/>
      <c r="X62" s="39" t="e">
        <f t="shared" si="19"/>
        <v>#REF!</v>
      </c>
      <c r="Y62" s="39"/>
      <c r="Z62" s="39" t="e">
        <f t="shared" ca="1" si="19"/>
        <v>#REF!</v>
      </c>
      <c r="AA62" s="21"/>
    </row>
    <row r="63" spans="1:35" s="1" customFormat="1">
      <c r="A63" s="757" t="s">
        <v>673</v>
      </c>
      <c r="B63" s="10">
        <f t="shared" ref="B63:T63" ca="1" si="20">IF(B62=0,0,B62/B$13)</f>
        <v>0.83</v>
      </c>
      <c r="C63" s="907"/>
      <c r="D63" s="10">
        <f t="shared" ca="1" si="20"/>
        <v>0.95</v>
      </c>
      <c r="E63" s="10"/>
      <c r="F63" s="10">
        <f t="shared" ca="1" si="20"/>
        <v>0.95</v>
      </c>
      <c r="G63" s="10"/>
      <c r="H63" s="10">
        <f t="shared" ca="1" si="20"/>
        <v>0.24</v>
      </c>
      <c r="I63" s="10"/>
      <c r="J63" s="10" t="e">
        <f t="shared" si="20"/>
        <v>#REF!</v>
      </c>
      <c r="K63" s="10"/>
      <c r="L63" s="10" t="e">
        <f t="shared" si="20"/>
        <v>#REF!</v>
      </c>
      <c r="M63" s="10"/>
      <c r="N63" s="10" t="e">
        <f t="shared" si="20"/>
        <v>#REF!</v>
      </c>
      <c r="O63" s="10"/>
      <c r="P63" s="10" t="e">
        <f t="shared" si="20"/>
        <v>#REF!</v>
      </c>
      <c r="Q63" s="10"/>
      <c r="R63" s="10" t="e">
        <f t="shared" si="20"/>
        <v>#REF!</v>
      </c>
      <c r="S63" s="10"/>
      <c r="T63" s="10" t="e">
        <f t="shared" si="20"/>
        <v>#REF!</v>
      </c>
      <c r="U63" s="10"/>
      <c r="V63" s="10" t="e">
        <f>IF(V62=0,0,V62/V$13)</f>
        <v>#REF!</v>
      </c>
      <c r="W63" s="10"/>
      <c r="X63" s="10" t="e">
        <f>IF(X62=0,0,X62/X$13)</f>
        <v>#REF!</v>
      </c>
      <c r="Y63" s="10"/>
      <c r="Z63" s="10" t="e">
        <f ca="1">IF(Z62=0,0,Z62/Z$13)</f>
        <v>#REF!</v>
      </c>
      <c r="AA63" s="21"/>
    </row>
    <row r="64" spans="1:35" s="1" customFormat="1" ht="6" customHeight="1">
      <c r="A64" s="6"/>
      <c r="B64" s="10"/>
      <c r="C64" s="907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21"/>
    </row>
    <row r="65" spans="1:28" s="1" customFormat="1">
      <c r="A65" s="757" t="s">
        <v>674</v>
      </c>
      <c r="B65" s="39">
        <f t="shared" ref="B65:Z65" ca="1" si="21">B7-SUM(B16:B42)-B46</f>
        <v>2317</v>
      </c>
      <c r="C65" s="907"/>
      <c r="D65" s="39">
        <f t="shared" ca="1" si="21"/>
        <v>2631</v>
      </c>
      <c r="E65" s="39"/>
      <c r="F65" s="39">
        <f t="shared" ca="1" si="21"/>
        <v>2631</v>
      </c>
      <c r="G65" s="39"/>
      <c r="H65" s="39">
        <f t="shared" ca="1" si="21"/>
        <v>872</v>
      </c>
      <c r="I65" s="39"/>
      <c r="J65" s="39" t="e">
        <f t="shared" si="21"/>
        <v>#REF!</v>
      </c>
      <c r="K65" s="39"/>
      <c r="L65" s="39" t="e">
        <f t="shared" si="21"/>
        <v>#REF!</v>
      </c>
      <c r="M65" s="39"/>
      <c r="N65" s="39" t="e">
        <f t="shared" si="21"/>
        <v>#REF!</v>
      </c>
      <c r="O65" s="39"/>
      <c r="P65" s="39" t="e">
        <f t="shared" si="21"/>
        <v>#REF!</v>
      </c>
      <c r="Q65" s="39"/>
      <c r="R65" s="39" t="e">
        <f t="shared" si="21"/>
        <v>#REF!</v>
      </c>
      <c r="S65" s="39"/>
      <c r="T65" s="39" t="e">
        <f t="shared" si="21"/>
        <v>#REF!</v>
      </c>
      <c r="U65" s="39"/>
      <c r="V65" s="39" t="e">
        <f t="shared" si="21"/>
        <v>#REF!</v>
      </c>
      <c r="W65" s="39"/>
      <c r="X65" s="39" t="e">
        <f t="shared" si="21"/>
        <v>#REF!</v>
      </c>
      <c r="Y65" s="39"/>
      <c r="Z65" s="39" t="e">
        <f t="shared" ca="1" si="21"/>
        <v>#REF!</v>
      </c>
      <c r="AA65" s="21"/>
    </row>
    <row r="66" spans="1:28" s="1" customFormat="1">
      <c r="A66" s="757" t="s">
        <v>675</v>
      </c>
      <c r="B66" s="10">
        <f t="shared" ref="B66:Z66" ca="1" si="22">IF(B65=0,0,B65/B7)</f>
        <v>0.85</v>
      </c>
      <c r="C66" s="907"/>
      <c r="D66" s="10">
        <f t="shared" ca="1" si="22"/>
        <v>0.96</v>
      </c>
      <c r="E66" s="10"/>
      <c r="F66" s="10">
        <f t="shared" ca="1" si="22"/>
        <v>0.96</v>
      </c>
      <c r="G66" s="10"/>
      <c r="H66" s="10">
        <f t="shared" ca="1" si="22"/>
        <v>0.32</v>
      </c>
      <c r="I66" s="10"/>
      <c r="J66" s="10" t="e">
        <f t="shared" si="22"/>
        <v>#REF!</v>
      </c>
      <c r="K66" s="10"/>
      <c r="L66" s="10" t="e">
        <f t="shared" si="22"/>
        <v>#REF!</v>
      </c>
      <c r="M66" s="10"/>
      <c r="N66" s="10" t="e">
        <f t="shared" si="22"/>
        <v>#REF!</v>
      </c>
      <c r="O66" s="10"/>
      <c r="P66" s="10" t="e">
        <f t="shared" si="22"/>
        <v>#REF!</v>
      </c>
      <c r="Q66" s="10"/>
      <c r="R66" s="10" t="e">
        <f t="shared" si="22"/>
        <v>#REF!</v>
      </c>
      <c r="S66" s="10"/>
      <c r="T66" s="10" t="e">
        <f t="shared" si="22"/>
        <v>#REF!</v>
      </c>
      <c r="U66" s="10"/>
      <c r="V66" s="10" t="e">
        <f t="shared" si="22"/>
        <v>#REF!</v>
      </c>
      <c r="W66" s="10"/>
      <c r="X66" s="10" t="e">
        <f t="shared" si="22"/>
        <v>#REF!</v>
      </c>
      <c r="Y66" s="10"/>
      <c r="Z66" s="10" t="e">
        <f t="shared" ca="1" si="22"/>
        <v>#REF!</v>
      </c>
      <c r="AA66" s="21"/>
    </row>
    <row r="67" spans="1:28" s="1" customFormat="1" ht="6.2" customHeight="1">
      <c r="A67" s="757"/>
      <c r="B67" s="10"/>
      <c r="C67" s="907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21"/>
    </row>
    <row r="68" spans="1:28" s="1" customFormat="1">
      <c r="A68" s="757" t="s">
        <v>676</v>
      </c>
      <c r="B68" s="39">
        <f>B8-B43-B44</f>
        <v>0</v>
      </c>
      <c r="C68" s="907"/>
      <c r="D68" s="39">
        <f>D8-D43-D45</f>
        <v>0</v>
      </c>
      <c r="E68" s="39"/>
      <c r="F68" s="39">
        <f>F8-F43-F44</f>
        <v>0</v>
      </c>
      <c r="G68" s="39"/>
      <c r="H68" s="39">
        <f>H8-H43-H44</f>
        <v>0</v>
      </c>
      <c r="I68" s="39"/>
      <c r="J68" s="39">
        <f>J8-J43-J44</f>
        <v>0</v>
      </c>
      <c r="K68" s="39"/>
      <c r="L68" s="39">
        <f>L8-L43-L44</f>
        <v>0</v>
      </c>
      <c r="M68" s="39"/>
      <c r="N68" s="39">
        <f>N8-N43-N44</f>
        <v>0</v>
      </c>
      <c r="O68" s="39"/>
      <c r="P68" s="39">
        <f>P8-P43-P44</f>
        <v>0</v>
      </c>
      <c r="Q68" s="39"/>
      <c r="R68" s="39">
        <f>R8-R43-R44</f>
        <v>0</v>
      </c>
      <c r="S68" s="39"/>
      <c r="T68" s="39">
        <f>T8-T43-T44</f>
        <v>0</v>
      </c>
      <c r="U68" s="39"/>
      <c r="V68" s="39">
        <f>V8-V43-V44</f>
        <v>0</v>
      </c>
      <c r="W68" s="39"/>
      <c r="X68" s="39">
        <f>X8-X43-X44</f>
        <v>0</v>
      </c>
      <c r="Y68" s="39"/>
      <c r="Z68" s="39">
        <f>Z8-Z43-Z44</f>
        <v>0</v>
      </c>
      <c r="AA68" s="21"/>
    </row>
    <row r="69" spans="1:28" s="1" customFormat="1">
      <c r="A69" s="757" t="s">
        <v>677</v>
      </c>
      <c r="B69" s="10">
        <f t="shared" ref="B69:Z69" si="23">IF(B68=0,0,B68/B8)</f>
        <v>0</v>
      </c>
      <c r="C69" s="907"/>
      <c r="D69" s="10">
        <f t="shared" si="23"/>
        <v>0</v>
      </c>
      <c r="E69" s="10"/>
      <c r="F69" s="10">
        <f t="shared" si="23"/>
        <v>0</v>
      </c>
      <c r="G69" s="10"/>
      <c r="H69" s="10">
        <f t="shared" si="23"/>
        <v>0</v>
      </c>
      <c r="I69" s="10"/>
      <c r="J69" s="10">
        <f t="shared" si="23"/>
        <v>0</v>
      </c>
      <c r="K69" s="10"/>
      <c r="L69" s="10">
        <f t="shared" si="23"/>
        <v>0</v>
      </c>
      <c r="M69" s="10"/>
      <c r="N69" s="10">
        <f t="shared" si="23"/>
        <v>0</v>
      </c>
      <c r="O69" s="10"/>
      <c r="P69" s="10">
        <f t="shared" si="23"/>
        <v>0</v>
      </c>
      <c r="Q69" s="10"/>
      <c r="R69" s="10">
        <f t="shared" si="23"/>
        <v>0</v>
      </c>
      <c r="S69" s="10"/>
      <c r="T69" s="10">
        <f t="shared" si="23"/>
        <v>0</v>
      </c>
      <c r="U69" s="10"/>
      <c r="V69" s="10">
        <f t="shared" si="23"/>
        <v>0</v>
      </c>
      <c r="W69" s="10"/>
      <c r="X69" s="10">
        <f t="shared" si="23"/>
        <v>0</v>
      </c>
      <c r="Y69" s="10"/>
      <c r="Z69" s="10">
        <f t="shared" si="23"/>
        <v>0</v>
      </c>
      <c r="AA69" s="21"/>
    </row>
    <row r="70" spans="1:28" s="1" customFormat="1" ht="6.2" customHeight="1">
      <c r="A70" s="757"/>
      <c r="B70" s="10"/>
      <c r="C70" s="907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21"/>
    </row>
    <row r="71" spans="1:28" s="1" customFormat="1">
      <c r="A71" s="757" t="s">
        <v>678</v>
      </c>
      <c r="B71" s="39">
        <f t="shared" ref="B71:Z71" si="24">B10-B45</f>
        <v>0</v>
      </c>
      <c r="C71" s="907"/>
      <c r="D71" s="39" t="e">
        <f>D10-#REF!</f>
        <v>#REF!</v>
      </c>
      <c r="E71" s="39"/>
      <c r="F71" s="39">
        <f t="shared" si="24"/>
        <v>0</v>
      </c>
      <c r="G71" s="39"/>
      <c r="H71" s="39">
        <f t="shared" si="24"/>
        <v>0</v>
      </c>
      <c r="I71" s="39"/>
      <c r="J71" s="39">
        <f t="shared" si="24"/>
        <v>0</v>
      </c>
      <c r="K71" s="39"/>
      <c r="L71" s="39">
        <f t="shared" si="24"/>
        <v>0</v>
      </c>
      <c r="M71" s="39"/>
      <c r="N71" s="39">
        <f t="shared" si="24"/>
        <v>0</v>
      </c>
      <c r="O71" s="39"/>
      <c r="P71" s="39">
        <f t="shared" si="24"/>
        <v>0</v>
      </c>
      <c r="Q71" s="39"/>
      <c r="R71" s="39">
        <f t="shared" si="24"/>
        <v>0</v>
      </c>
      <c r="S71" s="39"/>
      <c r="T71" s="39">
        <f t="shared" si="24"/>
        <v>0</v>
      </c>
      <c r="U71" s="39"/>
      <c r="V71" s="39">
        <f t="shared" si="24"/>
        <v>0</v>
      </c>
      <c r="W71" s="39"/>
      <c r="X71" s="39">
        <f t="shared" si="24"/>
        <v>0</v>
      </c>
      <c r="Y71" s="39"/>
      <c r="Z71" s="39">
        <f t="shared" si="24"/>
        <v>0</v>
      </c>
      <c r="AA71" s="21"/>
    </row>
    <row r="72" spans="1:28" s="1" customFormat="1">
      <c r="A72" s="757" t="s">
        <v>679</v>
      </c>
      <c r="B72" s="10">
        <f t="shared" ref="B72:Z72" si="25">IF(B71=0,0,B71/B10)</f>
        <v>0</v>
      </c>
      <c r="C72" s="907"/>
      <c r="D72" s="10" t="e">
        <f t="shared" si="25"/>
        <v>#REF!</v>
      </c>
      <c r="E72" s="10"/>
      <c r="F72" s="10">
        <f t="shared" si="25"/>
        <v>0</v>
      </c>
      <c r="G72" s="10"/>
      <c r="H72" s="10">
        <f t="shared" si="25"/>
        <v>0</v>
      </c>
      <c r="I72" s="10"/>
      <c r="J72" s="10">
        <f t="shared" si="25"/>
        <v>0</v>
      </c>
      <c r="K72" s="10"/>
      <c r="L72" s="10">
        <f t="shared" si="25"/>
        <v>0</v>
      </c>
      <c r="M72" s="10"/>
      <c r="N72" s="10">
        <f t="shared" si="25"/>
        <v>0</v>
      </c>
      <c r="O72" s="10"/>
      <c r="P72" s="10">
        <f t="shared" si="25"/>
        <v>0</v>
      </c>
      <c r="Q72" s="10"/>
      <c r="R72" s="10">
        <f t="shared" si="25"/>
        <v>0</v>
      </c>
      <c r="S72" s="10"/>
      <c r="T72" s="10">
        <f t="shared" si="25"/>
        <v>0</v>
      </c>
      <c r="U72" s="10"/>
      <c r="V72" s="10">
        <f t="shared" si="25"/>
        <v>0</v>
      </c>
      <c r="W72" s="10"/>
      <c r="X72" s="10">
        <f t="shared" si="25"/>
        <v>0</v>
      </c>
      <c r="Y72" s="10"/>
      <c r="Z72" s="10">
        <f t="shared" si="25"/>
        <v>0</v>
      </c>
      <c r="AA72" s="21"/>
    </row>
    <row r="73" spans="1:28" s="1" customFormat="1" ht="6.2" customHeight="1">
      <c r="A73" s="757"/>
      <c r="B73" s="10"/>
      <c r="C73" s="907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21"/>
    </row>
    <row r="74" spans="1:28">
      <c r="C74" s="907"/>
    </row>
    <row r="75" spans="1:28">
      <c r="A75" t="s">
        <v>541</v>
      </c>
      <c r="B75" s="47">
        <f t="shared" ref="B75:Z75" ca="1" si="26">B55+B46+B45</f>
        <v>1203</v>
      </c>
      <c r="C75" s="907"/>
      <c r="D75" s="47" t="e">
        <f ca="1">D55+D46+#REF!</f>
        <v>#REF!</v>
      </c>
      <c r="E75" s="47"/>
      <c r="F75" s="47">
        <f t="shared" ca="1" si="26"/>
        <v>1552</v>
      </c>
      <c r="G75" s="47"/>
      <c r="H75" s="47">
        <f t="shared" ca="1" si="26"/>
        <v>-382</v>
      </c>
      <c r="I75" s="47"/>
      <c r="J75" s="47" t="e">
        <f t="shared" si="26"/>
        <v>#REF!</v>
      </c>
      <c r="K75" s="47"/>
      <c r="L75" s="47" t="e">
        <f t="shared" si="26"/>
        <v>#REF!</v>
      </c>
      <c r="M75" s="47"/>
      <c r="N75" s="47" t="e">
        <f t="shared" si="26"/>
        <v>#REF!</v>
      </c>
      <c r="O75" s="47"/>
      <c r="P75" s="47" t="e">
        <f t="shared" si="26"/>
        <v>#REF!</v>
      </c>
      <c r="Q75" s="47"/>
      <c r="R75" s="47" t="e">
        <f t="shared" si="26"/>
        <v>#REF!</v>
      </c>
      <c r="S75" s="47"/>
      <c r="T75" s="47" t="e">
        <f t="shared" si="26"/>
        <v>#REF!</v>
      </c>
      <c r="U75" s="47"/>
      <c r="V75" s="47" t="e">
        <f t="shared" si="26"/>
        <v>#REF!</v>
      </c>
      <c r="W75" s="47"/>
      <c r="X75" s="47" t="e">
        <f t="shared" si="26"/>
        <v>#REF!</v>
      </c>
      <c r="Y75" s="47"/>
      <c r="Z75" s="47" t="e">
        <f t="shared" ca="1" si="26"/>
        <v>#REF!</v>
      </c>
    </row>
    <row r="76" spans="1:28">
      <c r="C76" s="907"/>
      <c r="Z76" s="15"/>
      <c r="AB76" s="12"/>
    </row>
    <row r="77" spans="1:28">
      <c r="C77" s="907"/>
      <c r="AB77" s="12"/>
    </row>
    <row r="78" spans="1:28">
      <c r="C78" s="907"/>
      <c r="AB78" s="12"/>
    </row>
    <row r="79" spans="1:28">
      <c r="A79" s="1"/>
      <c r="C79" s="907"/>
      <c r="AB79" s="12"/>
    </row>
    <row r="80" spans="1:28">
      <c r="A80" s="1"/>
      <c r="B80" s="21"/>
      <c r="C80" s="907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1"/>
      <c r="W80" s="1"/>
      <c r="X80" s="21"/>
      <c r="Y80" s="21"/>
      <c r="AB80" s="12"/>
    </row>
    <row r="81" spans="1:28">
      <c r="A81" s="1"/>
      <c r="B81" s="21"/>
      <c r="C81" s="907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1"/>
      <c r="W81" s="1"/>
      <c r="X81" s="21"/>
      <c r="Y81" s="21"/>
      <c r="AA81" s="494"/>
      <c r="AB81" s="12"/>
    </row>
    <row r="82" spans="1:28">
      <c r="A82" s="1"/>
      <c r="B82" s="21"/>
      <c r="C82" s="907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1"/>
      <c r="W82" s="1"/>
      <c r="X82" s="21"/>
      <c r="Y82" s="21"/>
      <c r="AB82" s="12"/>
    </row>
    <row r="83" spans="1:28">
      <c r="A83" s="1"/>
      <c r="B83" s="21"/>
      <c r="C83" s="907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1"/>
      <c r="W83" s="1"/>
      <c r="X83" s="21"/>
      <c r="Y83" s="21"/>
      <c r="AB83" s="12"/>
    </row>
    <row r="84" spans="1:28">
      <c r="A84" s="1"/>
      <c r="C84" s="907"/>
      <c r="V84" s="1"/>
      <c r="W84" s="1"/>
      <c r="AB84" s="12"/>
    </row>
    <row r="85" spans="1:28">
      <c r="A85" s="1"/>
      <c r="C85" s="907"/>
      <c r="V85" s="1"/>
      <c r="W85" s="1"/>
      <c r="AB85" s="12"/>
    </row>
    <row r="86" spans="1:28">
      <c r="A86" s="1"/>
      <c r="C86" s="907"/>
      <c r="V86" s="1"/>
      <c r="W86" s="1"/>
      <c r="AB86" s="12"/>
    </row>
    <row r="87" spans="1:28">
      <c r="A87" s="1"/>
      <c r="C87" s="907"/>
      <c r="V87" s="1"/>
      <c r="W87" s="1"/>
      <c r="AB87" s="12"/>
    </row>
    <row r="88" spans="1:28">
      <c r="A88" s="1"/>
      <c r="B88" s="21"/>
      <c r="C88" s="907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167"/>
      <c r="Q88" s="167"/>
      <c r="R88" s="167"/>
      <c r="S88" s="167"/>
      <c r="T88" s="167"/>
      <c r="U88" s="167"/>
      <c r="V88" s="1"/>
      <c r="W88" s="1"/>
      <c r="X88" s="167"/>
      <c r="Y88" s="167"/>
      <c r="AB88" s="12"/>
    </row>
    <row r="89" spans="1:28">
      <c r="A89" s="1"/>
      <c r="B89" s="21"/>
      <c r="C89" s="907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1"/>
      <c r="W89" s="1"/>
      <c r="X89" s="21"/>
      <c r="Y89" s="21"/>
      <c r="AB89" s="12"/>
    </row>
    <row r="90" spans="1:28">
      <c r="A90" s="1"/>
      <c r="B90" s="21"/>
      <c r="C90" s="907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1"/>
      <c r="W90" s="1"/>
      <c r="X90" s="21"/>
      <c r="Y90" s="21"/>
      <c r="AB90" s="12"/>
    </row>
    <row r="91" spans="1:28">
      <c r="A91" s="1"/>
      <c r="B91" s="21"/>
      <c r="C91" s="907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1"/>
      <c r="W91" s="1"/>
      <c r="X91" s="21"/>
      <c r="Y91" s="21"/>
      <c r="AB91" s="12"/>
    </row>
    <row r="92" spans="1:28">
      <c r="A92" s="1"/>
      <c r="B92" s="21"/>
      <c r="C92" s="907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1"/>
      <c r="W92" s="1"/>
      <c r="X92" s="21"/>
      <c r="Y92" s="21"/>
      <c r="AB92" s="12"/>
    </row>
    <row r="93" spans="1:28">
      <c r="A93" s="1"/>
      <c r="B93" s="21"/>
      <c r="C93" s="907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1"/>
      <c r="W93" s="1"/>
      <c r="X93" s="21"/>
      <c r="Y93" s="21"/>
      <c r="AB93" s="12"/>
    </row>
    <row r="94" spans="1:28">
      <c r="C94" s="907"/>
      <c r="V94" s="1"/>
      <c r="W94" s="1"/>
      <c r="AB94" s="12"/>
    </row>
    <row r="95" spans="1:28">
      <c r="A95" s="1"/>
      <c r="C95" s="907"/>
      <c r="V95" s="1"/>
      <c r="W95" s="1"/>
      <c r="AB95" s="12"/>
    </row>
    <row r="96" spans="1:28">
      <c r="A96" s="1"/>
      <c r="B96" s="21"/>
      <c r="C96" s="907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1"/>
      <c r="W96" s="1"/>
      <c r="X96" s="21"/>
      <c r="Y96" s="21"/>
      <c r="AB96" s="12"/>
    </row>
    <row r="97" spans="1:28">
      <c r="A97" s="1"/>
      <c r="B97" s="21"/>
      <c r="C97" s="907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1"/>
      <c r="W97" s="1"/>
      <c r="X97" s="21"/>
      <c r="Y97" s="21"/>
      <c r="AB97" s="12"/>
    </row>
    <row r="98" spans="1:28">
      <c r="A98" s="1"/>
      <c r="B98" s="21"/>
      <c r="C98" s="907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1"/>
      <c r="W98" s="1"/>
      <c r="X98" s="21"/>
      <c r="Y98" s="21"/>
      <c r="AB98" s="12"/>
    </row>
    <row r="99" spans="1:28">
      <c r="A99" s="1"/>
      <c r="B99" s="21"/>
      <c r="C99" s="907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1"/>
      <c r="W99" s="1"/>
      <c r="X99" s="21"/>
      <c r="Y99" s="21"/>
      <c r="AB99" s="12"/>
    </row>
    <row r="100" spans="1:28">
      <c r="A100" s="1"/>
      <c r="B100" s="21"/>
      <c r="C100" s="907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1"/>
      <c r="W100" s="1"/>
      <c r="X100" s="21"/>
      <c r="Y100" s="21"/>
      <c r="AB100" s="12"/>
    </row>
    <row r="101" spans="1:28">
      <c r="A101" s="1"/>
      <c r="B101" s="21"/>
      <c r="C101" s="907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1"/>
      <c r="W101" s="1"/>
      <c r="X101" s="21"/>
      <c r="Y101" s="21"/>
      <c r="AB101" s="12"/>
    </row>
    <row r="102" spans="1:28">
      <c r="A102" s="1"/>
      <c r="B102" s="21"/>
      <c r="C102" s="907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1"/>
      <c r="W102" s="1"/>
      <c r="X102" s="21"/>
      <c r="Y102" s="21"/>
      <c r="AB102" s="12"/>
    </row>
    <row r="103" spans="1:28">
      <c r="C103" s="907"/>
      <c r="V103" s="1"/>
      <c r="W103" s="1"/>
      <c r="X103" s="8"/>
      <c r="Y103" s="8"/>
      <c r="AB103" s="12"/>
    </row>
    <row r="104" spans="1:28">
      <c r="A104" s="1"/>
      <c r="B104" s="21">
        <f>SUM(B80:B102)</f>
        <v>0</v>
      </c>
      <c r="C104" s="907"/>
      <c r="D104" s="21">
        <f>SUM(D80:D102)</f>
        <v>0</v>
      </c>
      <c r="E104" s="21"/>
      <c r="F104" s="21">
        <f>SUM(F80:F102)</f>
        <v>0</v>
      </c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1"/>
      <c r="W104" s="1"/>
      <c r="X104" s="21"/>
      <c r="Y104" s="21"/>
      <c r="AB104" s="12"/>
    </row>
    <row r="105" spans="1:28">
      <c r="C105" s="907"/>
      <c r="AB105" s="12"/>
    </row>
    <row r="106" spans="1:28">
      <c r="C106" s="907"/>
      <c r="AB106" s="12"/>
    </row>
    <row r="107" spans="1:28">
      <c r="C107" s="907"/>
      <c r="AB107" s="12"/>
    </row>
    <row r="108" spans="1:28">
      <c r="C108" s="907"/>
      <c r="AB108" s="12"/>
    </row>
    <row r="109" spans="1:28">
      <c r="C109" s="907"/>
      <c r="AB109" s="12"/>
    </row>
    <row r="110" spans="1:28">
      <c r="C110" s="907"/>
      <c r="AB110" s="12"/>
    </row>
    <row r="111" spans="1:28">
      <c r="C111" s="907"/>
      <c r="AB111" s="12"/>
    </row>
    <row r="112" spans="1:28">
      <c r="C112" s="907"/>
      <c r="AB112" s="12"/>
    </row>
    <row r="113" spans="3:28">
      <c r="C113" s="907"/>
      <c r="AB113" s="12"/>
    </row>
    <row r="114" spans="3:28">
      <c r="C114" s="907"/>
      <c r="AB114" s="12"/>
    </row>
    <row r="115" spans="3:28">
      <c r="C115" s="907"/>
      <c r="AB115" s="12"/>
    </row>
    <row r="116" spans="3:28">
      <c r="C116" s="907"/>
      <c r="AB116" s="12"/>
    </row>
    <row r="117" spans="3:28">
      <c r="C117" s="907"/>
      <c r="AB117" s="12"/>
    </row>
    <row r="118" spans="3:28">
      <c r="C118" s="907"/>
      <c r="AB118" s="12"/>
    </row>
    <row r="119" spans="3:28">
      <c r="C119" s="907"/>
      <c r="AB119" s="12"/>
    </row>
    <row r="120" spans="3:28">
      <c r="C120" s="907"/>
      <c r="AB120" s="12"/>
    </row>
    <row r="121" spans="3:28">
      <c r="C121" s="907"/>
      <c r="AB121" s="12"/>
    </row>
    <row r="122" spans="3:28">
      <c r="C122" s="907"/>
      <c r="AB122" s="12"/>
    </row>
    <row r="123" spans="3:28">
      <c r="C123" s="907"/>
      <c r="AB123" s="12"/>
    </row>
    <row r="124" spans="3:28">
      <c r="C124" s="907"/>
      <c r="AB124" s="12"/>
    </row>
    <row r="125" spans="3:28">
      <c r="C125" s="907"/>
      <c r="AB125" s="12"/>
    </row>
    <row r="126" spans="3:28">
      <c r="C126" s="907"/>
      <c r="AB126" s="12"/>
    </row>
    <row r="127" spans="3:28">
      <c r="C127" s="907"/>
      <c r="AB127" s="12"/>
    </row>
    <row r="128" spans="3:28">
      <c r="C128" s="907"/>
      <c r="AB128" s="12"/>
    </row>
    <row r="129" spans="3:28">
      <c r="C129" s="907"/>
      <c r="AB129" s="12"/>
    </row>
    <row r="130" spans="3:28">
      <c r="C130" s="907"/>
      <c r="AB130" s="12"/>
    </row>
    <row r="131" spans="3:28">
      <c r="C131" s="907"/>
      <c r="AB131" s="12"/>
    </row>
    <row r="132" spans="3:28">
      <c r="AB132" s="12"/>
    </row>
    <row r="133" spans="3:28">
      <c r="AB133" s="12"/>
    </row>
    <row r="134" spans="3:28">
      <c r="AB134" s="12"/>
    </row>
    <row r="135" spans="3:28">
      <c r="AB135" s="12"/>
    </row>
  </sheetData>
  <phoneticPr fontId="0" type="noConversion"/>
  <pageMargins left="0.75" right="0.75" top="0.54" bottom="0.55000000000000004" header="0.5" footer="0.5"/>
  <pageSetup scale="53" orientation="landscape" r:id="rId1"/>
  <headerFooter alignWithMargins="0"/>
  <ignoredErrors>
    <ignoredError sqref="T13" formula="1"/>
  </ignoredError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5">
    <tabColor theme="8" tint="0.39997558519241921"/>
  </sheetPr>
  <dimension ref="A1:AJ121"/>
  <sheetViews>
    <sheetView workbookViewId="0"/>
  </sheetViews>
  <sheetFormatPr baseColWidth="10" defaultColWidth="11.42578125" defaultRowHeight="12.75"/>
  <cols>
    <col min="1" max="1" width="39.140625" bestFit="1" customWidth="1"/>
    <col min="2" max="2" width="10.42578125" bestFit="1" customWidth="1"/>
    <col min="3" max="3" width="8.140625" style="230" customWidth="1"/>
    <col min="4" max="4" width="13.42578125" customWidth="1"/>
    <col min="5" max="5" width="8.140625" style="230" customWidth="1"/>
    <col min="6" max="6" width="10.42578125" customWidth="1"/>
    <col min="7" max="7" width="10.42578125" style="230" customWidth="1"/>
    <col min="8" max="9" width="11.85546875" style="230" customWidth="1"/>
    <col min="10" max="10" width="12.85546875" customWidth="1"/>
    <col min="11" max="11" width="9.42578125" customWidth="1"/>
    <col min="12" max="12" width="13.140625" customWidth="1"/>
    <col min="13" max="13" width="8.42578125" customWidth="1"/>
    <col min="14" max="14" width="13.42578125" customWidth="1"/>
    <col min="15" max="15" width="7.42578125" customWidth="1"/>
    <col min="16" max="17" width="10.140625" customWidth="1"/>
    <col min="18" max="18" width="13.42578125" customWidth="1"/>
    <col min="19" max="19" width="7.42578125" customWidth="1"/>
    <col min="20" max="20" width="15.140625" customWidth="1"/>
    <col min="21" max="21" width="8.42578125" customWidth="1"/>
    <col min="22" max="22" width="13.85546875" customWidth="1"/>
    <col min="23" max="23" width="7.85546875" customWidth="1"/>
    <col min="24" max="24" width="10.140625" customWidth="1"/>
    <col min="25" max="25" width="7.85546875" customWidth="1"/>
    <col min="26" max="26" width="15.140625" customWidth="1"/>
    <col min="27" max="27" width="12.42578125" customWidth="1"/>
    <col min="28" max="28" width="13.42578125" hidden="1" customWidth="1"/>
    <col min="29" max="29" width="13.42578125" style="8" customWidth="1"/>
    <col min="30" max="30" width="8" style="240" customWidth="1"/>
    <col min="31" max="32" width="12.42578125" style="100" customWidth="1"/>
    <col min="33" max="33" width="10.42578125" customWidth="1"/>
    <col min="34" max="34" width="9.42578125" bestFit="1" customWidth="1"/>
    <col min="35" max="35" width="11.85546875" bestFit="1" customWidth="1"/>
  </cols>
  <sheetData>
    <row r="1" spans="1:36" ht="15.75">
      <c r="A1" s="11" t="str">
        <f>'SPL 25 USD'!A1</f>
        <v>2025 Performance</v>
      </c>
      <c r="C1" s="494"/>
      <c r="E1" s="494"/>
      <c r="G1" s="494"/>
      <c r="H1" s="494"/>
      <c r="I1" s="494"/>
    </row>
    <row r="2" spans="1:36" s="4" customFormat="1" ht="15.75">
      <c r="A2" s="11">
        <f>+'SPL 25 USD'!A2</f>
        <v>0</v>
      </c>
      <c r="B2"/>
      <c r="C2" s="494"/>
      <c r="D2"/>
      <c r="E2" s="494"/>
      <c r="F2"/>
      <c r="G2" s="494"/>
      <c r="H2" s="494"/>
      <c r="I2" s="494"/>
      <c r="J2"/>
      <c r="K2"/>
      <c r="L2"/>
      <c r="M2"/>
      <c r="N2"/>
      <c r="O2"/>
      <c r="P2"/>
      <c r="Q2"/>
      <c r="R2"/>
      <c r="S2"/>
      <c r="T2"/>
      <c r="U2"/>
      <c r="V2" s="20"/>
      <c r="W2" s="20"/>
      <c r="X2" s="20"/>
      <c r="Y2" s="20"/>
      <c r="Z2"/>
      <c r="AA2"/>
      <c r="AB2"/>
      <c r="AC2" s="8"/>
      <c r="AD2" s="245"/>
      <c r="AE2" s="101"/>
      <c r="AF2" s="101"/>
    </row>
    <row r="3" spans="1:36" ht="15.75">
      <c r="A3" s="18" t="s">
        <v>589</v>
      </c>
      <c r="B3" s="60">
        <f>'FX Rates'!B3</f>
        <v>1</v>
      </c>
      <c r="C3" s="235"/>
      <c r="D3" s="60">
        <f>'FX Rates'!C3</f>
        <v>1</v>
      </c>
      <c r="E3" s="235"/>
      <c r="F3" s="60">
        <f>'FX Rates'!D3</f>
        <v>1</v>
      </c>
      <c r="G3" s="235"/>
      <c r="H3" s="1062">
        <f>+(B3+D3+F3)/3</f>
        <v>1</v>
      </c>
      <c r="I3" s="1062"/>
      <c r="J3" s="60">
        <f>'FX Rates'!E3</f>
        <v>1</v>
      </c>
      <c r="K3" s="60"/>
      <c r="L3" s="60">
        <f>'FX Rates'!F3</f>
        <v>1</v>
      </c>
      <c r="M3" s="60"/>
      <c r="N3" s="60">
        <f>'FX Rates'!G3</f>
        <v>1</v>
      </c>
      <c r="O3" s="60"/>
      <c r="P3" s="1062">
        <f>+(J3+L3+N3)/3</f>
        <v>1</v>
      </c>
      <c r="Q3" s="1062"/>
      <c r="R3" s="60">
        <f>'FX Rates'!H3</f>
        <v>1</v>
      </c>
      <c r="S3" s="60"/>
      <c r="T3" s="60">
        <f>'FX Rates'!I3</f>
        <v>1</v>
      </c>
      <c r="U3" s="60"/>
      <c r="V3" s="60">
        <f>'FX Rates'!J3</f>
        <v>1</v>
      </c>
      <c r="W3" s="60"/>
      <c r="X3" s="1062">
        <f>+(R3+T3+V3)/3</f>
        <v>1</v>
      </c>
      <c r="Y3" s="1062"/>
      <c r="Z3" s="60">
        <f>'FX Rates'!K3</f>
        <v>1</v>
      </c>
      <c r="AA3" s="60">
        <f>'FX Rates'!L3</f>
        <v>1</v>
      </c>
      <c r="AB3" s="60">
        <f>'FX Rates'!M3</f>
        <v>1</v>
      </c>
      <c r="AC3" s="9"/>
    </row>
    <row r="4" spans="1:36" ht="15.75">
      <c r="A4" s="18" t="s">
        <v>2</v>
      </c>
      <c r="B4" s="21">
        <f>'SPL 25 USD'!B4</f>
        <v>2025</v>
      </c>
      <c r="C4" s="21"/>
      <c r="D4" s="21">
        <f>B4</f>
        <v>2025</v>
      </c>
      <c r="E4" s="21"/>
      <c r="F4" s="21">
        <f>D4</f>
        <v>2025</v>
      </c>
      <c r="G4" s="21"/>
      <c r="H4" s="1063" t="s">
        <v>680</v>
      </c>
      <c r="I4" s="1063"/>
      <c r="J4" s="21">
        <f>F4</f>
        <v>2025</v>
      </c>
      <c r="K4" s="21"/>
      <c r="L4" s="21">
        <f>J4</f>
        <v>2025</v>
      </c>
      <c r="M4" s="21"/>
      <c r="N4" s="21">
        <f>L4</f>
        <v>2025</v>
      </c>
      <c r="O4" s="21"/>
      <c r="P4" s="1063" t="s">
        <v>681</v>
      </c>
      <c r="Q4" s="1063"/>
      <c r="R4" s="21">
        <f>N4</f>
        <v>2025</v>
      </c>
      <c r="S4" s="21"/>
      <c r="T4" s="21">
        <f>R4</f>
        <v>2025</v>
      </c>
      <c r="U4" s="21"/>
      <c r="V4" s="21">
        <f>T4</f>
        <v>2025</v>
      </c>
      <c r="W4" s="21"/>
      <c r="X4" s="1063" t="s">
        <v>682</v>
      </c>
      <c r="Y4" s="1063"/>
      <c r="Z4" s="21">
        <f>V4</f>
        <v>2025</v>
      </c>
      <c r="AA4" s="21">
        <f>Z4</f>
        <v>2025</v>
      </c>
      <c r="AB4" s="21">
        <f>AA4</f>
        <v>2025</v>
      </c>
      <c r="AC4" s="21">
        <f>AB4</f>
        <v>2025</v>
      </c>
      <c r="AE4" s="927" t="str">
        <f>'SPL 25 USD'!AC4</f>
        <v>2024YTD</v>
      </c>
      <c r="AF4" s="927"/>
    </row>
    <row r="5" spans="1:36" ht="15.75">
      <c r="A5" s="18" t="s">
        <v>683</v>
      </c>
      <c r="B5" s="21" t="s">
        <v>3</v>
      </c>
      <c r="C5" s="21"/>
      <c r="D5" s="21" t="s">
        <v>4</v>
      </c>
      <c r="E5" s="21"/>
      <c r="F5" s="21" t="s">
        <v>5</v>
      </c>
      <c r="G5" s="21"/>
      <c r="H5" s="1063" t="s">
        <v>419</v>
      </c>
      <c r="I5" s="1063"/>
      <c r="J5" s="21" t="s">
        <v>6</v>
      </c>
      <c r="K5" s="21"/>
      <c r="L5" s="21" t="s">
        <v>7</v>
      </c>
      <c r="M5" s="21"/>
      <c r="N5" s="21" t="s">
        <v>8</v>
      </c>
      <c r="O5" s="21"/>
      <c r="P5" s="1063" t="s">
        <v>420</v>
      </c>
      <c r="Q5" s="1063"/>
      <c r="R5" s="21" t="s">
        <v>9</v>
      </c>
      <c r="S5" s="21"/>
      <c r="T5" s="21" t="s">
        <v>10</v>
      </c>
      <c r="U5" s="21"/>
      <c r="V5" s="21" t="s">
        <v>11</v>
      </c>
      <c r="W5" s="21"/>
      <c r="X5" s="1063" t="s">
        <v>421</v>
      </c>
      <c r="Y5" s="1063"/>
      <c r="Z5" s="21" t="s">
        <v>12</v>
      </c>
      <c r="AA5" s="21" t="s">
        <v>13</v>
      </c>
      <c r="AB5" s="21" t="s">
        <v>14</v>
      </c>
      <c r="AC5" s="21" t="s">
        <v>51</v>
      </c>
      <c r="AE5" s="927" t="s">
        <v>52</v>
      </c>
      <c r="AF5" s="927"/>
    </row>
    <row r="6" spans="1:36">
      <c r="A6" s="6" t="s">
        <v>376</v>
      </c>
      <c r="C6" s="494"/>
      <c r="E6" s="494"/>
      <c r="G6" s="494"/>
      <c r="H6" s="661"/>
      <c r="I6" s="661"/>
      <c r="P6" s="661"/>
      <c r="Q6" s="661"/>
      <c r="X6" s="661"/>
      <c r="Y6" s="661"/>
      <c r="AD6" s="167"/>
      <c r="AE6" s="96"/>
      <c r="AF6" s="96"/>
    </row>
    <row r="7" spans="1:36">
      <c r="A7" s="757" t="s">
        <v>590</v>
      </c>
      <c r="B7" s="122">
        <f ca="1">IF(B$3=0,DPL25Summary!B7,DPL25Summary!B7/B$3)</f>
        <v>2728</v>
      </c>
      <c r="C7" s="907">
        <f ca="1">+B7/$B$13</f>
        <v>1</v>
      </c>
      <c r="D7" s="122">
        <f ca="1">IF(D$3=0,DPL25Summary!D7,DPL25Summary!D7/D$3)</f>
        <v>2728</v>
      </c>
      <c r="E7" s="907">
        <f ca="1">+D7/$D$13</f>
        <v>1</v>
      </c>
      <c r="F7" s="122">
        <f ca="1">IF(F$3=0,DPL25Summary!F7,DPL25Summary!F7/F$3)</f>
        <v>2728</v>
      </c>
      <c r="G7" s="907">
        <f ca="1">+F7/$F$13</f>
        <v>1</v>
      </c>
      <c r="H7" s="361">
        <f ca="1">+SUM(B7+D7+F7)</f>
        <v>8184</v>
      </c>
      <c r="I7" s="363">
        <f ca="1">+H7/$H$13</f>
        <v>1</v>
      </c>
      <c r="J7" s="122">
        <f ca="1">IF(J$3=0,DPL25Summary!H7,DPL25Summary!H7/J$3)</f>
        <v>2728</v>
      </c>
      <c r="K7" s="907">
        <f ca="1">+J7/$J$13</f>
        <v>1</v>
      </c>
      <c r="L7" s="122" t="e">
        <f>IF(L$3=0,DPL25Summary!J7,DPL25Summary!J7/L$3)</f>
        <v>#REF!</v>
      </c>
      <c r="M7" s="907" t="e">
        <f>+L7/$L$13</f>
        <v>#REF!</v>
      </c>
      <c r="N7" s="122" t="e">
        <f>IF(N$3=0,DPL25Summary!L7,DPL25Summary!L7/N$3)</f>
        <v>#REF!</v>
      </c>
      <c r="O7" s="907" t="e">
        <f>+N7/$N$13</f>
        <v>#REF!</v>
      </c>
      <c r="P7" s="361" t="e">
        <f ca="1">+SUM(J7+L7+N7)</f>
        <v>#REF!</v>
      </c>
      <c r="Q7" s="363" t="e">
        <f ca="1">+P7/$P$13</f>
        <v>#REF!</v>
      </c>
      <c r="R7" s="122" t="e">
        <f>IF(R$3=0,DPL25Summary!N7,DPL25Summary!N7/R$3)</f>
        <v>#REF!</v>
      </c>
      <c r="S7" s="907" t="e">
        <f>+R7/$R$13</f>
        <v>#REF!</v>
      </c>
      <c r="T7" s="122" t="e">
        <f>IF(T$3=0,DPL25Summary!P7,DPL25Summary!P7/T$3)</f>
        <v>#REF!</v>
      </c>
      <c r="U7" s="907" t="e">
        <f>+T7/$T$13</f>
        <v>#REF!</v>
      </c>
      <c r="V7" s="122" t="e">
        <f>IF(V$3=0,DPL25Summary!R7,DPL25Summary!R7/V$3)</f>
        <v>#REF!</v>
      </c>
      <c r="W7" s="907" t="e">
        <f>+V7/$V$13</f>
        <v>#REF!</v>
      </c>
      <c r="X7" s="361" t="e">
        <f>+SUM(R7+T7+V7)</f>
        <v>#REF!</v>
      </c>
      <c r="Y7" s="363" t="e">
        <f>+X7/$X$13</f>
        <v>#REF!</v>
      </c>
      <c r="Z7" s="122" t="e">
        <f>IF(Z$3=0,DPL25Summary!T7,DPL25Summary!T7/Z$3)</f>
        <v>#REF!</v>
      </c>
      <c r="AA7" s="122" t="e">
        <f>IF(AA$3=0,DPL25Summary!V7,DPL25Summary!V7/AA$3)</f>
        <v>#REF!</v>
      </c>
      <c r="AB7" s="122" t="e">
        <f>IF(AB$3=0,DPL25Summary!X7,DPL25Summary!X7/AB$3)</f>
        <v>#REF!</v>
      </c>
      <c r="AC7" s="123" t="e">
        <f ca="1">+B7+D7+F7+J7+L7+N7+R7+T7+V7+Z7+AA7+AB7</f>
        <v>#REF!</v>
      </c>
      <c r="AD7" s="241" t="e">
        <f ca="1">+AC7/$AC$13</f>
        <v>#REF!</v>
      </c>
      <c r="AE7" s="104">
        <f>SUM('DPL24-Budget'!B7:$B7)</f>
        <v>1137014</v>
      </c>
      <c r="AF7" s="928">
        <f>+AE7/$AE$13</f>
        <v>1</v>
      </c>
      <c r="AG7" s="169" t="e">
        <f t="shared" ref="AG7:AG49" ca="1" si="0">+AC7-AE7</f>
        <v>#REF!</v>
      </c>
      <c r="AH7" s="149"/>
      <c r="AI7" s="149">
        <f>(1205352+1352048+1440979+1467601+1577997+1891004+1544190+1244352)/8</f>
        <v>1465440</v>
      </c>
      <c r="AJ7">
        <v>240</v>
      </c>
    </row>
    <row r="8" spans="1:36">
      <c r="A8" s="757" t="s">
        <v>591</v>
      </c>
      <c r="B8" s="122">
        <f>IF(B$3=0,DPL25Summary!B8,DPL25Summary!B8/B$3)</f>
        <v>0</v>
      </c>
      <c r="C8" s="902"/>
      <c r="D8" s="122">
        <f>IF(D$3=0,DPL25Summary!D8,DPL25Summary!D8/D$3)</f>
        <v>0</v>
      </c>
      <c r="E8" s="902"/>
      <c r="F8" s="122">
        <f>IF(F$3=0,DPL25Summary!F8,DPL25Summary!F8/F$3)</f>
        <v>0</v>
      </c>
      <c r="G8" s="902"/>
      <c r="H8" s="361">
        <f>+SUM(B8+D8+F8)</f>
        <v>0</v>
      </c>
      <c r="I8" s="363">
        <f ca="1">+H8/$H$13</f>
        <v>0</v>
      </c>
      <c r="J8" s="122">
        <f>IF(J$3=0,DPL25Summary!H8,DPL25Summary!H8/J$3)</f>
        <v>0</v>
      </c>
      <c r="K8" s="14"/>
      <c r="L8" s="122">
        <f>IF(L$3=0,DPL25Summary!J8,DPL25Summary!J8/L$3)</f>
        <v>0</v>
      </c>
      <c r="M8" s="14"/>
      <c r="N8" s="122">
        <f>IF(N$3=0,DPL25Summary!L8,DPL25Summary!L8/N$3)</f>
        <v>0</v>
      </c>
      <c r="O8" s="907" t="e">
        <f t="shared" ref="O8:O13" si="1">+N8/$N$13</f>
        <v>#REF!</v>
      </c>
      <c r="P8" s="361">
        <f>+SUM(J8+L8+N8)</f>
        <v>0</v>
      </c>
      <c r="Q8" s="363" t="e">
        <f ca="1">+P8/$P$13</f>
        <v>#REF!</v>
      </c>
      <c r="R8" s="122">
        <f>IF(R$3=0,DPL25Summary!N8,DPL25Summary!N8/R$3)</f>
        <v>0</v>
      </c>
      <c r="S8" s="122"/>
      <c r="T8" s="122">
        <f>IF(T$3=0,DPL25Summary!P8,DPL25Summary!P8/T$3)</f>
        <v>0</v>
      </c>
      <c r="U8" s="122"/>
      <c r="V8" s="122">
        <f>IF(V$3=0,DPL25Summary!R8,DPL25Summary!R8/V$3)</f>
        <v>0</v>
      </c>
      <c r="W8" s="14"/>
      <c r="X8" s="361">
        <f>+SUM(R8+T8+V8)</f>
        <v>0</v>
      </c>
      <c r="Y8" s="363" t="e">
        <f>+X8/$X$13</f>
        <v>#REF!</v>
      </c>
      <c r="Z8" s="122">
        <f>IF(Z$3=0,DPL25Summary!T8,DPL25Summary!T8/Z$3)</f>
        <v>0</v>
      </c>
      <c r="AA8" s="122">
        <f>IF(AA$3=0,DPL25Summary!V8,DPL25Summary!V8/AA$3)</f>
        <v>0</v>
      </c>
      <c r="AB8" s="122">
        <f>IF(AB$3=0,DPL25Summary!X8,DPL25Summary!X8/AB$3)</f>
        <v>0</v>
      </c>
      <c r="AC8" s="123">
        <f>+B8+D8+F8+J8+L8+N8+R8+T8+V8+Z8+AA8+AB8</f>
        <v>0</v>
      </c>
      <c r="AD8" s="241" t="e">
        <f ca="1">+AC8/$AC$13</f>
        <v>#REF!</v>
      </c>
      <c r="AE8" s="104">
        <f>SUM('DPL24-Budget'!B8:$B8)</f>
        <v>0</v>
      </c>
      <c r="AF8" s="104"/>
      <c r="AG8" s="169">
        <f t="shared" si="0"/>
        <v>0</v>
      </c>
      <c r="AH8" s="149"/>
    </row>
    <row r="9" spans="1:36">
      <c r="A9" s="757" t="s">
        <v>378</v>
      </c>
      <c r="B9" s="122">
        <f>IF(B$3=0,DPL25Summary!B9,DPL25Summary!B9/B$3)</f>
        <v>0</v>
      </c>
      <c r="C9" s="907">
        <f ca="1">+B9/$B$13</f>
        <v>0</v>
      </c>
      <c r="D9" s="122">
        <f>IF(D$3=0,DPL25Summary!D9,DPL25Summary!D9/D$3)</f>
        <v>0</v>
      </c>
      <c r="E9" s="902"/>
      <c r="F9" s="122">
        <f>IF(F$3=0,DPL25Summary!F9,DPL25Summary!F9/F$3)</f>
        <v>0</v>
      </c>
      <c r="G9" s="902"/>
      <c r="H9" s="361">
        <f>+SUM(B9+D9+F9)</f>
        <v>0</v>
      </c>
      <c r="I9" s="363">
        <f ca="1">+H9/$H$13</f>
        <v>0</v>
      </c>
      <c r="J9" s="122">
        <f>IF(J$3=0,DPL25Summary!H9,DPL25Summary!H9/J$3)</f>
        <v>0</v>
      </c>
      <c r="K9" s="14"/>
      <c r="L9" s="122">
        <f>IF(L$3=0,DPL25Summary!J9,DPL25Summary!J9/L$3)</f>
        <v>0</v>
      </c>
      <c r="M9" s="14"/>
      <c r="N9" s="122">
        <f>IF(N$3=0,DPL25Summary!L9,DPL25Summary!L9/N$3)</f>
        <v>0</v>
      </c>
      <c r="O9" s="907" t="e">
        <f t="shared" si="1"/>
        <v>#REF!</v>
      </c>
      <c r="P9" s="361">
        <f>+SUM(J9+L9+N9)</f>
        <v>0</v>
      </c>
      <c r="Q9" s="363" t="e">
        <f ca="1">+P9/$P$13</f>
        <v>#REF!</v>
      </c>
      <c r="R9" s="122">
        <f>IF(R$3=0,DPL25Summary!N9,DPL25Summary!N9/R$3)</f>
        <v>0</v>
      </c>
      <c r="S9" s="122"/>
      <c r="T9" s="122">
        <f>IF(T$3=0,DPL25Summary!P9,DPL25Summary!P9/T$3)</f>
        <v>0</v>
      </c>
      <c r="U9" s="122"/>
      <c r="V9" s="122">
        <f>IF(V$3=0,DPL25Summary!R9,DPL25Summary!R9/V$3)</f>
        <v>0</v>
      </c>
      <c r="W9" s="14"/>
      <c r="X9" s="361">
        <f>+SUM(R9+T9+V9)</f>
        <v>0</v>
      </c>
      <c r="Y9" s="363" t="e">
        <f>+X9/$X$13</f>
        <v>#REF!</v>
      </c>
      <c r="Z9" s="122">
        <f>IF(Z$3=0,DPL25Summary!T9,DPL25Summary!T9/Z$3)</f>
        <v>0</v>
      </c>
      <c r="AA9" s="122">
        <f>IF(AA$3=0,DPL25Summary!V9,DPL25Summary!V9/AA$3)</f>
        <v>0</v>
      </c>
      <c r="AB9" s="122">
        <f>IF(AB$3=0,DPL25Summary!X9,DPL25Summary!X9/AB$3)</f>
        <v>0</v>
      </c>
      <c r="AC9" s="123">
        <f>+B9+D9+F9+J9+L9+N9+R9+T9+V9+Z9+AA9+AB9</f>
        <v>0</v>
      </c>
      <c r="AD9" s="241" t="e">
        <f ca="1">+AC9/$AC$13</f>
        <v>#REF!</v>
      </c>
      <c r="AE9" s="104">
        <f>SUM('DPL24-Budget'!B9:$B9)</f>
        <v>0</v>
      </c>
      <c r="AF9" s="929">
        <f>+AE9/$AE$13</f>
        <v>0</v>
      </c>
      <c r="AG9" s="169">
        <f t="shared" si="0"/>
        <v>0</v>
      </c>
      <c r="AH9" s="149"/>
      <c r="AI9" s="178" t="e">
        <f ca="1">(AI7*AJ7)/AC7</f>
        <v>#REF!</v>
      </c>
    </row>
    <row r="10" spans="1:36">
      <c r="A10" s="757" t="s">
        <v>592</v>
      </c>
      <c r="B10" s="122">
        <f>IF(B$3=0,DPL25Summary!B10,DPL25Summary!B10/B$3)</f>
        <v>0</v>
      </c>
      <c r="C10" s="902"/>
      <c r="D10" s="122">
        <f>IF(D$3=0,DPL25Summary!D10,DPL25Summary!D10/D$3)</f>
        <v>0</v>
      </c>
      <c r="E10" s="902"/>
      <c r="F10" s="122">
        <f>IF(F$3=0,DPL25Summary!F10,DPL25Summary!F10/F$3)</f>
        <v>0</v>
      </c>
      <c r="G10" s="902"/>
      <c r="H10" s="361">
        <f>+SUM(B10+D10+F10)</f>
        <v>0</v>
      </c>
      <c r="I10" s="363">
        <f ca="1">+H10/$H$13</f>
        <v>0</v>
      </c>
      <c r="J10" s="122">
        <f>IF(J$3=0,DPL25Summary!H10,DPL25Summary!H10/J$3)</f>
        <v>0</v>
      </c>
      <c r="K10" s="14"/>
      <c r="L10" s="122">
        <f>IF(L$3=0,DPL25Summary!J10,DPL25Summary!J10/L$3)</f>
        <v>0</v>
      </c>
      <c r="M10" s="14"/>
      <c r="N10" s="122">
        <f>IF(N$3=0,DPL25Summary!L10,DPL25Summary!L10/N$3)</f>
        <v>0</v>
      </c>
      <c r="O10" s="907" t="e">
        <f t="shared" si="1"/>
        <v>#REF!</v>
      </c>
      <c r="P10" s="361">
        <f>+SUM(J10+L10+N10)</f>
        <v>0</v>
      </c>
      <c r="Q10" s="363" t="e">
        <f ca="1">+P10/$P$13</f>
        <v>#REF!</v>
      </c>
      <c r="R10" s="122">
        <f>IF(R$3=0,DPL25Summary!N10,DPL25Summary!N10/R$3)</f>
        <v>0</v>
      </c>
      <c r="S10" s="122"/>
      <c r="T10" s="122">
        <f>IF(T$3=0,DPL25Summary!P10,DPL25Summary!P10/T$3)</f>
        <v>0</v>
      </c>
      <c r="U10" s="122"/>
      <c r="V10" s="122">
        <f>IF(V$3=0,DPL25Summary!R10,DPL25Summary!R10/V$3)</f>
        <v>0</v>
      </c>
      <c r="W10" s="14"/>
      <c r="X10" s="361">
        <f>+SUM(R10+T10+V10)</f>
        <v>0</v>
      </c>
      <c r="Y10" s="363" t="e">
        <f>+X10/$X$13</f>
        <v>#REF!</v>
      </c>
      <c r="Z10" s="122">
        <f>IF(Z$3=0,DPL25Summary!T10,DPL25Summary!T10/Z$3)</f>
        <v>0</v>
      </c>
      <c r="AA10" s="122">
        <f>IF(AA$3=0,DPL25Summary!V10,DPL25Summary!V10/AA$3)</f>
        <v>0</v>
      </c>
      <c r="AB10" s="122">
        <f>IF(AB$3=0,DPL25Summary!X10,DPL25Summary!X10/AB$3)</f>
        <v>0</v>
      </c>
      <c r="AC10" s="123">
        <f>+B10+D10+F10+J10+L10+N10+R10+T10+V10+Z10+AA10+AB10</f>
        <v>0</v>
      </c>
      <c r="AD10" s="241" t="e">
        <f ca="1">+AC10/$AC$13</f>
        <v>#REF!</v>
      </c>
      <c r="AE10" s="104">
        <f>SUM('DPL24-Budget'!B10:$B10)</f>
        <v>0</v>
      </c>
      <c r="AF10" s="104"/>
      <c r="AG10" s="169">
        <f t="shared" si="0"/>
        <v>0</v>
      </c>
      <c r="AH10" s="149"/>
    </row>
    <row r="11" spans="1:36" s="35" customFormat="1">
      <c r="A11" s="32" t="s">
        <v>380</v>
      </c>
      <c r="B11" s="122">
        <f>IF(B$3=0,DPL25Summary!B11,DPL25Summary!B11/B$3)</f>
        <v>0</v>
      </c>
      <c r="C11" s="902"/>
      <c r="D11" s="122">
        <f>IF(D$3=0,DPL25Summary!D11,DPL25Summary!D11/D$3)</f>
        <v>0</v>
      </c>
      <c r="E11" s="902"/>
      <c r="F11" s="122">
        <f>IF(F$3=0,DPL25Summary!F11,DPL25Summary!F11/F$3)</f>
        <v>0</v>
      </c>
      <c r="G11" s="902"/>
      <c r="H11" s="361">
        <f>+SUM(B11+D11+F11)</f>
        <v>0</v>
      </c>
      <c r="I11" s="363">
        <f ca="1">+H11/$H$13</f>
        <v>0</v>
      </c>
      <c r="J11" s="122">
        <f>IF(J$3=0,DPL25Summary!H11,DPL25Summary!H11/J$3)</f>
        <v>0</v>
      </c>
      <c r="K11" s="14"/>
      <c r="L11" s="122">
        <f>IF(L$3=0,DPL25Summary!J11,DPL25Summary!J11/L$3)</f>
        <v>0</v>
      </c>
      <c r="M11" s="14"/>
      <c r="N11" s="122">
        <f>IF(N$3=0,DPL25Summary!L11,DPL25Summary!L11/N$3)</f>
        <v>0</v>
      </c>
      <c r="O11" s="907" t="e">
        <f t="shared" si="1"/>
        <v>#REF!</v>
      </c>
      <c r="P11" s="361">
        <f>+SUM(J11+L11+N11)</f>
        <v>0</v>
      </c>
      <c r="Q11" s="363" t="e">
        <f ca="1">+P11/$P$13</f>
        <v>#REF!</v>
      </c>
      <c r="R11" s="122">
        <f>IF(R$3=0,DPL25Summary!N11,DPL25Summary!N11/R$3)</f>
        <v>0</v>
      </c>
      <c r="S11" s="122"/>
      <c r="T11" s="122">
        <f>IF(T$3=0,DPL25Summary!P11,DPL25Summary!P11/T$3)</f>
        <v>0</v>
      </c>
      <c r="U11" s="122"/>
      <c r="V11" s="122">
        <f>IF(V$3=0,DPL25Summary!R11,DPL25Summary!R11/V$3)</f>
        <v>0</v>
      </c>
      <c r="W11" s="14"/>
      <c r="X11" s="361">
        <f>+SUM(R11+T11+V11)</f>
        <v>0</v>
      </c>
      <c r="Y11" s="363" t="e">
        <f>+X11/$X$13</f>
        <v>#REF!</v>
      </c>
      <c r="Z11" s="122">
        <f>IF(Z$3=0,DPL25Summary!T11,DPL25Summary!T11/Z$3)</f>
        <v>0</v>
      </c>
      <c r="AA11" s="122">
        <f>IF(AA$3=0,DPL25Summary!V11,DPL25Summary!V11/AA$3)</f>
        <v>0</v>
      </c>
      <c r="AB11" s="122">
        <f>IF(AB$3=0,DPL25Summary!X11,DPL25Summary!X11/AB$3)</f>
        <v>0</v>
      </c>
      <c r="AC11" s="123">
        <f>+B11+D11+F11+J11+L11+N11+R11+T11+V11+Z11+AA11+AB11</f>
        <v>0</v>
      </c>
      <c r="AD11" s="241" t="e">
        <f ca="1">+AC11/$AC$13</f>
        <v>#REF!</v>
      </c>
      <c r="AE11" s="104">
        <f>SUM('DPL24-Budget'!B11:$B11)</f>
        <v>0</v>
      </c>
      <c r="AF11" s="104"/>
      <c r="AG11" s="169">
        <f t="shared" si="0"/>
        <v>0</v>
      </c>
      <c r="AH11" s="153"/>
    </row>
    <row r="12" spans="1:36">
      <c r="A12" s="757" t="s">
        <v>59</v>
      </c>
      <c r="B12" s="20"/>
      <c r="C12" s="902"/>
      <c r="D12" s="20"/>
      <c r="E12" s="902"/>
      <c r="F12" s="20"/>
      <c r="G12" s="902"/>
      <c r="H12" s="949"/>
      <c r="I12" s="949"/>
      <c r="J12" s="20"/>
      <c r="K12" s="20"/>
      <c r="L12" s="20"/>
      <c r="M12" s="20"/>
      <c r="N12" s="20"/>
      <c r="O12" s="907" t="e">
        <f t="shared" si="1"/>
        <v>#REF!</v>
      </c>
      <c r="P12" s="949"/>
      <c r="Q12" s="949"/>
      <c r="R12" s="20"/>
      <c r="S12" s="20"/>
      <c r="T12" s="20"/>
      <c r="U12" s="20"/>
      <c r="V12" s="20"/>
      <c r="W12" s="20"/>
      <c r="X12" s="949"/>
      <c r="Y12" s="949"/>
      <c r="Z12" s="20"/>
      <c r="AA12" s="20"/>
      <c r="AB12" s="20"/>
      <c r="AC12" s="15"/>
      <c r="AD12" s="167"/>
      <c r="AE12" s="104">
        <f>SUM('DPL24-Budget'!B12:$B12)</f>
        <v>0</v>
      </c>
      <c r="AF12" s="104"/>
      <c r="AG12" s="169">
        <f t="shared" si="0"/>
        <v>0</v>
      </c>
      <c r="AH12" s="149"/>
    </row>
    <row r="13" spans="1:36" s="1" customFormat="1" ht="13.5" thickBot="1">
      <c r="A13" s="6" t="s">
        <v>381</v>
      </c>
      <c r="B13" s="38">
        <f ca="1">SUM(B7:B12)</f>
        <v>2728</v>
      </c>
      <c r="C13" s="902"/>
      <c r="D13" s="38">
        <f ca="1">SUM(D7:D12)</f>
        <v>2728</v>
      </c>
      <c r="E13" s="902"/>
      <c r="F13" s="38">
        <f ca="1">SUM(F7:F12)</f>
        <v>2728</v>
      </c>
      <c r="G13" s="902"/>
      <c r="H13" s="362">
        <f ca="1">+SUM(B13+D13+F13)</f>
        <v>8184</v>
      </c>
      <c r="I13" s="362"/>
      <c r="J13" s="38">
        <f ca="1">SUM(J7:J12)</f>
        <v>2728</v>
      </c>
      <c r="K13" s="38"/>
      <c r="L13" s="38" t="e">
        <f>SUM(L7:L12)</f>
        <v>#REF!</v>
      </c>
      <c r="M13" s="38"/>
      <c r="N13" s="38" t="e">
        <f>SUM(N7:N12)</f>
        <v>#REF!</v>
      </c>
      <c r="O13" s="907" t="e">
        <f t="shared" si="1"/>
        <v>#REF!</v>
      </c>
      <c r="P13" s="362" t="e">
        <f ca="1">+SUM(J13+L13+N13)</f>
        <v>#REF!</v>
      </c>
      <c r="Q13" s="362"/>
      <c r="R13" s="38" t="e">
        <f>SUM(R7:R12)</f>
        <v>#REF!</v>
      </c>
      <c r="S13" s="907" t="e">
        <f>+R13/$R$13</f>
        <v>#REF!</v>
      </c>
      <c r="T13" s="38" t="e">
        <f>SUM(T7:T12)</f>
        <v>#REF!</v>
      </c>
      <c r="U13" s="907" t="e">
        <f>+T13/$T$13</f>
        <v>#REF!</v>
      </c>
      <c r="V13" s="38" t="e">
        <f>SUM(V7:V12)</f>
        <v>#REF!</v>
      </c>
      <c r="W13" s="907" t="e">
        <f>+V13/$V$13</f>
        <v>#REF!</v>
      </c>
      <c r="X13" s="362" t="e">
        <f>+SUM(R13+T13+V13)</f>
        <v>#REF!</v>
      </c>
      <c r="Y13" s="362"/>
      <c r="Z13" s="38" t="e">
        <f>SUM(Z7:Z12)</f>
        <v>#REF!</v>
      </c>
      <c r="AA13" s="38" t="e">
        <f>SUM(AA7:AA12)</f>
        <v>#REF!</v>
      </c>
      <c r="AB13" s="38" t="e">
        <f>SUM(AB7:AB12)</f>
        <v>#REF!</v>
      </c>
      <c r="AC13" s="16" t="e">
        <f ca="1">SUM(AC7:AC12)</f>
        <v>#REF!</v>
      </c>
      <c r="AD13" s="241" t="e">
        <f ca="1">+AC13/$AC$13</f>
        <v>#REF!</v>
      </c>
      <c r="AE13" s="107">
        <f>SUM(AE7:AE12)</f>
        <v>1137014</v>
      </c>
      <c r="AF13" s="248"/>
      <c r="AG13" s="169" t="e">
        <f t="shared" ca="1" si="0"/>
        <v>#REF!</v>
      </c>
      <c r="AH13" s="154"/>
    </row>
    <row r="14" spans="1:36" ht="13.5" thickTop="1">
      <c r="A14" s="757"/>
      <c r="B14" s="20"/>
      <c r="C14" s="902"/>
      <c r="D14" s="20"/>
      <c r="E14" s="902"/>
      <c r="F14" s="20"/>
      <c r="G14" s="902"/>
      <c r="H14" s="949"/>
      <c r="I14" s="949"/>
      <c r="J14" s="20"/>
      <c r="K14" s="20"/>
      <c r="L14" s="20"/>
      <c r="M14" s="20"/>
      <c r="N14" s="20"/>
      <c r="O14" s="20"/>
      <c r="P14" s="949"/>
      <c r="Q14" s="949"/>
      <c r="R14" s="20"/>
      <c r="S14" s="20"/>
      <c r="T14" s="20"/>
      <c r="U14" s="20"/>
      <c r="V14" s="20"/>
      <c r="W14" s="20"/>
      <c r="X14" s="949"/>
      <c r="Y14" s="949"/>
      <c r="Z14" s="20"/>
      <c r="AA14" s="20"/>
      <c r="AB14" s="20"/>
      <c r="AC14" s="15"/>
      <c r="AD14" s="167"/>
      <c r="AE14" s="104"/>
      <c r="AF14" s="104"/>
      <c r="AG14" s="169">
        <f t="shared" si="0"/>
        <v>0</v>
      </c>
      <c r="AH14" s="149"/>
    </row>
    <row r="15" spans="1:36">
      <c r="A15" s="6" t="s">
        <v>382</v>
      </c>
      <c r="B15" s="20"/>
      <c r="C15" s="902"/>
      <c r="D15" s="20"/>
      <c r="E15" s="902"/>
      <c r="F15" s="20"/>
      <c r="G15" s="909"/>
      <c r="H15" s="949"/>
      <c r="I15" s="949"/>
      <c r="J15" s="20"/>
      <c r="K15" s="20"/>
      <c r="L15" s="20"/>
      <c r="M15" s="20"/>
      <c r="N15" s="20"/>
      <c r="O15" s="20"/>
      <c r="P15" s="949"/>
      <c r="Q15" s="949"/>
      <c r="R15" s="20"/>
      <c r="S15" s="20"/>
      <c r="T15" s="20"/>
      <c r="U15" s="20"/>
      <c r="V15" s="20"/>
      <c r="W15" s="20"/>
      <c r="X15" s="949"/>
      <c r="Y15" s="949"/>
      <c r="Z15" s="20"/>
      <c r="AA15" s="20"/>
      <c r="AB15" s="20"/>
      <c r="AC15" s="15"/>
      <c r="AD15" s="167"/>
      <c r="AE15" s="104"/>
      <c r="AF15" s="104"/>
      <c r="AG15" s="169">
        <f t="shared" si="0"/>
        <v>0</v>
      </c>
      <c r="AH15" s="149"/>
    </row>
    <row r="16" spans="1:36">
      <c r="A16" s="757" t="s">
        <v>266</v>
      </c>
      <c r="B16" s="122">
        <f>IF(B$3=0,DPL25Summary!B16,DPL25Summary!B16/B$3)</f>
        <v>0</v>
      </c>
      <c r="C16" s="910">
        <f ca="1">+B16/$B$13</f>
        <v>0</v>
      </c>
      <c r="D16" s="122">
        <f>IF(D$3=0,DPL25Summary!D16,DPL25Summary!D16/D$3)</f>
        <v>0</v>
      </c>
      <c r="E16" s="909">
        <f ca="1">+D16/$D$13</f>
        <v>0</v>
      </c>
      <c r="F16" s="122">
        <f>IF(F$3=0,DPL25Summary!F16,DPL25Summary!F16/F$3)</f>
        <v>0</v>
      </c>
      <c r="G16" s="909">
        <f ca="1">+F16/$F$13</f>
        <v>0</v>
      </c>
      <c r="H16" s="361">
        <f t="shared" ref="H16:H47" si="2">+SUM(B16+D16+F16)</f>
        <v>0</v>
      </c>
      <c r="I16" s="950">
        <f ca="1">+H16/$H$13</f>
        <v>0</v>
      </c>
      <c r="J16" s="122">
        <f>IF(J$3=0,DPL25Summary!H16,DPL25Summary!H16/J$3)</f>
        <v>0</v>
      </c>
      <c r="K16" s="910">
        <f ca="1">+J16/$J$13</f>
        <v>0</v>
      </c>
      <c r="L16" s="122">
        <f>IF(L$3=0,DPL25Summary!J16,DPL25Summary!J16/L$3)</f>
        <v>0</v>
      </c>
      <c r="M16" s="907" t="e">
        <f t="shared" ref="M16:M49" si="3">+L16/$L$13</f>
        <v>#REF!</v>
      </c>
      <c r="N16" s="122">
        <f>IF(N$3=0,DPL25Summary!L16,DPL25Summary!L16/N$3)</f>
        <v>0</v>
      </c>
      <c r="O16" s="907" t="e">
        <f t="shared" ref="O16:O49" si="4">+N16/$N$13</f>
        <v>#REF!</v>
      </c>
      <c r="P16" s="361">
        <f t="shared" ref="P16:P47" si="5">+SUM(J16+L16+N16)</f>
        <v>0</v>
      </c>
      <c r="Q16" s="950" t="e">
        <f ca="1">+P16/$P$13</f>
        <v>#REF!</v>
      </c>
      <c r="R16" s="122">
        <f>IF(R$3=0,DPL25Summary!N16,DPL25Summary!N16/R$3)</f>
        <v>0</v>
      </c>
      <c r="S16" s="907" t="e">
        <f t="shared" ref="S16:S49" si="6">+R16/$R$13</f>
        <v>#REF!</v>
      </c>
      <c r="T16" s="122">
        <f>IF(T$3=0,DPL25Summary!P16,DPL25Summary!P16/T$3)</f>
        <v>0</v>
      </c>
      <c r="U16" s="907" t="e">
        <f t="shared" ref="U16:U49" si="7">+T16/$T$13</f>
        <v>#REF!</v>
      </c>
      <c r="V16" s="122">
        <f>IF(V$3=0,DPL25Summary!R16,DPL25Summary!R16/V$3)</f>
        <v>0</v>
      </c>
      <c r="W16" s="910" t="e">
        <f t="shared" ref="W16:W49" si="8">+V16/$V$13</f>
        <v>#REF!</v>
      </c>
      <c r="X16" s="361">
        <f t="shared" ref="X16:X45" si="9">+SUM(R16+T16+V16)</f>
        <v>0</v>
      </c>
      <c r="Y16" s="950" t="e">
        <f>+X16/$X$13</f>
        <v>#REF!</v>
      </c>
      <c r="Z16" s="122">
        <f>IF(Z$3=0,DPL25Summary!T16,DPL25Summary!T16/Z$3)</f>
        <v>0</v>
      </c>
      <c r="AA16" s="122">
        <f>IF(AA$3=0,DPL25Summary!V16,DPL25Summary!V16/AA$3)</f>
        <v>0</v>
      </c>
      <c r="AB16" s="122">
        <f>IF(AB$3=0,DPL25Summary!X16,DPL25Summary!X16/AB$3)</f>
        <v>0</v>
      </c>
      <c r="AC16" s="123">
        <f t="shared" ref="AC16:AC47" si="10">+B16+D16+F16+J16+L16+N16+R16+T16+V16+Z16+AA16+AB16</f>
        <v>0</v>
      </c>
      <c r="AD16" s="930" t="e">
        <f t="shared" ref="AD16:AD47" ca="1" si="11">+AC16/$AC$13</f>
        <v>#REF!</v>
      </c>
      <c r="AE16" s="104">
        <f>SUM('DPL24-Budget'!B16:$B16)</f>
        <v>162958</v>
      </c>
      <c r="AF16" s="929">
        <f t="shared" ref="AF16:AF49" si="12">+AE16/$AE$13</f>
        <v>0.14330000000000001</v>
      </c>
      <c r="AG16" s="169">
        <f t="shared" si="0"/>
        <v>-162958</v>
      </c>
      <c r="AH16" s="931">
        <f>+AE16/$AE$13</f>
        <v>0.14299999999999999</v>
      </c>
    </row>
    <row r="17" spans="1:34">
      <c r="A17" s="757" t="s">
        <v>268</v>
      </c>
      <c r="B17" s="122">
        <f>IF(B$3=0,DPL25Summary!B17,DPL25Summary!B17/B$3)</f>
        <v>0</v>
      </c>
      <c r="C17" s="910">
        <f t="shared" ref="C17:C47" ca="1" si="13">+B17/$B$13</f>
        <v>0</v>
      </c>
      <c r="D17" s="122">
        <f>IF(D$3=0,DPL25Summary!D17,DPL25Summary!D17/D$3)</f>
        <v>0</v>
      </c>
      <c r="E17" s="909">
        <f t="shared" ref="E17:E46" ca="1" si="14">+D17/$D$13</f>
        <v>0</v>
      </c>
      <c r="F17" s="122">
        <f>IF(F$3=0,DPL25Summary!F17,DPL25Summary!F17/F$3)</f>
        <v>0</v>
      </c>
      <c r="G17" s="909">
        <f t="shared" ref="G17:G46" ca="1" si="15">+F17/$F$13</f>
        <v>0</v>
      </c>
      <c r="H17" s="361">
        <f t="shared" si="2"/>
        <v>0</v>
      </c>
      <c r="I17" s="950">
        <f t="shared" ref="I17:I47" ca="1" si="16">+H17/$H$13</f>
        <v>0</v>
      </c>
      <c r="J17" s="122">
        <f>IF(J$3=0,DPL25Summary!H17,DPL25Summary!H17/J$3)</f>
        <v>0</v>
      </c>
      <c r="K17" s="910">
        <f t="shared" ref="K17:K47" ca="1" si="17">+J17/$J$13</f>
        <v>0</v>
      </c>
      <c r="L17" s="122">
        <f>IF(L$3=0,DPL25Summary!J17,DPL25Summary!J17/L$3)</f>
        <v>0</v>
      </c>
      <c r="M17" s="907" t="e">
        <f t="shared" si="3"/>
        <v>#REF!</v>
      </c>
      <c r="N17" s="122">
        <f>IF(N$3=0,DPL25Summary!L17,DPL25Summary!L17/N$3)</f>
        <v>0</v>
      </c>
      <c r="O17" s="907" t="e">
        <f t="shared" si="4"/>
        <v>#REF!</v>
      </c>
      <c r="P17" s="361">
        <f t="shared" si="5"/>
        <v>0</v>
      </c>
      <c r="Q17" s="950" t="e">
        <f t="shared" ref="Q17:Q47" ca="1" si="18">+P17/$P$13</f>
        <v>#REF!</v>
      </c>
      <c r="R17" s="122">
        <f>IF(R$3=0,DPL25Summary!N17,DPL25Summary!N17/R$3)</f>
        <v>0</v>
      </c>
      <c r="S17" s="907" t="e">
        <f t="shared" si="6"/>
        <v>#REF!</v>
      </c>
      <c r="T17" s="122">
        <f>IF(T$3=0,DPL25Summary!P17,DPL25Summary!P17/T$3)</f>
        <v>0</v>
      </c>
      <c r="U17" s="907" t="e">
        <f t="shared" si="7"/>
        <v>#REF!</v>
      </c>
      <c r="V17" s="122">
        <f>IF(V$3=0,DPL25Summary!R17,DPL25Summary!R17/V$3)</f>
        <v>0</v>
      </c>
      <c r="W17" s="910" t="e">
        <f t="shared" si="8"/>
        <v>#REF!</v>
      </c>
      <c r="X17" s="361">
        <f t="shared" si="9"/>
        <v>0</v>
      </c>
      <c r="Y17" s="950" t="e">
        <f t="shared" ref="Y17:Y47" si="19">+X17/$X$13</f>
        <v>#REF!</v>
      </c>
      <c r="Z17" s="122">
        <f>IF(Z$3=0,DPL25Summary!T17,DPL25Summary!T17/Z$3)</f>
        <v>0</v>
      </c>
      <c r="AA17" s="122">
        <f>IF(AA$3=0,DPL25Summary!V17,DPL25Summary!V17/AA$3)</f>
        <v>0</v>
      </c>
      <c r="AB17" s="122">
        <f>IF(AB$3=0,DPL25Summary!X17,DPL25Summary!X17/AB$3)</f>
        <v>0</v>
      </c>
      <c r="AC17" s="123">
        <f t="shared" si="10"/>
        <v>0</v>
      </c>
      <c r="AD17" s="930" t="e">
        <f t="shared" ca="1" si="11"/>
        <v>#REF!</v>
      </c>
      <c r="AE17" s="104">
        <f>SUM('DPL24-Budget'!B17:$B17)</f>
        <v>111689</v>
      </c>
      <c r="AF17" s="929">
        <f t="shared" si="12"/>
        <v>9.8199999999999996E-2</v>
      </c>
      <c r="AG17" s="169">
        <f t="shared" si="0"/>
        <v>-111689</v>
      </c>
      <c r="AH17" s="931">
        <f t="shared" ref="AH17:AH49" si="20">+AE17/$AE$13</f>
        <v>9.8000000000000004E-2</v>
      </c>
    </row>
    <row r="18" spans="1:34">
      <c r="A18" s="932" t="s">
        <v>383</v>
      </c>
      <c r="B18" s="122">
        <f>IF(B$3=0,DPL25Summary!B18,DPL25Summary!B18/B$3)</f>
        <v>0</v>
      </c>
      <c r="C18" s="910">
        <f t="shared" ca="1" si="13"/>
        <v>0</v>
      </c>
      <c r="D18" s="122">
        <f>IF(D$3=0,DPL25Summary!D18,DPL25Summary!D18/D$3)</f>
        <v>0</v>
      </c>
      <c r="E18" s="909">
        <f t="shared" ca="1" si="14"/>
        <v>0</v>
      </c>
      <c r="F18" s="122">
        <f>IF(F$3=0,DPL25Summary!F18,DPL25Summary!F18/F$3)</f>
        <v>0</v>
      </c>
      <c r="G18" s="909">
        <f t="shared" ca="1" si="15"/>
        <v>0</v>
      </c>
      <c r="H18" s="361">
        <f t="shared" si="2"/>
        <v>0</v>
      </c>
      <c r="I18" s="950">
        <f t="shared" ca="1" si="16"/>
        <v>0</v>
      </c>
      <c r="J18" s="122">
        <f>IF(J$3=0,DPL25Summary!H18,DPL25Summary!H18/J$3)</f>
        <v>0</v>
      </c>
      <c r="K18" s="910">
        <f t="shared" ca="1" si="17"/>
        <v>0</v>
      </c>
      <c r="L18" s="122">
        <f>IF(L$3=0,DPL25Summary!J18,DPL25Summary!J18/L$3)</f>
        <v>0</v>
      </c>
      <c r="M18" s="907" t="e">
        <f t="shared" si="3"/>
        <v>#REF!</v>
      </c>
      <c r="N18" s="122">
        <f>IF(N$3=0,DPL25Summary!L18,DPL25Summary!L18/N$3)</f>
        <v>0</v>
      </c>
      <c r="O18" s="907" t="e">
        <f t="shared" si="4"/>
        <v>#REF!</v>
      </c>
      <c r="P18" s="361">
        <f t="shared" si="5"/>
        <v>0</v>
      </c>
      <c r="Q18" s="950" t="e">
        <f t="shared" ca="1" si="18"/>
        <v>#REF!</v>
      </c>
      <c r="R18" s="122">
        <f>IF(R$3=0,DPL25Summary!N18,DPL25Summary!N18/R$3)</f>
        <v>0</v>
      </c>
      <c r="S18" s="907" t="e">
        <f t="shared" si="6"/>
        <v>#REF!</v>
      </c>
      <c r="T18" s="122">
        <f>IF(T$3=0,DPL25Summary!P18,DPL25Summary!P18/T$3)</f>
        <v>0</v>
      </c>
      <c r="U18" s="907" t="e">
        <f t="shared" si="7"/>
        <v>#REF!</v>
      </c>
      <c r="V18" s="122">
        <f>IF(V$3=0,DPL25Summary!R18,DPL25Summary!R18/V$3)</f>
        <v>0</v>
      </c>
      <c r="W18" s="910" t="e">
        <f t="shared" si="8"/>
        <v>#REF!</v>
      </c>
      <c r="X18" s="361">
        <f t="shared" si="9"/>
        <v>0</v>
      </c>
      <c r="Y18" s="950" t="e">
        <f t="shared" si="19"/>
        <v>#REF!</v>
      </c>
      <c r="Z18" s="122">
        <f>IF(Z$3=0,DPL25Summary!T18,DPL25Summary!T18/Z$3)</f>
        <v>0</v>
      </c>
      <c r="AA18" s="122">
        <f>IF(AA$3=0,DPL25Summary!V18,DPL25Summary!V18/AA$3)</f>
        <v>0</v>
      </c>
      <c r="AB18" s="122">
        <f>IF(AB$3=0,DPL25Summary!X18,DPL25Summary!X18/AB$3)</f>
        <v>0</v>
      </c>
      <c r="AC18" s="123">
        <f t="shared" si="10"/>
        <v>0</v>
      </c>
      <c r="AD18" s="930" t="e">
        <f t="shared" ca="1" si="11"/>
        <v>#REF!</v>
      </c>
      <c r="AE18" s="104">
        <f>SUM('DPL24-Budget'!B18:$B18)</f>
        <v>0</v>
      </c>
      <c r="AF18" s="929">
        <f t="shared" si="12"/>
        <v>0</v>
      </c>
      <c r="AG18" s="169">
        <f t="shared" si="0"/>
        <v>0</v>
      </c>
      <c r="AH18" s="931">
        <f t="shared" si="20"/>
        <v>0</v>
      </c>
    </row>
    <row r="19" spans="1:34">
      <c r="A19" s="757" t="s">
        <v>269</v>
      </c>
      <c r="B19" s="122">
        <f>IF(B$3=0,DPL25Summary!B19,DPL25Summary!B19/B$3)</f>
        <v>0</v>
      </c>
      <c r="C19" s="910">
        <f t="shared" ca="1" si="13"/>
        <v>0</v>
      </c>
      <c r="D19" s="122">
        <f>IF(D$3=0,DPL25Summary!D19,DPL25Summary!D19/D$3)</f>
        <v>0</v>
      </c>
      <c r="E19" s="909">
        <f t="shared" ca="1" si="14"/>
        <v>0</v>
      </c>
      <c r="F19" s="122">
        <f>IF(F$3=0,DPL25Summary!F19,DPL25Summary!F19/F$3)</f>
        <v>0</v>
      </c>
      <c r="G19" s="909">
        <f t="shared" ca="1" si="15"/>
        <v>0</v>
      </c>
      <c r="H19" s="361">
        <f t="shared" si="2"/>
        <v>0</v>
      </c>
      <c r="I19" s="950">
        <f t="shared" ca="1" si="16"/>
        <v>0</v>
      </c>
      <c r="J19" s="122">
        <f>IF(J$3=0,DPL25Summary!H19,DPL25Summary!H19/J$3)</f>
        <v>0</v>
      </c>
      <c r="K19" s="910">
        <f t="shared" ca="1" si="17"/>
        <v>0</v>
      </c>
      <c r="L19" s="122">
        <f>IF(L$3=0,DPL25Summary!J19,DPL25Summary!J19/L$3)</f>
        <v>0</v>
      </c>
      <c r="M19" s="907" t="e">
        <f t="shared" si="3"/>
        <v>#REF!</v>
      </c>
      <c r="N19" s="122">
        <f>IF(N$3=0,DPL25Summary!L19,DPL25Summary!L19/N$3)</f>
        <v>0</v>
      </c>
      <c r="O19" s="907" t="e">
        <f t="shared" si="4"/>
        <v>#REF!</v>
      </c>
      <c r="P19" s="361">
        <f t="shared" si="5"/>
        <v>0</v>
      </c>
      <c r="Q19" s="950" t="e">
        <f t="shared" ca="1" si="18"/>
        <v>#REF!</v>
      </c>
      <c r="R19" s="122">
        <f>IF(R$3=0,DPL25Summary!N19,DPL25Summary!N19/R$3)</f>
        <v>0</v>
      </c>
      <c r="S19" s="907" t="e">
        <f t="shared" si="6"/>
        <v>#REF!</v>
      </c>
      <c r="T19" s="122">
        <f>IF(T$3=0,DPL25Summary!P19,DPL25Summary!P19/T$3)</f>
        <v>0</v>
      </c>
      <c r="U19" s="907" t="e">
        <f t="shared" si="7"/>
        <v>#REF!</v>
      </c>
      <c r="V19" s="122">
        <f>IF(V$3=0,DPL25Summary!R19,DPL25Summary!R19/V$3)</f>
        <v>0</v>
      </c>
      <c r="W19" s="910" t="e">
        <f t="shared" si="8"/>
        <v>#REF!</v>
      </c>
      <c r="X19" s="361">
        <f t="shared" si="9"/>
        <v>0</v>
      </c>
      <c r="Y19" s="950" t="e">
        <f t="shared" si="19"/>
        <v>#REF!</v>
      </c>
      <c r="Z19" s="122">
        <f>IF(Z$3=0,DPL25Summary!T19,DPL25Summary!T19/Z$3)</f>
        <v>0</v>
      </c>
      <c r="AA19" s="122">
        <f>IF(AA$3=0,DPL25Summary!V19,DPL25Summary!V19/AA$3)</f>
        <v>0</v>
      </c>
      <c r="AB19" s="122">
        <f>IF(AB$3=0,DPL25Summary!X19,DPL25Summary!X19/AB$3)</f>
        <v>0</v>
      </c>
      <c r="AC19" s="123">
        <f t="shared" si="10"/>
        <v>0</v>
      </c>
      <c r="AD19" s="930" t="e">
        <f t="shared" ca="1" si="11"/>
        <v>#REF!</v>
      </c>
      <c r="AE19" s="104">
        <f>SUM('DPL24-Budget'!B19:$B19)</f>
        <v>16039</v>
      </c>
      <c r="AF19" s="929">
        <f t="shared" si="12"/>
        <v>1.41E-2</v>
      </c>
      <c r="AG19" s="169">
        <f t="shared" si="0"/>
        <v>-16039</v>
      </c>
      <c r="AH19" s="931">
        <f t="shared" si="20"/>
        <v>1.4E-2</v>
      </c>
    </row>
    <row r="20" spans="1:34">
      <c r="A20" s="757" t="s">
        <v>384</v>
      </c>
      <c r="B20" s="122">
        <f>IF(B$3=0,DPL25Summary!B20,DPL25Summary!B20/B$3)</f>
        <v>0</v>
      </c>
      <c r="C20" s="910">
        <f t="shared" ca="1" si="13"/>
        <v>0</v>
      </c>
      <c r="D20" s="122">
        <f>IF(D$3=0,DPL25Summary!D20,DPL25Summary!D20/D$3)</f>
        <v>0</v>
      </c>
      <c r="E20" s="909">
        <f t="shared" ca="1" si="14"/>
        <v>0</v>
      </c>
      <c r="F20" s="122">
        <f>IF(F$3=0,DPL25Summary!F20,DPL25Summary!F20/F$3)</f>
        <v>0</v>
      </c>
      <c r="G20" s="909">
        <f t="shared" ca="1" si="15"/>
        <v>0</v>
      </c>
      <c r="H20" s="361">
        <f t="shared" si="2"/>
        <v>0</v>
      </c>
      <c r="I20" s="950">
        <f t="shared" ca="1" si="16"/>
        <v>0</v>
      </c>
      <c r="J20" s="122">
        <f>IF(J$3=0,DPL25Summary!H20,DPL25Summary!H20/J$3)</f>
        <v>0</v>
      </c>
      <c r="K20" s="910">
        <f t="shared" ca="1" si="17"/>
        <v>0</v>
      </c>
      <c r="L20" s="122">
        <f>IF(L$3=0,DPL25Summary!J20,DPL25Summary!J20/L$3)</f>
        <v>0</v>
      </c>
      <c r="M20" s="907" t="e">
        <f t="shared" si="3"/>
        <v>#REF!</v>
      </c>
      <c r="N20" s="122">
        <f>IF(N$3=0,DPL25Summary!L20,DPL25Summary!L20/N$3)</f>
        <v>0</v>
      </c>
      <c r="O20" s="907" t="e">
        <f t="shared" si="4"/>
        <v>#REF!</v>
      </c>
      <c r="P20" s="361">
        <f t="shared" si="5"/>
        <v>0</v>
      </c>
      <c r="Q20" s="950" t="e">
        <f t="shared" ca="1" si="18"/>
        <v>#REF!</v>
      </c>
      <c r="R20" s="122">
        <f>IF(R$3=0,DPL25Summary!N20,DPL25Summary!N20/R$3)</f>
        <v>0</v>
      </c>
      <c r="S20" s="907" t="e">
        <f t="shared" si="6"/>
        <v>#REF!</v>
      </c>
      <c r="T20" s="122">
        <f>IF(T$3=0,DPL25Summary!P20,DPL25Summary!P20/T$3)</f>
        <v>0</v>
      </c>
      <c r="U20" s="907" t="e">
        <f t="shared" si="7"/>
        <v>#REF!</v>
      </c>
      <c r="V20" s="122">
        <f>IF(V$3=0,DPL25Summary!R20,DPL25Summary!R20/V$3)</f>
        <v>0</v>
      </c>
      <c r="W20" s="910" t="e">
        <f t="shared" si="8"/>
        <v>#REF!</v>
      </c>
      <c r="X20" s="361">
        <f t="shared" si="9"/>
        <v>0</v>
      </c>
      <c r="Y20" s="950" t="e">
        <f t="shared" si="19"/>
        <v>#REF!</v>
      </c>
      <c r="Z20" s="122">
        <f>IF(Z$3=0,DPL25Summary!T20,DPL25Summary!T20/Z$3)</f>
        <v>0</v>
      </c>
      <c r="AA20" s="122">
        <f>IF(AA$3=0,DPL25Summary!V20,DPL25Summary!V20/AA$3)</f>
        <v>0</v>
      </c>
      <c r="AB20" s="122">
        <f>IF(AB$3=0,DPL25Summary!X20,DPL25Summary!X20/AB$3)</f>
        <v>0</v>
      </c>
      <c r="AC20" s="123">
        <f t="shared" si="10"/>
        <v>0</v>
      </c>
      <c r="AD20" s="930" t="e">
        <f t="shared" ca="1" si="11"/>
        <v>#REF!</v>
      </c>
      <c r="AE20" s="104">
        <f>SUM('DPL24-Budget'!B20:$B20)</f>
        <v>4465</v>
      </c>
      <c r="AF20" s="929">
        <f t="shared" si="12"/>
        <v>3.8999999999999998E-3</v>
      </c>
      <c r="AG20" s="169">
        <f t="shared" si="0"/>
        <v>-4465</v>
      </c>
      <c r="AH20" s="931">
        <f t="shared" si="20"/>
        <v>4.0000000000000001E-3</v>
      </c>
    </row>
    <row r="21" spans="1:34">
      <c r="A21" s="757" t="s">
        <v>385</v>
      </c>
      <c r="B21" s="122">
        <f>IF(B$3=0,DPL25Summary!B21,DPL25Summary!B21/B$3)</f>
        <v>0</v>
      </c>
      <c r="C21" s="910">
        <f t="shared" ca="1" si="13"/>
        <v>0</v>
      </c>
      <c r="D21" s="122">
        <f>IF(D$3=0,DPL25Summary!D21,DPL25Summary!D21/D$3)</f>
        <v>0</v>
      </c>
      <c r="E21" s="909">
        <f t="shared" ca="1" si="14"/>
        <v>0</v>
      </c>
      <c r="F21" s="122">
        <f>IF(F$3=0,DPL25Summary!F21,DPL25Summary!F21/F$3)</f>
        <v>0</v>
      </c>
      <c r="G21" s="909">
        <f t="shared" ca="1" si="15"/>
        <v>0</v>
      </c>
      <c r="H21" s="361">
        <f t="shared" si="2"/>
        <v>0</v>
      </c>
      <c r="I21" s="950">
        <f t="shared" ca="1" si="16"/>
        <v>0</v>
      </c>
      <c r="J21" s="122">
        <f>IF(J$3=0,DPL25Summary!H21,DPL25Summary!H21/J$3)</f>
        <v>0</v>
      </c>
      <c r="K21" s="910">
        <f t="shared" ca="1" si="17"/>
        <v>0</v>
      </c>
      <c r="L21" s="122">
        <f>IF(L$3=0,DPL25Summary!J21,DPL25Summary!J21/L$3)</f>
        <v>0</v>
      </c>
      <c r="M21" s="907" t="e">
        <f t="shared" si="3"/>
        <v>#REF!</v>
      </c>
      <c r="N21" s="122">
        <f>IF(N$3=0,DPL25Summary!L21,DPL25Summary!L21/N$3)</f>
        <v>0</v>
      </c>
      <c r="O21" s="907" t="e">
        <f t="shared" si="4"/>
        <v>#REF!</v>
      </c>
      <c r="P21" s="361">
        <f t="shared" si="5"/>
        <v>0</v>
      </c>
      <c r="Q21" s="950" t="e">
        <f t="shared" ca="1" si="18"/>
        <v>#REF!</v>
      </c>
      <c r="R21" s="122">
        <f>IF(R$3=0,DPL25Summary!N21,DPL25Summary!N21/R$3)</f>
        <v>0</v>
      </c>
      <c r="S21" s="907" t="e">
        <f t="shared" si="6"/>
        <v>#REF!</v>
      </c>
      <c r="T21" s="122">
        <f>IF(T$3=0,DPL25Summary!P21,DPL25Summary!P21/T$3)</f>
        <v>0</v>
      </c>
      <c r="U21" s="907" t="e">
        <f t="shared" si="7"/>
        <v>#REF!</v>
      </c>
      <c r="V21" s="122">
        <f>IF(V$3=0,DPL25Summary!R21,DPL25Summary!R21/V$3)</f>
        <v>0</v>
      </c>
      <c r="W21" s="910" t="e">
        <f t="shared" si="8"/>
        <v>#REF!</v>
      </c>
      <c r="X21" s="361">
        <f t="shared" si="9"/>
        <v>0</v>
      </c>
      <c r="Y21" s="950" t="e">
        <f t="shared" si="19"/>
        <v>#REF!</v>
      </c>
      <c r="Z21" s="122">
        <f>IF(Z$3=0,DPL25Summary!T21,DPL25Summary!T21/Z$3)</f>
        <v>0</v>
      </c>
      <c r="AA21" s="122">
        <f>IF(AA$3=0,DPL25Summary!V21,DPL25Summary!V21/AA$3)</f>
        <v>0</v>
      </c>
      <c r="AB21" s="122">
        <f>IF(AB$3=0,DPL25Summary!X21,DPL25Summary!X21/AB$3)</f>
        <v>0</v>
      </c>
      <c r="AC21" s="123">
        <f t="shared" si="10"/>
        <v>0</v>
      </c>
      <c r="AD21" s="930" t="e">
        <f t="shared" ca="1" si="11"/>
        <v>#REF!</v>
      </c>
      <c r="AE21" s="104">
        <f>SUM('DPL24-Budget'!B21:$B21)</f>
        <v>5979</v>
      </c>
      <c r="AF21" s="929">
        <f t="shared" si="12"/>
        <v>5.3E-3</v>
      </c>
      <c r="AG21" s="169">
        <f t="shared" si="0"/>
        <v>-5979</v>
      </c>
      <c r="AH21" s="931">
        <f t="shared" si="20"/>
        <v>5.0000000000000001E-3</v>
      </c>
    </row>
    <row r="22" spans="1:34">
      <c r="A22" s="757" t="s">
        <v>386</v>
      </c>
      <c r="B22" s="122">
        <f>IF(B$3=0,DPL25Summary!B22,DPL25Summary!B22/B$3)</f>
        <v>0</v>
      </c>
      <c r="C22" s="910">
        <f t="shared" ca="1" si="13"/>
        <v>0</v>
      </c>
      <c r="D22" s="122">
        <f>IF(D$3=0,DPL25Summary!D22,DPL25Summary!D22/D$3)</f>
        <v>0</v>
      </c>
      <c r="E22" s="909">
        <f t="shared" ca="1" si="14"/>
        <v>0</v>
      </c>
      <c r="F22" s="122">
        <f>IF(F$3=0,DPL25Summary!F22,DPL25Summary!F22/F$3)</f>
        <v>0</v>
      </c>
      <c r="G22" s="909">
        <f t="shared" ca="1" si="15"/>
        <v>0</v>
      </c>
      <c r="H22" s="361">
        <f t="shared" si="2"/>
        <v>0</v>
      </c>
      <c r="I22" s="950">
        <f t="shared" ca="1" si="16"/>
        <v>0</v>
      </c>
      <c r="J22" s="122">
        <f>IF(J$3=0,DPL25Summary!H22,DPL25Summary!H22/J$3)</f>
        <v>0</v>
      </c>
      <c r="K22" s="910">
        <f t="shared" ca="1" si="17"/>
        <v>0</v>
      </c>
      <c r="L22" s="122">
        <f>IF(L$3=0,DPL25Summary!J22,DPL25Summary!J22/L$3)</f>
        <v>0</v>
      </c>
      <c r="M22" s="907" t="e">
        <f t="shared" si="3"/>
        <v>#REF!</v>
      </c>
      <c r="N22" s="122">
        <f>IF(N$3=0,DPL25Summary!L22,DPL25Summary!L22/N$3)</f>
        <v>0</v>
      </c>
      <c r="O22" s="907" t="e">
        <f t="shared" si="4"/>
        <v>#REF!</v>
      </c>
      <c r="P22" s="361">
        <f t="shared" si="5"/>
        <v>0</v>
      </c>
      <c r="Q22" s="950" t="e">
        <f t="shared" ca="1" si="18"/>
        <v>#REF!</v>
      </c>
      <c r="R22" s="122">
        <f>IF(R$3=0,DPL25Summary!N22,DPL25Summary!N22/R$3)</f>
        <v>0</v>
      </c>
      <c r="S22" s="907" t="e">
        <f t="shared" si="6"/>
        <v>#REF!</v>
      </c>
      <c r="T22" s="122">
        <f>IF(T$3=0,DPL25Summary!P22,DPL25Summary!P22/T$3)</f>
        <v>0</v>
      </c>
      <c r="U22" s="907" t="e">
        <f t="shared" si="7"/>
        <v>#REF!</v>
      </c>
      <c r="V22" s="122">
        <f>IF(V$3=0,DPL25Summary!R22,DPL25Summary!R22/V$3)</f>
        <v>0</v>
      </c>
      <c r="W22" s="910" t="e">
        <f t="shared" si="8"/>
        <v>#REF!</v>
      </c>
      <c r="X22" s="361">
        <f t="shared" si="9"/>
        <v>0</v>
      </c>
      <c r="Y22" s="950" t="e">
        <f t="shared" si="19"/>
        <v>#REF!</v>
      </c>
      <c r="Z22" s="122">
        <f>IF(Z$3=0,DPL25Summary!T22,DPL25Summary!T22/Z$3)</f>
        <v>0</v>
      </c>
      <c r="AA22" s="122">
        <f>IF(AA$3=0,DPL25Summary!V22,DPL25Summary!V22/AA$3)</f>
        <v>0</v>
      </c>
      <c r="AB22" s="122">
        <f>IF(AB$3=0,DPL25Summary!X22,DPL25Summary!X22/AB$3)</f>
        <v>0</v>
      </c>
      <c r="AC22" s="123">
        <f t="shared" si="10"/>
        <v>0</v>
      </c>
      <c r="AD22" s="930" t="e">
        <f t="shared" ca="1" si="11"/>
        <v>#REF!</v>
      </c>
      <c r="AE22" s="104">
        <f>SUM('DPL24-Budget'!B22:$B22)</f>
        <v>3068</v>
      </c>
      <c r="AF22" s="929">
        <f t="shared" si="12"/>
        <v>2.7000000000000001E-3</v>
      </c>
      <c r="AG22" s="169">
        <f t="shared" si="0"/>
        <v>-3068</v>
      </c>
      <c r="AH22" s="931">
        <f t="shared" si="20"/>
        <v>3.0000000000000001E-3</v>
      </c>
    </row>
    <row r="23" spans="1:34">
      <c r="A23" s="757" t="s">
        <v>387</v>
      </c>
      <c r="B23" s="122">
        <f>IF(B$3=0,DPL25Summary!B23,DPL25Summary!B23/B$3)</f>
        <v>0</v>
      </c>
      <c r="C23" s="910">
        <f t="shared" ca="1" si="13"/>
        <v>0</v>
      </c>
      <c r="D23" s="122">
        <f>IF(D$3=0,DPL25Summary!D23,DPL25Summary!D23/D$3)</f>
        <v>0</v>
      </c>
      <c r="E23" s="909">
        <f t="shared" ca="1" si="14"/>
        <v>0</v>
      </c>
      <c r="F23" s="122">
        <f>IF(F$3=0,DPL25Summary!F23,DPL25Summary!F23/F$3)</f>
        <v>0</v>
      </c>
      <c r="G23" s="909">
        <f t="shared" ca="1" si="15"/>
        <v>0</v>
      </c>
      <c r="H23" s="361">
        <f t="shared" si="2"/>
        <v>0</v>
      </c>
      <c r="I23" s="950">
        <f t="shared" ca="1" si="16"/>
        <v>0</v>
      </c>
      <c r="J23" s="122">
        <f>IF(J$3=0,DPL25Summary!H23,DPL25Summary!H23/J$3)</f>
        <v>0</v>
      </c>
      <c r="K23" s="910">
        <f t="shared" ca="1" si="17"/>
        <v>0</v>
      </c>
      <c r="L23" s="122">
        <f>IF(L$3=0,DPL25Summary!J23,DPL25Summary!J23/L$3)</f>
        <v>0</v>
      </c>
      <c r="M23" s="907" t="e">
        <f t="shared" si="3"/>
        <v>#REF!</v>
      </c>
      <c r="N23" s="122">
        <f>IF(N$3=0,DPL25Summary!L23,DPL25Summary!L23/N$3)</f>
        <v>0</v>
      </c>
      <c r="O23" s="907" t="e">
        <f t="shared" si="4"/>
        <v>#REF!</v>
      </c>
      <c r="P23" s="361">
        <f t="shared" si="5"/>
        <v>0</v>
      </c>
      <c r="Q23" s="950" t="e">
        <f t="shared" ca="1" si="18"/>
        <v>#REF!</v>
      </c>
      <c r="R23" s="122">
        <f>IF(R$3=0,DPL25Summary!N23,DPL25Summary!N23/R$3)</f>
        <v>0</v>
      </c>
      <c r="S23" s="907" t="e">
        <f t="shared" si="6"/>
        <v>#REF!</v>
      </c>
      <c r="T23" s="122">
        <f>IF(T$3=0,DPL25Summary!P23,DPL25Summary!P23/T$3)</f>
        <v>0</v>
      </c>
      <c r="U23" s="907" t="e">
        <f t="shared" si="7"/>
        <v>#REF!</v>
      </c>
      <c r="V23" s="122">
        <f>IF(V$3=0,DPL25Summary!R23,DPL25Summary!R23/V$3)</f>
        <v>0</v>
      </c>
      <c r="W23" s="910" t="e">
        <f t="shared" si="8"/>
        <v>#REF!</v>
      </c>
      <c r="X23" s="361">
        <f t="shared" si="9"/>
        <v>0</v>
      </c>
      <c r="Y23" s="950" t="e">
        <f t="shared" si="19"/>
        <v>#REF!</v>
      </c>
      <c r="Z23" s="122">
        <f>IF(Z$3=0,DPL25Summary!T23,DPL25Summary!T23/Z$3)</f>
        <v>0</v>
      </c>
      <c r="AA23" s="122">
        <f>IF(AA$3=0,DPL25Summary!V23,DPL25Summary!V23/AA$3)</f>
        <v>0</v>
      </c>
      <c r="AB23" s="122">
        <f>IF(AB$3=0,DPL25Summary!X23,DPL25Summary!X23/AB$3)</f>
        <v>0</v>
      </c>
      <c r="AC23" s="123">
        <f t="shared" si="10"/>
        <v>0</v>
      </c>
      <c r="AD23" s="930" t="e">
        <f t="shared" ca="1" si="11"/>
        <v>#REF!</v>
      </c>
      <c r="AE23" s="104">
        <f>SUM('DPL24-Budget'!B23:$B23)</f>
        <v>5086</v>
      </c>
      <c r="AF23" s="929">
        <f t="shared" si="12"/>
        <v>4.4999999999999997E-3</v>
      </c>
      <c r="AG23" s="169">
        <f t="shared" si="0"/>
        <v>-5086</v>
      </c>
      <c r="AH23" s="931">
        <f t="shared" si="20"/>
        <v>4.0000000000000001E-3</v>
      </c>
    </row>
    <row r="24" spans="1:34">
      <c r="A24" s="757" t="s">
        <v>388</v>
      </c>
      <c r="B24" s="122">
        <f>IF(B$3=0,DPL25Summary!B24,DPL25Summary!B24/B$3)</f>
        <v>0</v>
      </c>
      <c r="C24" s="910">
        <f t="shared" ca="1" si="13"/>
        <v>0</v>
      </c>
      <c r="D24" s="122">
        <f>IF(D$3=0,DPL25Summary!D24,DPL25Summary!D24/D$3)</f>
        <v>0</v>
      </c>
      <c r="E24" s="909">
        <f t="shared" ca="1" si="14"/>
        <v>0</v>
      </c>
      <c r="F24" s="122">
        <f>IF(F$3=0,DPL25Summary!F24,DPL25Summary!F24/F$3)</f>
        <v>0</v>
      </c>
      <c r="G24" s="909">
        <f t="shared" ca="1" si="15"/>
        <v>0</v>
      </c>
      <c r="H24" s="361">
        <f t="shared" si="2"/>
        <v>0</v>
      </c>
      <c r="I24" s="950">
        <f t="shared" ca="1" si="16"/>
        <v>0</v>
      </c>
      <c r="J24" s="122">
        <f>IF(J$3=0,DPL25Summary!H24,DPL25Summary!H24/J$3)</f>
        <v>0</v>
      </c>
      <c r="K24" s="910">
        <f t="shared" ca="1" si="17"/>
        <v>0</v>
      </c>
      <c r="L24" s="122">
        <f>IF(L$3=0,DPL25Summary!J24,DPL25Summary!J24/L$3)</f>
        <v>0</v>
      </c>
      <c r="M24" s="907" t="e">
        <f t="shared" si="3"/>
        <v>#REF!</v>
      </c>
      <c r="N24" s="122">
        <f>IF(N$3=0,DPL25Summary!L24,DPL25Summary!L24/N$3)</f>
        <v>0</v>
      </c>
      <c r="O24" s="907" t="e">
        <f t="shared" si="4"/>
        <v>#REF!</v>
      </c>
      <c r="P24" s="361">
        <f t="shared" si="5"/>
        <v>0</v>
      </c>
      <c r="Q24" s="950" t="e">
        <f t="shared" ca="1" si="18"/>
        <v>#REF!</v>
      </c>
      <c r="R24" s="122">
        <f>IF(R$3=0,DPL25Summary!N24,DPL25Summary!N24/R$3)</f>
        <v>0</v>
      </c>
      <c r="S24" s="907" t="e">
        <f t="shared" si="6"/>
        <v>#REF!</v>
      </c>
      <c r="T24" s="122">
        <f>IF(T$3=0,DPL25Summary!P24,DPL25Summary!P24/T$3)</f>
        <v>0</v>
      </c>
      <c r="U24" s="907" t="e">
        <f t="shared" si="7"/>
        <v>#REF!</v>
      </c>
      <c r="V24" s="122">
        <f>IF(V$3=0,DPL25Summary!R24,DPL25Summary!R24/V$3)</f>
        <v>0</v>
      </c>
      <c r="W24" s="910" t="e">
        <f t="shared" si="8"/>
        <v>#REF!</v>
      </c>
      <c r="X24" s="361">
        <f t="shared" si="9"/>
        <v>0</v>
      </c>
      <c r="Y24" s="950" t="e">
        <f t="shared" si="19"/>
        <v>#REF!</v>
      </c>
      <c r="Z24" s="122">
        <f>IF(Z$3=0,DPL25Summary!T24,DPL25Summary!T24/Z$3)</f>
        <v>0</v>
      </c>
      <c r="AA24" s="122">
        <f>IF(AA$3=0,DPL25Summary!V24,DPL25Summary!V24/AA$3)</f>
        <v>0</v>
      </c>
      <c r="AB24" s="122">
        <f>IF(AB$3=0,DPL25Summary!X24,DPL25Summary!X24/AB$3)</f>
        <v>0</v>
      </c>
      <c r="AC24" s="123">
        <f t="shared" si="10"/>
        <v>0</v>
      </c>
      <c r="AD24" s="930" t="e">
        <f t="shared" ca="1" si="11"/>
        <v>#REF!</v>
      </c>
      <c r="AE24" s="104">
        <f>SUM('DPL24-Budget'!B24:$B24)</f>
        <v>3346</v>
      </c>
      <c r="AF24" s="929">
        <f t="shared" si="12"/>
        <v>2.8999999999999998E-3</v>
      </c>
      <c r="AG24" s="169">
        <f t="shared" si="0"/>
        <v>-3346</v>
      </c>
      <c r="AH24" s="931">
        <f t="shared" si="20"/>
        <v>3.0000000000000001E-3</v>
      </c>
    </row>
    <row r="25" spans="1:34">
      <c r="A25" s="757" t="s">
        <v>389</v>
      </c>
      <c r="B25" s="122">
        <f>IF(B$3=0,DPL25Summary!B25,DPL25Summary!B25/B$3)</f>
        <v>0</v>
      </c>
      <c r="C25" s="910">
        <f t="shared" ca="1" si="13"/>
        <v>0</v>
      </c>
      <c r="D25" s="122">
        <f>IF(D$3=0,DPL25Summary!D25,DPL25Summary!D25/D$3)</f>
        <v>0</v>
      </c>
      <c r="E25" s="909">
        <f t="shared" ca="1" si="14"/>
        <v>0</v>
      </c>
      <c r="F25" s="122">
        <f>IF(F$3=0,DPL25Summary!F25,DPL25Summary!F25/F$3)</f>
        <v>0</v>
      </c>
      <c r="G25" s="909">
        <f t="shared" ca="1" si="15"/>
        <v>0</v>
      </c>
      <c r="H25" s="361">
        <f t="shared" si="2"/>
        <v>0</v>
      </c>
      <c r="I25" s="950">
        <f t="shared" ca="1" si="16"/>
        <v>0</v>
      </c>
      <c r="J25" s="122">
        <f>IF(J$3=0,DPL25Summary!H25,DPL25Summary!H25/J$3)</f>
        <v>0</v>
      </c>
      <c r="K25" s="910">
        <f t="shared" ca="1" si="17"/>
        <v>0</v>
      </c>
      <c r="L25" s="122">
        <f>IF(L$3=0,DPL25Summary!J25,DPL25Summary!J25/L$3)</f>
        <v>0</v>
      </c>
      <c r="M25" s="907" t="e">
        <f t="shared" si="3"/>
        <v>#REF!</v>
      </c>
      <c r="N25" s="122">
        <f>IF(N$3=0,DPL25Summary!L25,DPL25Summary!L25/N$3)</f>
        <v>0</v>
      </c>
      <c r="O25" s="907" t="e">
        <f t="shared" si="4"/>
        <v>#REF!</v>
      </c>
      <c r="P25" s="361">
        <f t="shared" si="5"/>
        <v>0</v>
      </c>
      <c r="Q25" s="950" t="e">
        <f t="shared" ca="1" si="18"/>
        <v>#REF!</v>
      </c>
      <c r="R25" s="122">
        <f>IF(R$3=0,DPL25Summary!N25,DPL25Summary!N25/R$3)</f>
        <v>0</v>
      </c>
      <c r="S25" s="907" t="e">
        <f t="shared" si="6"/>
        <v>#REF!</v>
      </c>
      <c r="T25" s="122">
        <f>IF(T$3=0,DPL25Summary!P25,DPL25Summary!P25/T$3)</f>
        <v>0</v>
      </c>
      <c r="U25" s="907" t="e">
        <f t="shared" si="7"/>
        <v>#REF!</v>
      </c>
      <c r="V25" s="122">
        <f>IF(V$3=0,DPL25Summary!R25,DPL25Summary!R25/V$3)</f>
        <v>0</v>
      </c>
      <c r="W25" s="910" t="e">
        <f t="shared" si="8"/>
        <v>#REF!</v>
      </c>
      <c r="X25" s="361">
        <f t="shared" si="9"/>
        <v>0</v>
      </c>
      <c r="Y25" s="950" t="e">
        <f t="shared" si="19"/>
        <v>#REF!</v>
      </c>
      <c r="Z25" s="122">
        <f>IF(Z$3=0,DPL25Summary!T25,DPL25Summary!T25/Z$3)</f>
        <v>0</v>
      </c>
      <c r="AA25" s="122">
        <f>IF(AA$3=0,DPL25Summary!V25,DPL25Summary!V25/AA$3)</f>
        <v>0</v>
      </c>
      <c r="AB25" s="122">
        <f>IF(AB$3=0,DPL25Summary!X25,DPL25Summary!X25/AB$3)</f>
        <v>0</v>
      </c>
      <c r="AC25" s="123">
        <f t="shared" si="10"/>
        <v>0</v>
      </c>
      <c r="AD25" s="930" t="e">
        <f t="shared" ca="1" si="11"/>
        <v>#REF!</v>
      </c>
      <c r="AE25" s="104">
        <f>SUM('DPL24-Budget'!B25:$B25)</f>
        <v>2331</v>
      </c>
      <c r="AF25" s="929">
        <f t="shared" si="12"/>
        <v>2.0999999999999999E-3</v>
      </c>
      <c r="AG25" s="169">
        <f t="shared" si="0"/>
        <v>-2331</v>
      </c>
      <c r="AH25" s="931">
        <f t="shared" si="20"/>
        <v>2E-3</v>
      </c>
    </row>
    <row r="26" spans="1:34" s="4" customFormat="1">
      <c r="A26" s="757" t="s">
        <v>390</v>
      </c>
      <c r="B26" s="122">
        <f>IF(B$3=0,DPL25Summary!B26,DPL25Summary!B26/B$3)</f>
        <v>30</v>
      </c>
      <c r="C26" s="910">
        <f t="shared" ca="1" si="13"/>
        <v>1.0999999999999999E-2</v>
      </c>
      <c r="D26" s="122">
        <f>IF(D$3=0,DPL25Summary!D26,DPL25Summary!D26/D$3)</f>
        <v>30</v>
      </c>
      <c r="E26" s="909">
        <f t="shared" ca="1" si="14"/>
        <v>1.0999999999999999E-2</v>
      </c>
      <c r="F26" s="122">
        <f>IF(F$3=0,DPL25Summary!F26,DPL25Summary!F26/F$3)</f>
        <v>30</v>
      </c>
      <c r="G26" s="909">
        <f t="shared" ca="1" si="15"/>
        <v>1.0999999999999999E-2</v>
      </c>
      <c r="H26" s="361">
        <f t="shared" si="2"/>
        <v>90</v>
      </c>
      <c r="I26" s="950">
        <f t="shared" ca="1" si="16"/>
        <v>1.0999999999999999E-2</v>
      </c>
      <c r="J26" s="122">
        <f>IF(J$3=0,DPL25Summary!H26,DPL25Summary!H26/J$3)</f>
        <v>12</v>
      </c>
      <c r="K26" s="910">
        <f t="shared" ca="1" si="17"/>
        <v>4.0000000000000001E-3</v>
      </c>
      <c r="L26" s="122">
        <f>IF(L$3=0,DPL25Summary!J26,DPL25Summary!J26/L$3)</f>
        <v>0</v>
      </c>
      <c r="M26" s="907" t="e">
        <f t="shared" si="3"/>
        <v>#REF!</v>
      </c>
      <c r="N26" s="122">
        <f>IF(N$3=0,DPL25Summary!L26,DPL25Summary!L26/N$3)</f>
        <v>0</v>
      </c>
      <c r="O26" s="907" t="e">
        <f t="shared" si="4"/>
        <v>#REF!</v>
      </c>
      <c r="P26" s="361">
        <f t="shared" si="5"/>
        <v>12</v>
      </c>
      <c r="Q26" s="950" t="e">
        <f t="shared" ca="1" si="18"/>
        <v>#REF!</v>
      </c>
      <c r="R26" s="122">
        <f>IF(R$3=0,DPL25Summary!N26,DPL25Summary!N26/R$3)</f>
        <v>0</v>
      </c>
      <c r="S26" s="907" t="e">
        <f t="shared" si="6"/>
        <v>#REF!</v>
      </c>
      <c r="T26" s="122">
        <f>IF(T$3=0,DPL25Summary!P26,DPL25Summary!P26/T$3)</f>
        <v>0</v>
      </c>
      <c r="U26" s="907" t="e">
        <f t="shared" si="7"/>
        <v>#REF!</v>
      </c>
      <c r="V26" s="122">
        <f>IF(V$3=0,DPL25Summary!R26,DPL25Summary!R26/V$3)</f>
        <v>0</v>
      </c>
      <c r="W26" s="910" t="e">
        <f t="shared" si="8"/>
        <v>#REF!</v>
      </c>
      <c r="X26" s="361">
        <f t="shared" si="9"/>
        <v>0</v>
      </c>
      <c r="Y26" s="950" t="e">
        <f t="shared" si="19"/>
        <v>#REF!</v>
      </c>
      <c r="Z26" s="122">
        <f>IF(Z$3=0,DPL25Summary!T26,DPL25Summary!T26/Z$3)</f>
        <v>0</v>
      </c>
      <c r="AA26" s="122">
        <f>IF(AA$3=0,DPL25Summary!V26,DPL25Summary!V26/AA$3)</f>
        <v>0</v>
      </c>
      <c r="AB26" s="122">
        <f>IF(AB$3=0,DPL25Summary!X26,DPL25Summary!X26/AB$3)</f>
        <v>0</v>
      </c>
      <c r="AC26" s="123">
        <f t="shared" si="10"/>
        <v>102</v>
      </c>
      <c r="AD26" s="241" t="e">
        <f t="shared" ca="1" si="11"/>
        <v>#REF!</v>
      </c>
      <c r="AE26" s="104">
        <f>SUM('DPL24-Budget'!B26:$B26)</f>
        <v>7313</v>
      </c>
      <c r="AF26" s="929">
        <f t="shared" si="12"/>
        <v>6.4000000000000003E-3</v>
      </c>
      <c r="AG26" s="169">
        <f t="shared" si="0"/>
        <v>-7211</v>
      </c>
      <c r="AH26" s="725">
        <f t="shared" si="20"/>
        <v>6.0000000000000001E-3</v>
      </c>
    </row>
    <row r="27" spans="1:34" s="4" customFormat="1">
      <c r="A27" s="757" t="s">
        <v>391</v>
      </c>
      <c r="B27" s="122">
        <f>IF(B$3=0,DPL25Summary!B27,DPL25Summary!B27/B$3)</f>
        <v>0</v>
      </c>
      <c r="C27" s="910">
        <f t="shared" ca="1" si="13"/>
        <v>0</v>
      </c>
      <c r="D27" s="122">
        <f>IF(D$3=0,DPL25Summary!D27,DPL25Summary!D27/D$3)</f>
        <v>0</v>
      </c>
      <c r="E27" s="909">
        <f t="shared" ca="1" si="14"/>
        <v>0</v>
      </c>
      <c r="F27" s="122">
        <f>IF(F$3=0,DPL25Summary!F27,DPL25Summary!F27/F$3)</f>
        <v>0</v>
      </c>
      <c r="G27" s="909">
        <f t="shared" ca="1" si="15"/>
        <v>0</v>
      </c>
      <c r="H27" s="361">
        <f t="shared" si="2"/>
        <v>0</v>
      </c>
      <c r="I27" s="950">
        <f t="shared" ca="1" si="16"/>
        <v>0</v>
      </c>
      <c r="J27" s="122">
        <f>IF(J$3=0,DPL25Summary!H27,DPL25Summary!H27/J$3)</f>
        <v>0</v>
      </c>
      <c r="K27" s="910">
        <f t="shared" ca="1" si="17"/>
        <v>0</v>
      </c>
      <c r="L27" s="122">
        <f>IF(L$3=0,DPL25Summary!J27,DPL25Summary!J27/L$3)</f>
        <v>0</v>
      </c>
      <c r="M27" s="907" t="e">
        <f t="shared" si="3"/>
        <v>#REF!</v>
      </c>
      <c r="N27" s="122">
        <f>IF(N$3=0,DPL25Summary!L27,DPL25Summary!L27/N$3)</f>
        <v>0</v>
      </c>
      <c r="O27" s="907" t="e">
        <f t="shared" si="4"/>
        <v>#REF!</v>
      </c>
      <c r="P27" s="361">
        <f t="shared" si="5"/>
        <v>0</v>
      </c>
      <c r="Q27" s="950" t="e">
        <f t="shared" ca="1" si="18"/>
        <v>#REF!</v>
      </c>
      <c r="R27" s="122">
        <f>IF(R$3=0,DPL25Summary!N27,DPL25Summary!N27/R$3)</f>
        <v>0</v>
      </c>
      <c r="S27" s="907" t="e">
        <f t="shared" si="6"/>
        <v>#REF!</v>
      </c>
      <c r="T27" s="122">
        <f>IF(T$3=0,DPL25Summary!P27,DPL25Summary!P27/T$3)</f>
        <v>0</v>
      </c>
      <c r="U27" s="907" t="e">
        <f t="shared" si="7"/>
        <v>#REF!</v>
      </c>
      <c r="V27" s="122">
        <f>IF(V$3=0,DPL25Summary!R27,DPL25Summary!R27/V$3)</f>
        <v>0</v>
      </c>
      <c r="W27" s="910" t="e">
        <f t="shared" si="8"/>
        <v>#REF!</v>
      </c>
      <c r="X27" s="361">
        <f t="shared" si="9"/>
        <v>0</v>
      </c>
      <c r="Y27" s="950" t="e">
        <f t="shared" si="19"/>
        <v>#REF!</v>
      </c>
      <c r="Z27" s="122">
        <f>IF(Z$3=0,DPL25Summary!T27,DPL25Summary!T27/Z$3)</f>
        <v>0</v>
      </c>
      <c r="AA27" s="122">
        <f>IF(AA$3=0,DPL25Summary!V27,DPL25Summary!V27/AA$3)</f>
        <v>0</v>
      </c>
      <c r="AB27" s="122">
        <f>IF(AB$3=0,DPL25Summary!X27,DPL25Summary!X27/AB$3)</f>
        <v>0</v>
      </c>
      <c r="AC27" s="123">
        <f t="shared" si="10"/>
        <v>0</v>
      </c>
      <c r="AD27" s="241" t="e">
        <f t="shared" ca="1" si="11"/>
        <v>#REF!</v>
      </c>
      <c r="AE27" s="104">
        <f>SUM('DPL24-Budget'!B27:$B27)</f>
        <v>0</v>
      </c>
      <c r="AF27" s="929">
        <f t="shared" si="12"/>
        <v>0</v>
      </c>
      <c r="AG27" s="169">
        <f t="shared" si="0"/>
        <v>0</v>
      </c>
      <c r="AH27" s="725">
        <f t="shared" si="20"/>
        <v>0</v>
      </c>
    </row>
    <row r="28" spans="1:34" s="4" customFormat="1">
      <c r="A28" s="933" t="s">
        <v>392</v>
      </c>
      <c r="B28" s="122">
        <f>IF(B$3=0,DPL25Summary!B28,DPL25Summary!B28/B$3)</f>
        <v>0</v>
      </c>
      <c r="C28" s="910">
        <f t="shared" ca="1" si="13"/>
        <v>0</v>
      </c>
      <c r="D28" s="122">
        <f>IF(D$3=0,DPL25Summary!D28,DPL25Summary!D28/D$3)</f>
        <v>0</v>
      </c>
      <c r="E28" s="909">
        <f t="shared" ca="1" si="14"/>
        <v>0</v>
      </c>
      <c r="F28" s="122">
        <f>IF(F$3=0,DPL25Summary!F28,DPL25Summary!F28/F$3)</f>
        <v>0</v>
      </c>
      <c r="G28" s="909">
        <f t="shared" ca="1" si="15"/>
        <v>0</v>
      </c>
      <c r="H28" s="361">
        <f t="shared" si="2"/>
        <v>0</v>
      </c>
      <c r="I28" s="950">
        <f t="shared" ca="1" si="16"/>
        <v>0</v>
      </c>
      <c r="J28" s="122">
        <f>IF(J$3=0,DPL25Summary!H28,DPL25Summary!H28/J$3)</f>
        <v>0</v>
      </c>
      <c r="K28" s="910">
        <f t="shared" ca="1" si="17"/>
        <v>0</v>
      </c>
      <c r="L28" s="122">
        <f>IF(L$3=0,DPL25Summary!J28,DPL25Summary!J28/L$3)</f>
        <v>0</v>
      </c>
      <c r="M28" s="907" t="e">
        <f t="shared" si="3"/>
        <v>#REF!</v>
      </c>
      <c r="N28" s="122">
        <f>IF(N$3=0,DPL25Summary!L28,DPL25Summary!L28/N$3)</f>
        <v>0</v>
      </c>
      <c r="O28" s="907" t="e">
        <f t="shared" si="4"/>
        <v>#REF!</v>
      </c>
      <c r="P28" s="361">
        <f t="shared" si="5"/>
        <v>0</v>
      </c>
      <c r="Q28" s="950" t="e">
        <f t="shared" ca="1" si="18"/>
        <v>#REF!</v>
      </c>
      <c r="R28" s="122">
        <f>IF(R$3=0,DPL25Summary!N28,DPL25Summary!N28/R$3)</f>
        <v>0</v>
      </c>
      <c r="S28" s="907" t="e">
        <f t="shared" si="6"/>
        <v>#REF!</v>
      </c>
      <c r="T28" s="122">
        <f>IF(T$3=0,DPL25Summary!P28,DPL25Summary!P28/T$3)</f>
        <v>0</v>
      </c>
      <c r="U28" s="907" t="e">
        <f t="shared" si="7"/>
        <v>#REF!</v>
      </c>
      <c r="V28" s="122">
        <f>IF(V$3=0,DPL25Summary!R28,DPL25Summary!R28/V$3)</f>
        <v>0</v>
      </c>
      <c r="W28" s="910" t="e">
        <f t="shared" si="8"/>
        <v>#REF!</v>
      </c>
      <c r="X28" s="361">
        <f t="shared" si="9"/>
        <v>0</v>
      </c>
      <c r="Y28" s="950" t="e">
        <f t="shared" si="19"/>
        <v>#REF!</v>
      </c>
      <c r="Z28" s="122">
        <f>IF(Z$3=0,DPL25Summary!T28,DPL25Summary!T28/Z$3)</f>
        <v>0</v>
      </c>
      <c r="AA28" s="122">
        <f>IF(AA$3=0,DPL25Summary!V28,DPL25Summary!V28/AA$3)</f>
        <v>0</v>
      </c>
      <c r="AB28" s="122">
        <f>IF(AB$3=0,DPL25Summary!X28,DPL25Summary!X28/AB$3)</f>
        <v>0</v>
      </c>
      <c r="AC28" s="123">
        <f t="shared" si="10"/>
        <v>0</v>
      </c>
      <c r="AD28" s="241" t="e">
        <f t="shared" ca="1" si="11"/>
        <v>#REF!</v>
      </c>
      <c r="AE28" s="104">
        <f>SUM('DPL24-Budget'!B28:$B28)</f>
        <v>7319</v>
      </c>
      <c r="AF28" s="929">
        <f t="shared" si="12"/>
        <v>6.4000000000000003E-3</v>
      </c>
      <c r="AG28" s="934">
        <f t="shared" si="0"/>
        <v>-7319</v>
      </c>
      <c r="AH28" s="725">
        <f t="shared" si="20"/>
        <v>6.0000000000000001E-3</v>
      </c>
    </row>
    <row r="29" spans="1:34" s="4" customFormat="1">
      <c r="A29" s="933" t="s">
        <v>501</v>
      </c>
      <c r="B29" s="122">
        <f>IF(B$3=0,DPL25Summary!B29,DPL25Summary!B29/B$3)</f>
        <v>192</v>
      </c>
      <c r="C29" s="910">
        <f t="shared" ca="1" si="13"/>
        <v>7.0000000000000007E-2</v>
      </c>
      <c r="D29" s="122">
        <f>IF(D$3=0,DPL25Summary!D29,DPL25Summary!D29/D$3)</f>
        <v>0</v>
      </c>
      <c r="E29" s="909">
        <f t="shared" ca="1" si="14"/>
        <v>0</v>
      </c>
      <c r="F29" s="122">
        <f>IF(F$3=0,DPL25Summary!F29,DPL25Summary!F29/F$3)</f>
        <v>0</v>
      </c>
      <c r="G29" s="909">
        <f t="shared" ca="1" si="15"/>
        <v>0</v>
      </c>
      <c r="H29" s="361">
        <f t="shared" si="2"/>
        <v>192</v>
      </c>
      <c r="I29" s="950">
        <f t="shared" ca="1" si="16"/>
        <v>2.35E-2</v>
      </c>
      <c r="J29" s="122">
        <f>IF(J$3=0,DPL25Summary!H29,DPL25Summary!H29/J$3)</f>
        <v>192</v>
      </c>
      <c r="K29" s="910">
        <f t="shared" ca="1" si="17"/>
        <v>7.0000000000000007E-2</v>
      </c>
      <c r="L29" s="122">
        <f>IF(L$3=0,DPL25Summary!J29,DPL25Summary!J29/L$3)</f>
        <v>0</v>
      </c>
      <c r="M29" s="907" t="e">
        <f t="shared" si="3"/>
        <v>#REF!</v>
      </c>
      <c r="N29" s="122">
        <f>IF(N$3=0,DPL25Summary!L29,DPL25Summary!L29/N$3)</f>
        <v>0</v>
      </c>
      <c r="O29" s="907" t="e">
        <f t="shared" si="4"/>
        <v>#REF!</v>
      </c>
      <c r="P29" s="361">
        <f t="shared" si="5"/>
        <v>192</v>
      </c>
      <c r="Q29" s="950" t="e">
        <f t="shared" ca="1" si="18"/>
        <v>#REF!</v>
      </c>
      <c r="R29" s="122">
        <f>IF(R$3=0,DPL25Summary!N29,DPL25Summary!N29/R$3)</f>
        <v>0</v>
      </c>
      <c r="S29" s="907" t="e">
        <f t="shared" si="6"/>
        <v>#REF!</v>
      </c>
      <c r="T29" s="122">
        <f>IF(T$3=0,DPL25Summary!P29,DPL25Summary!P29/T$3)</f>
        <v>0</v>
      </c>
      <c r="U29" s="907" t="e">
        <f t="shared" si="7"/>
        <v>#REF!</v>
      </c>
      <c r="V29" s="122">
        <f>IF(V$3=0,DPL25Summary!R29,DPL25Summary!R29/V$3)</f>
        <v>0</v>
      </c>
      <c r="W29" s="910" t="e">
        <f t="shared" si="8"/>
        <v>#REF!</v>
      </c>
      <c r="X29" s="361">
        <f t="shared" si="9"/>
        <v>0</v>
      </c>
      <c r="Y29" s="950" t="e">
        <f t="shared" si="19"/>
        <v>#REF!</v>
      </c>
      <c r="Z29" s="122">
        <f>IF(Z$3=0,DPL25Summary!T29,DPL25Summary!T29/Z$3)</f>
        <v>0</v>
      </c>
      <c r="AA29" s="122">
        <f>IF(AA$3=0,DPL25Summary!V29,DPL25Summary!V29/AA$3)</f>
        <v>0</v>
      </c>
      <c r="AB29" s="122">
        <f>IF(AB$3=0,DPL25Summary!X29,DPL25Summary!X29/AB$3)</f>
        <v>0</v>
      </c>
      <c r="AC29" s="123">
        <f t="shared" si="10"/>
        <v>384</v>
      </c>
      <c r="AD29" s="241" t="e">
        <f t="shared" ca="1" si="11"/>
        <v>#REF!</v>
      </c>
      <c r="AE29" s="104">
        <f>SUM('DPL24-Budget'!B29:$B29)</f>
        <v>45565</v>
      </c>
      <c r="AF29" s="929">
        <f t="shared" si="12"/>
        <v>4.0099999999999997E-2</v>
      </c>
      <c r="AG29" s="934">
        <f t="shared" si="0"/>
        <v>-45181</v>
      </c>
      <c r="AH29" s="725">
        <f t="shared" si="20"/>
        <v>0.04</v>
      </c>
    </row>
    <row r="30" spans="1:34" s="4" customFormat="1">
      <c r="A30" s="933" t="s">
        <v>393</v>
      </c>
      <c r="B30" s="122">
        <f>IF(B$3=0,DPL25Summary!B30,DPL25Summary!B30/B$3)</f>
        <v>0</v>
      </c>
      <c r="C30" s="910">
        <f t="shared" ca="1" si="13"/>
        <v>0</v>
      </c>
      <c r="D30" s="122">
        <f>IF(D$3=0,DPL25Summary!D30,DPL25Summary!D30/D$3)</f>
        <v>0</v>
      </c>
      <c r="E30" s="909">
        <f t="shared" ca="1" si="14"/>
        <v>0</v>
      </c>
      <c r="F30" s="122">
        <f>IF(F$3=0,DPL25Summary!F30,DPL25Summary!F30/F$3)</f>
        <v>0</v>
      </c>
      <c r="G30" s="909">
        <f t="shared" ca="1" si="15"/>
        <v>0</v>
      </c>
      <c r="H30" s="361">
        <f t="shared" si="2"/>
        <v>0</v>
      </c>
      <c r="I30" s="950">
        <f t="shared" ca="1" si="16"/>
        <v>0</v>
      </c>
      <c r="J30" s="122">
        <f>IF(J$3=0,DPL25Summary!H30,DPL25Summary!H30/J$3)</f>
        <v>0</v>
      </c>
      <c r="K30" s="910">
        <f t="shared" ca="1" si="17"/>
        <v>0</v>
      </c>
      <c r="L30" s="122">
        <f>IF(L$3=0,DPL25Summary!J30,DPL25Summary!J30/L$3)</f>
        <v>0</v>
      </c>
      <c r="M30" s="907" t="e">
        <f t="shared" si="3"/>
        <v>#REF!</v>
      </c>
      <c r="N30" s="122">
        <f>IF(N$3=0,DPL25Summary!L30,DPL25Summary!L30/N$3)</f>
        <v>0</v>
      </c>
      <c r="O30" s="907" t="e">
        <f t="shared" si="4"/>
        <v>#REF!</v>
      </c>
      <c r="P30" s="361">
        <f t="shared" si="5"/>
        <v>0</v>
      </c>
      <c r="Q30" s="950" t="e">
        <f t="shared" ca="1" si="18"/>
        <v>#REF!</v>
      </c>
      <c r="R30" s="122">
        <f>IF(R$3=0,DPL25Summary!N30,DPL25Summary!N30/R$3)</f>
        <v>0</v>
      </c>
      <c r="S30" s="907" t="e">
        <f t="shared" si="6"/>
        <v>#REF!</v>
      </c>
      <c r="T30" s="122">
        <f>IF(T$3=0,DPL25Summary!P30,DPL25Summary!P30/T$3)</f>
        <v>0</v>
      </c>
      <c r="U30" s="907" t="e">
        <f t="shared" si="7"/>
        <v>#REF!</v>
      </c>
      <c r="V30" s="122">
        <f>IF(V$3=0,DPL25Summary!R30,DPL25Summary!R30/V$3)</f>
        <v>0</v>
      </c>
      <c r="W30" s="910" t="e">
        <f t="shared" si="8"/>
        <v>#REF!</v>
      </c>
      <c r="X30" s="361">
        <f t="shared" si="9"/>
        <v>0</v>
      </c>
      <c r="Y30" s="950" t="e">
        <f t="shared" si="19"/>
        <v>#REF!</v>
      </c>
      <c r="Z30" s="122">
        <f>IF(Z$3=0,DPL25Summary!T30,DPL25Summary!T30/Z$3)</f>
        <v>0</v>
      </c>
      <c r="AA30" s="122">
        <f>IF(AA$3=0,DPL25Summary!V30,DPL25Summary!V30/AA$3)</f>
        <v>0</v>
      </c>
      <c r="AB30" s="122">
        <f>IF(AB$3=0,DPL25Summary!X30,DPL25Summary!X30/AB$3)</f>
        <v>0</v>
      </c>
      <c r="AC30" s="123">
        <f t="shared" si="10"/>
        <v>0</v>
      </c>
      <c r="AD30" s="241" t="e">
        <f t="shared" ca="1" si="11"/>
        <v>#REF!</v>
      </c>
      <c r="AE30" s="104">
        <f>SUM('DPL24-Budget'!B30:$B30)</f>
        <v>2492</v>
      </c>
      <c r="AF30" s="929">
        <f t="shared" si="12"/>
        <v>2.2000000000000001E-3</v>
      </c>
      <c r="AG30" s="934">
        <f t="shared" si="0"/>
        <v>-2492</v>
      </c>
      <c r="AH30" s="725">
        <f t="shared" si="20"/>
        <v>2E-3</v>
      </c>
    </row>
    <row r="31" spans="1:34" s="4" customFormat="1">
      <c r="A31" s="933" t="s">
        <v>394</v>
      </c>
      <c r="B31" s="122">
        <f>IF(B$3=0,DPL25Summary!B31,DPL25Summary!B31/B$3)</f>
        <v>67</v>
      </c>
      <c r="C31" s="910">
        <f t="shared" ca="1" si="13"/>
        <v>2.5000000000000001E-2</v>
      </c>
      <c r="D31" s="122">
        <f>IF(D$3=0,DPL25Summary!D31,DPL25Summary!D31/D$3)</f>
        <v>67</v>
      </c>
      <c r="E31" s="909">
        <f t="shared" ca="1" si="14"/>
        <v>2.46E-2</v>
      </c>
      <c r="F31" s="122">
        <f>IF(F$3=0,DPL25Summary!F31,DPL25Summary!F31/F$3)</f>
        <v>67</v>
      </c>
      <c r="G31" s="909">
        <f t="shared" ca="1" si="15"/>
        <v>2.46E-2</v>
      </c>
      <c r="H31" s="361">
        <f t="shared" si="2"/>
        <v>201</v>
      </c>
      <c r="I31" s="950">
        <f t="shared" ca="1" si="16"/>
        <v>2.46E-2</v>
      </c>
      <c r="J31" s="122">
        <f>IF(J$3=0,DPL25Summary!H31,DPL25Summary!H31/J$3)</f>
        <v>67</v>
      </c>
      <c r="K31" s="910">
        <f t="shared" ca="1" si="17"/>
        <v>2.5000000000000001E-2</v>
      </c>
      <c r="L31" s="122">
        <f>IF(L$3=0,DPL25Summary!J31,DPL25Summary!J31/L$3)</f>
        <v>0</v>
      </c>
      <c r="M31" s="907" t="e">
        <f t="shared" si="3"/>
        <v>#REF!</v>
      </c>
      <c r="N31" s="122">
        <f>IF(N$3=0,DPL25Summary!L31,DPL25Summary!L31/N$3)</f>
        <v>0</v>
      </c>
      <c r="O31" s="907" t="e">
        <f t="shared" si="4"/>
        <v>#REF!</v>
      </c>
      <c r="P31" s="361">
        <f t="shared" si="5"/>
        <v>67</v>
      </c>
      <c r="Q31" s="950" t="e">
        <f t="shared" ca="1" si="18"/>
        <v>#REF!</v>
      </c>
      <c r="R31" s="122">
        <f>IF(R$3=0,DPL25Summary!N31,DPL25Summary!N31/R$3)</f>
        <v>0</v>
      </c>
      <c r="S31" s="907" t="e">
        <f t="shared" si="6"/>
        <v>#REF!</v>
      </c>
      <c r="T31" s="122">
        <f>IF(T$3=0,DPL25Summary!P31,DPL25Summary!P31/T$3)</f>
        <v>0</v>
      </c>
      <c r="U31" s="907" t="e">
        <f t="shared" si="7"/>
        <v>#REF!</v>
      </c>
      <c r="V31" s="122">
        <f>IF(V$3=0,DPL25Summary!R31,DPL25Summary!R31/V$3)</f>
        <v>0</v>
      </c>
      <c r="W31" s="910" t="e">
        <f t="shared" si="8"/>
        <v>#REF!</v>
      </c>
      <c r="X31" s="361">
        <f t="shared" si="9"/>
        <v>0</v>
      </c>
      <c r="Y31" s="950" t="e">
        <f t="shared" si="19"/>
        <v>#REF!</v>
      </c>
      <c r="Z31" s="122">
        <f>IF(Z$3=0,DPL25Summary!T31,DPL25Summary!T31/Z$3)</f>
        <v>0</v>
      </c>
      <c r="AA31" s="122">
        <f>IF(AA$3=0,DPL25Summary!V31,DPL25Summary!V31/AA$3)</f>
        <v>0</v>
      </c>
      <c r="AB31" s="122">
        <f>IF(AB$3=0,DPL25Summary!X31,DPL25Summary!X31/AB$3)</f>
        <v>0</v>
      </c>
      <c r="AC31" s="123">
        <f t="shared" si="10"/>
        <v>268</v>
      </c>
      <c r="AD31" s="241" t="e">
        <f t="shared" ca="1" si="11"/>
        <v>#REF!</v>
      </c>
      <c r="AE31" s="104">
        <f>SUM('DPL24-Budget'!B31:$B31)</f>
        <v>42907</v>
      </c>
      <c r="AF31" s="929">
        <f t="shared" si="12"/>
        <v>3.7699999999999997E-2</v>
      </c>
      <c r="AG31" s="934">
        <f t="shared" si="0"/>
        <v>-42639</v>
      </c>
      <c r="AH31" s="725">
        <f t="shared" si="20"/>
        <v>3.7999999999999999E-2</v>
      </c>
    </row>
    <row r="32" spans="1:34" s="4" customFormat="1">
      <c r="A32" s="933" t="s">
        <v>307</v>
      </c>
      <c r="B32" s="122">
        <f ca="1">IF(B$3=0,DPL25Summary!B32,DPL25Summary!B32/B$3)</f>
        <v>122</v>
      </c>
      <c r="C32" s="910">
        <f t="shared" ca="1" si="13"/>
        <v>4.4999999999999998E-2</v>
      </c>
      <c r="D32" s="122">
        <f ca="1">IF(D$3=0,DPL25Summary!D32,DPL25Summary!D32/D$3)</f>
        <v>0</v>
      </c>
      <c r="E32" s="909">
        <f t="shared" ca="1" si="14"/>
        <v>0</v>
      </c>
      <c r="F32" s="122">
        <f ca="1">IF(F$3=0,DPL25Summary!F32,DPL25Summary!F32/F$3)</f>
        <v>0</v>
      </c>
      <c r="G32" s="909">
        <f t="shared" ca="1" si="15"/>
        <v>0</v>
      </c>
      <c r="H32" s="361">
        <f t="shared" ca="1" si="2"/>
        <v>122</v>
      </c>
      <c r="I32" s="950">
        <f t="shared" ca="1" si="16"/>
        <v>1.49E-2</v>
      </c>
      <c r="J32" s="122">
        <f ca="1">IF(J$3=0,DPL25Summary!H32,DPL25Summary!H32/J$3)</f>
        <v>122</v>
      </c>
      <c r="K32" s="910">
        <f t="shared" ca="1" si="17"/>
        <v>4.4999999999999998E-2</v>
      </c>
      <c r="L32" s="122">
        <f>IF(L$3=0,DPL25Summary!J32,DPL25Summary!J32/L$3)</f>
        <v>0</v>
      </c>
      <c r="M32" s="907" t="e">
        <f t="shared" si="3"/>
        <v>#REF!</v>
      </c>
      <c r="N32" s="122">
        <f>IF(N$3=0,DPL25Summary!L32,DPL25Summary!L32/N$3)</f>
        <v>0</v>
      </c>
      <c r="O32" s="907" t="e">
        <f t="shared" si="4"/>
        <v>#REF!</v>
      </c>
      <c r="P32" s="361">
        <f t="shared" ca="1" si="5"/>
        <v>122</v>
      </c>
      <c r="Q32" s="950" t="e">
        <f t="shared" ca="1" si="18"/>
        <v>#REF!</v>
      </c>
      <c r="R32" s="122">
        <f>IF(R$3=0,DPL25Summary!N32,DPL25Summary!N32/R$3)</f>
        <v>0</v>
      </c>
      <c r="S32" s="907" t="e">
        <f t="shared" si="6"/>
        <v>#REF!</v>
      </c>
      <c r="T32" s="122">
        <f>IF(T$3=0,DPL25Summary!P32,DPL25Summary!P32/T$3)</f>
        <v>0</v>
      </c>
      <c r="U32" s="907" t="e">
        <f t="shared" si="7"/>
        <v>#REF!</v>
      </c>
      <c r="V32" s="122">
        <f>IF(V$3=0,DPL25Summary!R32,DPL25Summary!R32/V$3)</f>
        <v>0</v>
      </c>
      <c r="W32" s="910" t="e">
        <f t="shared" si="8"/>
        <v>#REF!</v>
      </c>
      <c r="X32" s="361">
        <f t="shared" si="9"/>
        <v>0</v>
      </c>
      <c r="Y32" s="950" t="e">
        <f t="shared" si="19"/>
        <v>#REF!</v>
      </c>
      <c r="Z32" s="122">
        <f>IF(Z$3=0,DPL25Summary!T32,DPL25Summary!T32/Z$3)</f>
        <v>0</v>
      </c>
      <c r="AA32" s="122">
        <f>IF(AA$3=0,DPL25Summary!V32,DPL25Summary!V32/AA$3)</f>
        <v>0</v>
      </c>
      <c r="AB32" s="122">
        <f>IF(AB$3=0,DPL25Summary!X32,DPL25Summary!X32/AB$3)</f>
        <v>0</v>
      </c>
      <c r="AC32" s="123">
        <f t="shared" ca="1" si="10"/>
        <v>244</v>
      </c>
      <c r="AD32" s="241" t="e">
        <f t="shared" ca="1" si="11"/>
        <v>#REF!</v>
      </c>
      <c r="AE32" s="104">
        <f>SUM('DPL24-Budget'!B32:$B32)</f>
        <v>13259</v>
      </c>
      <c r="AF32" s="929">
        <f t="shared" si="12"/>
        <v>1.17E-2</v>
      </c>
      <c r="AG32" s="169">
        <f t="shared" ca="1" si="0"/>
        <v>-13015</v>
      </c>
      <c r="AH32" s="725">
        <f t="shared" si="20"/>
        <v>1.2E-2</v>
      </c>
    </row>
    <row r="33" spans="1:34" s="4" customFormat="1">
      <c r="A33" s="933" t="s">
        <v>395</v>
      </c>
      <c r="B33" s="122">
        <f>IF(B$3=0,DPL25Summary!B33,DPL25Summary!B33/B$3)</f>
        <v>0</v>
      </c>
      <c r="C33" s="910">
        <f t="shared" ca="1" si="13"/>
        <v>0</v>
      </c>
      <c r="D33" s="122">
        <f>IF(D$3=0,DPL25Summary!D33,DPL25Summary!D33/D$3)</f>
        <v>0</v>
      </c>
      <c r="E33" s="909">
        <f t="shared" ca="1" si="14"/>
        <v>0</v>
      </c>
      <c r="F33" s="122">
        <f>IF(F$3=0,DPL25Summary!F33,DPL25Summary!F33/F$3)</f>
        <v>0</v>
      </c>
      <c r="G33" s="909">
        <f t="shared" ca="1" si="15"/>
        <v>0</v>
      </c>
      <c r="H33" s="361">
        <f t="shared" si="2"/>
        <v>0</v>
      </c>
      <c r="I33" s="950">
        <f t="shared" ca="1" si="16"/>
        <v>0</v>
      </c>
      <c r="J33" s="122">
        <f>IF(J$3=0,DPL25Summary!H33,DPL25Summary!H33/J$3)</f>
        <v>0</v>
      </c>
      <c r="K33" s="910">
        <f t="shared" ca="1" si="17"/>
        <v>0</v>
      </c>
      <c r="L33" s="122">
        <f>IF(L$3=0,DPL25Summary!J33,DPL25Summary!J33/L$3)</f>
        <v>0</v>
      </c>
      <c r="M33" s="907" t="e">
        <f t="shared" si="3"/>
        <v>#REF!</v>
      </c>
      <c r="N33" s="122">
        <f>IF(N$3=0,DPL25Summary!L33,DPL25Summary!L33/N$3)</f>
        <v>0</v>
      </c>
      <c r="O33" s="907" t="e">
        <f t="shared" si="4"/>
        <v>#REF!</v>
      </c>
      <c r="P33" s="361">
        <f t="shared" si="5"/>
        <v>0</v>
      </c>
      <c r="Q33" s="950" t="e">
        <f t="shared" ca="1" si="18"/>
        <v>#REF!</v>
      </c>
      <c r="R33" s="122">
        <f>IF(R$3=0,DPL25Summary!N33,DPL25Summary!N33/R$3)</f>
        <v>0</v>
      </c>
      <c r="S33" s="907" t="e">
        <f t="shared" si="6"/>
        <v>#REF!</v>
      </c>
      <c r="T33" s="122">
        <f>IF(T$3=0,DPL25Summary!P33,DPL25Summary!P33/T$3)</f>
        <v>0</v>
      </c>
      <c r="U33" s="907" t="e">
        <f t="shared" si="7"/>
        <v>#REF!</v>
      </c>
      <c r="V33" s="122">
        <f>IF(V$3=0,DPL25Summary!R33,DPL25Summary!R33/V$3)</f>
        <v>0</v>
      </c>
      <c r="W33" s="910" t="e">
        <f t="shared" si="8"/>
        <v>#REF!</v>
      </c>
      <c r="X33" s="361">
        <f t="shared" si="9"/>
        <v>0</v>
      </c>
      <c r="Y33" s="950" t="e">
        <f t="shared" si="19"/>
        <v>#REF!</v>
      </c>
      <c r="Z33" s="122">
        <f>IF(Z$3=0,DPL25Summary!T33,DPL25Summary!T33/Z$3)</f>
        <v>0</v>
      </c>
      <c r="AA33" s="122">
        <f>IF(AA$3=0,DPL25Summary!V33,DPL25Summary!V33/AA$3)</f>
        <v>0</v>
      </c>
      <c r="AB33" s="122">
        <f>IF(AB$3=0,DPL25Summary!X33,DPL25Summary!X33/AB$3)</f>
        <v>0</v>
      </c>
      <c r="AC33" s="123">
        <f t="shared" si="10"/>
        <v>0</v>
      </c>
      <c r="AD33" s="241" t="e">
        <f t="shared" ca="1" si="11"/>
        <v>#REF!</v>
      </c>
      <c r="AE33" s="104">
        <f>SUM('DPL24-Budget'!B33:$B33)</f>
        <v>58875</v>
      </c>
      <c r="AF33" s="929">
        <f t="shared" si="12"/>
        <v>5.1799999999999999E-2</v>
      </c>
      <c r="AG33" s="169">
        <f t="shared" si="0"/>
        <v>-58875</v>
      </c>
      <c r="AH33" s="725">
        <f t="shared" si="20"/>
        <v>5.1999999999999998E-2</v>
      </c>
    </row>
    <row r="34" spans="1:34" s="4" customFormat="1">
      <c r="A34" s="757" t="s">
        <v>396</v>
      </c>
      <c r="B34" s="122">
        <f>IF(B$3=0,DPL25Summary!B34,DPL25Summary!B34/B$3)</f>
        <v>0</v>
      </c>
      <c r="C34" s="910">
        <f t="shared" ca="1" si="13"/>
        <v>0</v>
      </c>
      <c r="D34" s="122">
        <f>IF(D$3=0,DPL25Summary!D34,DPL25Summary!D34/D$3)</f>
        <v>0</v>
      </c>
      <c r="E34" s="909">
        <f t="shared" ca="1" si="14"/>
        <v>0</v>
      </c>
      <c r="F34" s="122">
        <f>IF(F$3=0,DPL25Summary!F34,DPL25Summary!F34/F$3)</f>
        <v>0</v>
      </c>
      <c r="G34" s="909">
        <f t="shared" ca="1" si="15"/>
        <v>0</v>
      </c>
      <c r="H34" s="361">
        <f t="shared" si="2"/>
        <v>0</v>
      </c>
      <c r="I34" s="950">
        <f t="shared" ca="1" si="16"/>
        <v>0</v>
      </c>
      <c r="J34" s="122">
        <f>IF(J$3=0,DPL25Summary!H34,DPL25Summary!H34/J$3)</f>
        <v>0</v>
      </c>
      <c r="K34" s="910">
        <f t="shared" ca="1" si="17"/>
        <v>0</v>
      </c>
      <c r="L34" s="122">
        <f>IF(L$3=0,DPL25Summary!J34,DPL25Summary!J34/L$3)</f>
        <v>0</v>
      </c>
      <c r="M34" s="907" t="e">
        <f t="shared" si="3"/>
        <v>#REF!</v>
      </c>
      <c r="N34" s="122">
        <f>IF(N$3=0,DPL25Summary!L34,DPL25Summary!L34/N$3)</f>
        <v>0</v>
      </c>
      <c r="O34" s="907" t="e">
        <f t="shared" si="4"/>
        <v>#REF!</v>
      </c>
      <c r="P34" s="361">
        <f t="shared" si="5"/>
        <v>0</v>
      </c>
      <c r="Q34" s="950" t="e">
        <f t="shared" ca="1" si="18"/>
        <v>#REF!</v>
      </c>
      <c r="R34" s="122">
        <f>IF(R$3=0,DPL25Summary!N34,DPL25Summary!N34/R$3)</f>
        <v>0</v>
      </c>
      <c r="S34" s="907" t="e">
        <f t="shared" si="6"/>
        <v>#REF!</v>
      </c>
      <c r="T34" s="122">
        <f>IF(T$3=0,DPL25Summary!P34,DPL25Summary!P34/T$3)</f>
        <v>0</v>
      </c>
      <c r="U34" s="907" t="e">
        <f t="shared" si="7"/>
        <v>#REF!</v>
      </c>
      <c r="V34" s="122">
        <f>IF(V$3=0,DPL25Summary!R34,DPL25Summary!R34/V$3)</f>
        <v>0</v>
      </c>
      <c r="W34" s="910" t="e">
        <f t="shared" si="8"/>
        <v>#REF!</v>
      </c>
      <c r="X34" s="361">
        <f t="shared" si="9"/>
        <v>0</v>
      </c>
      <c r="Y34" s="950" t="e">
        <f t="shared" si="19"/>
        <v>#REF!</v>
      </c>
      <c r="Z34" s="122">
        <f>IF(Z$3=0,DPL25Summary!T34,DPL25Summary!T34/Z$3)</f>
        <v>0</v>
      </c>
      <c r="AA34" s="122">
        <f>IF(AA$3=0,DPL25Summary!V34,DPL25Summary!V34/AA$3)</f>
        <v>0</v>
      </c>
      <c r="AB34" s="122">
        <f>IF(AB$3=0,DPL25Summary!X34,DPL25Summary!X34/AB$3)</f>
        <v>0</v>
      </c>
      <c r="AC34" s="123">
        <f t="shared" si="10"/>
        <v>0</v>
      </c>
      <c r="AD34" s="241" t="e">
        <f t="shared" ca="1" si="11"/>
        <v>#REF!</v>
      </c>
      <c r="AE34" s="104">
        <f>SUM('DPL24-Budget'!B34:$B34)</f>
        <v>1874</v>
      </c>
      <c r="AF34" s="929">
        <f t="shared" si="12"/>
        <v>1.6000000000000001E-3</v>
      </c>
      <c r="AG34" s="169">
        <f t="shared" si="0"/>
        <v>-1874</v>
      </c>
      <c r="AH34" s="725">
        <f t="shared" si="20"/>
        <v>2E-3</v>
      </c>
    </row>
    <row r="35" spans="1:34" s="4" customFormat="1">
      <c r="A35" s="933" t="s">
        <v>290</v>
      </c>
      <c r="B35" s="122">
        <f>IF(B$3=0,DPL25Summary!B35,DPL25Summary!B35/B$3)</f>
        <v>0</v>
      </c>
      <c r="C35" s="910">
        <f t="shared" ca="1" si="13"/>
        <v>0</v>
      </c>
      <c r="D35" s="122">
        <f>IF(D$3=0,DPL25Summary!D35,DPL25Summary!D35/D$3)</f>
        <v>0</v>
      </c>
      <c r="E35" s="909">
        <f t="shared" ca="1" si="14"/>
        <v>0</v>
      </c>
      <c r="F35" s="122">
        <f>IF(F$3=0,DPL25Summary!F35,DPL25Summary!F35/F$3)</f>
        <v>0</v>
      </c>
      <c r="G35" s="909">
        <f t="shared" ca="1" si="15"/>
        <v>0</v>
      </c>
      <c r="H35" s="361">
        <f t="shared" si="2"/>
        <v>0</v>
      </c>
      <c r="I35" s="950">
        <f t="shared" ca="1" si="16"/>
        <v>0</v>
      </c>
      <c r="J35" s="122">
        <f>IF(J$3=0,DPL25Summary!H35,DPL25Summary!H35/J$3)</f>
        <v>1463</v>
      </c>
      <c r="K35" s="910">
        <f t="shared" ca="1" si="17"/>
        <v>0.53600000000000003</v>
      </c>
      <c r="L35" s="122">
        <f>IF(L$3=0,DPL25Summary!J35,DPL25Summary!J35/L$3)</f>
        <v>0</v>
      </c>
      <c r="M35" s="907" t="e">
        <f t="shared" si="3"/>
        <v>#REF!</v>
      </c>
      <c r="N35" s="122">
        <f>IF(N$3=0,DPL25Summary!L35,DPL25Summary!L35/N$3)</f>
        <v>0</v>
      </c>
      <c r="O35" s="907" t="e">
        <f t="shared" si="4"/>
        <v>#REF!</v>
      </c>
      <c r="P35" s="361">
        <f t="shared" si="5"/>
        <v>1463</v>
      </c>
      <c r="Q35" s="950" t="e">
        <f t="shared" ca="1" si="18"/>
        <v>#REF!</v>
      </c>
      <c r="R35" s="122">
        <f>IF(R$3=0,DPL25Summary!N35,DPL25Summary!N35/R$3)</f>
        <v>0</v>
      </c>
      <c r="S35" s="907" t="e">
        <f t="shared" si="6"/>
        <v>#REF!</v>
      </c>
      <c r="T35" s="122">
        <f>IF(T$3=0,DPL25Summary!P35,DPL25Summary!P35/T$3)</f>
        <v>0</v>
      </c>
      <c r="U35" s="907" t="e">
        <f t="shared" si="7"/>
        <v>#REF!</v>
      </c>
      <c r="V35" s="122">
        <f>IF(V$3=0,DPL25Summary!R35,DPL25Summary!R35/V$3)</f>
        <v>0</v>
      </c>
      <c r="W35" s="910" t="e">
        <f t="shared" si="8"/>
        <v>#REF!</v>
      </c>
      <c r="X35" s="361">
        <f t="shared" si="9"/>
        <v>0</v>
      </c>
      <c r="Y35" s="950" t="e">
        <f t="shared" si="19"/>
        <v>#REF!</v>
      </c>
      <c r="Z35" s="122">
        <f>IF(Z$3=0,DPL25Summary!T35,DPL25Summary!T35/Z$3)</f>
        <v>0</v>
      </c>
      <c r="AA35" s="122">
        <f>IF(AA$3=0,DPL25Summary!V35,DPL25Summary!V35/AA$3)</f>
        <v>0</v>
      </c>
      <c r="AB35" s="122">
        <f>IF(AB$3=0,DPL25Summary!X35,DPL25Summary!X35/AB$3)</f>
        <v>0</v>
      </c>
      <c r="AC35" s="123">
        <f t="shared" si="10"/>
        <v>1463</v>
      </c>
      <c r="AD35" s="241" t="e">
        <f t="shared" ca="1" si="11"/>
        <v>#REF!</v>
      </c>
      <c r="AE35" s="104">
        <f>SUM('DPL24-Budget'!B35:$B35)</f>
        <v>13638</v>
      </c>
      <c r="AF35" s="929">
        <f t="shared" si="12"/>
        <v>1.2E-2</v>
      </c>
      <c r="AG35" s="934">
        <f t="shared" si="0"/>
        <v>-12175</v>
      </c>
      <c r="AH35" s="725">
        <f t="shared" si="20"/>
        <v>1.2E-2</v>
      </c>
    </row>
    <row r="36" spans="1:34" s="4" customFormat="1">
      <c r="A36" s="933" t="s">
        <v>297</v>
      </c>
      <c r="B36" s="122">
        <f>IF(B$3=0,DPL25Summary!B36,DPL25Summary!B36/B$3)</f>
        <v>0</v>
      </c>
      <c r="C36" s="910">
        <f t="shared" ca="1" si="13"/>
        <v>0</v>
      </c>
      <c r="D36" s="122">
        <f>IF(D$3=0,DPL25Summary!D36,DPL25Summary!D36/D$3)</f>
        <v>0</v>
      </c>
      <c r="E36" s="909">
        <f t="shared" ca="1" si="14"/>
        <v>0</v>
      </c>
      <c r="F36" s="122">
        <f>IF(F$3=0,DPL25Summary!F36,DPL25Summary!F36/F$3)</f>
        <v>0</v>
      </c>
      <c r="G36" s="909">
        <f t="shared" ca="1" si="15"/>
        <v>0</v>
      </c>
      <c r="H36" s="361">
        <f t="shared" si="2"/>
        <v>0</v>
      </c>
      <c r="I36" s="950">
        <f t="shared" ca="1" si="16"/>
        <v>0</v>
      </c>
      <c r="J36" s="122">
        <f>IF(J$3=0,DPL25Summary!H36,DPL25Summary!H36/J$3)</f>
        <v>0</v>
      </c>
      <c r="K36" s="910">
        <f t="shared" ca="1" si="17"/>
        <v>0</v>
      </c>
      <c r="L36" s="122">
        <f>IF(L$3=0,DPL25Summary!J36,DPL25Summary!J36/L$3)</f>
        <v>0</v>
      </c>
      <c r="M36" s="907" t="e">
        <f t="shared" si="3"/>
        <v>#REF!</v>
      </c>
      <c r="N36" s="122">
        <f>IF(N$3=0,DPL25Summary!L36,DPL25Summary!L36/N$3)</f>
        <v>0</v>
      </c>
      <c r="O36" s="907" t="e">
        <f t="shared" si="4"/>
        <v>#REF!</v>
      </c>
      <c r="P36" s="361">
        <f t="shared" si="5"/>
        <v>0</v>
      </c>
      <c r="Q36" s="950" t="e">
        <f t="shared" ca="1" si="18"/>
        <v>#REF!</v>
      </c>
      <c r="R36" s="122">
        <f>IF(R$3=0,DPL25Summary!N36,DPL25Summary!N36/R$3)</f>
        <v>0</v>
      </c>
      <c r="S36" s="907" t="e">
        <f t="shared" si="6"/>
        <v>#REF!</v>
      </c>
      <c r="T36" s="122">
        <f>IF(T$3=0,DPL25Summary!P36,DPL25Summary!P36/T$3)</f>
        <v>0</v>
      </c>
      <c r="U36" s="907" t="e">
        <f t="shared" si="7"/>
        <v>#REF!</v>
      </c>
      <c r="V36" s="122">
        <f>IF(V$3=0,DPL25Summary!R36,DPL25Summary!R36/V$3)</f>
        <v>0</v>
      </c>
      <c r="W36" s="910" t="e">
        <f t="shared" si="8"/>
        <v>#REF!</v>
      </c>
      <c r="X36" s="361">
        <f t="shared" si="9"/>
        <v>0</v>
      </c>
      <c r="Y36" s="950" t="e">
        <f t="shared" si="19"/>
        <v>#REF!</v>
      </c>
      <c r="Z36" s="122">
        <f>IF(Z$3=0,DPL25Summary!T36,DPL25Summary!T36/Z$3)</f>
        <v>0</v>
      </c>
      <c r="AA36" s="122">
        <f>IF(AA$3=0,DPL25Summary!V36,DPL25Summary!V36/AA$3)</f>
        <v>0</v>
      </c>
      <c r="AB36" s="122">
        <f>IF(AB$3=0,DPL25Summary!X36,DPL25Summary!X36/AB$3)</f>
        <v>0</v>
      </c>
      <c r="AC36" s="123">
        <f t="shared" si="10"/>
        <v>0</v>
      </c>
      <c r="AD36" s="241" t="e">
        <f t="shared" ca="1" si="11"/>
        <v>#REF!</v>
      </c>
      <c r="AE36" s="104">
        <f>SUM('DPL24-Budget'!B36:$B36)</f>
        <v>6519</v>
      </c>
      <c r="AF36" s="929">
        <f t="shared" si="12"/>
        <v>5.7000000000000002E-3</v>
      </c>
      <c r="AG36" s="934">
        <f t="shared" si="0"/>
        <v>-6519</v>
      </c>
      <c r="AH36" s="725">
        <f t="shared" si="20"/>
        <v>6.0000000000000001E-3</v>
      </c>
    </row>
    <row r="37" spans="1:34" s="4" customFormat="1">
      <c r="A37" s="757" t="s">
        <v>299</v>
      </c>
      <c r="B37" s="122">
        <f>IF(B$3=0,DPL25Summary!B37,DPL25Summary!B37/B$3)</f>
        <v>0</v>
      </c>
      <c r="C37" s="910">
        <f t="shared" ca="1" si="13"/>
        <v>0</v>
      </c>
      <c r="D37" s="122">
        <f>IF(D$3=0,DPL25Summary!D37,DPL25Summary!D37/D$3)</f>
        <v>0</v>
      </c>
      <c r="E37" s="909">
        <f t="shared" ca="1" si="14"/>
        <v>0</v>
      </c>
      <c r="F37" s="122">
        <f>IF(F$3=0,DPL25Summary!F37,DPL25Summary!F37/F$3)</f>
        <v>0</v>
      </c>
      <c r="G37" s="909">
        <f t="shared" ca="1" si="15"/>
        <v>0</v>
      </c>
      <c r="H37" s="361">
        <f t="shared" si="2"/>
        <v>0</v>
      </c>
      <c r="I37" s="950">
        <f t="shared" ca="1" si="16"/>
        <v>0</v>
      </c>
      <c r="J37" s="122">
        <f>IF(J$3=0,DPL25Summary!H37,DPL25Summary!H37/J$3)</f>
        <v>0</v>
      </c>
      <c r="K37" s="910">
        <f t="shared" ca="1" si="17"/>
        <v>0</v>
      </c>
      <c r="L37" s="122">
        <f>IF(L$3=0,DPL25Summary!J37,DPL25Summary!J37/L$3)</f>
        <v>0</v>
      </c>
      <c r="M37" s="907" t="e">
        <f t="shared" si="3"/>
        <v>#REF!</v>
      </c>
      <c r="N37" s="122">
        <f>IF(N$3=0,DPL25Summary!L37,DPL25Summary!L37/N$3)</f>
        <v>0</v>
      </c>
      <c r="O37" s="907" t="e">
        <f t="shared" si="4"/>
        <v>#REF!</v>
      </c>
      <c r="P37" s="361">
        <f t="shared" si="5"/>
        <v>0</v>
      </c>
      <c r="Q37" s="950" t="e">
        <f t="shared" ca="1" si="18"/>
        <v>#REF!</v>
      </c>
      <c r="R37" s="122">
        <f>IF(R$3=0,DPL25Summary!N37,DPL25Summary!N37/R$3)</f>
        <v>0</v>
      </c>
      <c r="S37" s="907" t="e">
        <f t="shared" si="6"/>
        <v>#REF!</v>
      </c>
      <c r="T37" s="122">
        <f>IF(T$3=0,DPL25Summary!P37,DPL25Summary!P37/T$3)</f>
        <v>0</v>
      </c>
      <c r="U37" s="907" t="e">
        <f t="shared" si="7"/>
        <v>#REF!</v>
      </c>
      <c r="V37" s="122">
        <f>IF(V$3=0,DPL25Summary!R37,DPL25Summary!R37/V$3)</f>
        <v>0</v>
      </c>
      <c r="W37" s="910" t="e">
        <f t="shared" si="8"/>
        <v>#REF!</v>
      </c>
      <c r="X37" s="361">
        <f t="shared" si="9"/>
        <v>0</v>
      </c>
      <c r="Y37" s="950" t="e">
        <f t="shared" si="19"/>
        <v>#REF!</v>
      </c>
      <c r="Z37" s="122">
        <f>IF(Z$3=0,DPL25Summary!T37,DPL25Summary!T37/Z$3)</f>
        <v>0</v>
      </c>
      <c r="AA37" s="122">
        <f>IF(AA$3=0,DPL25Summary!V37,DPL25Summary!V37/AA$3)</f>
        <v>0</v>
      </c>
      <c r="AB37" s="122">
        <f>IF(AB$3=0,DPL25Summary!X37,DPL25Summary!X37/AB$3)</f>
        <v>0</v>
      </c>
      <c r="AC37" s="123">
        <f t="shared" si="10"/>
        <v>0</v>
      </c>
      <c r="AD37" s="241" t="e">
        <f t="shared" ca="1" si="11"/>
        <v>#REF!</v>
      </c>
      <c r="AE37" s="104">
        <f>SUM('DPL24-Budget'!B37:$B37)</f>
        <v>5117</v>
      </c>
      <c r="AF37" s="929">
        <f t="shared" si="12"/>
        <v>4.4999999999999997E-3</v>
      </c>
      <c r="AG37" s="169">
        <f t="shared" si="0"/>
        <v>-5117</v>
      </c>
      <c r="AH37" s="725">
        <f t="shared" si="20"/>
        <v>5.0000000000000001E-3</v>
      </c>
    </row>
    <row r="38" spans="1:34" s="4" customFormat="1">
      <c r="A38" s="757" t="s">
        <v>397</v>
      </c>
      <c r="B38" s="122">
        <f>IF(B$3=0,DPL25Summary!B38,DPL25Summary!B38/B$3)</f>
        <v>0</v>
      </c>
      <c r="C38" s="910">
        <f t="shared" ca="1" si="13"/>
        <v>0</v>
      </c>
      <c r="D38" s="122">
        <f>IF(D$3=0,DPL25Summary!D38,DPL25Summary!D38/D$3)</f>
        <v>0</v>
      </c>
      <c r="E38" s="909">
        <f t="shared" ca="1" si="14"/>
        <v>0</v>
      </c>
      <c r="F38" s="122">
        <f>IF(F$3=0,DPL25Summary!F38,DPL25Summary!F38/F$3)</f>
        <v>0</v>
      </c>
      <c r="G38" s="909">
        <f t="shared" ca="1" si="15"/>
        <v>0</v>
      </c>
      <c r="H38" s="361">
        <f t="shared" si="2"/>
        <v>0</v>
      </c>
      <c r="I38" s="950">
        <f t="shared" ca="1" si="16"/>
        <v>0</v>
      </c>
      <c r="J38" s="122">
        <f>IF(J$3=0,DPL25Summary!H38,DPL25Summary!H38/J$3)</f>
        <v>0</v>
      </c>
      <c r="K38" s="910">
        <f t="shared" ca="1" si="17"/>
        <v>0</v>
      </c>
      <c r="L38" s="122">
        <f>IF(L$3=0,DPL25Summary!J38,DPL25Summary!J38/L$3)</f>
        <v>0</v>
      </c>
      <c r="M38" s="907" t="e">
        <f t="shared" si="3"/>
        <v>#REF!</v>
      </c>
      <c r="N38" s="122">
        <f>IF(N$3=0,DPL25Summary!L38,DPL25Summary!L38/N$3)</f>
        <v>0</v>
      </c>
      <c r="O38" s="907" t="e">
        <f t="shared" si="4"/>
        <v>#REF!</v>
      </c>
      <c r="P38" s="361">
        <f t="shared" si="5"/>
        <v>0</v>
      </c>
      <c r="Q38" s="950" t="e">
        <f t="shared" ca="1" si="18"/>
        <v>#REF!</v>
      </c>
      <c r="R38" s="122">
        <f>IF(R$3=0,DPL25Summary!N38,DPL25Summary!N38/R$3)</f>
        <v>0</v>
      </c>
      <c r="S38" s="907" t="e">
        <f t="shared" si="6"/>
        <v>#REF!</v>
      </c>
      <c r="T38" s="122">
        <f>IF(T$3=0,DPL25Summary!P38,DPL25Summary!P38/T$3)</f>
        <v>0</v>
      </c>
      <c r="U38" s="907" t="e">
        <f t="shared" si="7"/>
        <v>#REF!</v>
      </c>
      <c r="V38" s="122">
        <f>IF(V$3=0,DPL25Summary!R38,DPL25Summary!R38/V$3)</f>
        <v>0</v>
      </c>
      <c r="W38" s="910" t="e">
        <f t="shared" si="8"/>
        <v>#REF!</v>
      </c>
      <c r="X38" s="361">
        <f t="shared" si="9"/>
        <v>0</v>
      </c>
      <c r="Y38" s="950" t="e">
        <f t="shared" si="19"/>
        <v>#REF!</v>
      </c>
      <c r="Z38" s="122">
        <f>IF(Z$3=0,DPL25Summary!T38,DPL25Summary!T38/Z$3)</f>
        <v>0</v>
      </c>
      <c r="AA38" s="122">
        <f>IF(AA$3=0,DPL25Summary!V38,DPL25Summary!V38/AA$3)</f>
        <v>0</v>
      </c>
      <c r="AB38" s="122">
        <f>IF(AB$3=0,DPL25Summary!X38,DPL25Summary!X38/AB$3)</f>
        <v>0</v>
      </c>
      <c r="AC38" s="123">
        <f t="shared" si="10"/>
        <v>0</v>
      </c>
      <c r="AD38" s="241" t="e">
        <f t="shared" ca="1" si="11"/>
        <v>#REF!</v>
      </c>
      <c r="AE38" s="104">
        <f>SUM('DPL24-Budget'!B38:$B38)</f>
        <v>7628</v>
      </c>
      <c r="AF38" s="929">
        <f t="shared" si="12"/>
        <v>6.7000000000000002E-3</v>
      </c>
      <c r="AG38" s="934">
        <f t="shared" si="0"/>
        <v>-7628</v>
      </c>
      <c r="AH38" s="725">
        <f t="shared" si="20"/>
        <v>7.0000000000000001E-3</v>
      </c>
    </row>
    <row r="39" spans="1:34" s="4" customFormat="1">
      <c r="A39" s="757" t="s">
        <v>593</v>
      </c>
      <c r="B39" s="122">
        <f>IF(B$3=0,DPL25Summary!B39,DPL25Summary!B39/B$3)</f>
        <v>0</v>
      </c>
      <c r="C39" s="910">
        <f t="shared" ca="1" si="13"/>
        <v>0</v>
      </c>
      <c r="D39" s="122">
        <f>IF(D$3=0,DPL25Summary!D39,DPL25Summary!D39/D$3)</f>
        <v>0</v>
      </c>
      <c r="E39" s="909">
        <f t="shared" ca="1" si="14"/>
        <v>0</v>
      </c>
      <c r="F39" s="122">
        <f>IF(F$3=0,DPL25Summary!F39,DPL25Summary!F39/F$3)</f>
        <v>0</v>
      </c>
      <c r="G39" s="909">
        <f t="shared" ca="1" si="15"/>
        <v>0</v>
      </c>
      <c r="H39" s="361">
        <f t="shared" si="2"/>
        <v>0</v>
      </c>
      <c r="I39" s="950">
        <f t="shared" ca="1" si="16"/>
        <v>0</v>
      </c>
      <c r="J39" s="122">
        <f>IF(J$3=0,DPL25Summary!H39,DPL25Summary!H39/J$3)</f>
        <v>0</v>
      </c>
      <c r="K39" s="910">
        <f t="shared" ca="1" si="17"/>
        <v>0</v>
      </c>
      <c r="L39" s="122">
        <f>IF(L$3=0,DPL25Summary!J39,DPL25Summary!J39/L$3)</f>
        <v>0</v>
      </c>
      <c r="M39" s="907" t="e">
        <f t="shared" si="3"/>
        <v>#REF!</v>
      </c>
      <c r="N39" s="122">
        <f>IF(N$3=0,DPL25Summary!L39,DPL25Summary!L39/N$3)</f>
        <v>0</v>
      </c>
      <c r="O39" s="907" t="e">
        <f t="shared" si="4"/>
        <v>#REF!</v>
      </c>
      <c r="P39" s="361">
        <f t="shared" si="5"/>
        <v>0</v>
      </c>
      <c r="Q39" s="950" t="e">
        <f t="shared" ca="1" si="18"/>
        <v>#REF!</v>
      </c>
      <c r="R39" s="122">
        <f>IF(R$3=0,DPL25Summary!N39,DPL25Summary!N39/R$3)</f>
        <v>0</v>
      </c>
      <c r="S39" s="907" t="e">
        <f t="shared" si="6"/>
        <v>#REF!</v>
      </c>
      <c r="T39" s="122">
        <f>IF(T$3=0,DPL25Summary!P39,DPL25Summary!P39/T$3)</f>
        <v>0</v>
      </c>
      <c r="U39" s="907" t="e">
        <f t="shared" si="7"/>
        <v>#REF!</v>
      </c>
      <c r="V39" s="122">
        <f>IF(V$3=0,DPL25Summary!R39,DPL25Summary!R39/V$3)</f>
        <v>0</v>
      </c>
      <c r="W39" s="910" t="e">
        <f t="shared" si="8"/>
        <v>#REF!</v>
      </c>
      <c r="X39" s="361">
        <f t="shared" si="9"/>
        <v>0</v>
      </c>
      <c r="Y39" s="950" t="e">
        <f t="shared" si="19"/>
        <v>#REF!</v>
      </c>
      <c r="Z39" s="122">
        <f>IF(Z$3=0,DPL25Summary!T39,DPL25Summary!T39/Z$3)</f>
        <v>0</v>
      </c>
      <c r="AA39" s="122">
        <f>IF(AA$3=0,DPL25Summary!V39,DPL25Summary!V39/AA$3)</f>
        <v>0</v>
      </c>
      <c r="AB39" s="122">
        <f>IF(AB$3=0,DPL25Summary!X39,DPL25Summary!X39/AB$3)</f>
        <v>0</v>
      </c>
      <c r="AC39" s="123">
        <f t="shared" si="10"/>
        <v>0</v>
      </c>
      <c r="AD39" s="241" t="e">
        <f t="shared" ca="1" si="11"/>
        <v>#REF!</v>
      </c>
      <c r="AE39" s="104">
        <f>SUM('DPL24-Budget'!B39:$B39)</f>
        <v>-181</v>
      </c>
      <c r="AF39" s="929">
        <f t="shared" si="12"/>
        <v>-2.0000000000000001E-4</v>
      </c>
      <c r="AG39" s="169">
        <f t="shared" si="0"/>
        <v>181</v>
      </c>
      <c r="AH39" s="725">
        <f t="shared" si="20"/>
        <v>0</v>
      </c>
    </row>
    <row r="40" spans="1:34" s="4" customFormat="1">
      <c r="A40" s="757" t="s">
        <v>399</v>
      </c>
      <c r="B40" s="122">
        <f>IF(B$3=0,DPL25Summary!B40,DPL25Summary!B40/B$3)</f>
        <v>0</v>
      </c>
      <c r="C40" s="910">
        <f t="shared" ca="1" si="13"/>
        <v>0</v>
      </c>
      <c r="D40" s="122">
        <f>IF(D$3=0,DPL25Summary!D40,DPL25Summary!D40/D$3)</f>
        <v>0</v>
      </c>
      <c r="E40" s="909">
        <f t="shared" ca="1" si="14"/>
        <v>0</v>
      </c>
      <c r="F40" s="122">
        <f>IF(F$3=0,DPL25Summary!F40,DPL25Summary!F40/F$3)</f>
        <v>0</v>
      </c>
      <c r="G40" s="909">
        <f t="shared" ca="1" si="15"/>
        <v>0</v>
      </c>
      <c r="H40" s="361">
        <f t="shared" si="2"/>
        <v>0</v>
      </c>
      <c r="I40" s="950">
        <f t="shared" ca="1" si="16"/>
        <v>0</v>
      </c>
      <c r="J40" s="122">
        <f>IF(J$3=0,DPL25Summary!H40,DPL25Summary!H40/J$3)</f>
        <v>0</v>
      </c>
      <c r="K40" s="910">
        <f t="shared" ca="1" si="17"/>
        <v>0</v>
      </c>
      <c r="L40" s="122">
        <f>IF(L$3=0,DPL25Summary!J40,DPL25Summary!J40/L$3)</f>
        <v>0</v>
      </c>
      <c r="M40" s="907" t="e">
        <f t="shared" si="3"/>
        <v>#REF!</v>
      </c>
      <c r="N40" s="122">
        <f>IF(N$3=0,DPL25Summary!L40,DPL25Summary!L40/N$3)</f>
        <v>0</v>
      </c>
      <c r="O40" s="907" t="e">
        <f t="shared" si="4"/>
        <v>#REF!</v>
      </c>
      <c r="P40" s="361">
        <f t="shared" si="5"/>
        <v>0</v>
      </c>
      <c r="Q40" s="950" t="e">
        <f t="shared" ca="1" si="18"/>
        <v>#REF!</v>
      </c>
      <c r="R40" s="122">
        <f>IF(R$3=0,DPL25Summary!N40,DPL25Summary!N40/R$3)</f>
        <v>0</v>
      </c>
      <c r="S40" s="907" t="e">
        <f t="shared" si="6"/>
        <v>#REF!</v>
      </c>
      <c r="T40" s="122">
        <f>IF(T$3=0,DPL25Summary!P40,DPL25Summary!P40/T$3)</f>
        <v>0</v>
      </c>
      <c r="U40" s="907" t="e">
        <f t="shared" si="7"/>
        <v>#REF!</v>
      </c>
      <c r="V40" s="122">
        <f>IF(V$3=0,DPL25Summary!R40,DPL25Summary!R40/V$3)</f>
        <v>0</v>
      </c>
      <c r="W40" s="910" t="e">
        <f t="shared" si="8"/>
        <v>#REF!</v>
      </c>
      <c r="X40" s="361">
        <f t="shared" si="9"/>
        <v>0</v>
      </c>
      <c r="Y40" s="950" t="e">
        <f t="shared" si="19"/>
        <v>#REF!</v>
      </c>
      <c r="Z40" s="122">
        <f>IF(Z$3=0,DPL25Summary!T40,DPL25Summary!T40/Z$3)</f>
        <v>0</v>
      </c>
      <c r="AA40" s="122">
        <f>IF(AA$3=0,DPL25Summary!V40,DPL25Summary!V40/AA$3)</f>
        <v>0</v>
      </c>
      <c r="AB40" s="122">
        <f>IF(AB$3=0,DPL25Summary!X40,DPL25Summary!X40/AB$3)</f>
        <v>0</v>
      </c>
      <c r="AC40" s="123">
        <f t="shared" si="10"/>
        <v>0</v>
      </c>
      <c r="AD40" s="241" t="e">
        <f t="shared" ca="1" si="11"/>
        <v>#REF!</v>
      </c>
      <c r="AE40" s="104">
        <f>SUM('DPL24-Budget'!B40:$B40)</f>
        <v>0</v>
      </c>
      <c r="AF40" s="929">
        <f t="shared" si="12"/>
        <v>0</v>
      </c>
      <c r="AG40" s="169">
        <f t="shared" si="0"/>
        <v>0</v>
      </c>
      <c r="AH40" s="725">
        <f t="shared" si="20"/>
        <v>0</v>
      </c>
    </row>
    <row r="41" spans="1:34" s="4" customFormat="1">
      <c r="A41" s="757" t="s">
        <v>400</v>
      </c>
      <c r="B41" s="122">
        <f>IF(B$3=0,DPL25Summary!B41,DPL25Summary!B41/B$3)</f>
        <v>0</v>
      </c>
      <c r="C41" s="910">
        <f t="shared" ca="1" si="13"/>
        <v>0</v>
      </c>
      <c r="D41" s="122">
        <f>IF(D$3=0,DPL25Summary!D41,DPL25Summary!D41/D$3)</f>
        <v>0</v>
      </c>
      <c r="E41" s="909">
        <f t="shared" ca="1" si="14"/>
        <v>0</v>
      </c>
      <c r="F41" s="122">
        <f>IF(F$3=0,DPL25Summary!F41,DPL25Summary!F41/F$3)</f>
        <v>0</v>
      </c>
      <c r="G41" s="909">
        <f t="shared" ca="1" si="15"/>
        <v>0</v>
      </c>
      <c r="H41" s="361">
        <f t="shared" si="2"/>
        <v>0</v>
      </c>
      <c r="I41" s="950">
        <f t="shared" ca="1" si="16"/>
        <v>0</v>
      </c>
      <c r="J41" s="122">
        <f>IF(J$3=0,DPL25Summary!H41,DPL25Summary!H41/J$3)</f>
        <v>0</v>
      </c>
      <c r="K41" s="910">
        <f t="shared" ca="1" si="17"/>
        <v>0</v>
      </c>
      <c r="L41" s="122">
        <f>IF(L$3=0,DPL25Summary!J41,DPL25Summary!J41/L$3)</f>
        <v>0</v>
      </c>
      <c r="M41" s="907" t="e">
        <f t="shared" si="3"/>
        <v>#REF!</v>
      </c>
      <c r="N41" s="122">
        <f>IF(N$3=0,DPL25Summary!L41,DPL25Summary!L41/N$3)</f>
        <v>0</v>
      </c>
      <c r="O41" s="907" t="e">
        <f t="shared" si="4"/>
        <v>#REF!</v>
      </c>
      <c r="P41" s="361">
        <f t="shared" si="5"/>
        <v>0</v>
      </c>
      <c r="Q41" s="950" t="e">
        <f t="shared" ca="1" si="18"/>
        <v>#REF!</v>
      </c>
      <c r="R41" s="122">
        <f>IF(R$3=0,DPL25Summary!N41,DPL25Summary!N41/R$3)</f>
        <v>0</v>
      </c>
      <c r="S41" s="907" t="e">
        <f t="shared" si="6"/>
        <v>#REF!</v>
      </c>
      <c r="T41" s="122">
        <f>IF(T$3=0,DPL25Summary!P41,DPL25Summary!P41/T$3)</f>
        <v>0</v>
      </c>
      <c r="U41" s="907" t="e">
        <f t="shared" si="7"/>
        <v>#REF!</v>
      </c>
      <c r="V41" s="122">
        <f>IF(V$3=0,DPL25Summary!R41,DPL25Summary!R41/V$3)</f>
        <v>0</v>
      </c>
      <c r="W41" s="910" t="e">
        <f t="shared" si="8"/>
        <v>#REF!</v>
      </c>
      <c r="X41" s="361">
        <f t="shared" si="9"/>
        <v>0</v>
      </c>
      <c r="Y41" s="950" t="e">
        <f t="shared" si="19"/>
        <v>#REF!</v>
      </c>
      <c r="Z41" s="122">
        <f>IF(Z$3=0,DPL25Summary!T41,DPL25Summary!T41/Z$3)</f>
        <v>0</v>
      </c>
      <c r="AA41" s="122">
        <f>IF(AA$3=0,DPL25Summary!V41,DPL25Summary!V41/AA$3)</f>
        <v>0</v>
      </c>
      <c r="AB41" s="122">
        <f>IF(AB$3=0,DPL25Summary!X41,DPL25Summary!X41/AB$3)</f>
        <v>0</v>
      </c>
      <c r="AC41" s="123">
        <f t="shared" si="10"/>
        <v>0</v>
      </c>
      <c r="AD41" s="241" t="e">
        <f t="shared" ca="1" si="11"/>
        <v>#REF!</v>
      </c>
      <c r="AE41" s="104">
        <f>SUM('DPL24-Budget'!B41:$B41)</f>
        <v>0</v>
      </c>
      <c r="AF41" s="929">
        <f t="shared" si="12"/>
        <v>0</v>
      </c>
      <c r="AG41" s="169">
        <f t="shared" si="0"/>
        <v>0</v>
      </c>
      <c r="AH41" s="725">
        <f t="shared" si="20"/>
        <v>0</v>
      </c>
    </row>
    <row r="42" spans="1:34" s="4" customFormat="1">
      <c r="A42" s="757" t="s">
        <v>66</v>
      </c>
      <c r="B42" s="122">
        <f>IF(B$3=0,DPL25Summary!B42,DPL25Summary!B42/B$3)</f>
        <v>0</v>
      </c>
      <c r="C42" s="910">
        <f t="shared" ca="1" si="13"/>
        <v>0</v>
      </c>
      <c r="D42" s="122">
        <f>IF(D$3=0,DPL25Summary!D42,DPL25Summary!D42/D$3)</f>
        <v>0</v>
      </c>
      <c r="E42" s="909">
        <f t="shared" ca="1" si="14"/>
        <v>0</v>
      </c>
      <c r="F42" s="122">
        <f>IF(F$3=0,DPL25Summary!F42,DPL25Summary!F42/F$3)</f>
        <v>0</v>
      </c>
      <c r="G42" s="909">
        <f t="shared" ca="1" si="15"/>
        <v>0</v>
      </c>
      <c r="H42" s="361">
        <f t="shared" si="2"/>
        <v>0</v>
      </c>
      <c r="I42" s="950">
        <f t="shared" ca="1" si="16"/>
        <v>0</v>
      </c>
      <c r="J42" s="122">
        <f>IF(J$3=0,DPL25Summary!H42,DPL25Summary!H42/J$3)</f>
        <v>0</v>
      </c>
      <c r="K42" s="910">
        <f t="shared" ca="1" si="17"/>
        <v>0</v>
      </c>
      <c r="L42" s="122">
        <f>IF(L$3=0,DPL25Summary!J42,DPL25Summary!J42/L$3)</f>
        <v>0</v>
      </c>
      <c r="M42" s="907" t="e">
        <f t="shared" si="3"/>
        <v>#REF!</v>
      </c>
      <c r="N42" s="122">
        <f>IF(N$3=0,DPL25Summary!L42,DPL25Summary!L42/N$3)</f>
        <v>0</v>
      </c>
      <c r="O42" s="907" t="e">
        <f t="shared" si="4"/>
        <v>#REF!</v>
      </c>
      <c r="P42" s="361">
        <f t="shared" si="5"/>
        <v>0</v>
      </c>
      <c r="Q42" s="950" t="e">
        <f t="shared" ca="1" si="18"/>
        <v>#REF!</v>
      </c>
      <c r="R42" s="122">
        <f>IF(R$3=0,DPL25Summary!N42,DPL25Summary!N42/R$3)</f>
        <v>0</v>
      </c>
      <c r="S42" s="907" t="e">
        <f t="shared" si="6"/>
        <v>#REF!</v>
      </c>
      <c r="T42" s="122">
        <f>IF(T$3=0,DPL25Summary!P42,DPL25Summary!P42/T$3)</f>
        <v>0</v>
      </c>
      <c r="U42" s="907" t="e">
        <f t="shared" si="7"/>
        <v>#REF!</v>
      </c>
      <c r="V42" s="122">
        <f>IF(V$3=0,DPL25Summary!R42,DPL25Summary!R42/V$3)</f>
        <v>0</v>
      </c>
      <c r="W42" s="910" t="e">
        <f t="shared" si="8"/>
        <v>#REF!</v>
      </c>
      <c r="X42" s="361">
        <f t="shared" si="9"/>
        <v>0</v>
      </c>
      <c r="Y42" s="950" t="e">
        <f t="shared" si="19"/>
        <v>#REF!</v>
      </c>
      <c r="Z42" s="122">
        <f>IF(Z$3=0,DPL25Summary!T42,DPL25Summary!T42/Z$3)</f>
        <v>0</v>
      </c>
      <c r="AA42" s="122">
        <f>IF(AA$3=0,DPL25Summary!V42,DPL25Summary!V42/AA$3)</f>
        <v>0</v>
      </c>
      <c r="AB42" s="122">
        <f>IF(AB$3=0,DPL25Summary!X42,DPL25Summary!X42/AB$3)</f>
        <v>0</v>
      </c>
      <c r="AC42" s="123">
        <f t="shared" si="10"/>
        <v>0</v>
      </c>
      <c r="AD42" s="241" t="e">
        <f t="shared" ca="1" si="11"/>
        <v>#REF!</v>
      </c>
      <c r="AE42" s="104">
        <f>SUM('DPL24-Budget'!B42:$B42)</f>
        <v>8906</v>
      </c>
      <c r="AF42" s="929">
        <f t="shared" si="12"/>
        <v>7.7999999999999996E-3</v>
      </c>
      <c r="AG42" s="169">
        <f t="shared" si="0"/>
        <v>-8906</v>
      </c>
      <c r="AH42" s="725">
        <f t="shared" si="20"/>
        <v>8.0000000000000002E-3</v>
      </c>
    </row>
    <row r="43" spans="1:34" s="4" customFormat="1">
      <c r="A43" s="757" t="s">
        <v>401</v>
      </c>
      <c r="B43" s="122">
        <f>IF(B$3=0,DPL25Summary!B43,DPL25Summary!B43/B$3)</f>
        <v>0</v>
      </c>
      <c r="C43" s="910">
        <f t="shared" ca="1" si="13"/>
        <v>0</v>
      </c>
      <c r="D43" s="122">
        <f>IF(D$3=0,DPL25Summary!D43,DPL25Summary!D43/D$3)</f>
        <v>0</v>
      </c>
      <c r="E43" s="909">
        <f t="shared" ca="1" si="14"/>
        <v>0</v>
      </c>
      <c r="F43" s="122">
        <f>IF(F$3=0,DPL25Summary!F43,DPL25Summary!F43/F$3)</f>
        <v>0</v>
      </c>
      <c r="G43" s="909">
        <f t="shared" ca="1" si="15"/>
        <v>0</v>
      </c>
      <c r="H43" s="361">
        <f t="shared" si="2"/>
        <v>0</v>
      </c>
      <c r="I43" s="950">
        <f t="shared" ca="1" si="16"/>
        <v>0</v>
      </c>
      <c r="J43" s="122">
        <f>IF(J$3=0,DPL25Summary!H43,DPL25Summary!H43/J$3)</f>
        <v>0</v>
      </c>
      <c r="K43" s="910">
        <f t="shared" ca="1" si="17"/>
        <v>0</v>
      </c>
      <c r="L43" s="122">
        <f>IF(L$3=0,DPL25Summary!J43,DPL25Summary!J43/L$3)</f>
        <v>0</v>
      </c>
      <c r="M43" s="907" t="e">
        <f t="shared" si="3"/>
        <v>#REF!</v>
      </c>
      <c r="N43" s="122">
        <f>IF(N$3=0,DPL25Summary!L43,DPL25Summary!L43/N$3)</f>
        <v>0</v>
      </c>
      <c r="O43" s="907" t="e">
        <f t="shared" si="4"/>
        <v>#REF!</v>
      </c>
      <c r="P43" s="361">
        <f t="shared" si="5"/>
        <v>0</v>
      </c>
      <c r="Q43" s="950" t="e">
        <f t="shared" ca="1" si="18"/>
        <v>#REF!</v>
      </c>
      <c r="R43" s="122">
        <f>IF(R$3=0,DPL25Summary!N43,DPL25Summary!N43/R$3)</f>
        <v>0</v>
      </c>
      <c r="S43" s="907" t="e">
        <f t="shared" si="6"/>
        <v>#REF!</v>
      </c>
      <c r="T43" s="122">
        <f>IF(T$3=0,DPL25Summary!P43,DPL25Summary!P43/T$3)</f>
        <v>0</v>
      </c>
      <c r="U43" s="907" t="e">
        <f t="shared" si="7"/>
        <v>#REF!</v>
      </c>
      <c r="V43" s="122">
        <f>IF(V$3=0,DPL25Summary!R43,DPL25Summary!R43/V$3)</f>
        <v>0</v>
      </c>
      <c r="W43" s="910" t="e">
        <f t="shared" si="8"/>
        <v>#REF!</v>
      </c>
      <c r="X43" s="361">
        <f t="shared" si="9"/>
        <v>0</v>
      </c>
      <c r="Y43" s="950" t="e">
        <f t="shared" si="19"/>
        <v>#REF!</v>
      </c>
      <c r="Z43" s="122">
        <f>IF(Z$3=0,DPL25Summary!T43,DPL25Summary!T43/Z$3)</f>
        <v>0</v>
      </c>
      <c r="AA43" s="122">
        <f>IF(AA$3=0,DPL25Summary!V43,DPL25Summary!V43/AA$3)</f>
        <v>0</v>
      </c>
      <c r="AB43" s="122">
        <f>IF(AB$3=0,DPL25Summary!X43,DPL25Summary!X43/AB$3)</f>
        <v>0</v>
      </c>
      <c r="AC43" s="123">
        <f t="shared" si="10"/>
        <v>0</v>
      </c>
      <c r="AD43" s="241" t="e">
        <f t="shared" ca="1" si="11"/>
        <v>#REF!</v>
      </c>
      <c r="AE43" s="104">
        <f>SUM('DPL24-Budget'!B43:$B43)</f>
        <v>0</v>
      </c>
      <c r="AF43" s="929">
        <f t="shared" si="12"/>
        <v>0</v>
      </c>
      <c r="AG43" s="169">
        <f t="shared" si="0"/>
        <v>0</v>
      </c>
      <c r="AH43" s="725">
        <f t="shared" si="20"/>
        <v>0</v>
      </c>
    </row>
    <row r="44" spans="1:34" s="4" customFormat="1">
      <c r="A44" s="757" t="s">
        <v>402</v>
      </c>
      <c r="B44" s="122">
        <f>IF(B$3=0,DPL25Summary!B44,DPL25Summary!B44/B$3)</f>
        <v>0</v>
      </c>
      <c r="C44" s="910">
        <f t="shared" ca="1" si="13"/>
        <v>0</v>
      </c>
      <c r="D44" s="122">
        <f>IF(D$3=0,DPL25Summary!D44,DPL25Summary!D44/D$3)</f>
        <v>0</v>
      </c>
      <c r="E44" s="909">
        <f t="shared" ca="1" si="14"/>
        <v>0</v>
      </c>
      <c r="F44" s="122">
        <f>IF(F$3=0,DPL25Summary!F44,DPL25Summary!F44/F$3)</f>
        <v>0</v>
      </c>
      <c r="G44" s="909">
        <f t="shared" ca="1" si="15"/>
        <v>0</v>
      </c>
      <c r="H44" s="361">
        <f t="shared" si="2"/>
        <v>0</v>
      </c>
      <c r="I44" s="950">
        <f t="shared" ca="1" si="16"/>
        <v>0</v>
      </c>
      <c r="J44" s="122">
        <f>IF(J$3=0,DPL25Summary!H44,DPL25Summary!H44/J$3)</f>
        <v>0</v>
      </c>
      <c r="K44" s="910">
        <f t="shared" ca="1" si="17"/>
        <v>0</v>
      </c>
      <c r="L44" s="122">
        <f>IF(L$3=0,DPL25Summary!J44,DPL25Summary!J44/L$3)</f>
        <v>0</v>
      </c>
      <c r="M44" s="907" t="e">
        <f t="shared" si="3"/>
        <v>#REF!</v>
      </c>
      <c r="N44" s="122">
        <f>IF(N$3=0,DPL25Summary!L44,DPL25Summary!L44/N$3)</f>
        <v>0</v>
      </c>
      <c r="O44" s="907" t="e">
        <f t="shared" si="4"/>
        <v>#REF!</v>
      </c>
      <c r="P44" s="361">
        <f t="shared" si="5"/>
        <v>0</v>
      </c>
      <c r="Q44" s="950" t="e">
        <f t="shared" ca="1" si="18"/>
        <v>#REF!</v>
      </c>
      <c r="R44" s="122">
        <f>IF(R$3=0,DPL25Summary!N44,DPL25Summary!N44/R$3)</f>
        <v>0</v>
      </c>
      <c r="S44" s="907" t="e">
        <f t="shared" si="6"/>
        <v>#REF!</v>
      </c>
      <c r="T44" s="122">
        <f>IF(T$3=0,DPL25Summary!P44,DPL25Summary!P44/T$3)</f>
        <v>0</v>
      </c>
      <c r="U44" s="907" t="e">
        <f t="shared" si="7"/>
        <v>#REF!</v>
      </c>
      <c r="V44" s="122">
        <f>IF(V$3=0,DPL25Summary!R44,DPL25Summary!R44/V$3)</f>
        <v>0</v>
      </c>
      <c r="W44" s="910" t="e">
        <f t="shared" si="8"/>
        <v>#REF!</v>
      </c>
      <c r="X44" s="361">
        <f t="shared" si="9"/>
        <v>0</v>
      </c>
      <c r="Y44" s="950" t="e">
        <f t="shared" si="19"/>
        <v>#REF!</v>
      </c>
      <c r="Z44" s="122">
        <f>IF(Z$3=0,DPL25Summary!T44,DPL25Summary!T44/Z$3)</f>
        <v>0</v>
      </c>
      <c r="AA44" s="122">
        <f>IF(AA$3=0,DPL25Summary!V44,DPL25Summary!V44/AA$3)</f>
        <v>0</v>
      </c>
      <c r="AB44" s="122">
        <f>IF(AB$3=0,DPL25Summary!X44,DPL25Summary!X44/AB$3)</f>
        <v>0</v>
      </c>
      <c r="AC44" s="123">
        <f t="shared" si="10"/>
        <v>0</v>
      </c>
      <c r="AD44" s="241" t="e">
        <f t="shared" ca="1" si="11"/>
        <v>#REF!</v>
      </c>
      <c r="AE44" s="104">
        <f>SUM('DPL24-Budget'!B44:$B44)</f>
        <v>0</v>
      </c>
      <c r="AF44" s="929">
        <f t="shared" si="12"/>
        <v>0</v>
      </c>
      <c r="AG44" s="169">
        <f t="shared" si="0"/>
        <v>0</v>
      </c>
      <c r="AH44" s="725">
        <f t="shared" si="20"/>
        <v>0</v>
      </c>
    </row>
    <row r="45" spans="1:34" s="4" customFormat="1">
      <c r="A45" s="757" t="s">
        <v>403</v>
      </c>
      <c r="B45" s="122">
        <f>IF(B$3=0,DPL25Summary!B45,DPL25Summary!B45/B$3)</f>
        <v>0</v>
      </c>
      <c r="C45" s="910">
        <f t="shared" ca="1" si="13"/>
        <v>0</v>
      </c>
      <c r="D45" s="122">
        <f>IF(D$3=0,DPL25Summary!D45,DPL25Summary!D45/D$3)</f>
        <v>0</v>
      </c>
      <c r="E45" s="909">
        <f t="shared" ca="1" si="14"/>
        <v>0</v>
      </c>
      <c r="F45" s="122">
        <f>IF(F$3=0,DPL25Summary!F45,DPL25Summary!F45/F$3)</f>
        <v>0</v>
      </c>
      <c r="G45" s="909">
        <f t="shared" ca="1" si="15"/>
        <v>0</v>
      </c>
      <c r="H45" s="361">
        <f t="shared" si="2"/>
        <v>0</v>
      </c>
      <c r="I45" s="950">
        <f t="shared" ca="1" si="16"/>
        <v>0</v>
      </c>
      <c r="J45" s="122">
        <f>IF(J$3=0,DPL25Summary!H45,DPL25Summary!H45/J$3)</f>
        <v>0</v>
      </c>
      <c r="K45" s="910">
        <f t="shared" ca="1" si="17"/>
        <v>0</v>
      </c>
      <c r="L45" s="122">
        <f>IF(L$3=0,DPL25Summary!J45,DPL25Summary!J45/L$3)</f>
        <v>0</v>
      </c>
      <c r="M45" s="907" t="e">
        <f t="shared" si="3"/>
        <v>#REF!</v>
      </c>
      <c r="N45" s="122">
        <f>IF(N$3=0,DPL25Summary!L45,DPL25Summary!L45/N$3)</f>
        <v>0</v>
      </c>
      <c r="O45" s="907" t="e">
        <f t="shared" si="4"/>
        <v>#REF!</v>
      </c>
      <c r="P45" s="361">
        <f t="shared" si="5"/>
        <v>0</v>
      </c>
      <c r="Q45" s="950" t="e">
        <f t="shared" ca="1" si="18"/>
        <v>#REF!</v>
      </c>
      <c r="R45" s="122">
        <f>IF(R$3=0,DPL25Summary!N45,DPL25Summary!N45/R$3)</f>
        <v>0</v>
      </c>
      <c r="S45" s="907" t="e">
        <f t="shared" si="6"/>
        <v>#REF!</v>
      </c>
      <c r="T45" s="122">
        <f>IF(T$3=0,DPL25Summary!P45,DPL25Summary!P45/T$3)</f>
        <v>0</v>
      </c>
      <c r="U45" s="907" t="e">
        <f t="shared" si="7"/>
        <v>#REF!</v>
      </c>
      <c r="V45" s="122">
        <f>IF(V$3=0,DPL25Summary!R45,DPL25Summary!R45/V$3)</f>
        <v>0</v>
      </c>
      <c r="W45" s="910" t="e">
        <f t="shared" si="8"/>
        <v>#REF!</v>
      </c>
      <c r="X45" s="361">
        <f t="shared" si="9"/>
        <v>0</v>
      </c>
      <c r="Y45" s="950" t="e">
        <f t="shared" si="19"/>
        <v>#REF!</v>
      </c>
      <c r="Z45" s="122">
        <f>IF(Z$3=0,DPL25Summary!T45,DPL25Summary!T45/Z$3)</f>
        <v>0</v>
      </c>
      <c r="AA45" s="122">
        <f>IF(AA$3=0,DPL25Summary!V45,DPL25Summary!V45/AA$3)</f>
        <v>0</v>
      </c>
      <c r="AB45" s="122">
        <f>IF(AB$3=0,DPL25Summary!X45,DPL25Summary!X45/AB$3)</f>
        <v>0</v>
      </c>
      <c r="AC45" s="123">
        <f t="shared" si="10"/>
        <v>0</v>
      </c>
      <c r="AD45" s="241" t="e">
        <f t="shared" ca="1" si="11"/>
        <v>#REF!</v>
      </c>
      <c r="AE45" s="104">
        <f>SUM('DPL24-Budget'!B45:$B45)</f>
        <v>0</v>
      </c>
      <c r="AF45" s="929">
        <f t="shared" si="12"/>
        <v>0</v>
      </c>
      <c r="AG45" s="169">
        <f t="shared" si="0"/>
        <v>0</v>
      </c>
      <c r="AH45" s="725">
        <f t="shared" si="20"/>
        <v>0</v>
      </c>
    </row>
    <row r="46" spans="1:34" s="4" customFormat="1">
      <c r="A46" s="757" t="s">
        <v>404</v>
      </c>
      <c r="B46" s="122">
        <f>IF(B$3=0,DPL25Summary!B46,DPL25Summary!B46/B$3)</f>
        <v>0</v>
      </c>
      <c r="C46" s="910">
        <f t="shared" ca="1" si="13"/>
        <v>0</v>
      </c>
      <c r="D46" s="122">
        <f>IF(D$3=0,DPL25Summary!D46,DPL25Summary!D46/D$3)</f>
        <v>0</v>
      </c>
      <c r="E46" s="909">
        <f t="shared" ca="1" si="14"/>
        <v>0</v>
      </c>
      <c r="F46" s="122">
        <f>IF(F$3=0,DPL25Summary!F46,DPL25Summary!F46/F$3)</f>
        <v>0</v>
      </c>
      <c r="G46" s="909">
        <f t="shared" ca="1" si="15"/>
        <v>0</v>
      </c>
      <c r="H46" s="361">
        <f t="shared" si="2"/>
        <v>0</v>
      </c>
      <c r="I46" s="950">
        <f t="shared" ca="1" si="16"/>
        <v>0</v>
      </c>
      <c r="J46" s="122">
        <f>IF(J$3=0,DPL25Summary!H46,DPL25Summary!H46/J$3)</f>
        <v>0</v>
      </c>
      <c r="K46" s="910">
        <f t="shared" ca="1" si="17"/>
        <v>0</v>
      </c>
      <c r="L46" s="122">
        <f>IF(L$3=0,DPL25Summary!J46,DPL25Summary!J46/L$3)</f>
        <v>0</v>
      </c>
      <c r="M46" s="907" t="e">
        <f t="shared" si="3"/>
        <v>#REF!</v>
      </c>
      <c r="N46" s="122">
        <f>IF(N$3=0,DPL25Summary!L46,DPL25Summary!L46/N$3)</f>
        <v>0</v>
      </c>
      <c r="O46" s="907" t="e">
        <f t="shared" si="4"/>
        <v>#REF!</v>
      </c>
      <c r="P46" s="361">
        <f>+SUM(J46+L46+N46)</f>
        <v>0</v>
      </c>
      <c r="Q46" s="950" t="e">
        <f t="shared" ca="1" si="18"/>
        <v>#REF!</v>
      </c>
      <c r="R46" s="122">
        <f>IF(R$3=0,DPL25Summary!N46,DPL25Summary!N46/R$3)</f>
        <v>0</v>
      </c>
      <c r="S46" s="907" t="e">
        <f t="shared" si="6"/>
        <v>#REF!</v>
      </c>
      <c r="T46" s="122">
        <f>IF(T$3=0,DPL25Summary!P46,DPL25Summary!P46/T$3)</f>
        <v>0</v>
      </c>
      <c r="U46" s="907" t="e">
        <f t="shared" si="7"/>
        <v>#REF!</v>
      </c>
      <c r="V46" s="122">
        <f>IF(V$3=0,DPL25Summary!R46,DPL25Summary!R46/V$3)</f>
        <v>0</v>
      </c>
      <c r="W46" s="910" t="e">
        <f t="shared" si="8"/>
        <v>#REF!</v>
      </c>
      <c r="X46" s="361">
        <f>+SUM(R46+T46+V46)</f>
        <v>0</v>
      </c>
      <c r="Y46" s="950" t="e">
        <f t="shared" si="19"/>
        <v>#REF!</v>
      </c>
      <c r="Z46" s="122">
        <f>IF(Z$3=0,DPL25Summary!T46,DPL25Summary!T46/Z$3)</f>
        <v>0</v>
      </c>
      <c r="AA46" s="122">
        <f>IF(AA$3=0,DPL25Summary!V46,DPL25Summary!V46/AA$3)</f>
        <v>0</v>
      </c>
      <c r="AB46" s="122">
        <f>IF(AB$3=0,DPL25Summary!X46,DPL25Summary!X46/AB$3)</f>
        <v>0</v>
      </c>
      <c r="AC46" s="123">
        <f t="shared" si="10"/>
        <v>0</v>
      </c>
      <c r="AD46" s="241" t="e">
        <f t="shared" ca="1" si="11"/>
        <v>#REF!</v>
      </c>
      <c r="AE46" s="104">
        <f>SUM('DPL24-Budget'!B46:$B46)</f>
        <v>28113</v>
      </c>
      <c r="AF46" s="929">
        <f t="shared" si="12"/>
        <v>2.47E-2</v>
      </c>
      <c r="AG46" s="169">
        <f t="shared" si="0"/>
        <v>-28113</v>
      </c>
      <c r="AH46" s="725">
        <f t="shared" si="20"/>
        <v>2.5000000000000001E-2</v>
      </c>
    </row>
    <row r="47" spans="1:34" s="37" customFormat="1">
      <c r="A47" s="32" t="s">
        <v>684</v>
      </c>
      <c r="B47" s="122">
        <f ca="1">IF(B$3=0,DPL25Summary!B47,DPL25Summary!B47/B$3)</f>
        <v>64</v>
      </c>
      <c r="C47" s="910">
        <f t="shared" ca="1" si="13"/>
        <v>2.3E-2</v>
      </c>
      <c r="D47" s="122">
        <f ca="1">IF(D$3=0,DPL25Summary!D47,DPL25Summary!D47/D$3)</f>
        <v>29</v>
      </c>
      <c r="E47" s="902"/>
      <c r="F47" s="122">
        <f ca="1">IF(F$3=0,DPL25Summary!F47,DPL25Summary!F47/F$3)</f>
        <v>29</v>
      </c>
      <c r="G47" s="902"/>
      <c r="H47" s="361">
        <f t="shared" ca="1" si="2"/>
        <v>122</v>
      </c>
      <c r="I47" s="950">
        <f t="shared" ca="1" si="16"/>
        <v>1.49E-2</v>
      </c>
      <c r="J47" s="122">
        <f ca="1">IF(J$3=0,DPL25Summary!H47,DPL25Summary!H47/J$3)</f>
        <v>204</v>
      </c>
      <c r="K47" s="910">
        <f t="shared" ca="1" si="17"/>
        <v>7.4999999999999997E-2</v>
      </c>
      <c r="L47" s="122">
        <f>IF(L$3=0,DPL25Summary!J47,DPL25Summary!J47/L$3)</f>
        <v>0</v>
      </c>
      <c r="M47" s="907" t="e">
        <f t="shared" si="3"/>
        <v>#REF!</v>
      </c>
      <c r="N47" s="122">
        <f>IF(N$3=0,DPL25Summary!L47,DPL25Summary!L47/N$3)</f>
        <v>0</v>
      </c>
      <c r="O47" s="907" t="e">
        <f t="shared" si="4"/>
        <v>#REF!</v>
      </c>
      <c r="P47" s="361">
        <f t="shared" ca="1" si="5"/>
        <v>204</v>
      </c>
      <c r="Q47" s="950" t="e">
        <f t="shared" ca="1" si="18"/>
        <v>#REF!</v>
      </c>
      <c r="R47" s="122">
        <f>IF(R$3=0,DPL25Summary!N47,DPL25Summary!N47/R$3)</f>
        <v>0</v>
      </c>
      <c r="S47" s="907" t="e">
        <f t="shared" si="6"/>
        <v>#REF!</v>
      </c>
      <c r="T47" s="122">
        <f>IF(T$3=0,DPL25Summary!P47,DPL25Summary!P47/T$3)</f>
        <v>0</v>
      </c>
      <c r="U47" s="907" t="e">
        <f t="shared" si="7"/>
        <v>#REF!</v>
      </c>
      <c r="V47" s="122">
        <f>IF(V$3=0,DPL25Summary!R47,DPL25Summary!R47/V$3)</f>
        <v>0</v>
      </c>
      <c r="W47" s="910" t="e">
        <f t="shared" si="8"/>
        <v>#REF!</v>
      </c>
      <c r="X47" s="361">
        <f>+SUM(R47+T47+V47)</f>
        <v>0</v>
      </c>
      <c r="Y47" s="950" t="e">
        <f t="shared" si="19"/>
        <v>#REF!</v>
      </c>
      <c r="Z47" s="122">
        <f>IF(Z$3=0,DPL25Summary!T47,DPL25Summary!T47/Z$3)</f>
        <v>0</v>
      </c>
      <c r="AA47" s="122">
        <f>IF(AA$3=0,DPL25Summary!V47,DPL25Summary!V47/AA$3)</f>
        <v>0</v>
      </c>
      <c r="AB47" s="122">
        <f>IF(AB$3=0,DPL25Summary!X47,DPL25Summary!X47/AB$3)</f>
        <v>0</v>
      </c>
      <c r="AC47" s="123">
        <f t="shared" ca="1" si="10"/>
        <v>326</v>
      </c>
      <c r="AD47" s="241" t="e">
        <f t="shared" ca="1" si="11"/>
        <v>#REF!</v>
      </c>
      <c r="AE47" s="104">
        <f>SUM('DPL24-Budget'!B47:$B47)</f>
        <v>0</v>
      </c>
      <c r="AF47" s="929">
        <f t="shared" si="12"/>
        <v>0</v>
      </c>
      <c r="AG47" s="169">
        <f t="shared" ca="1" si="0"/>
        <v>326</v>
      </c>
      <c r="AH47" s="725">
        <f t="shared" si="20"/>
        <v>0</v>
      </c>
    </row>
    <row r="48" spans="1:34" s="4" customFormat="1">
      <c r="A48" s="757"/>
      <c r="B48" s="14"/>
      <c r="C48" s="902"/>
      <c r="D48" s="14"/>
      <c r="E48" s="902"/>
      <c r="F48" s="14"/>
      <c r="G48" s="902"/>
      <c r="H48" s="949"/>
      <c r="I48" s="949"/>
      <c r="J48" s="14"/>
      <c r="K48" s="14"/>
      <c r="L48" s="14"/>
      <c r="M48" s="907" t="e">
        <f t="shared" si="3"/>
        <v>#REF!</v>
      </c>
      <c r="N48" s="14"/>
      <c r="O48" s="907" t="e">
        <f t="shared" si="4"/>
        <v>#REF!</v>
      </c>
      <c r="P48" s="949"/>
      <c r="Q48" s="949"/>
      <c r="R48" s="14"/>
      <c r="S48" s="907" t="e">
        <f t="shared" si="6"/>
        <v>#REF!</v>
      </c>
      <c r="T48" s="14"/>
      <c r="U48" s="907" t="e">
        <f t="shared" si="7"/>
        <v>#REF!</v>
      </c>
      <c r="V48" s="14"/>
      <c r="W48" s="910" t="e">
        <f t="shared" si="8"/>
        <v>#REF!</v>
      </c>
      <c r="X48" s="949"/>
      <c r="Y48" s="949"/>
      <c r="Z48" s="14"/>
      <c r="AA48" s="14"/>
      <c r="AB48" s="14"/>
      <c r="AC48" s="15"/>
      <c r="AD48" s="239"/>
      <c r="AE48" s="106"/>
      <c r="AF48" s="929">
        <f t="shared" si="12"/>
        <v>0</v>
      </c>
      <c r="AG48" s="169">
        <f t="shared" si="0"/>
        <v>0</v>
      </c>
      <c r="AH48" s="725">
        <f t="shared" si="20"/>
        <v>0</v>
      </c>
    </row>
    <row r="49" spans="1:34" s="1" customFormat="1" ht="13.5" thickBot="1">
      <c r="A49" s="6" t="s">
        <v>407</v>
      </c>
      <c r="B49" s="16">
        <f ca="1">SUM(B16:B48)</f>
        <v>475</v>
      </c>
      <c r="C49" s="304">
        <f ca="1">+B49/$B$13</f>
        <v>0.17</v>
      </c>
      <c r="D49" s="16">
        <f ca="1">SUM(D16:D48)</f>
        <v>126</v>
      </c>
      <c r="E49" s="304">
        <f ca="1">+D49/$D$13</f>
        <v>0.05</v>
      </c>
      <c r="F49" s="16">
        <f ca="1">SUM(F16:F48)</f>
        <v>126</v>
      </c>
      <c r="G49" s="304">
        <f ca="1">+F49/$F$13</f>
        <v>0.05</v>
      </c>
      <c r="H49" s="362">
        <f ca="1">+SUM(B49+D49+F49)</f>
        <v>727</v>
      </c>
      <c r="I49" s="369">
        <f ca="1">+H49/$H$13</f>
        <v>0.09</v>
      </c>
      <c r="J49" s="16">
        <f ca="1">SUM(J16:J48)</f>
        <v>2060</v>
      </c>
      <c r="K49" s="910">
        <f ca="1">+J49/$J$13</f>
        <v>0.755</v>
      </c>
      <c r="L49" s="16">
        <f>SUM(L16:L48)</f>
        <v>0</v>
      </c>
      <c r="M49" s="907" t="e">
        <f t="shared" si="3"/>
        <v>#REF!</v>
      </c>
      <c r="N49" s="16">
        <f>SUM(N16:N48)</f>
        <v>0</v>
      </c>
      <c r="O49" s="907" t="e">
        <f t="shared" si="4"/>
        <v>#REF!</v>
      </c>
      <c r="P49" s="362">
        <f ca="1">+SUM(J49+L49+N49)</f>
        <v>2060</v>
      </c>
      <c r="Q49" s="369" t="e">
        <f ca="1">+P49/$P$13</f>
        <v>#REF!</v>
      </c>
      <c r="R49" s="16">
        <f>SUM(R16:R48)</f>
        <v>0</v>
      </c>
      <c r="S49" s="907" t="e">
        <f t="shared" si="6"/>
        <v>#REF!</v>
      </c>
      <c r="T49" s="16">
        <f>SUM(T16:T48)</f>
        <v>0</v>
      </c>
      <c r="U49" s="907" t="e">
        <f t="shared" si="7"/>
        <v>#REF!</v>
      </c>
      <c r="V49" s="16">
        <f>SUM(V16:V48)</f>
        <v>0</v>
      </c>
      <c r="W49" s="910" t="e">
        <f t="shared" si="8"/>
        <v>#REF!</v>
      </c>
      <c r="X49" s="362">
        <f>+SUM(R49+T49+V49)</f>
        <v>0</v>
      </c>
      <c r="Y49" s="369" t="e">
        <f>+X49/$X$13</f>
        <v>#REF!</v>
      </c>
      <c r="Z49" s="16">
        <f>SUM(Z16:Z48)</f>
        <v>0</v>
      </c>
      <c r="AA49" s="16">
        <f>SUM(AA16:AA48)</f>
        <v>0</v>
      </c>
      <c r="AB49" s="16">
        <f>SUM(AB16:AB48)</f>
        <v>0</v>
      </c>
      <c r="AC49" s="16">
        <f ca="1">SUM(AC16:AC48)</f>
        <v>2787</v>
      </c>
      <c r="AD49" s="241" t="e">
        <f ca="1">+AC49/$AC$13</f>
        <v>#REF!</v>
      </c>
      <c r="AE49" s="107">
        <f>SUM(AE16:AE48)</f>
        <v>564305</v>
      </c>
      <c r="AF49" s="929">
        <f t="shared" si="12"/>
        <v>0.49630000000000002</v>
      </c>
      <c r="AG49" s="169">
        <f t="shared" ca="1" si="0"/>
        <v>-561518</v>
      </c>
      <c r="AH49" s="725">
        <f t="shared" si="20"/>
        <v>0.496</v>
      </c>
    </row>
    <row r="50" spans="1:34" ht="13.5" thickTop="1">
      <c r="A50" s="118" t="s">
        <v>408</v>
      </c>
      <c r="B50" s="156">
        <f ca="1">+B13-B49</f>
        <v>2253</v>
      </c>
      <c r="C50" s="236"/>
      <c r="D50" s="156">
        <f ca="1">+D13-D49</f>
        <v>2602</v>
      </c>
      <c r="E50" s="236"/>
      <c r="F50" s="156">
        <f ca="1">+F13-F49</f>
        <v>2602</v>
      </c>
      <c r="G50" s="236"/>
      <c r="H50" s="218">
        <f ca="1">+H13-H49</f>
        <v>7457</v>
      </c>
      <c r="I50" s="218"/>
      <c r="J50" s="156">
        <f ca="1">+J13-J49</f>
        <v>668</v>
      </c>
      <c r="K50" s="156"/>
      <c r="L50" s="156" t="e">
        <f>+L13-L49</f>
        <v>#REF!</v>
      </c>
      <c r="M50" s="156"/>
      <c r="N50" s="156" t="e">
        <f>+N13-N49</f>
        <v>#REF!</v>
      </c>
      <c r="O50" s="156"/>
      <c r="P50" s="218" t="e">
        <f ca="1">+P13-P49</f>
        <v>#REF!</v>
      </c>
      <c r="Q50" s="218"/>
      <c r="R50" s="156" t="e">
        <f>+R13-R49</f>
        <v>#REF!</v>
      </c>
      <c r="S50" s="156"/>
      <c r="T50" s="156" t="e">
        <f>+T13-T49</f>
        <v>#REF!</v>
      </c>
      <c r="U50" s="156"/>
      <c r="V50" s="156" t="e">
        <f>+V13-V49</f>
        <v>#REF!</v>
      </c>
      <c r="W50" s="354"/>
      <c r="X50" s="218" t="e">
        <f>+X13-X49</f>
        <v>#REF!</v>
      </c>
      <c r="Y50" s="218"/>
      <c r="Z50" s="156" t="e">
        <f>+Z13-Z49</f>
        <v>#REF!</v>
      </c>
      <c r="AA50" s="156" t="e">
        <f>+AA13-AA49</f>
        <v>#REF!</v>
      </c>
      <c r="AB50" s="156" t="e">
        <f>+AB13-AB49</f>
        <v>#REF!</v>
      </c>
      <c r="AC50" s="156" t="e">
        <f ca="1">+AC13-AC49</f>
        <v>#REF!</v>
      </c>
      <c r="AE50" s="104"/>
      <c r="AF50" s="104"/>
      <c r="AH50" s="149"/>
    </row>
    <row r="51" spans="1:34">
      <c r="A51" s="6" t="s">
        <v>409</v>
      </c>
      <c r="B51" s="191">
        <f ca="1">+B50/B13</f>
        <v>0.83</v>
      </c>
      <c r="C51" s="249"/>
      <c r="D51" s="191">
        <f ca="1">+D50/D13</f>
        <v>0.95</v>
      </c>
      <c r="E51" s="249"/>
      <c r="F51" s="191">
        <f ca="1">+F50/F13</f>
        <v>0.95</v>
      </c>
      <c r="G51" s="249"/>
      <c r="H51" s="363">
        <f ca="1">+H50/H13</f>
        <v>0.91</v>
      </c>
      <c r="I51" s="363"/>
      <c r="J51" s="191">
        <f ca="1">+J50/J13</f>
        <v>0.24</v>
      </c>
      <c r="K51" s="249"/>
      <c r="L51" s="191" t="e">
        <f>+L50/L13</f>
        <v>#REF!</v>
      </c>
      <c r="M51" s="249"/>
      <c r="N51" s="191" t="e">
        <f>+N50/N13</f>
        <v>#REF!</v>
      </c>
      <c r="O51" s="249"/>
      <c r="P51" s="363" t="e">
        <f ca="1">+P50/P13</f>
        <v>#REF!</v>
      </c>
      <c r="Q51" s="363"/>
      <c r="R51" s="191" t="e">
        <f>+R50/R13</f>
        <v>#REF!</v>
      </c>
      <c r="S51" s="191"/>
      <c r="T51" s="191" t="e">
        <f>+T50/T13</f>
        <v>#REF!</v>
      </c>
      <c r="U51" s="191"/>
      <c r="V51" s="191" t="e">
        <f>+V50/V13</f>
        <v>#REF!</v>
      </c>
      <c r="W51" s="355"/>
      <c r="X51" s="363" t="e">
        <f>+X50/X13</f>
        <v>#REF!</v>
      </c>
      <c r="Y51" s="363"/>
      <c r="Z51" s="191" t="e">
        <f>+Z50/Z13</f>
        <v>#REF!</v>
      </c>
      <c r="AA51" s="191" t="e">
        <f>+AA50/AA13</f>
        <v>#REF!</v>
      </c>
      <c r="AB51" s="191" t="e">
        <f>+AB50/AB13</f>
        <v>#REF!</v>
      </c>
      <c r="AC51" s="191" t="e">
        <f ca="1">+AC50/AC13</f>
        <v>#REF!</v>
      </c>
      <c r="AE51" s="104"/>
      <c r="AF51" s="104"/>
      <c r="AH51" s="149"/>
    </row>
    <row r="52" spans="1:34">
      <c r="A52" s="6" t="s">
        <v>594</v>
      </c>
      <c r="B52" s="20"/>
      <c r="C52" s="902"/>
      <c r="D52" s="20"/>
      <c r="E52" s="902"/>
      <c r="F52" s="20"/>
      <c r="G52" s="902"/>
      <c r="H52" s="949"/>
      <c r="I52" s="949"/>
      <c r="J52" s="20"/>
      <c r="K52" s="20"/>
      <c r="L52" s="20"/>
      <c r="M52" s="20"/>
      <c r="N52" s="20"/>
      <c r="O52" s="20"/>
      <c r="P52" s="949"/>
      <c r="Q52" s="949"/>
      <c r="R52" s="20"/>
      <c r="S52" s="20"/>
      <c r="T52" s="20"/>
      <c r="U52" s="20"/>
      <c r="V52" s="20"/>
      <c r="W52" s="356"/>
      <c r="X52" s="949"/>
      <c r="Y52" s="949"/>
      <c r="Z52" s="20"/>
      <c r="AA52" s="20"/>
      <c r="AB52" s="28"/>
      <c r="AC52" s="15">
        <f>SUM(B52:AB52)</f>
        <v>0</v>
      </c>
      <c r="AE52" s="104"/>
      <c r="AF52" s="104"/>
      <c r="AH52" s="149"/>
    </row>
    <row r="53" spans="1:34">
      <c r="A53" s="757" t="s">
        <v>595</v>
      </c>
      <c r="B53" s="14">
        <f>IF(B$3=0,DPL25Summary!B53,DPL25Summary!B53/B$3)</f>
        <v>0</v>
      </c>
      <c r="C53" s="909">
        <f ca="1">+B53/$B$13</f>
        <v>0</v>
      </c>
      <c r="D53" s="14">
        <f>IF(D$3=0,DPL25Summary!D53,DPL25Summary!D53/D$3)</f>
        <v>0</v>
      </c>
      <c r="E53" s="909">
        <f ca="1">+D53/$D$13</f>
        <v>0</v>
      </c>
      <c r="F53" s="14">
        <f>IF(F$3=0,DPL25Summary!F53,DPL25Summary!F53/F$3)</f>
        <v>0</v>
      </c>
      <c r="G53" s="909">
        <f ca="1">+F53/$F$13</f>
        <v>0</v>
      </c>
      <c r="H53" s="361">
        <f t="shared" ref="H53:H70" si="21">+SUM(B53+D53+F53)</f>
        <v>0</v>
      </c>
      <c r="I53" s="950">
        <f ca="1">+H53/$H$13</f>
        <v>0</v>
      </c>
      <c r="J53" s="14">
        <f>IF(J$3=0,DPL25Summary!H53,DPL25Summary!H53/J$3)</f>
        <v>0</v>
      </c>
      <c r="K53" s="910">
        <f t="shared" ref="K53:K72" ca="1" si="22">+J53/$J$13</f>
        <v>0</v>
      </c>
      <c r="L53" s="14">
        <f>IF(L$3=0,DPL25Summary!J53,DPL25Summary!J53/L$3)</f>
        <v>0</v>
      </c>
      <c r="M53" s="907" t="e">
        <f t="shared" ref="M53:M72" si="23">+L53/$L$13</f>
        <v>#REF!</v>
      </c>
      <c r="N53" s="14">
        <f>IF(N$3=0,DPL25Summary!L53,DPL25Summary!L53/N$3)</f>
        <v>0</v>
      </c>
      <c r="O53" s="907" t="e">
        <f t="shared" ref="O53:O72" si="24">+N53/$N$13</f>
        <v>#REF!</v>
      </c>
      <c r="P53" s="361">
        <f t="shared" ref="P53:P70" si="25">+SUM(J53+L53+N53)</f>
        <v>0</v>
      </c>
      <c r="Q53" s="950" t="e">
        <f ca="1">+P53/$P$13</f>
        <v>#REF!</v>
      </c>
      <c r="R53" s="14">
        <f>IF(R$3=0,DPL25Summary!N53,DPL25Summary!N53/R$3)</f>
        <v>0</v>
      </c>
      <c r="S53" s="907" t="e">
        <f t="shared" ref="S53:S72" si="26">+R53/$R$13</f>
        <v>#REF!</v>
      </c>
      <c r="T53" s="14">
        <f>IF(T$3=0,DPL25Summary!P53,DPL25Summary!P53/T$3)</f>
        <v>0</v>
      </c>
      <c r="U53" s="910" t="e">
        <f t="shared" ref="U53:U72" si="27">+T53/$T$13</f>
        <v>#REF!</v>
      </c>
      <c r="V53" s="14">
        <f>IF(V$3=0,DPL25Summary!R53,DPL25Summary!R53/V$3)</f>
        <v>0</v>
      </c>
      <c r="W53" s="910" t="e">
        <f t="shared" ref="W53:W72" si="28">+V53/$V$13</f>
        <v>#REF!</v>
      </c>
      <c r="X53" s="361">
        <f t="shared" ref="X53:X70" si="29">+SUM(R53+T53+V53)</f>
        <v>0</v>
      </c>
      <c r="Y53" s="950" t="e">
        <f>+X53/$X$13</f>
        <v>#REF!</v>
      </c>
      <c r="Z53" s="14">
        <f>IF(Z$3=0,DPL25Summary!T53,DPL25Summary!T53/Z$3)</f>
        <v>0</v>
      </c>
      <c r="AA53" s="14">
        <f>IF(AA$3=0,DPL25Summary!V53,DPL25Summary!V53/AA$3)</f>
        <v>0</v>
      </c>
      <c r="AB53" s="14">
        <f>IF(AB$3=0,DPL25Summary!X53,DPL25Summary!X53/AB$3)</f>
        <v>0</v>
      </c>
      <c r="AC53" s="15">
        <f t="shared" ref="AC53:AC70" si="30">+B53+D53+F53+J53+L53+N53+R53+T53+V53+Z53+AA53+AB53</f>
        <v>0</v>
      </c>
      <c r="AD53" s="242" t="e">
        <f t="shared" ref="AD53:AD72" ca="1" si="31">+AC53/$AC$13</f>
        <v>#REF!</v>
      </c>
      <c r="AE53" s="104">
        <f>SUM('DPL24-Budget'!B53:$B53)</f>
        <v>16917</v>
      </c>
      <c r="AF53" s="929">
        <f t="shared" ref="AF53:AF72" si="32">+AE53/$AE$13</f>
        <v>1.49E-2</v>
      </c>
      <c r="AG53" s="169">
        <f>+AC53-AE53</f>
        <v>-16917</v>
      </c>
      <c r="AH53" s="149"/>
    </row>
    <row r="54" spans="1:34">
      <c r="A54" s="757" t="s">
        <v>596</v>
      </c>
      <c r="B54" s="14">
        <f>IF(B$3=0,DPL25Summary!B54,DPL25Summary!B54/B$3)</f>
        <v>0</v>
      </c>
      <c r="C54" s="909">
        <f t="shared" ref="C54:C72" ca="1" si="33">+B54/$B$13</f>
        <v>0</v>
      </c>
      <c r="D54" s="14">
        <f>IF(D$3=0,DPL25Summary!D54,DPL25Summary!D54/D$3)</f>
        <v>0</v>
      </c>
      <c r="E54" s="909">
        <f t="shared" ref="E54:E70" ca="1" si="34">+D54/$D$13</f>
        <v>0</v>
      </c>
      <c r="F54" s="14">
        <f>IF(F$3=0,DPL25Summary!F54,DPL25Summary!F54/F$3)</f>
        <v>0</v>
      </c>
      <c r="G54" s="909">
        <f t="shared" ref="G54:G70" ca="1" si="35">+F54/$F$13</f>
        <v>0</v>
      </c>
      <c r="H54" s="361">
        <f t="shared" si="21"/>
        <v>0</v>
      </c>
      <c r="I54" s="950">
        <f t="shared" ref="I54:I70" ca="1" si="36">+H54/$H$13</f>
        <v>0</v>
      </c>
      <c r="J54" s="14">
        <f>IF(J$3=0,DPL25Summary!H54,DPL25Summary!H54/J$3)</f>
        <v>0</v>
      </c>
      <c r="K54" s="910">
        <f t="shared" ca="1" si="22"/>
        <v>0</v>
      </c>
      <c r="L54" s="14">
        <f>IF(L$3=0,DPL25Summary!J54,DPL25Summary!J54/L$3)</f>
        <v>0</v>
      </c>
      <c r="M54" s="907" t="e">
        <f t="shared" si="23"/>
        <v>#REF!</v>
      </c>
      <c r="N54" s="14">
        <f>IF(N$3=0,DPL25Summary!L54,DPL25Summary!L54/N$3)</f>
        <v>0</v>
      </c>
      <c r="O54" s="907" t="e">
        <f t="shared" si="24"/>
        <v>#REF!</v>
      </c>
      <c r="P54" s="361">
        <f t="shared" si="25"/>
        <v>0</v>
      </c>
      <c r="Q54" s="950" t="e">
        <f t="shared" ref="Q54:Q70" ca="1" si="37">+P54/$P$13</f>
        <v>#REF!</v>
      </c>
      <c r="R54" s="14">
        <f>IF(R$3=0,DPL25Summary!N54,DPL25Summary!N54/R$3)</f>
        <v>0</v>
      </c>
      <c r="S54" s="907" t="e">
        <f t="shared" si="26"/>
        <v>#REF!</v>
      </c>
      <c r="T54" s="14">
        <f>IF(T$3=0,DPL25Summary!P54,DPL25Summary!P54/T$3)</f>
        <v>0</v>
      </c>
      <c r="U54" s="910" t="e">
        <f t="shared" si="27"/>
        <v>#REF!</v>
      </c>
      <c r="V54" s="14">
        <f>IF(V$3=0,DPL25Summary!R54,DPL25Summary!R54/V$3)</f>
        <v>0</v>
      </c>
      <c r="W54" s="910" t="e">
        <f t="shared" si="28"/>
        <v>#REF!</v>
      </c>
      <c r="X54" s="361">
        <f t="shared" si="29"/>
        <v>0</v>
      </c>
      <c r="Y54" s="950" t="e">
        <f t="shared" ref="Y54:Y70" si="38">+X54/$X$13</f>
        <v>#REF!</v>
      </c>
      <c r="Z54" s="14">
        <f>IF(Z$3=0,DPL25Summary!T54,DPL25Summary!T54/Z$3)</f>
        <v>0</v>
      </c>
      <c r="AA54" s="14">
        <f>IF(AA$3=0,DPL25Summary!V54,DPL25Summary!V54/AA$3)</f>
        <v>0</v>
      </c>
      <c r="AB54" s="14">
        <f>IF(AB$3=0,DPL25Summary!X54,DPL25Summary!X54/AB$3)</f>
        <v>0</v>
      </c>
      <c r="AC54" s="15">
        <f t="shared" si="30"/>
        <v>0</v>
      </c>
      <c r="AD54" s="242" t="e">
        <f t="shared" ca="1" si="31"/>
        <v>#REF!</v>
      </c>
      <c r="AE54" s="104">
        <f>SUM('DPL24-Budget'!B54:$B54)</f>
        <v>12963</v>
      </c>
      <c r="AF54" s="929">
        <f t="shared" si="32"/>
        <v>1.14E-2</v>
      </c>
      <c r="AG54" s="169">
        <f t="shared" ref="AG54:AG89" si="39">+AC54-AE54</f>
        <v>-12963</v>
      </c>
      <c r="AH54" s="149"/>
    </row>
    <row r="55" spans="1:34" s="4" customFormat="1">
      <c r="A55" s="757" t="s">
        <v>597</v>
      </c>
      <c r="B55" s="14">
        <f>IF(B$3=0,DPL25Summary!B55,DPL25Summary!B55/B$3)</f>
        <v>0</v>
      </c>
      <c r="C55" s="909">
        <f t="shared" ca="1" si="33"/>
        <v>0</v>
      </c>
      <c r="D55" s="14">
        <f>IF(D$3=0,DPL25Summary!D55,DPL25Summary!D55/D$3)</f>
        <v>0</v>
      </c>
      <c r="E55" s="909">
        <f t="shared" ca="1" si="34"/>
        <v>0</v>
      </c>
      <c r="F55" s="14">
        <f>IF(F$3=0,DPL25Summary!F55,DPL25Summary!F55/F$3)</f>
        <v>0</v>
      </c>
      <c r="G55" s="909">
        <f t="shared" ca="1" si="35"/>
        <v>0</v>
      </c>
      <c r="H55" s="361">
        <f t="shared" si="21"/>
        <v>0</v>
      </c>
      <c r="I55" s="950">
        <f t="shared" ca="1" si="36"/>
        <v>0</v>
      </c>
      <c r="J55" s="14">
        <f>IF(J$3=0,DPL25Summary!H55,DPL25Summary!H55/J$3)</f>
        <v>0</v>
      </c>
      <c r="K55" s="910">
        <f t="shared" ca="1" si="22"/>
        <v>0</v>
      </c>
      <c r="L55" s="14">
        <f>IF(L$3=0,DPL25Summary!J55,DPL25Summary!J55/L$3)</f>
        <v>0</v>
      </c>
      <c r="M55" s="907" t="e">
        <f t="shared" si="23"/>
        <v>#REF!</v>
      </c>
      <c r="N55" s="14">
        <f>IF(N$3=0,DPL25Summary!L55,DPL25Summary!L55/N$3)</f>
        <v>0</v>
      </c>
      <c r="O55" s="907" t="e">
        <f t="shared" si="24"/>
        <v>#REF!</v>
      </c>
      <c r="P55" s="361">
        <f t="shared" si="25"/>
        <v>0</v>
      </c>
      <c r="Q55" s="950" t="e">
        <f t="shared" ca="1" si="37"/>
        <v>#REF!</v>
      </c>
      <c r="R55" s="14">
        <f>IF(R$3=0,DPL25Summary!N55,DPL25Summary!N55/R$3)</f>
        <v>0</v>
      </c>
      <c r="S55" s="907" t="e">
        <f t="shared" si="26"/>
        <v>#REF!</v>
      </c>
      <c r="T55" s="14">
        <f>IF(T$3=0,DPL25Summary!P55,DPL25Summary!P55/T$3)</f>
        <v>0</v>
      </c>
      <c r="U55" s="910" t="e">
        <f t="shared" si="27"/>
        <v>#REF!</v>
      </c>
      <c r="V55" s="14">
        <f>IF(V$3=0,DPL25Summary!R55,DPL25Summary!R55/V$3)</f>
        <v>0</v>
      </c>
      <c r="W55" s="910" t="e">
        <f t="shared" si="28"/>
        <v>#REF!</v>
      </c>
      <c r="X55" s="361">
        <f t="shared" si="29"/>
        <v>0</v>
      </c>
      <c r="Y55" s="950" t="e">
        <f t="shared" si="38"/>
        <v>#REF!</v>
      </c>
      <c r="Z55" s="14">
        <f>IF(Z$3=0,DPL25Summary!T55,DPL25Summary!T55/Z$3)</f>
        <v>0</v>
      </c>
      <c r="AA55" s="14">
        <f>IF(AA$3=0,DPL25Summary!V55,DPL25Summary!V55/AA$3)</f>
        <v>0</v>
      </c>
      <c r="AB55" s="14">
        <f>IF(AB$3=0,DPL25Summary!X55,DPL25Summary!X55/AB$3)</f>
        <v>0</v>
      </c>
      <c r="AC55" s="15">
        <f t="shared" si="30"/>
        <v>0</v>
      </c>
      <c r="AD55" s="242" t="e">
        <f t="shared" ca="1" si="31"/>
        <v>#REF!</v>
      </c>
      <c r="AE55" s="104">
        <f>SUM('DPL24-Budget'!B55:$B55)</f>
        <v>381</v>
      </c>
      <c r="AF55" s="929">
        <f t="shared" si="32"/>
        <v>2.9999999999999997E-4</v>
      </c>
      <c r="AG55" s="169">
        <f t="shared" si="39"/>
        <v>-381</v>
      </c>
      <c r="AH55" s="150"/>
    </row>
    <row r="56" spans="1:34" s="4" customFormat="1">
      <c r="A56" s="757" t="s">
        <v>598</v>
      </c>
      <c r="B56" s="14">
        <f>IF(B$3=0,DPL25Summary!B56,DPL25Summary!B56/B$3)</f>
        <v>1000</v>
      </c>
      <c r="C56" s="909">
        <f t="shared" ca="1" si="33"/>
        <v>0.36659999999999998</v>
      </c>
      <c r="D56" s="14">
        <f>IF(D$3=0,DPL25Summary!D56,DPL25Summary!D56/D$3)</f>
        <v>1000</v>
      </c>
      <c r="E56" s="909">
        <f t="shared" ca="1" si="34"/>
        <v>0.36659999999999998</v>
      </c>
      <c r="F56" s="14">
        <f>IF(F$3=0,DPL25Summary!F56,DPL25Summary!F56/F$3)</f>
        <v>1000</v>
      </c>
      <c r="G56" s="909">
        <f t="shared" ca="1" si="35"/>
        <v>0.36659999999999998</v>
      </c>
      <c r="H56" s="361">
        <f t="shared" si="21"/>
        <v>3000</v>
      </c>
      <c r="I56" s="950">
        <f t="shared" ca="1" si="36"/>
        <v>0.36659999999999998</v>
      </c>
      <c r="J56" s="14">
        <f>IF(J$3=0,DPL25Summary!H56,DPL25Summary!H56/J$3)</f>
        <v>1000</v>
      </c>
      <c r="K56" s="910">
        <f t="shared" ca="1" si="22"/>
        <v>0.36699999999999999</v>
      </c>
      <c r="L56" s="14">
        <f>IF(L$3=0,DPL25Summary!J56,DPL25Summary!J56/L$3)</f>
        <v>1000</v>
      </c>
      <c r="M56" s="907" t="e">
        <f t="shared" si="23"/>
        <v>#REF!</v>
      </c>
      <c r="N56" s="14">
        <f>IF(N$3=0,DPL25Summary!L56,DPL25Summary!L56/N$3)</f>
        <v>1000</v>
      </c>
      <c r="O56" s="907" t="e">
        <f t="shared" si="24"/>
        <v>#REF!</v>
      </c>
      <c r="P56" s="361">
        <f t="shared" si="25"/>
        <v>3000</v>
      </c>
      <c r="Q56" s="950" t="e">
        <f t="shared" ca="1" si="37"/>
        <v>#REF!</v>
      </c>
      <c r="R56" s="14">
        <f>IF(R$3=0,DPL25Summary!N56,DPL25Summary!N56/R$3)</f>
        <v>1000</v>
      </c>
      <c r="S56" s="907" t="e">
        <f t="shared" si="26"/>
        <v>#REF!</v>
      </c>
      <c r="T56" s="14">
        <f>IF(T$3=0,DPL25Summary!P56,DPL25Summary!P56/T$3)</f>
        <v>1000</v>
      </c>
      <c r="U56" s="910" t="e">
        <f t="shared" si="27"/>
        <v>#REF!</v>
      </c>
      <c r="V56" s="14">
        <f>IF(V$3=0,DPL25Summary!R56,DPL25Summary!R56/V$3)</f>
        <v>1000</v>
      </c>
      <c r="W56" s="910" t="e">
        <f t="shared" si="28"/>
        <v>#REF!</v>
      </c>
      <c r="X56" s="361">
        <f t="shared" si="29"/>
        <v>3000</v>
      </c>
      <c r="Y56" s="950" t="e">
        <f t="shared" si="38"/>
        <v>#REF!</v>
      </c>
      <c r="Z56" s="14">
        <f>IF(Z$3=0,DPL25Summary!T56,DPL25Summary!T56/Z$3)</f>
        <v>1000</v>
      </c>
      <c r="AA56" s="14">
        <f>IF(AA$3=0,DPL25Summary!V56,DPL25Summary!V56/AA$3)</f>
        <v>1000</v>
      </c>
      <c r="AB56" s="14">
        <f>IF(AB$3=0,DPL25Summary!X56,DPL25Summary!X56/AB$3)</f>
        <v>1000</v>
      </c>
      <c r="AC56" s="15">
        <f t="shared" si="30"/>
        <v>12000</v>
      </c>
      <c r="AD56" s="242" t="e">
        <f t="shared" ca="1" si="31"/>
        <v>#REF!</v>
      </c>
      <c r="AE56" s="104">
        <f>SUM('DPL24-Budget'!B56:$B56)</f>
        <v>4615</v>
      </c>
      <c r="AF56" s="929">
        <f t="shared" si="32"/>
        <v>4.1000000000000003E-3</v>
      </c>
      <c r="AG56" s="169">
        <f t="shared" si="39"/>
        <v>7385</v>
      </c>
      <c r="AH56" s="150"/>
    </row>
    <row r="57" spans="1:34" s="4" customFormat="1">
      <c r="A57" s="757" t="s">
        <v>599</v>
      </c>
      <c r="B57" s="14">
        <f>IF(B$3=0,DPL25Summary!B57,DPL25Summary!B57/B$3)</f>
        <v>0</v>
      </c>
      <c r="C57" s="909">
        <f t="shared" ca="1" si="33"/>
        <v>0</v>
      </c>
      <c r="D57" s="14">
        <f>IF(D$3=0,DPL25Summary!D57,DPL25Summary!D57/D$3)</f>
        <v>0</v>
      </c>
      <c r="E57" s="909">
        <f t="shared" ca="1" si="34"/>
        <v>0</v>
      </c>
      <c r="F57" s="14">
        <f>IF(F$3=0,DPL25Summary!F57,DPL25Summary!F57/F$3)</f>
        <v>0</v>
      </c>
      <c r="G57" s="909">
        <f t="shared" ca="1" si="35"/>
        <v>0</v>
      </c>
      <c r="H57" s="361">
        <f t="shared" si="21"/>
        <v>0</v>
      </c>
      <c r="I57" s="950">
        <f t="shared" ca="1" si="36"/>
        <v>0</v>
      </c>
      <c r="J57" s="14">
        <f>IF(J$3=0,DPL25Summary!H57,DPL25Summary!H57/J$3)</f>
        <v>0</v>
      </c>
      <c r="K57" s="910">
        <f t="shared" ca="1" si="22"/>
        <v>0</v>
      </c>
      <c r="L57" s="14">
        <f>IF(L$3=0,DPL25Summary!J57,DPL25Summary!J57/L$3)</f>
        <v>0</v>
      </c>
      <c r="M57" s="907" t="e">
        <f t="shared" si="23"/>
        <v>#REF!</v>
      </c>
      <c r="N57" s="14">
        <f>IF(N$3=0,DPL25Summary!L57,DPL25Summary!L57/N$3)</f>
        <v>0</v>
      </c>
      <c r="O57" s="907" t="e">
        <f t="shared" si="24"/>
        <v>#REF!</v>
      </c>
      <c r="P57" s="361">
        <f t="shared" si="25"/>
        <v>0</v>
      </c>
      <c r="Q57" s="950" t="e">
        <f t="shared" ca="1" si="37"/>
        <v>#REF!</v>
      </c>
      <c r="R57" s="14">
        <f>IF(R$3=0,DPL25Summary!N57,DPL25Summary!N57/R$3)</f>
        <v>0</v>
      </c>
      <c r="S57" s="907" t="e">
        <f t="shared" si="26"/>
        <v>#REF!</v>
      </c>
      <c r="T57" s="14">
        <f>IF(T$3=0,DPL25Summary!P57,DPL25Summary!P57/T$3)</f>
        <v>0</v>
      </c>
      <c r="U57" s="910" t="e">
        <f t="shared" si="27"/>
        <v>#REF!</v>
      </c>
      <c r="V57" s="14">
        <f>IF(V$3=0,DPL25Summary!R57,DPL25Summary!R57/V$3)</f>
        <v>0</v>
      </c>
      <c r="W57" s="910" t="e">
        <f t="shared" si="28"/>
        <v>#REF!</v>
      </c>
      <c r="X57" s="361">
        <f t="shared" si="29"/>
        <v>0</v>
      </c>
      <c r="Y57" s="950" t="e">
        <f t="shared" si="38"/>
        <v>#REF!</v>
      </c>
      <c r="Z57" s="14">
        <f>IF(Z$3=0,DPL25Summary!T57,DPL25Summary!T57/Z$3)</f>
        <v>0</v>
      </c>
      <c r="AA57" s="14">
        <f>IF(AA$3=0,DPL25Summary!V57,DPL25Summary!V57/AA$3)</f>
        <v>0</v>
      </c>
      <c r="AB57" s="14">
        <f>IF(AB$3=0,DPL25Summary!X57,DPL25Summary!X57/AB$3)</f>
        <v>0</v>
      </c>
      <c r="AC57" s="15">
        <f t="shared" si="30"/>
        <v>0</v>
      </c>
      <c r="AD57" s="242" t="e">
        <f t="shared" ca="1" si="31"/>
        <v>#REF!</v>
      </c>
      <c r="AE57" s="104">
        <f>SUM('DPL24-Budget'!B57:$B57)</f>
        <v>490</v>
      </c>
      <c r="AF57" s="929">
        <f t="shared" si="32"/>
        <v>4.0000000000000002E-4</v>
      </c>
      <c r="AG57" s="169">
        <f t="shared" si="39"/>
        <v>-490</v>
      </c>
      <c r="AH57" s="150"/>
    </row>
    <row r="58" spans="1:34" s="4" customFormat="1">
      <c r="A58" s="757" t="s">
        <v>600</v>
      </c>
      <c r="B58" s="14">
        <f>IF(B$3=0,DPL25Summary!B58,DPL25Summary!B58/B$3)</f>
        <v>50</v>
      </c>
      <c r="C58" s="909">
        <f t="shared" ca="1" si="33"/>
        <v>1.83E-2</v>
      </c>
      <c r="D58" s="14">
        <f>IF(D$3=0,DPL25Summary!D58,DPL25Summary!D58/D$3)</f>
        <v>50</v>
      </c>
      <c r="E58" s="909">
        <f t="shared" ca="1" si="34"/>
        <v>1.83E-2</v>
      </c>
      <c r="F58" s="14">
        <f>IF(F$3=0,DPL25Summary!F58,DPL25Summary!F58/F$3)</f>
        <v>50</v>
      </c>
      <c r="G58" s="909">
        <f t="shared" ca="1" si="35"/>
        <v>1.83E-2</v>
      </c>
      <c r="H58" s="361">
        <f t="shared" si="21"/>
        <v>150</v>
      </c>
      <c r="I58" s="950">
        <f t="shared" ca="1" si="36"/>
        <v>1.83E-2</v>
      </c>
      <c r="J58" s="14">
        <f>IF(J$3=0,DPL25Summary!H58,DPL25Summary!H58/J$3)</f>
        <v>50</v>
      </c>
      <c r="K58" s="910">
        <f t="shared" ca="1" si="22"/>
        <v>1.7999999999999999E-2</v>
      </c>
      <c r="L58" s="14">
        <f>IF(L$3=0,DPL25Summary!J58,DPL25Summary!J58/L$3)</f>
        <v>50</v>
      </c>
      <c r="M58" s="907" t="e">
        <f t="shared" si="23"/>
        <v>#REF!</v>
      </c>
      <c r="N58" s="14">
        <f>IF(N$3=0,DPL25Summary!L58,DPL25Summary!L58/N$3)</f>
        <v>50</v>
      </c>
      <c r="O58" s="907" t="e">
        <f t="shared" si="24"/>
        <v>#REF!</v>
      </c>
      <c r="P58" s="361">
        <f t="shared" si="25"/>
        <v>150</v>
      </c>
      <c r="Q58" s="950" t="e">
        <f t="shared" ca="1" si="37"/>
        <v>#REF!</v>
      </c>
      <c r="R58" s="14">
        <f>IF(R$3=0,DPL25Summary!N58,DPL25Summary!N58/R$3)</f>
        <v>50</v>
      </c>
      <c r="S58" s="907" t="e">
        <f t="shared" si="26"/>
        <v>#REF!</v>
      </c>
      <c r="T58" s="14">
        <f>IF(T$3=0,DPL25Summary!P58,DPL25Summary!P58/T$3)</f>
        <v>50</v>
      </c>
      <c r="U58" s="910" t="e">
        <f t="shared" si="27"/>
        <v>#REF!</v>
      </c>
      <c r="V58" s="14">
        <f>IF(V$3=0,DPL25Summary!R58,DPL25Summary!R58/V$3)</f>
        <v>50</v>
      </c>
      <c r="W58" s="910" t="e">
        <f t="shared" si="28"/>
        <v>#REF!</v>
      </c>
      <c r="X58" s="361">
        <f t="shared" si="29"/>
        <v>150</v>
      </c>
      <c r="Y58" s="950" t="e">
        <f t="shared" si="38"/>
        <v>#REF!</v>
      </c>
      <c r="Z58" s="14">
        <f>IF(Z$3=0,DPL25Summary!T58,DPL25Summary!T58/Z$3)</f>
        <v>50</v>
      </c>
      <c r="AA58" s="14">
        <f>IF(AA$3=0,DPL25Summary!V58,DPL25Summary!V58/AA$3)</f>
        <v>50</v>
      </c>
      <c r="AB58" s="14">
        <f>IF(AB$3=0,DPL25Summary!X58,DPL25Summary!X58/AB$3)</f>
        <v>50</v>
      </c>
      <c r="AC58" s="15">
        <f t="shared" si="30"/>
        <v>600</v>
      </c>
      <c r="AD58" s="935" t="e">
        <f t="shared" ca="1" si="31"/>
        <v>#REF!</v>
      </c>
      <c r="AE58" s="104">
        <f>SUM('DPL24-Budget'!B58:$B58)</f>
        <v>405</v>
      </c>
      <c r="AF58" s="929">
        <f t="shared" si="32"/>
        <v>4.0000000000000002E-4</v>
      </c>
      <c r="AG58" s="936">
        <f t="shared" si="39"/>
        <v>195</v>
      </c>
      <c r="AH58" s="150"/>
    </row>
    <row r="59" spans="1:34" s="189" customFormat="1">
      <c r="A59" s="933" t="s">
        <v>601</v>
      </c>
      <c r="B59" s="152">
        <f>IF(B$3=0,DPL25Summary!B59,DPL25Summary!B59/B$3)</f>
        <v>0</v>
      </c>
      <c r="C59" s="909">
        <f t="shared" ca="1" si="33"/>
        <v>0</v>
      </c>
      <c r="D59" s="152">
        <f>IF(D$3=0,DPL25Summary!D59,DPL25Summary!D59/D$3)</f>
        <v>0</v>
      </c>
      <c r="E59" s="909">
        <f t="shared" ca="1" si="34"/>
        <v>0</v>
      </c>
      <c r="F59" s="152">
        <f>IF(F$3=0,DPL25Summary!F59,DPL25Summary!F59/F$3)</f>
        <v>0</v>
      </c>
      <c r="G59" s="909">
        <f t="shared" ca="1" si="35"/>
        <v>0</v>
      </c>
      <c r="H59" s="361">
        <f t="shared" si="21"/>
        <v>0</v>
      </c>
      <c r="I59" s="950">
        <f t="shared" ca="1" si="36"/>
        <v>0</v>
      </c>
      <c r="J59" s="152">
        <f>IF(J$3=0,DPL25Summary!H59,DPL25Summary!H59/J$3)</f>
        <v>0</v>
      </c>
      <c r="K59" s="910">
        <f t="shared" ca="1" si="22"/>
        <v>0</v>
      </c>
      <c r="L59" s="152">
        <f>IF(L$3=0,DPL25Summary!J59,DPL25Summary!J59/L$3)</f>
        <v>0</v>
      </c>
      <c r="M59" s="907" t="e">
        <f t="shared" si="23"/>
        <v>#REF!</v>
      </c>
      <c r="N59" s="193">
        <f>IF(N$3=0,DPL25Summary!L59,DPL25Summary!L59/N$3)</f>
        <v>0</v>
      </c>
      <c r="O59" s="907" t="e">
        <f t="shared" si="24"/>
        <v>#REF!</v>
      </c>
      <c r="P59" s="361">
        <f t="shared" si="25"/>
        <v>0</v>
      </c>
      <c r="Q59" s="950" t="e">
        <f t="shared" ca="1" si="37"/>
        <v>#REF!</v>
      </c>
      <c r="R59" s="152">
        <f>IF(R$3=0,DPL25Summary!N59,DPL25Summary!N59/R$3)</f>
        <v>0</v>
      </c>
      <c r="S59" s="907" t="e">
        <f t="shared" si="26"/>
        <v>#REF!</v>
      </c>
      <c r="T59" s="160">
        <f>IF(T$3=0,DPL25Summary!P59,DPL25Summary!P59/T$3)</f>
        <v>0</v>
      </c>
      <c r="U59" s="910" t="e">
        <f t="shared" si="27"/>
        <v>#REF!</v>
      </c>
      <c r="V59" s="152">
        <f>IF(V$3=0,DPL25Summary!R59,DPL25Summary!R59/V$3)</f>
        <v>0</v>
      </c>
      <c r="W59" s="910" t="e">
        <f t="shared" si="28"/>
        <v>#REF!</v>
      </c>
      <c r="X59" s="361">
        <f t="shared" si="29"/>
        <v>0</v>
      </c>
      <c r="Y59" s="950" t="e">
        <f t="shared" si="38"/>
        <v>#REF!</v>
      </c>
      <c r="Z59" s="152">
        <f>IF(Z$3=0,DPL25Summary!T59,DPL25Summary!T59/Z$3)</f>
        <v>0</v>
      </c>
      <c r="AA59" s="152">
        <f>IF(AA$3=0,DPL25Summary!V59,DPL25Summary!V59/AA$3)</f>
        <v>0</v>
      </c>
      <c r="AB59" s="152">
        <f>IF(AB$3=0,DPL25Summary!X59,DPL25Summary!X59/AB$3)</f>
        <v>0</v>
      </c>
      <c r="AC59" s="15">
        <f t="shared" si="30"/>
        <v>0</v>
      </c>
      <c r="AD59" s="937" t="e">
        <f t="shared" ca="1" si="31"/>
        <v>#REF!</v>
      </c>
      <c r="AE59" s="104">
        <f>SUM('DPL24-Budget'!B59:$B59)</f>
        <v>224</v>
      </c>
      <c r="AF59" s="929">
        <f t="shared" si="32"/>
        <v>2.0000000000000001E-4</v>
      </c>
      <c r="AG59" s="934">
        <f t="shared" si="39"/>
        <v>-224</v>
      </c>
      <c r="AH59" s="188"/>
    </row>
    <row r="60" spans="1:34" s="189" customFormat="1">
      <c r="A60" s="933" t="s">
        <v>602</v>
      </c>
      <c r="B60" s="152">
        <f>IF(B$3=0,DPL25Summary!B60,DPL25Summary!B60/B$3)</f>
        <v>0</v>
      </c>
      <c r="C60" s="909">
        <f t="shared" ca="1" si="33"/>
        <v>0</v>
      </c>
      <c r="D60" s="152">
        <f>IF(D$3=0,DPL25Summary!D60,DPL25Summary!D60/D$3)</f>
        <v>0</v>
      </c>
      <c r="E60" s="909">
        <f t="shared" ca="1" si="34"/>
        <v>0</v>
      </c>
      <c r="F60" s="152">
        <f>IF(F$3=0,DPL25Summary!F60,DPL25Summary!F60/F$3)</f>
        <v>0</v>
      </c>
      <c r="G60" s="909">
        <f t="shared" ca="1" si="35"/>
        <v>0</v>
      </c>
      <c r="H60" s="361">
        <f t="shared" si="21"/>
        <v>0</v>
      </c>
      <c r="I60" s="950">
        <f t="shared" ca="1" si="36"/>
        <v>0</v>
      </c>
      <c r="J60" s="152">
        <f>IF(J$3=0,DPL25Summary!H60,DPL25Summary!H60/J$3)</f>
        <v>0</v>
      </c>
      <c r="K60" s="910">
        <f t="shared" ca="1" si="22"/>
        <v>0</v>
      </c>
      <c r="L60" s="152">
        <f>IF(L$3=0,DPL25Summary!J60,DPL25Summary!J60/L$3)</f>
        <v>0</v>
      </c>
      <c r="M60" s="907" t="e">
        <f t="shared" si="23"/>
        <v>#REF!</v>
      </c>
      <c r="N60" s="193">
        <f>IF(N$3=0,DPL25Summary!L60,DPL25Summary!L60/N$3)</f>
        <v>0</v>
      </c>
      <c r="O60" s="907" t="e">
        <f t="shared" si="24"/>
        <v>#REF!</v>
      </c>
      <c r="P60" s="361">
        <f t="shared" si="25"/>
        <v>0</v>
      </c>
      <c r="Q60" s="950" t="e">
        <f t="shared" ca="1" si="37"/>
        <v>#REF!</v>
      </c>
      <c r="R60" s="152">
        <f>IF(R$3=0,DPL25Summary!N60,DPL25Summary!N60/R$3)</f>
        <v>0</v>
      </c>
      <c r="S60" s="907" t="e">
        <f t="shared" si="26"/>
        <v>#REF!</v>
      </c>
      <c r="T60" s="152">
        <f>IF(T$3=0,DPL25Summary!P60,DPL25Summary!P60/T$3)</f>
        <v>0</v>
      </c>
      <c r="U60" s="910" t="e">
        <f t="shared" si="27"/>
        <v>#REF!</v>
      </c>
      <c r="V60" s="152">
        <f>IF(V$3=0,DPL25Summary!R60,DPL25Summary!R60/V$3)</f>
        <v>0</v>
      </c>
      <c r="W60" s="910" t="e">
        <f t="shared" si="28"/>
        <v>#REF!</v>
      </c>
      <c r="X60" s="361">
        <f t="shared" si="29"/>
        <v>0</v>
      </c>
      <c r="Y60" s="950" t="e">
        <f t="shared" si="38"/>
        <v>#REF!</v>
      </c>
      <c r="Z60" s="152">
        <f>IF(Z$3=0,DPL25Summary!T60,DPL25Summary!T60/Z$3)</f>
        <v>0</v>
      </c>
      <c r="AA60" s="152">
        <f>IF(AA$3=0,DPL25Summary!V60,DPL25Summary!V60/AA$3)</f>
        <v>0</v>
      </c>
      <c r="AB60" s="152">
        <f>IF(AB$3=0,DPL25Summary!X60,DPL25Summary!X60/AB$3)</f>
        <v>0</v>
      </c>
      <c r="AC60" s="15">
        <f t="shared" si="30"/>
        <v>0</v>
      </c>
      <c r="AD60" s="938" t="e">
        <f t="shared" ca="1" si="31"/>
        <v>#REF!</v>
      </c>
      <c r="AE60" s="104">
        <f>SUM('DPL24-Budget'!B60:$B60)</f>
        <v>3548</v>
      </c>
      <c r="AF60" s="929">
        <f t="shared" si="32"/>
        <v>3.0999999999999999E-3</v>
      </c>
      <c r="AG60" s="934">
        <f t="shared" si="39"/>
        <v>-3548</v>
      </c>
      <c r="AH60" s="188"/>
    </row>
    <row r="61" spans="1:34" s="189" customFormat="1">
      <c r="A61" s="933" t="s">
        <v>603</v>
      </c>
      <c r="B61" s="152">
        <f>IF(B$3=0,DPL25Summary!B61,DPL25Summary!B61/B$3)</f>
        <v>0</v>
      </c>
      <c r="C61" s="909">
        <f t="shared" ca="1" si="33"/>
        <v>0</v>
      </c>
      <c r="D61" s="152">
        <f>IF(D$3=0,DPL25Summary!D61,DPL25Summary!D61/D$3)</f>
        <v>0</v>
      </c>
      <c r="E61" s="909">
        <f t="shared" ca="1" si="34"/>
        <v>0</v>
      </c>
      <c r="F61" s="152">
        <f>IF(F$3=0,DPL25Summary!F61,DPL25Summary!F61/F$3)</f>
        <v>0</v>
      </c>
      <c r="G61" s="909">
        <f t="shared" ca="1" si="35"/>
        <v>0</v>
      </c>
      <c r="H61" s="361">
        <f t="shared" si="21"/>
        <v>0</v>
      </c>
      <c r="I61" s="950">
        <f t="shared" ca="1" si="36"/>
        <v>0</v>
      </c>
      <c r="J61" s="152">
        <f>IF(J$3=0,DPL25Summary!H61,DPL25Summary!H61/J$3)</f>
        <v>0</v>
      </c>
      <c r="K61" s="910">
        <f t="shared" ca="1" si="22"/>
        <v>0</v>
      </c>
      <c r="L61" s="152">
        <f>IF(L$3=0,DPL25Summary!J61,DPL25Summary!J61/L$3)</f>
        <v>0</v>
      </c>
      <c r="M61" s="907" t="e">
        <f t="shared" si="23"/>
        <v>#REF!</v>
      </c>
      <c r="N61" s="193">
        <f>IF(N$3=0,DPL25Summary!L61,DPL25Summary!L61/N$3)</f>
        <v>0</v>
      </c>
      <c r="O61" s="907" t="e">
        <f t="shared" si="24"/>
        <v>#REF!</v>
      </c>
      <c r="P61" s="361">
        <f t="shared" si="25"/>
        <v>0</v>
      </c>
      <c r="Q61" s="950" t="e">
        <f t="shared" ca="1" si="37"/>
        <v>#REF!</v>
      </c>
      <c r="R61" s="152">
        <f>IF(R$3=0,DPL25Summary!N61,DPL25Summary!N61/R$3)</f>
        <v>0</v>
      </c>
      <c r="S61" s="907" t="e">
        <f t="shared" si="26"/>
        <v>#REF!</v>
      </c>
      <c r="T61" s="152">
        <f>IF(T$3=0,DPL25Summary!P61,DPL25Summary!P61/T$3)</f>
        <v>0</v>
      </c>
      <c r="U61" s="910" t="e">
        <f t="shared" si="27"/>
        <v>#REF!</v>
      </c>
      <c r="V61" s="152">
        <f>IF(V$3=0,DPL25Summary!R61,DPL25Summary!R61/V$3)</f>
        <v>0</v>
      </c>
      <c r="W61" s="910" t="e">
        <f t="shared" si="28"/>
        <v>#REF!</v>
      </c>
      <c r="X61" s="361">
        <f t="shared" si="29"/>
        <v>0</v>
      </c>
      <c r="Y61" s="950" t="e">
        <f t="shared" si="38"/>
        <v>#REF!</v>
      </c>
      <c r="Z61" s="152">
        <f>IF(Z$3=0,DPL25Summary!T61,DPL25Summary!T61/Z$3)</f>
        <v>0</v>
      </c>
      <c r="AA61" s="152">
        <f>IF(AA$3=0,DPL25Summary!V61,DPL25Summary!V61/AA$3)</f>
        <v>0</v>
      </c>
      <c r="AB61" s="152">
        <f>IF(AB$3=0,DPL25Summary!X61,DPL25Summary!X61/AB$3)</f>
        <v>0</v>
      </c>
      <c r="AC61" s="15">
        <f t="shared" si="30"/>
        <v>0</v>
      </c>
      <c r="AD61" s="938" t="e">
        <f t="shared" ca="1" si="31"/>
        <v>#REF!</v>
      </c>
      <c r="AE61" s="104">
        <f>SUM('DPL24-Budget'!B61:$B61)</f>
        <v>6642</v>
      </c>
      <c r="AF61" s="929">
        <f t="shared" si="32"/>
        <v>5.7999999999999996E-3</v>
      </c>
      <c r="AG61" s="934">
        <f t="shared" si="39"/>
        <v>-6642</v>
      </c>
      <c r="AH61" s="188"/>
    </row>
    <row r="62" spans="1:34" s="189" customFormat="1">
      <c r="A62" s="933" t="s">
        <v>604</v>
      </c>
      <c r="B62" s="152">
        <f>IF(B$3=0,DPL25Summary!B62,DPL25Summary!B62/B$3)</f>
        <v>0</v>
      </c>
      <c r="C62" s="909">
        <f t="shared" ca="1" si="33"/>
        <v>0</v>
      </c>
      <c r="D62" s="152">
        <f>IF(D$3=0,DPL25Summary!D62,DPL25Summary!D62/D$3)</f>
        <v>0</v>
      </c>
      <c r="E62" s="909">
        <f t="shared" ca="1" si="34"/>
        <v>0</v>
      </c>
      <c r="F62" s="152">
        <f>IF(F$3=0,DPL25Summary!F62,DPL25Summary!F62/F$3)</f>
        <v>0</v>
      </c>
      <c r="G62" s="909">
        <f t="shared" ca="1" si="35"/>
        <v>0</v>
      </c>
      <c r="H62" s="361">
        <f t="shared" si="21"/>
        <v>0</v>
      </c>
      <c r="I62" s="950">
        <f t="shared" ca="1" si="36"/>
        <v>0</v>
      </c>
      <c r="J62" s="152">
        <f>IF(J$3=0,DPL25Summary!H62,DPL25Summary!H62/J$3)</f>
        <v>0</v>
      </c>
      <c r="K62" s="910">
        <f t="shared" ca="1" si="22"/>
        <v>0</v>
      </c>
      <c r="L62" s="152">
        <f>IF(L$3=0,DPL25Summary!J62,DPL25Summary!J62/L$3)</f>
        <v>0</v>
      </c>
      <c r="M62" s="907" t="e">
        <f t="shared" si="23"/>
        <v>#REF!</v>
      </c>
      <c r="N62" s="152">
        <f>IF(N$3=0,DPL25Summary!L62,DPL25Summary!L62/N$3)</f>
        <v>0</v>
      </c>
      <c r="O62" s="907" t="e">
        <f t="shared" si="24"/>
        <v>#REF!</v>
      </c>
      <c r="P62" s="361">
        <f t="shared" si="25"/>
        <v>0</v>
      </c>
      <c r="Q62" s="950" t="e">
        <f t="shared" ca="1" si="37"/>
        <v>#REF!</v>
      </c>
      <c r="R62" s="152">
        <f>IF(R$3=0,DPL25Summary!N62,DPL25Summary!N62/R$3)</f>
        <v>0</v>
      </c>
      <c r="S62" s="907" t="e">
        <f t="shared" si="26"/>
        <v>#REF!</v>
      </c>
      <c r="T62" s="152">
        <f>IF(T$3=0,DPL25Summary!P62,DPL25Summary!P62/T$3)</f>
        <v>0</v>
      </c>
      <c r="U62" s="910" t="e">
        <f t="shared" si="27"/>
        <v>#REF!</v>
      </c>
      <c r="V62" s="152">
        <f>IF(V$3=0,DPL25Summary!R62,DPL25Summary!R62/V$3)</f>
        <v>0</v>
      </c>
      <c r="W62" s="910" t="e">
        <f t="shared" si="28"/>
        <v>#REF!</v>
      </c>
      <c r="X62" s="361">
        <f t="shared" si="29"/>
        <v>0</v>
      </c>
      <c r="Y62" s="950" t="e">
        <f t="shared" si="38"/>
        <v>#REF!</v>
      </c>
      <c r="Z62" s="152">
        <f>IF(Z$3=0,DPL25Summary!T62,DPL25Summary!T62/Z$3)</f>
        <v>0</v>
      </c>
      <c r="AA62" s="152">
        <f>IF(AA$3=0,DPL25Summary!V62,DPL25Summary!V62/AA$3)</f>
        <v>0</v>
      </c>
      <c r="AB62" s="152">
        <f>IF(AB$3=0,DPL25Summary!X62,DPL25Summary!X62/AB$3)</f>
        <v>0</v>
      </c>
      <c r="AC62" s="15">
        <f t="shared" si="30"/>
        <v>0</v>
      </c>
      <c r="AD62" s="938" t="e">
        <f t="shared" ca="1" si="31"/>
        <v>#REF!</v>
      </c>
      <c r="AE62" s="104">
        <f>SUM('DPL24-Budget'!B62:$B62)</f>
        <v>0</v>
      </c>
      <c r="AF62" s="929">
        <f t="shared" si="32"/>
        <v>0</v>
      </c>
      <c r="AG62" s="934">
        <f t="shared" si="39"/>
        <v>0</v>
      </c>
      <c r="AH62" s="188"/>
    </row>
    <row r="63" spans="1:34" s="4" customFormat="1">
      <c r="A63" s="757" t="s">
        <v>605</v>
      </c>
      <c r="B63" s="14">
        <f>IF(B$3=0,DPL25Summary!B63,DPL25Summary!B63/B$3)</f>
        <v>0</v>
      </c>
      <c r="C63" s="909">
        <f t="shared" ca="1" si="33"/>
        <v>0</v>
      </c>
      <c r="D63" s="14">
        <f>IF(D$3=0,DPL25Summary!D63,DPL25Summary!D63/D$3)</f>
        <v>0</v>
      </c>
      <c r="E63" s="909">
        <f t="shared" ca="1" si="34"/>
        <v>0</v>
      </c>
      <c r="F63" s="14">
        <f>IF(F$3=0,DPL25Summary!F63,DPL25Summary!F63/F$3)</f>
        <v>0</v>
      </c>
      <c r="G63" s="909">
        <f t="shared" ca="1" si="35"/>
        <v>0</v>
      </c>
      <c r="H63" s="361">
        <f t="shared" si="21"/>
        <v>0</v>
      </c>
      <c r="I63" s="950">
        <f t="shared" ca="1" si="36"/>
        <v>0</v>
      </c>
      <c r="J63" s="14">
        <f>IF(J$3=0,DPL25Summary!H63,DPL25Summary!H63/J$3)</f>
        <v>0</v>
      </c>
      <c r="K63" s="910">
        <f t="shared" ca="1" si="22"/>
        <v>0</v>
      </c>
      <c r="L63" s="14">
        <f>IF(L$3=0,DPL25Summary!J63,DPL25Summary!J63/L$3)</f>
        <v>0</v>
      </c>
      <c r="M63" s="907" t="e">
        <f t="shared" si="23"/>
        <v>#REF!</v>
      </c>
      <c r="N63" s="14">
        <f>IF(N$3=0,DPL25Summary!L63,DPL25Summary!L63/N$3)</f>
        <v>0</v>
      </c>
      <c r="O63" s="907" t="e">
        <f t="shared" si="24"/>
        <v>#REF!</v>
      </c>
      <c r="P63" s="361">
        <f t="shared" si="25"/>
        <v>0</v>
      </c>
      <c r="Q63" s="950" t="e">
        <f t="shared" ca="1" si="37"/>
        <v>#REF!</v>
      </c>
      <c r="R63" s="14">
        <f>IF(R$3=0,DPL25Summary!N63,DPL25Summary!N63/R$3)</f>
        <v>0</v>
      </c>
      <c r="S63" s="907" t="e">
        <f t="shared" si="26"/>
        <v>#REF!</v>
      </c>
      <c r="T63" s="14">
        <f>IF(T$3=0,DPL25Summary!P63,DPL25Summary!P63/T$3)</f>
        <v>0</v>
      </c>
      <c r="U63" s="910" t="e">
        <f t="shared" si="27"/>
        <v>#REF!</v>
      </c>
      <c r="V63" s="14">
        <f>IF(V$3=0,DPL25Summary!R63,DPL25Summary!R63/V$3)</f>
        <v>0</v>
      </c>
      <c r="W63" s="910" t="e">
        <f t="shared" si="28"/>
        <v>#REF!</v>
      </c>
      <c r="X63" s="361">
        <f t="shared" si="29"/>
        <v>0</v>
      </c>
      <c r="Y63" s="950" t="e">
        <f t="shared" si="38"/>
        <v>#REF!</v>
      </c>
      <c r="Z63" s="14">
        <f>IF(Z$3=0,DPL25Summary!T63,DPL25Summary!T63/Z$3)</f>
        <v>0</v>
      </c>
      <c r="AA63" s="14">
        <f>IF(AA$3=0,DPL25Summary!V63,DPL25Summary!V63/AA$3)</f>
        <v>0</v>
      </c>
      <c r="AB63" s="14">
        <f>IF(AB$3=0,DPL25Summary!X63,DPL25Summary!X63/AB$3)</f>
        <v>0</v>
      </c>
      <c r="AC63" s="15">
        <f t="shared" si="30"/>
        <v>0</v>
      </c>
      <c r="AD63" s="242" t="e">
        <f t="shared" ca="1" si="31"/>
        <v>#REF!</v>
      </c>
      <c r="AE63" s="104">
        <f>SUM('DPL24-Budget'!B63:$B63)</f>
        <v>3109</v>
      </c>
      <c r="AF63" s="929">
        <f t="shared" si="32"/>
        <v>2.7000000000000001E-3</v>
      </c>
      <c r="AG63" s="169">
        <f t="shared" si="39"/>
        <v>-3109</v>
      </c>
      <c r="AH63" s="150"/>
    </row>
    <row r="64" spans="1:34" s="189" customFormat="1">
      <c r="A64" s="933" t="s">
        <v>606</v>
      </c>
      <c r="B64" s="152">
        <f>IF(B$3=0,DPL25Summary!B64,DPL25Summary!B64/B$3)</f>
        <v>0</v>
      </c>
      <c r="C64" s="909">
        <f t="shared" ca="1" si="33"/>
        <v>0</v>
      </c>
      <c r="D64" s="152">
        <f>IF(D$3=0,DPL25Summary!D64,DPL25Summary!D64/D$3)</f>
        <v>0</v>
      </c>
      <c r="E64" s="909">
        <f t="shared" ca="1" si="34"/>
        <v>0</v>
      </c>
      <c r="F64" s="152">
        <f>IF(F$3=0,DPL25Summary!F64,DPL25Summary!F64/F$3)</f>
        <v>0</v>
      </c>
      <c r="G64" s="909">
        <f t="shared" ca="1" si="35"/>
        <v>0</v>
      </c>
      <c r="H64" s="361">
        <f t="shared" si="21"/>
        <v>0</v>
      </c>
      <c r="I64" s="950">
        <f t="shared" ca="1" si="36"/>
        <v>0</v>
      </c>
      <c r="J64" s="152">
        <f>IF(J$3=0,DPL25Summary!H64,DPL25Summary!H64/J$3)</f>
        <v>0</v>
      </c>
      <c r="K64" s="910">
        <f t="shared" ca="1" si="22"/>
        <v>0</v>
      </c>
      <c r="L64" s="152">
        <f>IF(L$3=0,DPL25Summary!J64,DPL25Summary!J64/L$3)</f>
        <v>0</v>
      </c>
      <c r="M64" s="907" t="e">
        <f t="shared" si="23"/>
        <v>#REF!</v>
      </c>
      <c r="N64" s="152">
        <f>IF(N$3=0,DPL25Summary!L64,DPL25Summary!L64/N$3)</f>
        <v>0</v>
      </c>
      <c r="O64" s="907" t="e">
        <f t="shared" si="24"/>
        <v>#REF!</v>
      </c>
      <c r="P64" s="361">
        <f t="shared" si="25"/>
        <v>0</v>
      </c>
      <c r="Q64" s="950" t="e">
        <f t="shared" ca="1" si="37"/>
        <v>#REF!</v>
      </c>
      <c r="R64" s="152">
        <f>IF(R$3=0,DPL25Summary!N64,DPL25Summary!N64/R$3)</f>
        <v>0</v>
      </c>
      <c r="S64" s="907" t="e">
        <f t="shared" si="26"/>
        <v>#REF!</v>
      </c>
      <c r="T64" s="152">
        <f>IF(T$3=0,DPL25Summary!P64,DPL25Summary!P64/T$3)</f>
        <v>0</v>
      </c>
      <c r="U64" s="910" t="e">
        <f t="shared" si="27"/>
        <v>#REF!</v>
      </c>
      <c r="V64" s="152">
        <f>IF(V$3=0,DPL25Summary!R64,DPL25Summary!R64/V$3)</f>
        <v>0</v>
      </c>
      <c r="W64" s="910" t="e">
        <f t="shared" si="28"/>
        <v>#REF!</v>
      </c>
      <c r="X64" s="361">
        <f t="shared" si="29"/>
        <v>0</v>
      </c>
      <c r="Y64" s="950" t="e">
        <f t="shared" si="38"/>
        <v>#REF!</v>
      </c>
      <c r="Z64" s="152">
        <f>IF(Z$3=0,DPL25Summary!T64,DPL25Summary!T64/Z$3)</f>
        <v>0</v>
      </c>
      <c r="AA64" s="152">
        <f>IF(AA$3=0,DPL25Summary!V64,DPL25Summary!V64/AA$3)</f>
        <v>0</v>
      </c>
      <c r="AB64" s="152">
        <f>IF(AB$3=0,DPL25Summary!X64,DPL25Summary!X64/AB$3)</f>
        <v>0</v>
      </c>
      <c r="AC64" s="15">
        <f t="shared" si="30"/>
        <v>0</v>
      </c>
      <c r="AD64" s="938" t="e">
        <f t="shared" ca="1" si="31"/>
        <v>#REF!</v>
      </c>
      <c r="AE64" s="104">
        <f>SUM('DPL24-Budget'!B64:$B64)</f>
        <v>0</v>
      </c>
      <c r="AF64" s="929">
        <f t="shared" si="32"/>
        <v>0</v>
      </c>
      <c r="AG64" s="934">
        <f t="shared" si="39"/>
        <v>0</v>
      </c>
      <c r="AH64" s="188"/>
    </row>
    <row r="65" spans="1:34" s="189" customFormat="1">
      <c r="A65" s="187" t="s">
        <v>607</v>
      </c>
      <c r="B65" s="152">
        <f>IF(B$3=0,DPL25Summary!B65,DPL25Summary!B65/B$3)</f>
        <v>0</v>
      </c>
      <c r="C65" s="909">
        <f t="shared" ca="1" si="33"/>
        <v>0</v>
      </c>
      <c r="D65" s="152">
        <f>IF(D$3=0,DPL25Summary!D65,DPL25Summary!D65/D$3)</f>
        <v>0</v>
      </c>
      <c r="E65" s="909">
        <f t="shared" ca="1" si="34"/>
        <v>0</v>
      </c>
      <c r="F65" s="152">
        <f>IF(F$3=0,DPL25Summary!F65,DPL25Summary!F65/F$3)</f>
        <v>0</v>
      </c>
      <c r="G65" s="909">
        <f t="shared" ca="1" si="35"/>
        <v>0</v>
      </c>
      <c r="H65" s="361">
        <f t="shared" si="21"/>
        <v>0</v>
      </c>
      <c r="I65" s="950">
        <f t="shared" ca="1" si="36"/>
        <v>0</v>
      </c>
      <c r="J65" s="152">
        <f>IF(J$3=0,DPL25Summary!H65,DPL25Summary!H65/J$3)</f>
        <v>0</v>
      </c>
      <c r="K65" s="910">
        <f t="shared" ca="1" si="22"/>
        <v>0</v>
      </c>
      <c r="L65" s="152">
        <f>IF(L$3=0,DPL25Summary!J65,DPL25Summary!J65/L$3)</f>
        <v>0</v>
      </c>
      <c r="M65" s="907" t="e">
        <f t="shared" si="23"/>
        <v>#REF!</v>
      </c>
      <c r="N65" s="193">
        <f>IF(N$3=0,DPL25Summary!L65,DPL25Summary!L65/N$3)</f>
        <v>0</v>
      </c>
      <c r="O65" s="907" t="e">
        <f t="shared" si="24"/>
        <v>#REF!</v>
      </c>
      <c r="P65" s="361">
        <f t="shared" si="25"/>
        <v>0</v>
      </c>
      <c r="Q65" s="950" t="e">
        <f t="shared" ca="1" si="37"/>
        <v>#REF!</v>
      </c>
      <c r="R65" s="152">
        <f>IF(R$3=0,DPL25Summary!N65,DPL25Summary!N65/R$3)</f>
        <v>0</v>
      </c>
      <c r="S65" s="907" t="e">
        <f t="shared" si="26"/>
        <v>#REF!</v>
      </c>
      <c r="T65" s="152">
        <f>IF(T$3=0,DPL25Summary!P65,DPL25Summary!P65/T$3)</f>
        <v>0</v>
      </c>
      <c r="U65" s="910" t="e">
        <f t="shared" si="27"/>
        <v>#REF!</v>
      </c>
      <c r="V65" s="152">
        <f>IF(V$3=0,DPL25Summary!R65,DPL25Summary!R65/V$3)</f>
        <v>0</v>
      </c>
      <c r="W65" s="910" t="e">
        <f t="shared" si="28"/>
        <v>#REF!</v>
      </c>
      <c r="X65" s="361">
        <f t="shared" si="29"/>
        <v>0</v>
      </c>
      <c r="Y65" s="950" t="e">
        <f t="shared" si="38"/>
        <v>#REF!</v>
      </c>
      <c r="Z65" s="152">
        <f>IF(Z$3=0,DPL25Summary!T65,DPL25Summary!T65/Z$3)</f>
        <v>0</v>
      </c>
      <c r="AA65" s="152">
        <f>IF(AA$3=0,DPL25Summary!V65,DPL25Summary!V65/AA$3)</f>
        <v>0</v>
      </c>
      <c r="AB65" s="152">
        <f>IF(AB$3=0,DPL25Summary!X65,DPL25Summary!X65/AB$3)</f>
        <v>0</v>
      </c>
      <c r="AC65" s="15">
        <f t="shared" si="30"/>
        <v>0</v>
      </c>
      <c r="AD65" s="938" t="e">
        <f t="shared" ca="1" si="31"/>
        <v>#REF!</v>
      </c>
      <c r="AE65" s="104">
        <f>SUM('DPL24-Budget'!B65:$B65)</f>
        <v>1240</v>
      </c>
      <c r="AF65" s="929">
        <f t="shared" si="32"/>
        <v>1.1000000000000001E-3</v>
      </c>
      <c r="AG65" s="934">
        <f t="shared" si="39"/>
        <v>-1240</v>
      </c>
      <c r="AH65" s="188"/>
    </row>
    <row r="66" spans="1:34" s="4" customFormat="1">
      <c r="A66" s="757" t="s">
        <v>608</v>
      </c>
      <c r="B66" s="14">
        <f>IF(B$3=0,DPL25Summary!B66,DPL25Summary!B66/B$3)</f>
        <v>0</v>
      </c>
      <c r="C66" s="909">
        <f t="shared" ca="1" si="33"/>
        <v>0</v>
      </c>
      <c r="D66" s="14">
        <f>IF(D$3=0,DPL25Summary!D66,DPL25Summary!D66/D$3)</f>
        <v>0</v>
      </c>
      <c r="E66" s="909">
        <f t="shared" ca="1" si="34"/>
        <v>0</v>
      </c>
      <c r="F66" s="14">
        <f>IF(F$3=0,DPL25Summary!F66,DPL25Summary!F66/F$3)</f>
        <v>0</v>
      </c>
      <c r="G66" s="909">
        <f t="shared" ca="1" si="35"/>
        <v>0</v>
      </c>
      <c r="H66" s="361">
        <f t="shared" si="21"/>
        <v>0</v>
      </c>
      <c r="I66" s="950">
        <f t="shared" ca="1" si="36"/>
        <v>0</v>
      </c>
      <c r="J66" s="14">
        <f>IF(J$3=0,DPL25Summary!H66,DPL25Summary!H66/J$3)</f>
        <v>0</v>
      </c>
      <c r="K66" s="910">
        <f t="shared" ca="1" si="22"/>
        <v>0</v>
      </c>
      <c r="L66" s="14">
        <f>IF(L$3=0,DPL25Summary!J66,DPL25Summary!J66/L$3)</f>
        <v>0</v>
      </c>
      <c r="M66" s="907" t="e">
        <f t="shared" si="23"/>
        <v>#REF!</v>
      </c>
      <c r="N66" s="14">
        <f>IF(N$3=0,DPL25Summary!L66,DPL25Summary!L66/N$3)</f>
        <v>0</v>
      </c>
      <c r="O66" s="907" t="e">
        <f t="shared" si="24"/>
        <v>#REF!</v>
      </c>
      <c r="P66" s="361">
        <f t="shared" si="25"/>
        <v>0</v>
      </c>
      <c r="Q66" s="950" t="e">
        <f t="shared" ca="1" si="37"/>
        <v>#REF!</v>
      </c>
      <c r="R66" s="14">
        <f>IF(R$3=0,DPL25Summary!N66,DPL25Summary!N66/R$3)</f>
        <v>0</v>
      </c>
      <c r="S66" s="907" t="e">
        <f t="shared" si="26"/>
        <v>#REF!</v>
      </c>
      <c r="T66" s="14">
        <f>IF(T$3=0,DPL25Summary!P66,DPL25Summary!P66/T$3)</f>
        <v>0</v>
      </c>
      <c r="U66" s="910" t="e">
        <f t="shared" si="27"/>
        <v>#REF!</v>
      </c>
      <c r="V66" s="14">
        <f>IF(V$3=0,DPL25Summary!R66,DPL25Summary!R66/V$3)</f>
        <v>0</v>
      </c>
      <c r="W66" s="910" t="e">
        <f t="shared" si="28"/>
        <v>#REF!</v>
      </c>
      <c r="X66" s="361">
        <f t="shared" si="29"/>
        <v>0</v>
      </c>
      <c r="Y66" s="950" t="e">
        <f t="shared" si="38"/>
        <v>#REF!</v>
      </c>
      <c r="Z66" s="14">
        <f>IF(Z$3=0,DPL25Summary!T66,DPL25Summary!T66/Z$3)</f>
        <v>0</v>
      </c>
      <c r="AA66" s="14">
        <f>IF(AA$3=0,DPL25Summary!V66,DPL25Summary!V66/AA$3)</f>
        <v>0</v>
      </c>
      <c r="AB66" s="14">
        <f>IF(AB$3=0,DPL25Summary!X66,DPL25Summary!X66/AB$3)</f>
        <v>0</v>
      </c>
      <c r="AC66" s="15">
        <f t="shared" si="30"/>
        <v>0</v>
      </c>
      <c r="AD66" s="242" t="e">
        <f t="shared" ca="1" si="31"/>
        <v>#REF!</v>
      </c>
      <c r="AE66" s="104">
        <f>SUM('DPL24-Budget'!B66:$B66)</f>
        <v>0</v>
      </c>
      <c r="AF66" s="929">
        <f t="shared" si="32"/>
        <v>0</v>
      </c>
      <c r="AG66" s="169">
        <f t="shared" si="39"/>
        <v>0</v>
      </c>
      <c r="AH66" s="150"/>
    </row>
    <row r="67" spans="1:34" s="4" customFormat="1">
      <c r="A67" t="s">
        <v>609</v>
      </c>
      <c r="B67" s="14">
        <f>IF(B$3=0,DPL25Summary!B67,DPL25Summary!B67/B$3)</f>
        <v>0</v>
      </c>
      <c r="C67" s="909">
        <f t="shared" ca="1" si="33"/>
        <v>0</v>
      </c>
      <c r="D67" s="14">
        <f>IF(D$3=0,DPL25Summary!D67,DPL25Summary!D67/D$3)</f>
        <v>0</v>
      </c>
      <c r="E67" s="909">
        <f t="shared" ca="1" si="34"/>
        <v>0</v>
      </c>
      <c r="F67" s="14">
        <f>IF(F$3=0,DPL25Summary!F67,DPL25Summary!F67/F$3)</f>
        <v>0</v>
      </c>
      <c r="G67" s="909">
        <f t="shared" ca="1" si="35"/>
        <v>0</v>
      </c>
      <c r="H67" s="361">
        <f t="shared" si="21"/>
        <v>0</v>
      </c>
      <c r="I67" s="950">
        <f t="shared" ca="1" si="36"/>
        <v>0</v>
      </c>
      <c r="J67" s="14">
        <f>IF(J$3=0,DPL25Summary!H67,DPL25Summary!H67/J$3)</f>
        <v>0</v>
      </c>
      <c r="K67" s="910">
        <f t="shared" ca="1" si="22"/>
        <v>0</v>
      </c>
      <c r="L67" s="14">
        <f>IF(L$3=0,DPL25Summary!J67,DPL25Summary!J67/L$3)</f>
        <v>0</v>
      </c>
      <c r="M67" s="907" t="e">
        <f t="shared" si="23"/>
        <v>#REF!</v>
      </c>
      <c r="N67" s="14">
        <f>IF(N$3=0,DPL25Summary!L67,DPL25Summary!L67/N$3)</f>
        <v>0</v>
      </c>
      <c r="O67" s="907" t="e">
        <f t="shared" si="24"/>
        <v>#REF!</v>
      </c>
      <c r="P67" s="361">
        <f t="shared" si="25"/>
        <v>0</v>
      </c>
      <c r="Q67" s="950" t="e">
        <f t="shared" ca="1" si="37"/>
        <v>#REF!</v>
      </c>
      <c r="R67" s="14">
        <f>IF(R$3=0,DPL25Summary!N67,DPL25Summary!N67/R$3)</f>
        <v>0</v>
      </c>
      <c r="S67" s="907" t="e">
        <f t="shared" si="26"/>
        <v>#REF!</v>
      </c>
      <c r="T67" s="14">
        <f>IF(T$3=0,DPL25Summary!P67,DPL25Summary!P67/T$3)</f>
        <v>0</v>
      </c>
      <c r="U67" s="910" t="e">
        <f t="shared" si="27"/>
        <v>#REF!</v>
      </c>
      <c r="V67" s="14">
        <f>IF(V$3=0,DPL25Summary!R67,DPL25Summary!R67/V$3)</f>
        <v>0</v>
      </c>
      <c r="W67" s="910" t="e">
        <f t="shared" si="28"/>
        <v>#REF!</v>
      </c>
      <c r="X67" s="361">
        <f t="shared" si="29"/>
        <v>0</v>
      </c>
      <c r="Y67" s="950" t="e">
        <f t="shared" si="38"/>
        <v>#REF!</v>
      </c>
      <c r="Z67" s="14">
        <f>IF(Z$3=0,DPL25Summary!T67,DPL25Summary!T67/Z$3)</f>
        <v>0</v>
      </c>
      <c r="AA67" s="14">
        <f>IF(AA$3=0,DPL25Summary!V67,DPL25Summary!V67/AA$3)</f>
        <v>0</v>
      </c>
      <c r="AB67" s="14">
        <f>IF(AB$3=0,DPL25Summary!X67,DPL25Summary!X67/AB$3)</f>
        <v>0</v>
      </c>
      <c r="AC67" s="15">
        <f t="shared" si="30"/>
        <v>0</v>
      </c>
      <c r="AD67" s="242" t="e">
        <f t="shared" ca="1" si="31"/>
        <v>#REF!</v>
      </c>
      <c r="AE67" s="104">
        <f>SUM('DPL24-Budget'!B67:$B67)</f>
        <v>4934</v>
      </c>
      <c r="AF67" s="929">
        <f t="shared" si="32"/>
        <v>4.3E-3</v>
      </c>
      <c r="AG67" s="169">
        <f t="shared" si="39"/>
        <v>-4934</v>
      </c>
      <c r="AH67" s="150"/>
    </row>
    <row r="68" spans="1:34" s="189" customFormat="1">
      <c r="A68" s="187" t="s">
        <v>610</v>
      </c>
      <c r="B68" s="152">
        <f>IF(B$3=0,DPL25Summary!B68,DPL25Summary!B68/B$3)</f>
        <v>0</v>
      </c>
      <c r="C68" s="909">
        <f t="shared" ca="1" si="33"/>
        <v>0</v>
      </c>
      <c r="D68" s="152">
        <f>IF(D$3=0,DPL25Summary!D68,DPL25Summary!D68/D$3)</f>
        <v>0</v>
      </c>
      <c r="E68" s="909">
        <f t="shared" ca="1" si="34"/>
        <v>0</v>
      </c>
      <c r="F68" s="152">
        <f>IF(F$3=0,DPL25Summary!F68,DPL25Summary!F68/F$3)</f>
        <v>0</v>
      </c>
      <c r="G68" s="909">
        <f t="shared" ca="1" si="35"/>
        <v>0</v>
      </c>
      <c r="H68" s="361">
        <f t="shared" si="21"/>
        <v>0</v>
      </c>
      <c r="I68" s="950">
        <f t="shared" ca="1" si="36"/>
        <v>0</v>
      </c>
      <c r="J68" s="152">
        <f>IF(J$3=0,DPL25Summary!H68,DPL25Summary!H68/J$3)</f>
        <v>0</v>
      </c>
      <c r="K68" s="910">
        <f t="shared" ca="1" si="22"/>
        <v>0</v>
      </c>
      <c r="L68" s="152">
        <f>IF(L$3=0,DPL25Summary!J68,DPL25Summary!J68/L$3)</f>
        <v>0</v>
      </c>
      <c r="M68" s="907" t="e">
        <f t="shared" si="23"/>
        <v>#REF!</v>
      </c>
      <c r="N68" s="152">
        <f>IF(N$3=0,DPL25Summary!L68,DPL25Summary!L68/N$3)</f>
        <v>0</v>
      </c>
      <c r="O68" s="907" t="e">
        <f t="shared" si="24"/>
        <v>#REF!</v>
      </c>
      <c r="P68" s="361">
        <f t="shared" si="25"/>
        <v>0</v>
      </c>
      <c r="Q68" s="950" t="e">
        <f t="shared" ca="1" si="37"/>
        <v>#REF!</v>
      </c>
      <c r="R68" s="152">
        <f>IF(R$3=0,DPL25Summary!N68,DPL25Summary!N68/R$3)</f>
        <v>0</v>
      </c>
      <c r="S68" s="907" t="e">
        <f t="shared" si="26"/>
        <v>#REF!</v>
      </c>
      <c r="T68" s="152">
        <f>IF(T$3=0,DPL25Summary!P68,DPL25Summary!P68/T$3)</f>
        <v>0</v>
      </c>
      <c r="U68" s="910" t="e">
        <f t="shared" si="27"/>
        <v>#REF!</v>
      </c>
      <c r="V68" s="152">
        <f>IF(V$3=0,DPL25Summary!R68,DPL25Summary!R68/V$3)</f>
        <v>0</v>
      </c>
      <c r="W68" s="910" t="e">
        <f t="shared" si="28"/>
        <v>#REF!</v>
      </c>
      <c r="X68" s="361">
        <f t="shared" si="29"/>
        <v>0</v>
      </c>
      <c r="Y68" s="950" t="e">
        <f t="shared" si="38"/>
        <v>#REF!</v>
      </c>
      <c r="Z68" s="152">
        <f>IF(Z$3=0,DPL25Summary!T68,DPL25Summary!T68/Z$3)</f>
        <v>0</v>
      </c>
      <c r="AA68" s="152">
        <f>IF(AA$3=0,DPL25Summary!V68,DPL25Summary!V68/AA$3)</f>
        <v>0</v>
      </c>
      <c r="AB68" s="152">
        <f>IF(AB$3=0,DPL25Summary!X68,DPL25Summary!X68/AB$3)</f>
        <v>0</v>
      </c>
      <c r="AC68" s="15">
        <f t="shared" si="30"/>
        <v>0</v>
      </c>
      <c r="AD68" s="938" t="e">
        <f t="shared" ca="1" si="31"/>
        <v>#REF!</v>
      </c>
      <c r="AE68" s="104">
        <f>SUM('DPL24-Budget'!B68:$B68)</f>
        <v>0</v>
      </c>
      <c r="AF68" s="929">
        <f t="shared" si="32"/>
        <v>0</v>
      </c>
      <c r="AG68" s="934">
        <f t="shared" si="39"/>
        <v>0</v>
      </c>
      <c r="AH68" s="188"/>
    </row>
    <row r="69" spans="1:34" s="4" customFormat="1">
      <c r="A69" s="757" t="s">
        <v>611</v>
      </c>
      <c r="B69" s="14">
        <f>IF(B$3=0,DPL25Summary!B69,DPL25Summary!B69/B$3)</f>
        <v>0</v>
      </c>
      <c r="C69" s="909">
        <f t="shared" ca="1" si="33"/>
        <v>0</v>
      </c>
      <c r="D69" s="14">
        <f>IF(D$3=0,DPL25Summary!D69,DPL25Summary!D69/D$3)</f>
        <v>0</v>
      </c>
      <c r="E69" s="909">
        <f t="shared" ca="1" si="34"/>
        <v>0</v>
      </c>
      <c r="F69" s="14">
        <f>IF(F$3=0,DPL25Summary!F69,DPL25Summary!F69/F$3)</f>
        <v>0</v>
      </c>
      <c r="G69" s="909">
        <f t="shared" ca="1" si="35"/>
        <v>0</v>
      </c>
      <c r="H69" s="361">
        <f t="shared" si="21"/>
        <v>0</v>
      </c>
      <c r="I69" s="950">
        <f t="shared" ca="1" si="36"/>
        <v>0</v>
      </c>
      <c r="J69" s="14">
        <f>IF(J$3=0,DPL25Summary!H69,DPL25Summary!H69/J$3)</f>
        <v>0</v>
      </c>
      <c r="K69" s="910">
        <f t="shared" ca="1" si="22"/>
        <v>0</v>
      </c>
      <c r="L69" s="14">
        <f>IF(L$3=0,DPL25Summary!J69,DPL25Summary!J69/L$3)</f>
        <v>0</v>
      </c>
      <c r="M69" s="907" t="e">
        <f t="shared" si="23"/>
        <v>#REF!</v>
      </c>
      <c r="N69" s="14">
        <f>IF(N$3=0,DPL25Summary!L69,DPL25Summary!L69/N$3)</f>
        <v>0</v>
      </c>
      <c r="O69" s="907" t="e">
        <f t="shared" si="24"/>
        <v>#REF!</v>
      </c>
      <c r="P69" s="361">
        <f t="shared" si="25"/>
        <v>0</v>
      </c>
      <c r="Q69" s="950" t="e">
        <f t="shared" ca="1" si="37"/>
        <v>#REF!</v>
      </c>
      <c r="R69" s="14">
        <f>IF(R$3=0,DPL25Summary!N69,DPL25Summary!N69/R$3)</f>
        <v>0</v>
      </c>
      <c r="S69" s="907" t="e">
        <f t="shared" si="26"/>
        <v>#REF!</v>
      </c>
      <c r="T69" s="14">
        <f>IF(T$3=0,DPL25Summary!P69,DPL25Summary!P69/T$3)</f>
        <v>0</v>
      </c>
      <c r="U69" s="910" t="e">
        <f t="shared" si="27"/>
        <v>#REF!</v>
      </c>
      <c r="V69" s="14">
        <f>IF(V$3=0,DPL25Summary!R69,DPL25Summary!R69/V$3)</f>
        <v>0</v>
      </c>
      <c r="W69" s="910" t="e">
        <f t="shared" si="28"/>
        <v>#REF!</v>
      </c>
      <c r="X69" s="361">
        <f t="shared" si="29"/>
        <v>0</v>
      </c>
      <c r="Y69" s="950" t="e">
        <f t="shared" si="38"/>
        <v>#REF!</v>
      </c>
      <c r="Z69" s="14">
        <f>IF(Z$3=0,DPL25Summary!T69,DPL25Summary!T69/Z$3)</f>
        <v>0</v>
      </c>
      <c r="AA69" s="14">
        <f>IF(AA$3=0,DPL25Summary!V69,DPL25Summary!V69/AA$3)</f>
        <v>0</v>
      </c>
      <c r="AB69" s="14">
        <f>IF(AB$3=0,DPL25Summary!X69,DPL25Summary!X69/AB$3)</f>
        <v>0</v>
      </c>
      <c r="AC69" s="15">
        <f t="shared" si="30"/>
        <v>0</v>
      </c>
      <c r="AD69" s="242" t="e">
        <f t="shared" ca="1" si="31"/>
        <v>#REF!</v>
      </c>
      <c r="AE69" s="104">
        <f>SUM('DPL24-Budget'!B69:$B69)</f>
        <v>1896</v>
      </c>
      <c r="AF69" s="929">
        <f t="shared" si="32"/>
        <v>1.6999999999999999E-3</v>
      </c>
      <c r="AG69" s="169">
        <f t="shared" si="39"/>
        <v>-1896</v>
      </c>
      <c r="AH69" s="150"/>
    </row>
    <row r="70" spans="1:34" s="4" customFormat="1">
      <c r="A70" s="933" t="s">
        <v>612</v>
      </c>
      <c r="B70" s="14">
        <f>IF(B$3=0,DPL25Summary!B70,DPL25Summary!B70/B$3)</f>
        <v>0</v>
      </c>
      <c r="C70" s="909">
        <f t="shared" ca="1" si="33"/>
        <v>0</v>
      </c>
      <c r="D70" s="14">
        <f>IF(D$3=0,DPL25Summary!D70,DPL25Summary!D70/D$3)</f>
        <v>0</v>
      </c>
      <c r="E70" s="909">
        <f t="shared" ca="1" si="34"/>
        <v>0</v>
      </c>
      <c r="F70" s="14">
        <f>IF(F$3=0,DPL25Summary!F70,DPL25Summary!F70/F$3)</f>
        <v>0</v>
      </c>
      <c r="G70" s="909">
        <f t="shared" ca="1" si="35"/>
        <v>0</v>
      </c>
      <c r="H70" s="361">
        <f t="shared" si="21"/>
        <v>0</v>
      </c>
      <c r="I70" s="950">
        <f t="shared" ca="1" si="36"/>
        <v>0</v>
      </c>
      <c r="J70" s="14">
        <f>IF(J$3=0,DPL25Summary!H70,DPL25Summary!H70/J$3)</f>
        <v>0</v>
      </c>
      <c r="K70" s="910">
        <f t="shared" ca="1" si="22"/>
        <v>0</v>
      </c>
      <c r="L70" s="14">
        <f>IF(L$3=0,DPL25Summary!J70,DPL25Summary!J70/L$3)</f>
        <v>0</v>
      </c>
      <c r="M70" s="907" t="e">
        <f t="shared" si="23"/>
        <v>#REF!</v>
      </c>
      <c r="N70" s="14">
        <f>IF(N$3=0,DPL25Summary!L70,DPL25Summary!L70/N$3)</f>
        <v>0</v>
      </c>
      <c r="O70" s="907" t="e">
        <f t="shared" si="24"/>
        <v>#REF!</v>
      </c>
      <c r="P70" s="361">
        <f t="shared" si="25"/>
        <v>0</v>
      </c>
      <c r="Q70" s="950" t="e">
        <f t="shared" ca="1" si="37"/>
        <v>#REF!</v>
      </c>
      <c r="R70" s="14">
        <f>IF(R$3=0,DPL25Summary!N70,DPL25Summary!N70/R$3)</f>
        <v>0</v>
      </c>
      <c r="S70" s="907" t="e">
        <f t="shared" si="26"/>
        <v>#REF!</v>
      </c>
      <c r="T70" s="14">
        <f>IF(T$3=0,DPL25Summary!P70,DPL25Summary!P70/T$3)</f>
        <v>0</v>
      </c>
      <c r="U70" s="910" t="e">
        <f t="shared" si="27"/>
        <v>#REF!</v>
      </c>
      <c r="V70" s="14">
        <f>IF(V$3=0,DPL25Summary!R70,DPL25Summary!R70/V$3)</f>
        <v>0</v>
      </c>
      <c r="W70" s="910" t="e">
        <f t="shared" si="28"/>
        <v>#REF!</v>
      </c>
      <c r="X70" s="361">
        <f t="shared" si="29"/>
        <v>0</v>
      </c>
      <c r="Y70" s="950" t="e">
        <f t="shared" si="38"/>
        <v>#REF!</v>
      </c>
      <c r="Z70" s="14">
        <f>IF(Z$3=0,DPL25Summary!T70,DPL25Summary!T70/Z$3)</f>
        <v>0</v>
      </c>
      <c r="AA70" s="14">
        <f>IF(AA$3=0,DPL25Summary!V70,DPL25Summary!V70/AA$3)</f>
        <v>0</v>
      </c>
      <c r="AB70" s="14">
        <f>IF(AB$3=0,DPL25Summary!X70,DPL25Summary!X70/AB$3)</f>
        <v>0</v>
      </c>
      <c r="AC70" s="15">
        <f t="shared" si="30"/>
        <v>0</v>
      </c>
      <c r="AD70" s="242" t="e">
        <f t="shared" ca="1" si="31"/>
        <v>#REF!</v>
      </c>
      <c r="AE70" s="104">
        <f>SUM('DPL24-Budget'!B70:$B70)</f>
        <v>0</v>
      </c>
      <c r="AF70" s="929">
        <f t="shared" si="32"/>
        <v>0</v>
      </c>
      <c r="AG70" s="169">
        <f t="shared" si="39"/>
        <v>0</v>
      </c>
      <c r="AH70" s="150"/>
    </row>
    <row r="71" spans="1:34">
      <c r="A71" s="757"/>
      <c r="B71" s="14"/>
      <c r="C71" s="909">
        <f t="shared" ca="1" si="33"/>
        <v>0</v>
      </c>
      <c r="D71" s="14"/>
      <c r="E71" s="902"/>
      <c r="F71" s="14"/>
      <c r="G71" s="902"/>
      <c r="H71" s="949"/>
      <c r="I71" s="949"/>
      <c r="J71" s="14"/>
      <c r="K71" s="910">
        <f t="shared" ca="1" si="22"/>
        <v>0</v>
      </c>
      <c r="L71" s="14"/>
      <c r="M71" s="907" t="e">
        <f t="shared" si="23"/>
        <v>#REF!</v>
      </c>
      <c r="N71" s="14"/>
      <c r="O71" s="907" t="e">
        <f t="shared" si="24"/>
        <v>#REF!</v>
      </c>
      <c r="P71" s="949"/>
      <c r="Q71" s="949"/>
      <c r="R71" s="14"/>
      <c r="S71" s="907" t="e">
        <f t="shared" si="26"/>
        <v>#REF!</v>
      </c>
      <c r="T71" s="14"/>
      <c r="U71" s="910" t="e">
        <f t="shared" si="27"/>
        <v>#REF!</v>
      </c>
      <c r="V71" s="14"/>
      <c r="W71" s="910" t="e">
        <f t="shared" si="28"/>
        <v>#REF!</v>
      </c>
      <c r="X71" s="949"/>
      <c r="Y71" s="949"/>
      <c r="Z71" s="14"/>
      <c r="AA71" s="14"/>
      <c r="AB71" s="14"/>
      <c r="AC71" s="15"/>
      <c r="AD71" s="242"/>
      <c r="AE71" s="104"/>
      <c r="AF71" s="929">
        <f t="shared" si="32"/>
        <v>0</v>
      </c>
      <c r="AG71" s="169">
        <f t="shared" si="39"/>
        <v>0</v>
      </c>
      <c r="AH71" s="149"/>
    </row>
    <row r="72" spans="1:34" ht="13.5" thickBot="1">
      <c r="A72" s="6" t="s">
        <v>613</v>
      </c>
      <c r="B72" s="38">
        <f>SUM(B53:B71)</f>
        <v>1050</v>
      </c>
      <c r="C72" s="909">
        <f t="shared" ca="1" si="33"/>
        <v>0.38490000000000002</v>
      </c>
      <c r="D72" s="38">
        <f>SUM(D53:D71)</f>
        <v>1050</v>
      </c>
      <c r="E72" s="909">
        <f ca="1">+D72/$D$13</f>
        <v>0.38490000000000002</v>
      </c>
      <c r="F72" s="38">
        <f>SUM(F53:F71)</f>
        <v>1050</v>
      </c>
      <c r="G72" s="909">
        <f ca="1">+F72/$F$13</f>
        <v>0.38490000000000002</v>
      </c>
      <c r="H72" s="362">
        <f>+SUM(B72+D72+F72)</f>
        <v>3150</v>
      </c>
      <c r="I72" s="368">
        <f ca="1">+H72/$H$13</f>
        <v>0.38490000000000002</v>
      </c>
      <c r="J72" s="38">
        <f>SUM(J53:J71)</f>
        <v>1050</v>
      </c>
      <c r="K72" s="910">
        <f t="shared" ca="1" si="22"/>
        <v>0.38500000000000001</v>
      </c>
      <c r="L72" s="38">
        <f>SUM(L53:L71)</f>
        <v>1050</v>
      </c>
      <c r="M72" s="907" t="e">
        <f t="shared" si="23"/>
        <v>#REF!</v>
      </c>
      <c r="N72" s="38">
        <f>SUM(N53:N71)</f>
        <v>1050</v>
      </c>
      <c r="O72" s="907" t="e">
        <f t="shared" si="24"/>
        <v>#REF!</v>
      </c>
      <c r="P72" s="362">
        <f>+SUM(J72+L72+N72)</f>
        <v>3150</v>
      </c>
      <c r="Q72" s="368" t="e">
        <f ca="1">+P72/$P$13</f>
        <v>#REF!</v>
      </c>
      <c r="R72" s="38">
        <f>SUM(R53:R71)</f>
        <v>1050</v>
      </c>
      <c r="S72" s="907" t="e">
        <f t="shared" si="26"/>
        <v>#REF!</v>
      </c>
      <c r="T72" s="38">
        <f>SUM(T53:T71)</f>
        <v>1050</v>
      </c>
      <c r="U72" s="910" t="e">
        <f t="shared" si="27"/>
        <v>#REF!</v>
      </c>
      <c r="V72" s="38">
        <f>SUM(V53:V71)</f>
        <v>1050</v>
      </c>
      <c r="W72" s="910" t="e">
        <f t="shared" si="28"/>
        <v>#REF!</v>
      </c>
      <c r="X72" s="362">
        <f>+SUM(R72+T72+V72)</f>
        <v>3150</v>
      </c>
      <c r="Y72" s="368" t="e">
        <f>+X72/$X$13</f>
        <v>#REF!</v>
      </c>
      <c r="Z72" s="38">
        <f>SUM(Z53:Z71)</f>
        <v>1050</v>
      </c>
      <c r="AA72" s="38">
        <f>SUM(AA53:AA71)</f>
        <v>1050</v>
      </c>
      <c r="AB72" s="38">
        <f>SUM(AB53:AB71)</f>
        <v>1050</v>
      </c>
      <c r="AC72" s="16">
        <f>SUM(AC52:AC71)</f>
        <v>12600</v>
      </c>
      <c r="AD72" s="242" t="e">
        <f t="shared" ca="1" si="31"/>
        <v>#REF!</v>
      </c>
      <c r="AE72" s="107">
        <f>SUM(AE53:AE71)</f>
        <v>57364</v>
      </c>
      <c r="AF72" s="929">
        <f t="shared" si="32"/>
        <v>5.0500000000000003E-2</v>
      </c>
      <c r="AG72" s="169">
        <f t="shared" si="39"/>
        <v>-44764</v>
      </c>
    </row>
    <row r="73" spans="1:34" ht="13.5" thickTop="1">
      <c r="A73" s="6"/>
      <c r="B73" s="14"/>
      <c r="C73" s="902"/>
      <c r="D73" s="14"/>
      <c r="E73" s="902"/>
      <c r="F73" s="14"/>
      <c r="G73" s="902"/>
      <c r="H73" s="949"/>
      <c r="I73" s="949"/>
      <c r="J73" s="14"/>
      <c r="K73" s="14"/>
      <c r="L73" s="14"/>
      <c r="M73" s="14"/>
      <c r="N73" s="14"/>
      <c r="O73" s="14"/>
      <c r="P73" s="949"/>
      <c r="Q73" s="949"/>
      <c r="R73" s="14"/>
      <c r="S73" s="14"/>
      <c r="T73" s="14"/>
      <c r="U73" s="14"/>
      <c r="V73" s="14"/>
      <c r="W73" s="357"/>
      <c r="X73" s="949"/>
      <c r="Y73" s="949"/>
      <c r="Z73" s="14"/>
      <c r="AA73" s="14"/>
      <c r="AB73" s="14"/>
      <c r="AC73" s="15"/>
      <c r="AE73" s="104"/>
      <c r="AF73" s="104"/>
      <c r="AG73" s="169">
        <f t="shared" si="39"/>
        <v>0</v>
      </c>
      <c r="AH73" s="149"/>
    </row>
    <row r="74" spans="1:34">
      <c r="A74" s="757"/>
      <c r="B74" s="13"/>
      <c r="C74" s="249"/>
      <c r="D74" s="13"/>
      <c r="E74" s="249"/>
      <c r="F74" s="528">
        <f ca="1">+F72/F13</f>
        <v>0</v>
      </c>
      <c r="G74" s="249"/>
      <c r="H74" s="363"/>
      <c r="I74" s="363"/>
      <c r="J74" s="13"/>
      <c r="K74" s="250"/>
      <c r="L74" s="13"/>
      <c r="M74" s="250"/>
      <c r="N74" s="13"/>
      <c r="O74" s="250"/>
      <c r="P74" s="363"/>
      <c r="Q74" s="363"/>
      <c r="R74" s="13"/>
      <c r="S74" s="13"/>
      <c r="T74" s="13"/>
      <c r="U74" s="13"/>
      <c r="V74" s="13"/>
      <c r="W74" s="358"/>
      <c r="X74" s="363"/>
      <c r="Y74" s="363"/>
      <c r="Z74" s="13"/>
      <c r="AA74" s="13"/>
      <c r="AB74" s="13"/>
      <c r="AC74" s="13"/>
      <c r="AE74" s="104"/>
      <c r="AF74" s="104"/>
      <c r="AG74" s="169">
        <f t="shared" si="39"/>
        <v>0</v>
      </c>
      <c r="AH74" s="149"/>
    </row>
    <row r="75" spans="1:34">
      <c r="A75" s="6" t="s">
        <v>411</v>
      </c>
      <c r="B75" s="2"/>
      <c r="C75" s="901"/>
      <c r="D75" s="2"/>
      <c r="E75" s="901"/>
      <c r="F75" s="2"/>
      <c r="G75" s="901"/>
      <c r="H75" s="951"/>
      <c r="I75" s="951"/>
      <c r="J75" s="2"/>
      <c r="K75" s="2"/>
      <c r="L75" s="2"/>
      <c r="M75" s="2"/>
      <c r="N75" s="2"/>
      <c r="O75" s="2"/>
      <c r="P75" s="951"/>
      <c r="Q75" s="951"/>
      <c r="R75" s="2"/>
      <c r="S75" s="2"/>
      <c r="T75" s="2"/>
      <c r="U75" s="2"/>
      <c r="V75" s="2"/>
      <c r="W75" s="356"/>
      <c r="X75" s="951"/>
      <c r="Y75" s="951"/>
      <c r="Z75" s="2"/>
      <c r="AA75" s="2"/>
      <c r="AB75" s="2"/>
      <c r="AC75" s="7"/>
      <c r="AE75" s="104"/>
      <c r="AF75" s="104"/>
      <c r="AG75" s="169">
        <f t="shared" si="39"/>
        <v>0</v>
      </c>
      <c r="AH75" s="149"/>
    </row>
    <row r="76" spans="1:34" s="4" customFormat="1">
      <c r="A76" s="757" t="s">
        <v>614</v>
      </c>
      <c r="B76" s="14">
        <f>IF(B$3=0,DPL25Summary!B76,DPL25Summary!B76/B$3)</f>
        <v>0</v>
      </c>
      <c r="C76" s="909">
        <f t="shared" ref="C76:C85" ca="1" si="40">+B76/$B$13</f>
        <v>0</v>
      </c>
      <c r="D76" s="14">
        <f>IF(D$3=0,DPL25Summary!D76,DPL25Summary!D76/D$3)</f>
        <v>0</v>
      </c>
      <c r="E76" s="909">
        <f t="shared" ref="E76:E85" ca="1" si="41">+D76/$D$13</f>
        <v>0</v>
      </c>
      <c r="F76" s="14">
        <f>IF(F$3=0,DPL25Summary!F76,DPL25Summary!F76/F$3)</f>
        <v>0</v>
      </c>
      <c r="G76" s="909">
        <f t="shared" ref="G76:G83" ca="1" si="42">+F76/$F$13</f>
        <v>0</v>
      </c>
      <c r="H76" s="361">
        <f>+SUM(B76+D76+F76)</f>
        <v>0</v>
      </c>
      <c r="I76" s="950">
        <f ca="1">+H76/$H$13</f>
        <v>0</v>
      </c>
      <c r="J76" s="14">
        <f>IF(J$3=0,DPL25Summary!H76,DPL25Summary!H76/J$3)</f>
        <v>0</v>
      </c>
      <c r="K76" s="909">
        <f t="shared" ref="K76:K83" ca="1" si="43">+J76/$J$13</f>
        <v>0</v>
      </c>
      <c r="L76" s="14">
        <f>IF(L$3=0,DPL25Summary!J76,DPL25Summary!J76/L$3)</f>
        <v>0</v>
      </c>
      <c r="M76" s="907" t="e">
        <f t="shared" ref="M76:M83" si="44">+L76/$L$13</f>
        <v>#REF!</v>
      </c>
      <c r="N76" s="14">
        <f>IF(N$3=0,DPL25Summary!L76,DPL25Summary!L76/N$3)</f>
        <v>0</v>
      </c>
      <c r="O76" s="907" t="e">
        <f t="shared" ref="O76:O83" si="45">+N76/$N$13</f>
        <v>#REF!</v>
      </c>
      <c r="P76" s="361">
        <f>+SUM(J76+L76+N76)</f>
        <v>0</v>
      </c>
      <c r="Q76" s="950" t="e">
        <f ca="1">+P76/$P$13</f>
        <v>#REF!</v>
      </c>
      <c r="R76" s="14">
        <f>IF(R$3=0,DPL25Summary!N76,DPL25Summary!N76/R$3)</f>
        <v>0</v>
      </c>
      <c r="S76" s="910" t="e">
        <f t="shared" ref="S76:S83" si="46">+R76/$R$13</f>
        <v>#REF!</v>
      </c>
      <c r="T76" s="14">
        <f>IF(T$3=0,DPL25Summary!P76,DPL25Summary!P76/T$3)</f>
        <v>0</v>
      </c>
      <c r="U76" s="910" t="e">
        <f t="shared" ref="U76:U83" si="47">+T76/$T$13</f>
        <v>#REF!</v>
      </c>
      <c r="V76" s="14">
        <f>IF(V$3=0,DPL25Summary!R76,DPL25Summary!R76/V$3)</f>
        <v>0</v>
      </c>
      <c r="W76" s="910" t="e">
        <f t="shared" ref="W76:W89" si="48">+V76/$V$13</f>
        <v>#REF!</v>
      </c>
      <c r="X76" s="361">
        <f>+SUM(R76+T76+V76)</f>
        <v>0</v>
      </c>
      <c r="Y76" s="950" t="e">
        <f>+X76/$X$13</f>
        <v>#REF!</v>
      </c>
      <c r="Z76" s="14">
        <f>IF(Z$3=0,DPL25Summary!T76,DPL25Summary!T76/Z$3)</f>
        <v>0</v>
      </c>
      <c r="AA76" s="14">
        <f>IF(AA$3=0,DPL25Summary!V76,DPL25Summary!V76/AA$3)</f>
        <v>0</v>
      </c>
      <c r="AB76" s="14">
        <f>IF(AB$3=0,DPL25Summary!X76,DPL25Summary!X76/AB$3)</f>
        <v>0</v>
      </c>
      <c r="AC76" s="15">
        <f t="shared" ref="AC76:AC83" si="49">+B76+D76+F76+J76+L76+N76+R76+T76+V76+Z76+AA76+AB76</f>
        <v>0</v>
      </c>
      <c r="AD76" s="242" t="e">
        <f t="shared" ref="AD76:AD89" ca="1" si="50">+AC76/$AC$13</f>
        <v>#REF!</v>
      </c>
      <c r="AE76" s="104">
        <f>SUM('DPL24-Budget'!B76:$B76)</f>
        <v>-1056</v>
      </c>
      <c r="AF76" s="929">
        <f t="shared" ref="AF76:AF83" si="51">+AE76/$AE$13</f>
        <v>-8.9999999999999998E-4</v>
      </c>
      <c r="AG76" s="169">
        <f t="shared" si="39"/>
        <v>1056</v>
      </c>
      <c r="AH76" s="150"/>
    </row>
    <row r="77" spans="1:34" s="4" customFormat="1">
      <c r="A77" s="757" t="s">
        <v>615</v>
      </c>
      <c r="B77" s="14">
        <f>IF(B$3=0,DPL25Summary!B77,DPL25Summary!B77/B$3)</f>
        <v>0</v>
      </c>
      <c r="C77" s="909">
        <f t="shared" ca="1" si="40"/>
        <v>0</v>
      </c>
      <c r="D77" s="14">
        <f>IF(D$3=0,DPL25Summary!D77,DPL25Summary!D77/D$3)</f>
        <v>0</v>
      </c>
      <c r="E77" s="909">
        <f t="shared" ca="1" si="41"/>
        <v>0</v>
      </c>
      <c r="F77" s="14">
        <f>IF(F$3=0,DPL25Summary!F77,DPL25Summary!F77/F$3)</f>
        <v>0</v>
      </c>
      <c r="G77" s="909">
        <f t="shared" ca="1" si="42"/>
        <v>0</v>
      </c>
      <c r="H77" s="361">
        <f t="shared" ref="H77:H82" si="52">+SUM(B77+D77+F77)</f>
        <v>0</v>
      </c>
      <c r="I77" s="950">
        <f t="shared" ref="I77:I82" ca="1" si="53">+H77/$H$13</f>
        <v>0</v>
      </c>
      <c r="J77" s="14">
        <f>IF(J$3=0,DPL25Summary!H77,DPL25Summary!H77/J$3)</f>
        <v>0</v>
      </c>
      <c r="K77" s="910">
        <f t="shared" ca="1" si="43"/>
        <v>0</v>
      </c>
      <c r="L77" s="14">
        <f>IF(L$3=0,DPL25Summary!J77,DPL25Summary!J77/L$3)</f>
        <v>0</v>
      </c>
      <c r="M77" s="907" t="e">
        <f t="shared" si="44"/>
        <v>#REF!</v>
      </c>
      <c r="N77" s="14">
        <f>IF(N$3=0,DPL25Summary!L77,DPL25Summary!L77/N$3)</f>
        <v>0</v>
      </c>
      <c r="O77" s="907" t="e">
        <f t="shared" si="45"/>
        <v>#REF!</v>
      </c>
      <c r="P77" s="361">
        <f t="shared" ref="P77:P82" si="54">+SUM(J77+L77+N77)</f>
        <v>0</v>
      </c>
      <c r="Q77" s="950" t="e">
        <f t="shared" ref="Q77:Q82" ca="1" si="55">+P77/$P$13</f>
        <v>#REF!</v>
      </c>
      <c r="R77" s="14">
        <f>IF(R$3=0,DPL25Summary!N77,DPL25Summary!N77/R$3)</f>
        <v>0</v>
      </c>
      <c r="S77" s="910" t="e">
        <f t="shared" si="46"/>
        <v>#REF!</v>
      </c>
      <c r="T77" s="14">
        <f>IF(T$3=0,DPL25Summary!P77,DPL25Summary!P77/T$3)</f>
        <v>0</v>
      </c>
      <c r="U77" s="910" t="e">
        <f t="shared" si="47"/>
        <v>#REF!</v>
      </c>
      <c r="V77" s="14">
        <f>IF(V$3=0,DPL25Summary!R77,DPL25Summary!R77/V$3)</f>
        <v>0</v>
      </c>
      <c r="W77" s="910" t="e">
        <f t="shared" si="48"/>
        <v>#REF!</v>
      </c>
      <c r="X77" s="361">
        <f t="shared" ref="X77:X82" si="56">+SUM(R77+T77+V77)</f>
        <v>0</v>
      </c>
      <c r="Y77" s="950" t="e">
        <f t="shared" ref="Y77:Y82" si="57">+X77/$X$13</f>
        <v>#REF!</v>
      </c>
      <c r="Z77" s="14">
        <f>IF(Z$3=0,DPL25Summary!T77,DPL25Summary!T77/Z$3)</f>
        <v>0</v>
      </c>
      <c r="AA77" s="14">
        <f>IF(AA$3=0,DPL25Summary!V77,DPL25Summary!V77/AA$3)</f>
        <v>0</v>
      </c>
      <c r="AB77" s="14">
        <f>IF(AB$3=0,DPL25Summary!X77,DPL25Summary!X77/AB$3)</f>
        <v>0</v>
      </c>
      <c r="AC77" s="15">
        <f t="shared" si="49"/>
        <v>0</v>
      </c>
      <c r="AD77" s="242" t="e">
        <f t="shared" ca="1" si="50"/>
        <v>#REF!</v>
      </c>
      <c r="AE77" s="104">
        <f>SUM('DPL24-Budget'!B77:$B77)</f>
        <v>0</v>
      </c>
      <c r="AF77" s="929">
        <f t="shared" si="51"/>
        <v>0</v>
      </c>
      <c r="AG77" s="169">
        <f t="shared" si="39"/>
        <v>0</v>
      </c>
      <c r="AH77" s="150"/>
    </row>
    <row r="78" spans="1:34" s="4" customFormat="1">
      <c r="A78" s="757" t="s">
        <v>72</v>
      </c>
      <c r="B78" s="14">
        <f>IF(B$3=0,DPL25Summary!B78,DPL25Summary!B78/B$3)</f>
        <v>0</v>
      </c>
      <c r="C78" s="909">
        <f t="shared" ca="1" si="40"/>
        <v>0</v>
      </c>
      <c r="D78" s="14">
        <f>IF(D$3=0,DPL25Summary!D78,DPL25Summary!D78/D$3)</f>
        <v>0</v>
      </c>
      <c r="E78" s="909">
        <f t="shared" ca="1" si="41"/>
        <v>0</v>
      </c>
      <c r="F78" s="14">
        <f>IF(F$3=0,DPL25Summary!F78,DPL25Summary!F78/F$3)</f>
        <v>0</v>
      </c>
      <c r="G78" s="909">
        <f t="shared" ca="1" si="42"/>
        <v>0</v>
      </c>
      <c r="H78" s="361">
        <f t="shared" si="52"/>
        <v>0</v>
      </c>
      <c r="I78" s="950">
        <f t="shared" ca="1" si="53"/>
        <v>0</v>
      </c>
      <c r="J78" s="14">
        <f>IF(J$3=0,DPL25Summary!H78,DPL25Summary!H78/J$3)</f>
        <v>0</v>
      </c>
      <c r="K78" s="910">
        <f t="shared" ca="1" si="43"/>
        <v>0</v>
      </c>
      <c r="L78" s="14">
        <f>IF(L$3=0,DPL25Summary!J78,DPL25Summary!J78/L$3)</f>
        <v>0</v>
      </c>
      <c r="M78" s="907" t="e">
        <f t="shared" si="44"/>
        <v>#REF!</v>
      </c>
      <c r="N78" s="14">
        <f>IF(N$3=0,DPL25Summary!L78,DPL25Summary!L78/N$3)</f>
        <v>0</v>
      </c>
      <c r="O78" s="907" t="e">
        <f t="shared" si="45"/>
        <v>#REF!</v>
      </c>
      <c r="P78" s="361">
        <f t="shared" si="54"/>
        <v>0</v>
      </c>
      <c r="Q78" s="950" t="e">
        <f t="shared" ca="1" si="55"/>
        <v>#REF!</v>
      </c>
      <c r="R78" s="14">
        <f>IF(R$3=0,DPL25Summary!N78,DPL25Summary!N78/R$3)</f>
        <v>0</v>
      </c>
      <c r="S78" s="910" t="e">
        <f t="shared" si="46"/>
        <v>#REF!</v>
      </c>
      <c r="T78" s="14">
        <f>IF(T$3=0,DPL25Summary!P78,DPL25Summary!P78/T$3)</f>
        <v>0</v>
      </c>
      <c r="U78" s="910" t="e">
        <f t="shared" si="47"/>
        <v>#REF!</v>
      </c>
      <c r="V78" s="14">
        <f>IF(V$3=0,DPL25Summary!R78,DPL25Summary!R78/V$3)</f>
        <v>0</v>
      </c>
      <c r="W78" s="910" t="e">
        <f t="shared" si="48"/>
        <v>#REF!</v>
      </c>
      <c r="X78" s="361">
        <f t="shared" si="56"/>
        <v>0</v>
      </c>
      <c r="Y78" s="950" t="e">
        <f t="shared" si="57"/>
        <v>#REF!</v>
      </c>
      <c r="Z78" s="14">
        <f>IF(Z$3=0,DPL25Summary!T78,DPL25Summary!T78/Z$3)</f>
        <v>0</v>
      </c>
      <c r="AA78" s="14">
        <f>IF(AA$3=0,DPL25Summary!V78,DPL25Summary!V78/AA$3)</f>
        <v>0</v>
      </c>
      <c r="AB78" s="14">
        <f>IF(AB$3=0,DPL25Summary!X78,DPL25Summary!X78/AB$3)</f>
        <v>0</v>
      </c>
      <c r="AC78" s="15">
        <f t="shared" si="49"/>
        <v>0</v>
      </c>
      <c r="AD78" s="242" t="e">
        <f t="shared" ca="1" si="50"/>
        <v>#REF!</v>
      </c>
      <c r="AE78" s="104">
        <f>SUM('DPL24-Budget'!B78:$B78)</f>
        <v>5543</v>
      </c>
      <c r="AF78" s="929">
        <f t="shared" si="51"/>
        <v>4.8999999999999998E-3</v>
      </c>
      <c r="AG78" s="169">
        <f t="shared" si="39"/>
        <v>-5543</v>
      </c>
      <c r="AH78" s="150"/>
    </row>
    <row r="79" spans="1:34" s="4" customFormat="1">
      <c r="A79" s="757" t="s">
        <v>616</v>
      </c>
      <c r="B79" s="14">
        <f>IF(B$3=0,DPL25Summary!B79,DPL25Summary!B79/B$3)</f>
        <v>0</v>
      </c>
      <c r="C79" s="909">
        <f t="shared" ca="1" si="40"/>
        <v>0</v>
      </c>
      <c r="D79" s="14">
        <f>IF(D$3=0,DPL25Summary!D79,DPL25Summary!D79/D$3)</f>
        <v>0</v>
      </c>
      <c r="E79" s="909">
        <f t="shared" ca="1" si="41"/>
        <v>0</v>
      </c>
      <c r="F79" s="14">
        <f>IF(F$3=0,DPL25Summary!F79,DPL25Summary!F79/F$3)</f>
        <v>0</v>
      </c>
      <c r="G79" s="909">
        <f t="shared" ca="1" si="42"/>
        <v>0</v>
      </c>
      <c r="H79" s="361">
        <f t="shared" si="52"/>
        <v>0</v>
      </c>
      <c r="I79" s="950">
        <f t="shared" ca="1" si="53"/>
        <v>0</v>
      </c>
      <c r="J79" s="14">
        <f>IF(J$3=0,DPL25Summary!H79,DPL25Summary!H79/J$3)</f>
        <v>0</v>
      </c>
      <c r="K79" s="910">
        <f t="shared" ca="1" si="43"/>
        <v>0</v>
      </c>
      <c r="L79" s="14">
        <f>IF(L$3=0,DPL25Summary!J79,DPL25Summary!J79/L$3)</f>
        <v>0</v>
      </c>
      <c r="M79" s="907" t="e">
        <f t="shared" si="44"/>
        <v>#REF!</v>
      </c>
      <c r="N79" s="14">
        <f>IF(N$3=0,DPL25Summary!L79,DPL25Summary!L79/N$3)</f>
        <v>0</v>
      </c>
      <c r="O79" s="907" t="e">
        <f t="shared" si="45"/>
        <v>#REF!</v>
      </c>
      <c r="P79" s="361">
        <f t="shared" si="54"/>
        <v>0</v>
      </c>
      <c r="Q79" s="950" t="e">
        <f t="shared" ca="1" si="55"/>
        <v>#REF!</v>
      </c>
      <c r="R79" s="14">
        <f>IF(R$3=0,DPL25Summary!N79,DPL25Summary!N79/R$3)</f>
        <v>0</v>
      </c>
      <c r="S79" s="910" t="e">
        <f t="shared" si="46"/>
        <v>#REF!</v>
      </c>
      <c r="T79" s="14">
        <f>IF(T$3=0,DPL25Summary!P79,DPL25Summary!P79/T$3)</f>
        <v>0</v>
      </c>
      <c r="U79" s="910" t="e">
        <f t="shared" si="47"/>
        <v>#REF!</v>
      </c>
      <c r="V79" s="14">
        <f>IF(V$3=0,DPL25Summary!R79,DPL25Summary!R79/V$3)</f>
        <v>0</v>
      </c>
      <c r="W79" s="910" t="e">
        <f t="shared" si="48"/>
        <v>#REF!</v>
      </c>
      <c r="X79" s="361">
        <f t="shared" si="56"/>
        <v>0</v>
      </c>
      <c r="Y79" s="950" t="e">
        <f t="shared" si="57"/>
        <v>#REF!</v>
      </c>
      <c r="Z79" s="14">
        <f>IF(Z$3=0,DPL25Summary!T79,DPL25Summary!T79/Z$3)</f>
        <v>0</v>
      </c>
      <c r="AA79" s="14">
        <f>IF(AA$3=0,DPL25Summary!V79,DPL25Summary!V79/AA$3)</f>
        <v>0</v>
      </c>
      <c r="AB79" s="14">
        <f>IF(AB$3=0,DPL25Summary!X79,DPL25Summary!X79/AB$3)</f>
        <v>0</v>
      </c>
      <c r="AC79" s="15">
        <f t="shared" si="49"/>
        <v>0</v>
      </c>
      <c r="AD79" s="242" t="e">
        <f t="shared" ca="1" si="50"/>
        <v>#REF!</v>
      </c>
      <c r="AE79" s="104">
        <f>SUM('DPL24-Budget'!B79:$B79)</f>
        <v>88487</v>
      </c>
      <c r="AF79" s="929">
        <f t="shared" si="51"/>
        <v>7.7799999999999994E-2</v>
      </c>
      <c r="AG79" s="169">
        <f t="shared" si="39"/>
        <v>-88487</v>
      </c>
      <c r="AH79" s="150"/>
    </row>
    <row r="80" spans="1:34" s="4" customFormat="1">
      <c r="A80" s="757" t="s">
        <v>617</v>
      </c>
      <c r="B80" s="14">
        <f>IF(B$3=0,DPL25Summary!B80,DPL25Summary!B80/B$3)</f>
        <v>0</v>
      </c>
      <c r="C80" s="909">
        <f t="shared" ca="1" si="40"/>
        <v>0</v>
      </c>
      <c r="D80" s="14">
        <f>IF(D$3=0,DPL25Summary!D80,DPL25Summary!D80/D$3)</f>
        <v>0</v>
      </c>
      <c r="E80" s="909">
        <f t="shared" ca="1" si="41"/>
        <v>0</v>
      </c>
      <c r="F80" s="14">
        <f>IF(F$3=0,DPL25Summary!F80,DPL25Summary!F80/F$3)</f>
        <v>0</v>
      </c>
      <c r="G80" s="909">
        <f t="shared" ca="1" si="42"/>
        <v>0</v>
      </c>
      <c r="H80" s="361">
        <f t="shared" si="52"/>
        <v>0</v>
      </c>
      <c r="I80" s="950">
        <f t="shared" ca="1" si="53"/>
        <v>0</v>
      </c>
      <c r="J80" s="14">
        <f>IF(J$3=0,DPL25Summary!H80,DPL25Summary!H80/J$3)</f>
        <v>0</v>
      </c>
      <c r="K80" s="910">
        <f t="shared" ca="1" si="43"/>
        <v>0</v>
      </c>
      <c r="L80" s="14">
        <f>IF(L$3=0,DPL25Summary!J80,DPL25Summary!J80/L$3)</f>
        <v>0</v>
      </c>
      <c r="M80" s="907" t="e">
        <f t="shared" si="44"/>
        <v>#REF!</v>
      </c>
      <c r="N80" s="14">
        <f>IF(N$3=0,DPL25Summary!L80,DPL25Summary!L80/N$3)</f>
        <v>0</v>
      </c>
      <c r="O80" s="907" t="e">
        <f t="shared" si="45"/>
        <v>#REF!</v>
      </c>
      <c r="P80" s="361">
        <f t="shared" si="54"/>
        <v>0</v>
      </c>
      <c r="Q80" s="950" t="e">
        <f t="shared" ca="1" si="55"/>
        <v>#REF!</v>
      </c>
      <c r="R80" s="14">
        <f>IF(R$3=0,DPL25Summary!N80,DPL25Summary!N80/R$3)</f>
        <v>0</v>
      </c>
      <c r="S80" s="910" t="e">
        <f t="shared" si="46"/>
        <v>#REF!</v>
      </c>
      <c r="T80" s="14">
        <f>IF(T$3=0,DPL25Summary!P80,DPL25Summary!P80/T$3)</f>
        <v>0</v>
      </c>
      <c r="U80" s="910" t="e">
        <f t="shared" si="47"/>
        <v>#REF!</v>
      </c>
      <c r="V80" s="14">
        <f>IF(V$3=0,DPL25Summary!R80,DPL25Summary!R80/V$3)</f>
        <v>0</v>
      </c>
      <c r="W80" s="910" t="e">
        <f t="shared" si="48"/>
        <v>#REF!</v>
      </c>
      <c r="X80" s="361">
        <f t="shared" si="56"/>
        <v>0</v>
      </c>
      <c r="Y80" s="950" t="e">
        <f t="shared" si="57"/>
        <v>#REF!</v>
      </c>
      <c r="Z80" s="14">
        <f>IF(Z$3=0,DPL25Summary!T80,DPL25Summary!T80/Z$3)</f>
        <v>0</v>
      </c>
      <c r="AA80" s="14">
        <f>IF(AA$3=0,DPL25Summary!V80,DPL25Summary!V80/AA$3)</f>
        <v>0</v>
      </c>
      <c r="AB80" s="14">
        <f>IF(AB$3=0,DPL25Summary!X80,DPL25Summary!X80/AB$3)</f>
        <v>0</v>
      </c>
      <c r="AC80" s="15">
        <f t="shared" si="49"/>
        <v>0</v>
      </c>
      <c r="AD80" s="242" t="e">
        <f t="shared" ca="1" si="50"/>
        <v>#REF!</v>
      </c>
      <c r="AE80" s="104">
        <f>SUM('DPL24-Budget'!B80:$B80)</f>
        <v>0</v>
      </c>
      <c r="AF80" s="929">
        <f t="shared" si="51"/>
        <v>0</v>
      </c>
      <c r="AG80" s="169">
        <f t="shared" si="39"/>
        <v>0</v>
      </c>
      <c r="AH80" s="150"/>
    </row>
    <row r="81" spans="1:34" s="4" customFormat="1">
      <c r="A81" s="757" t="s">
        <v>685</v>
      </c>
      <c r="B81" s="14">
        <f ca="1">IF(B$3=0,DPL25Summary!B81,DPL25Summary!B81/B$3)</f>
        <v>1134</v>
      </c>
      <c r="C81" s="909">
        <f t="shared" ca="1" si="40"/>
        <v>0.41570000000000001</v>
      </c>
      <c r="D81" s="14">
        <f ca="1">IF(D$3=0,DPL25Summary!D81,DPL25Summary!D81/D$3)</f>
        <v>1112</v>
      </c>
      <c r="E81" s="909">
        <f t="shared" ca="1" si="41"/>
        <v>0.40760000000000002</v>
      </c>
      <c r="F81" s="14">
        <f ca="1">IF(F$3=0,DPL25Summary!F81,DPL25Summary!F81/F$3)</f>
        <v>1112</v>
      </c>
      <c r="G81" s="909">
        <f t="shared" ca="1" si="42"/>
        <v>0.40760000000000002</v>
      </c>
      <c r="H81" s="361">
        <f t="shared" ca="1" si="52"/>
        <v>3358</v>
      </c>
      <c r="I81" s="950">
        <f t="shared" ca="1" si="53"/>
        <v>0.4103</v>
      </c>
      <c r="J81" s="14">
        <f ca="1">IF(J$3=0,DPL25Summary!H81,DPL25Summary!H81/J$3)</f>
        <v>302</v>
      </c>
      <c r="K81" s="910">
        <f t="shared" ca="1" si="43"/>
        <v>0.111</v>
      </c>
      <c r="L81" s="14" t="e">
        <f>IF(L$3=0,DPL25Summary!J81,DPL25Summary!J81/L$3)</f>
        <v>#REF!</v>
      </c>
      <c r="M81" s="907" t="e">
        <f t="shared" si="44"/>
        <v>#REF!</v>
      </c>
      <c r="N81" s="14" t="e">
        <f>IF(N$3=0,DPL25Summary!L81,DPL25Summary!L81/N$3)</f>
        <v>#REF!</v>
      </c>
      <c r="O81" s="907" t="e">
        <f t="shared" si="45"/>
        <v>#REF!</v>
      </c>
      <c r="P81" s="361" t="e">
        <f t="shared" ca="1" si="54"/>
        <v>#REF!</v>
      </c>
      <c r="Q81" s="950" t="e">
        <f t="shared" ca="1" si="55"/>
        <v>#REF!</v>
      </c>
      <c r="R81" s="14" t="e">
        <f>IF(R$3=0,DPL25Summary!N81,DPL25Summary!N81/R$3)</f>
        <v>#REF!</v>
      </c>
      <c r="S81" s="910" t="e">
        <f t="shared" si="46"/>
        <v>#REF!</v>
      </c>
      <c r="T81" s="14" t="e">
        <f>IF(T$3=0,DPL25Summary!P81,DPL25Summary!P81/T$3)</f>
        <v>#REF!</v>
      </c>
      <c r="U81" s="910" t="e">
        <f t="shared" si="47"/>
        <v>#REF!</v>
      </c>
      <c r="V81" s="14" t="e">
        <f>IF(V$3=0,DPL25Summary!R81,DPL25Summary!R81/V$3)</f>
        <v>#REF!</v>
      </c>
      <c r="W81" s="910" t="e">
        <f t="shared" si="48"/>
        <v>#REF!</v>
      </c>
      <c r="X81" s="361" t="e">
        <f t="shared" si="56"/>
        <v>#REF!</v>
      </c>
      <c r="Y81" s="950" t="e">
        <f t="shared" si="57"/>
        <v>#REF!</v>
      </c>
      <c r="Z81" s="14" t="e">
        <f>IF(Z$3=0,DPL25Summary!T81,DPL25Summary!T81/Z$3)</f>
        <v>#REF!</v>
      </c>
      <c r="AA81" s="14" t="e">
        <f>IF(AA$3=0,DPL25Summary!V81,DPL25Summary!V81/AA$3)</f>
        <v>#REF!</v>
      </c>
      <c r="AB81" s="14" t="e">
        <f>IF(AB$3=0,DPL25Summary!X81,DPL25Summary!X81/AB$3)</f>
        <v>#REF!</v>
      </c>
      <c r="AC81" s="15" t="e">
        <f t="shared" ca="1" si="49"/>
        <v>#REF!</v>
      </c>
      <c r="AD81" s="242" t="e">
        <f t="shared" ca="1" si="50"/>
        <v>#REF!</v>
      </c>
      <c r="AE81" s="104">
        <f>SUM('DPL24-Budget'!B81:$B81)</f>
        <v>0</v>
      </c>
      <c r="AF81" s="929">
        <f t="shared" si="51"/>
        <v>0</v>
      </c>
      <c r="AG81" s="169" t="e">
        <f t="shared" ca="1" si="39"/>
        <v>#REF!</v>
      </c>
      <c r="AH81" s="150"/>
    </row>
    <row r="82" spans="1:34">
      <c r="A82" s="757" t="s">
        <v>75</v>
      </c>
      <c r="B82" s="14">
        <f>IF(B$3=0,DPL25Summary!B82,DPL25Summary!B82/B$3)</f>
        <v>0</v>
      </c>
      <c r="C82" s="909">
        <f t="shared" ca="1" si="40"/>
        <v>0</v>
      </c>
      <c r="D82" s="14">
        <f>IF(D$3=0,DPL25Summary!D82,DPL25Summary!D82/D$3)</f>
        <v>0</v>
      </c>
      <c r="E82" s="909">
        <f t="shared" ca="1" si="41"/>
        <v>0</v>
      </c>
      <c r="F82" s="14">
        <f>IF(F$3=0,DPL25Summary!F82,DPL25Summary!F82/F$3)</f>
        <v>0</v>
      </c>
      <c r="G82" s="909">
        <f t="shared" ca="1" si="42"/>
        <v>0</v>
      </c>
      <c r="H82" s="361">
        <f t="shared" si="52"/>
        <v>0</v>
      </c>
      <c r="I82" s="950">
        <f t="shared" ca="1" si="53"/>
        <v>0</v>
      </c>
      <c r="J82" s="14">
        <f>IF(J$3=0,DPL25Summary!H82,DPL25Summary!H82/J$3)</f>
        <v>0</v>
      </c>
      <c r="K82" s="910">
        <f t="shared" ca="1" si="43"/>
        <v>0</v>
      </c>
      <c r="L82" s="14">
        <f>IF(L$3=0,DPL25Summary!J82,DPL25Summary!J82/L$3)</f>
        <v>0</v>
      </c>
      <c r="M82" s="907" t="e">
        <f t="shared" si="44"/>
        <v>#REF!</v>
      </c>
      <c r="N82" s="14">
        <f>IF(N$3=0,DPL25Summary!L82,DPL25Summary!L82/N$3)</f>
        <v>0</v>
      </c>
      <c r="O82" s="907" t="e">
        <f t="shared" si="45"/>
        <v>#REF!</v>
      </c>
      <c r="P82" s="361">
        <f t="shared" si="54"/>
        <v>0</v>
      </c>
      <c r="Q82" s="950" t="e">
        <f t="shared" ca="1" si="55"/>
        <v>#REF!</v>
      </c>
      <c r="R82" s="14">
        <f>IF(R$3=0,DPL25Summary!N82,DPL25Summary!N82/R$3)</f>
        <v>0</v>
      </c>
      <c r="S82" s="910" t="e">
        <f t="shared" si="46"/>
        <v>#REF!</v>
      </c>
      <c r="T82" s="14">
        <f>IF(T$3=0,DPL25Summary!P82,DPL25Summary!P82/T$3)</f>
        <v>0</v>
      </c>
      <c r="U82" s="910" t="e">
        <f t="shared" si="47"/>
        <v>#REF!</v>
      </c>
      <c r="V82" s="14">
        <f>IF(V$3=0,DPL25Summary!R82,DPL25Summary!R82/V$3)</f>
        <v>0</v>
      </c>
      <c r="W82" s="910" t="e">
        <f t="shared" si="48"/>
        <v>#REF!</v>
      </c>
      <c r="X82" s="361">
        <f t="shared" si="56"/>
        <v>0</v>
      </c>
      <c r="Y82" s="950" t="e">
        <f t="shared" si="57"/>
        <v>#REF!</v>
      </c>
      <c r="Z82" s="14">
        <f>IF(Z$3=0,DPL25Summary!T82,DPL25Summary!T82/Z$3)</f>
        <v>0</v>
      </c>
      <c r="AA82" s="14">
        <f>IF(AA$3=0,DPL25Summary!V82,DPL25Summary!V82/AA$3)</f>
        <v>0</v>
      </c>
      <c r="AB82" s="14">
        <f>IF(AB$3=0,DPL25Summary!X82,DPL25Summary!X82/AB$3)</f>
        <v>0</v>
      </c>
      <c r="AC82" s="15">
        <f t="shared" si="49"/>
        <v>0</v>
      </c>
      <c r="AD82" s="242" t="e">
        <f t="shared" ca="1" si="50"/>
        <v>#REF!</v>
      </c>
      <c r="AE82" s="104">
        <f>SUM('DPL24-Budget'!B82:$B82)</f>
        <v>35</v>
      </c>
      <c r="AF82" s="929">
        <f t="shared" si="51"/>
        <v>0</v>
      </c>
      <c r="AG82" s="169">
        <f t="shared" si="39"/>
        <v>-35</v>
      </c>
      <c r="AH82" s="149"/>
    </row>
    <row r="83" spans="1:34" ht="13.5" thickBot="1">
      <c r="A83" s="6" t="s">
        <v>412</v>
      </c>
      <c r="B83" s="38">
        <f ca="1">SUM(B76:B82)</f>
        <v>1134</v>
      </c>
      <c r="C83" s="909">
        <f t="shared" ca="1" si="40"/>
        <v>0.41570000000000001</v>
      </c>
      <c r="D83" s="38">
        <f ca="1">SUM(D76:D82)</f>
        <v>1112</v>
      </c>
      <c r="E83" s="909">
        <f t="shared" ca="1" si="41"/>
        <v>0.40760000000000002</v>
      </c>
      <c r="F83" s="38">
        <f ca="1">SUM(F76:F82)</f>
        <v>1112</v>
      </c>
      <c r="G83" s="909">
        <f t="shared" ca="1" si="42"/>
        <v>0.40760000000000002</v>
      </c>
      <c r="H83" s="362">
        <f ca="1">+SUM(B83+D83+F83)</f>
        <v>3358</v>
      </c>
      <c r="I83" s="368">
        <f ca="1">+H83/$H$13</f>
        <v>0.4103</v>
      </c>
      <c r="J83" s="38">
        <f ca="1">SUM(J76:J82)</f>
        <v>302</v>
      </c>
      <c r="K83" s="910">
        <f t="shared" ca="1" si="43"/>
        <v>0.111</v>
      </c>
      <c r="L83" s="38" t="e">
        <f>SUM(L76:L82)</f>
        <v>#REF!</v>
      </c>
      <c r="M83" s="907" t="e">
        <f t="shared" si="44"/>
        <v>#REF!</v>
      </c>
      <c r="N83" s="38" t="e">
        <f>SUM(N76:N82)</f>
        <v>#REF!</v>
      </c>
      <c r="O83" s="907" t="e">
        <f t="shared" si="45"/>
        <v>#REF!</v>
      </c>
      <c r="P83" s="362" t="e">
        <f ca="1">+SUM(J83+L83+N83)</f>
        <v>#REF!</v>
      </c>
      <c r="Q83" s="368" t="e">
        <f ca="1">+P83/$P$13</f>
        <v>#REF!</v>
      </c>
      <c r="R83" s="38" t="e">
        <f>SUM(R76:R82)</f>
        <v>#REF!</v>
      </c>
      <c r="S83" s="910" t="e">
        <f t="shared" si="46"/>
        <v>#REF!</v>
      </c>
      <c r="T83" s="38" t="e">
        <f>SUM(T76:T82)</f>
        <v>#REF!</v>
      </c>
      <c r="U83" s="910" t="e">
        <f t="shared" si="47"/>
        <v>#REF!</v>
      </c>
      <c r="V83" s="38" t="e">
        <f>SUM(V76:V82)</f>
        <v>#REF!</v>
      </c>
      <c r="W83" s="910" t="e">
        <f t="shared" si="48"/>
        <v>#REF!</v>
      </c>
      <c r="X83" s="362" t="e">
        <f>+SUM(R83+T83+V83)</f>
        <v>#REF!</v>
      </c>
      <c r="Y83" s="368" t="e">
        <f>+X83/$X$13</f>
        <v>#REF!</v>
      </c>
      <c r="Z83" s="38" t="e">
        <f>SUM(Z76:Z82)</f>
        <v>#REF!</v>
      </c>
      <c r="AA83" s="38" t="e">
        <f>SUM(AA76:AA82)</f>
        <v>#REF!</v>
      </c>
      <c r="AB83" s="38" t="e">
        <f>SUM(AB76:AB82)</f>
        <v>#REF!</v>
      </c>
      <c r="AC83" s="38" t="e">
        <f t="shared" ca="1" si="49"/>
        <v>#REF!</v>
      </c>
      <c r="AD83" s="242" t="e">
        <f t="shared" ca="1" si="50"/>
        <v>#REF!</v>
      </c>
      <c r="AE83" s="107">
        <f>SUM(AE76:AE82)</f>
        <v>93009</v>
      </c>
      <c r="AF83" s="929">
        <f t="shared" si="51"/>
        <v>8.1799999999999998E-2</v>
      </c>
      <c r="AG83" s="169" t="e">
        <f t="shared" ca="1" si="39"/>
        <v>#REF!</v>
      </c>
      <c r="AH83" s="149"/>
    </row>
    <row r="84" spans="1:34" ht="13.5" thickTop="1">
      <c r="A84" s="757"/>
      <c r="B84" s="14"/>
      <c r="C84" s="902"/>
      <c r="D84" s="14"/>
      <c r="E84" s="902"/>
      <c r="F84" s="14"/>
      <c r="G84" s="902"/>
      <c r="H84" s="949"/>
      <c r="I84" s="949"/>
      <c r="J84" s="14"/>
      <c r="K84" s="14"/>
      <c r="L84" s="14"/>
      <c r="M84" s="14"/>
      <c r="N84" s="14"/>
      <c r="O84" s="14"/>
      <c r="P84" s="949"/>
      <c r="Q84" s="949"/>
      <c r="R84" s="14"/>
      <c r="S84" s="14"/>
      <c r="T84" s="14"/>
      <c r="U84" s="14"/>
      <c r="V84" s="14"/>
      <c r="W84" s="910" t="e">
        <f t="shared" si="48"/>
        <v>#REF!</v>
      </c>
      <c r="X84" s="949"/>
      <c r="Y84" s="949"/>
      <c r="Z84" s="14"/>
      <c r="AA84" s="14"/>
      <c r="AB84" s="14"/>
      <c r="AC84" s="15"/>
      <c r="AD84" s="242"/>
      <c r="AE84" s="104"/>
      <c r="AF84" s="104"/>
      <c r="AG84" s="169">
        <f t="shared" si="39"/>
        <v>0</v>
      </c>
      <c r="AH84" s="149"/>
    </row>
    <row r="85" spans="1:34">
      <c r="A85" s="6" t="s">
        <v>413</v>
      </c>
      <c r="B85" s="14">
        <f ca="1">IF(B$3=0,DPL25Summary!B85,DPL25Summary!B85/B$3)</f>
        <v>69</v>
      </c>
      <c r="C85" s="907">
        <f t="shared" ca="1" si="40"/>
        <v>0.03</v>
      </c>
      <c r="D85" s="14">
        <f ca="1">IF(D$3=0,DPL25Summary!D85,DPL25Summary!D85/D$3)</f>
        <v>440</v>
      </c>
      <c r="E85" s="907">
        <f t="shared" ca="1" si="41"/>
        <v>0.16</v>
      </c>
      <c r="F85" s="14">
        <f ca="1">IF(F$3=0,DPL25Summary!F85,DPL25Summary!F85/F$3)</f>
        <v>440</v>
      </c>
      <c r="G85" s="907">
        <f ca="1">+F85/$F$13</f>
        <v>0.16</v>
      </c>
      <c r="H85" s="361">
        <f ca="1">+SUM(B85+D85+F85)</f>
        <v>949</v>
      </c>
      <c r="I85" s="952">
        <f ca="1">+H85/$H$13</f>
        <v>0.12</v>
      </c>
      <c r="J85" s="14">
        <f ca="1">IF(J$3=0,DPL25Summary!H85,DPL25Summary!H85/J$3)</f>
        <v>-684</v>
      </c>
      <c r="K85" s="910">
        <f ca="1">+J85/$J$13</f>
        <v>-0.251</v>
      </c>
      <c r="L85" s="14" t="e">
        <f>IF(L$3=0,DPL25Summary!J85,DPL25Summary!J85/L$3)</f>
        <v>#REF!</v>
      </c>
      <c r="M85" s="907" t="e">
        <f>+L85/$L$13</f>
        <v>#REF!</v>
      </c>
      <c r="N85" s="14" t="e">
        <f>IF(N$3=0,DPL25Summary!L85,DPL25Summary!L85/N$3)</f>
        <v>#REF!</v>
      </c>
      <c r="O85" s="907" t="e">
        <f>+N85/$N$13</f>
        <v>#REF!</v>
      </c>
      <c r="P85" s="361" t="e">
        <f ca="1">+SUM(J85+L85+N85)</f>
        <v>#REF!</v>
      </c>
      <c r="Q85" s="952" t="e">
        <f ca="1">+P85/$P$13</f>
        <v>#REF!</v>
      </c>
      <c r="R85" s="14" t="e">
        <f>IF(R$3=0,DPL25Summary!N85,DPL25Summary!N85/R$3)</f>
        <v>#REF!</v>
      </c>
      <c r="S85" s="907" t="e">
        <f>+R85/$R$13</f>
        <v>#REF!</v>
      </c>
      <c r="T85" s="14" t="e">
        <f>IF(T$3=0,DPL25Summary!P85,DPL25Summary!P85/T$3)</f>
        <v>#REF!</v>
      </c>
      <c r="U85" s="910" t="e">
        <f>+T85/$T$13</f>
        <v>#REF!</v>
      </c>
      <c r="V85" s="14" t="e">
        <f>IF(V$3=0,DPL25Summary!R85,DPL25Summary!R85/V$3)</f>
        <v>#REF!</v>
      </c>
      <c r="W85" s="910" t="e">
        <f t="shared" si="48"/>
        <v>#REF!</v>
      </c>
      <c r="X85" s="361" t="e">
        <f>+SUM(R85+T85+V85)</f>
        <v>#REF!</v>
      </c>
      <c r="Y85" s="952" t="e">
        <f>+X85/$X$13</f>
        <v>#REF!</v>
      </c>
      <c r="Z85" s="14" t="e">
        <f>IF(Z$3=0,DPL25Summary!T85,DPL25Summary!T85/Z$3)</f>
        <v>#REF!</v>
      </c>
      <c r="AA85" s="14"/>
      <c r="AB85" s="14"/>
      <c r="AC85" s="15" t="e">
        <f ca="1">+B85+D85+F85+J85+L85+N85+R85+T85+V85+Z85+AA85+AB85</f>
        <v>#REF!</v>
      </c>
      <c r="AD85" s="241" t="e">
        <f t="shared" ca="1" si="50"/>
        <v>#REF!</v>
      </c>
      <c r="AE85" s="14"/>
      <c r="AF85" s="104"/>
      <c r="AG85" s="169"/>
      <c r="AH85" s="149"/>
    </row>
    <row r="86" spans="1:34">
      <c r="A86" s="757"/>
      <c r="B86" s="14"/>
      <c r="C86" s="902"/>
      <c r="D86" s="14"/>
      <c r="E86" s="902"/>
      <c r="F86" s="14"/>
      <c r="G86" s="902"/>
      <c r="H86" s="949"/>
      <c r="I86" s="949"/>
      <c r="J86" s="14"/>
      <c r="K86" s="14"/>
      <c r="L86" s="14"/>
      <c r="M86" s="907" t="e">
        <f>+L86/$L$13</f>
        <v>#REF!</v>
      </c>
      <c r="N86" s="14"/>
      <c r="O86" s="907" t="e">
        <f>+N86/$N$13</f>
        <v>#REF!</v>
      </c>
      <c r="P86" s="949"/>
      <c r="Q86" s="949"/>
      <c r="R86" s="14"/>
      <c r="S86" s="907" t="e">
        <f>+R86/$R$13</f>
        <v>#REF!</v>
      </c>
      <c r="T86" s="14"/>
      <c r="U86" s="910" t="e">
        <f>+T86/$T$13</f>
        <v>#REF!</v>
      </c>
      <c r="V86" s="14"/>
      <c r="W86" s="910" t="e">
        <f t="shared" si="48"/>
        <v>#REF!</v>
      </c>
      <c r="X86" s="949"/>
      <c r="Y86" s="949"/>
      <c r="Z86" s="14"/>
      <c r="AA86" s="14"/>
      <c r="AB86" s="14"/>
      <c r="AC86" s="15"/>
      <c r="AD86" s="242"/>
      <c r="AE86" s="104"/>
      <c r="AF86" s="104"/>
      <c r="AG86" s="169"/>
      <c r="AH86" s="149"/>
    </row>
    <row r="87" spans="1:34" s="4" customFormat="1">
      <c r="A87" s="6" t="s">
        <v>415</v>
      </c>
      <c r="B87" s="14">
        <f>IF(B$3=0,DPL25Summary!B87,DPL25Summary!B87/B$3)</f>
        <v>0</v>
      </c>
      <c r="C87" s="909">
        <f ca="1">+B87/$B$13</f>
        <v>0</v>
      </c>
      <c r="D87" s="14">
        <f>IF(D$3=0,DPL25Summary!D87,DPL25Summary!D87/D$3)</f>
        <v>0</v>
      </c>
      <c r="E87" s="909">
        <f ca="1">+D87/$D$13</f>
        <v>0</v>
      </c>
      <c r="F87" s="14">
        <f>IF(F$3=0,DPL25Summary!F87,DPL25Summary!F87/F$3)</f>
        <v>0</v>
      </c>
      <c r="G87" s="909">
        <f ca="1">+F87/$F$13</f>
        <v>0</v>
      </c>
      <c r="H87" s="361">
        <f>+SUM(B87+D87+F87)</f>
        <v>0</v>
      </c>
      <c r="I87" s="952">
        <f ca="1">+H87/$H$13</f>
        <v>0</v>
      </c>
      <c r="J87" s="14">
        <f>IF(J$3=0,DPL25Summary!H87,DPL25Summary!H87/J$3)</f>
        <v>0</v>
      </c>
      <c r="K87" s="910">
        <f ca="1">+J87/$J$13</f>
        <v>0</v>
      </c>
      <c r="L87" s="14">
        <f>IF(L$3=0,DPL25Summary!J87,DPL25Summary!J87/L$3)</f>
        <v>0</v>
      </c>
      <c r="M87" s="907" t="e">
        <f>+L87/$L$13</f>
        <v>#REF!</v>
      </c>
      <c r="N87" s="14">
        <f>IF(N$3=0,DPL25Summary!L87,DPL25Summary!L87/N$3)</f>
        <v>0</v>
      </c>
      <c r="O87" s="907" t="e">
        <f>+N87/$N$13</f>
        <v>#REF!</v>
      </c>
      <c r="P87" s="361">
        <f>+SUM(J87+L87+N87)</f>
        <v>0</v>
      </c>
      <c r="Q87" s="952" t="e">
        <f ca="1">+P87/$P$13</f>
        <v>#REF!</v>
      </c>
      <c r="R87" s="14">
        <f>IF(R$3=0,DPL25Summary!N87,DPL25Summary!N87/R$3)</f>
        <v>0</v>
      </c>
      <c r="S87" s="907" t="e">
        <f>+R87/$R$13</f>
        <v>#REF!</v>
      </c>
      <c r="T87" s="14">
        <f>IF(T$3=0,DPL25Summary!P87,DPL25Summary!P87/T$3)</f>
        <v>0</v>
      </c>
      <c r="U87" s="910" t="e">
        <f>+T87/$T$13</f>
        <v>#REF!</v>
      </c>
      <c r="V87" s="14">
        <f>IF(V$3=0,DPL25Summary!R87,DPL25Summary!R87/V$3)</f>
        <v>0</v>
      </c>
      <c r="W87" s="910" t="e">
        <f t="shared" si="48"/>
        <v>#REF!</v>
      </c>
      <c r="X87" s="361">
        <f>+SUM(R87+T87+V87)</f>
        <v>0</v>
      </c>
      <c r="Y87" s="952" t="e">
        <f>+X87/$X$13</f>
        <v>#REF!</v>
      </c>
      <c r="Z87" s="14">
        <f>IF(Z$3=0,DPL25Summary!T87,DPL25Summary!T87/Z$3)</f>
        <v>0</v>
      </c>
      <c r="AA87" s="14">
        <f>IF(AA$3=0,DPL25Summary!V87,DPL25Summary!V87/AA$3)</f>
        <v>0</v>
      </c>
      <c r="AB87" s="14">
        <f>IF(AB$3=0,DPL25Summary!X87,DPL25Summary!X87/AB$3)</f>
        <v>0</v>
      </c>
      <c r="AC87" s="15">
        <f>+B87+D87+F87+J87+L87+N87+R87+T87+V87+Z87+AA87+AB87</f>
        <v>0</v>
      </c>
      <c r="AD87" s="241" t="e">
        <f t="shared" ca="1" si="50"/>
        <v>#REF!</v>
      </c>
      <c r="AE87" s="104">
        <f>SUM('DPL24-Budget'!B85:$B85)</f>
        <v>165297</v>
      </c>
      <c r="AF87" s="929">
        <f>+AE87/$AE$13</f>
        <v>0.1454</v>
      </c>
      <c r="AG87" s="169">
        <f t="shared" si="39"/>
        <v>-165297</v>
      </c>
      <c r="AH87" s="150"/>
    </row>
    <row r="88" spans="1:34">
      <c r="A88" s="757" t="s">
        <v>59</v>
      </c>
      <c r="B88" s="20"/>
      <c r="C88" s="902"/>
      <c r="D88" s="20"/>
      <c r="E88" s="902"/>
      <c r="F88" s="20"/>
      <c r="G88" s="902"/>
      <c r="H88" s="949"/>
      <c r="I88" s="949"/>
      <c r="J88" s="20"/>
      <c r="K88" s="20"/>
      <c r="L88" s="20"/>
      <c r="M88" s="907" t="e">
        <f>+L88/$L$13</f>
        <v>#REF!</v>
      </c>
      <c r="N88" s="20"/>
      <c r="O88" s="907" t="e">
        <f>+N88/$N$13</f>
        <v>#REF!</v>
      </c>
      <c r="P88" s="949"/>
      <c r="Q88" s="949"/>
      <c r="R88" s="20"/>
      <c r="S88" s="907" t="e">
        <f>+R88/$R$13</f>
        <v>#REF!</v>
      </c>
      <c r="T88" s="20"/>
      <c r="U88" s="910" t="e">
        <f>+T88/$T$13</f>
        <v>#REF!</v>
      </c>
      <c r="V88" s="20"/>
      <c r="W88" s="910" t="e">
        <f t="shared" si="48"/>
        <v>#REF!</v>
      </c>
      <c r="X88" s="949"/>
      <c r="Y88" s="949"/>
      <c r="Z88" s="20"/>
      <c r="AA88" s="20"/>
      <c r="AB88" s="20"/>
      <c r="AC88" s="15"/>
      <c r="AD88" s="241"/>
      <c r="AE88" s="104"/>
      <c r="AF88" s="104"/>
      <c r="AG88" s="169">
        <f t="shared" si="39"/>
        <v>0</v>
      </c>
      <c r="AH88" s="149"/>
    </row>
    <row r="89" spans="1:34" s="1" customFormat="1" ht="13.5" thickBot="1">
      <c r="A89" s="6" t="s">
        <v>416</v>
      </c>
      <c r="B89" s="26">
        <f ca="1">B13-B49-B72-B83-B87</f>
        <v>69</v>
      </c>
      <c r="C89" s="907">
        <f ca="1">+B89/$B$13</f>
        <v>0.03</v>
      </c>
      <c r="D89" s="26">
        <f ca="1">D13-D49-D72-D83-D87</f>
        <v>440</v>
      </c>
      <c r="E89" s="907">
        <f ca="1">+D89/$D$13</f>
        <v>0.16</v>
      </c>
      <c r="F89" s="26">
        <f ca="1">F13-F49-F72-F83-F87</f>
        <v>440</v>
      </c>
      <c r="G89" s="907">
        <f ca="1">+F89/$F$13</f>
        <v>0.16</v>
      </c>
      <c r="H89" s="364">
        <f ca="1">H13-H49-H72-H83-H87</f>
        <v>949</v>
      </c>
      <c r="I89" s="363">
        <f ca="1">+H89/$H$13</f>
        <v>0.12</v>
      </c>
      <c r="J89" s="26">
        <f ca="1">J13-J49-J72-J83-J87</f>
        <v>-684</v>
      </c>
      <c r="K89" s="910">
        <f ca="1">+J89/$J$13</f>
        <v>-0.251</v>
      </c>
      <c r="L89" s="26" t="e">
        <f>L13-L49-L72-L83-L87</f>
        <v>#REF!</v>
      </c>
      <c r="M89" s="907" t="e">
        <f>+L89/$L$13</f>
        <v>#REF!</v>
      </c>
      <c r="N89" s="26" t="e">
        <f>N13-N49-N72-N83-N87</f>
        <v>#REF!</v>
      </c>
      <c r="O89" s="907" t="e">
        <f>+N89/$N$13</f>
        <v>#REF!</v>
      </c>
      <c r="P89" s="364" t="e">
        <f ca="1">P13-P49-P72-P83-P87</f>
        <v>#REF!</v>
      </c>
      <c r="Q89" s="363" t="e">
        <f ca="1">+P89/$P$13</f>
        <v>#REF!</v>
      </c>
      <c r="R89" s="26" t="e">
        <f>R13-R49-R72-R83-R87</f>
        <v>#REF!</v>
      </c>
      <c r="S89" s="907" t="e">
        <f>+R89/$R$13</f>
        <v>#REF!</v>
      </c>
      <c r="T89" s="26" t="e">
        <f>T13-T49-T72-T83-T87</f>
        <v>#REF!</v>
      </c>
      <c r="U89" s="910" t="e">
        <f>+T89/$T$13</f>
        <v>#REF!</v>
      </c>
      <c r="V89" s="26" t="e">
        <f>V13-V49-V72-V83-V87</f>
        <v>#REF!</v>
      </c>
      <c r="W89" s="910" t="e">
        <f t="shared" si="48"/>
        <v>#REF!</v>
      </c>
      <c r="X89" s="364" t="e">
        <f>X13-X49-X72-X83-X87</f>
        <v>#REF!</v>
      </c>
      <c r="Y89" s="363" t="e">
        <f>+X89/$X$13</f>
        <v>#REF!</v>
      </c>
      <c r="Z89" s="26" t="e">
        <f>Z13-Z49-Z72-Z83-Z87</f>
        <v>#REF!</v>
      </c>
      <c r="AA89" s="26" t="e">
        <f>AA13-AA49-AA72-AA83-AA87</f>
        <v>#REF!</v>
      </c>
      <c r="AB89" s="26" t="e">
        <f>AB13-AB49-AB72-AB83-AB87</f>
        <v>#REF!</v>
      </c>
      <c r="AC89" s="26" t="e">
        <f ca="1">AC13-AC49-AC72-AC83-AC87</f>
        <v>#REF!</v>
      </c>
      <c r="AD89" s="241" t="e">
        <f t="shared" ca="1" si="50"/>
        <v>#REF!</v>
      </c>
      <c r="AE89" s="108">
        <f>SUM('DPL24-Budget'!B87:$B87)</f>
        <v>257039</v>
      </c>
      <c r="AF89" s="929">
        <f>+AE89/$AE$13</f>
        <v>0.2261</v>
      </c>
      <c r="AG89" s="169" t="e">
        <f t="shared" ca="1" si="39"/>
        <v>#REF!</v>
      </c>
      <c r="AH89" s="154"/>
    </row>
    <row r="90" spans="1:34">
      <c r="B90" s="2"/>
      <c r="C90" s="901"/>
      <c r="D90" s="2"/>
      <c r="E90" s="901"/>
      <c r="F90" s="2"/>
      <c r="G90" s="901"/>
      <c r="H90" s="951"/>
      <c r="I90" s="951"/>
      <c r="J90" s="2"/>
      <c r="K90" s="2"/>
      <c r="L90" s="2"/>
      <c r="M90" s="2"/>
      <c r="N90" s="2"/>
      <c r="O90" s="2"/>
      <c r="P90" s="951"/>
      <c r="Q90" s="951"/>
      <c r="R90" s="2"/>
      <c r="S90" s="2"/>
      <c r="T90" s="2"/>
      <c r="U90" s="2"/>
      <c r="V90" s="2"/>
      <c r="W90" s="2"/>
      <c r="X90" s="951"/>
      <c r="Y90" s="951"/>
      <c r="Z90" s="2"/>
      <c r="AA90" s="2"/>
      <c r="AB90" s="2"/>
      <c r="AC90" s="7"/>
      <c r="AE90" s="104"/>
      <c r="AF90" s="104"/>
      <c r="AH90" s="149"/>
    </row>
    <row r="91" spans="1:34">
      <c r="B91" s="142">
        <f ca="1">+B89/B13</f>
        <v>0.03</v>
      </c>
      <c r="C91" s="913"/>
      <c r="D91" s="12">
        <f ca="1">+D89/D13</f>
        <v>0.1613</v>
      </c>
      <c r="E91" s="939"/>
      <c r="F91" s="12">
        <f ca="1">+F89/F13</f>
        <v>0.1613</v>
      </c>
      <c r="G91" s="939"/>
      <c r="H91" s="953">
        <f ca="1">+H89/H13</f>
        <v>0.11600000000000001</v>
      </c>
      <c r="I91" s="953"/>
      <c r="J91" s="142">
        <f ca="1">+J89/J13</f>
        <v>-0.25</v>
      </c>
      <c r="K91" s="299"/>
      <c r="L91" s="142" t="e">
        <f>+L89/L13</f>
        <v>#REF!</v>
      </c>
      <c r="M91" s="299"/>
      <c r="N91" s="142" t="e">
        <f>+N89/N13</f>
        <v>#REF!</v>
      </c>
      <c r="O91" s="299"/>
      <c r="P91" s="953" t="e">
        <f ca="1">+P89/P13</f>
        <v>#REF!</v>
      </c>
      <c r="Q91" s="953"/>
      <c r="R91" s="142" t="e">
        <f>+R89/R13</f>
        <v>#REF!</v>
      </c>
      <c r="S91" s="142"/>
      <c r="T91" s="142" t="e">
        <f>+T89/T13</f>
        <v>#REF!</v>
      </c>
      <c r="U91" s="142"/>
      <c r="V91" s="142" t="e">
        <f>+V89/V13</f>
        <v>#REF!</v>
      </c>
      <c r="W91" s="299"/>
      <c r="X91" s="953" t="e">
        <f>+X89/X13</f>
        <v>#REF!</v>
      </c>
      <c r="Y91" s="953"/>
      <c r="Z91" s="142" t="e">
        <f>+Z89/Z13</f>
        <v>#REF!</v>
      </c>
      <c r="AA91" s="142" t="e">
        <f>+AA89/AA13</f>
        <v>#REF!</v>
      </c>
      <c r="AB91" s="142" t="e">
        <f>+AB89/AB13</f>
        <v>#REF!</v>
      </c>
      <c r="AC91" s="12" t="e">
        <f ca="1">+AC89/AC13</f>
        <v>#REF!</v>
      </c>
      <c r="AE91" s="12">
        <f>+AE89/AE13</f>
        <v>0.2261</v>
      </c>
      <c r="AF91" s="12"/>
      <c r="AH91" s="149"/>
    </row>
    <row r="92" spans="1:34" s="48" customFormat="1">
      <c r="A92" s="138" t="s">
        <v>541</v>
      </c>
      <c r="B92" s="139">
        <f ca="1">B89+B87+B78+B69+B46+B45+B70+B81</f>
        <v>1203</v>
      </c>
      <c r="C92" s="305"/>
      <c r="D92" s="139">
        <f ca="1">D89+D87+D78+D69+D46+D45+D70+D81</f>
        <v>1552</v>
      </c>
      <c r="E92" s="305"/>
      <c r="F92" s="139">
        <f ca="1">F89+F87+F78+F69+F46+F45+F70+F81</f>
        <v>1552</v>
      </c>
      <c r="G92" s="305"/>
      <c r="H92" s="365">
        <f ca="1">H89+H87+H78+H69+H46+H45+H70+H81</f>
        <v>4307</v>
      </c>
      <c r="I92" s="363"/>
      <c r="J92" s="139">
        <f ca="1">J89+J87+J78+J69+J46+J45+J70+J81</f>
        <v>-382</v>
      </c>
      <c r="K92" s="139"/>
      <c r="L92" s="139" t="e">
        <f>L89+L87+L78+L69+L46+L45+L70+L81</f>
        <v>#REF!</v>
      </c>
      <c r="M92" s="139"/>
      <c r="N92" s="139" t="e">
        <f>N89+N87+N78+N69+N46+N45+N70+N81</f>
        <v>#REF!</v>
      </c>
      <c r="O92" s="139"/>
      <c r="P92" s="365" t="e">
        <f ca="1">P89+P87+P78+P69+P46+P45+P70+P81</f>
        <v>#REF!</v>
      </c>
      <c r="Q92" s="363"/>
      <c r="R92" s="139" t="e">
        <f>R89+R87+R78+R69+R46+R45+R70+R81</f>
        <v>#REF!</v>
      </c>
      <c r="S92" s="139"/>
      <c r="T92" s="139" t="e">
        <f>T89+T87+T78+T69+T46+T45+T70+T81</f>
        <v>#REF!</v>
      </c>
      <c r="U92" s="139"/>
      <c r="V92" s="139" t="e">
        <f>V89+V87+V78+V69+V46+V45+V70+V81</f>
        <v>#REF!</v>
      </c>
      <c r="W92" s="139"/>
      <c r="X92" s="365" t="e">
        <f>X89+X87+X78+X69+X46+X45+X70+X81</f>
        <v>#REF!</v>
      </c>
      <c r="Y92" s="363"/>
      <c r="Z92" s="139" t="e">
        <f>Z89+Z87+Z78+Z69+Z46+Z45+Z70+Z81</f>
        <v>#REF!</v>
      </c>
      <c r="AA92" s="139" t="e">
        <f>AA89+AA87+AA78+AA69+AA46+AA45+AA70+AA81</f>
        <v>#REF!</v>
      </c>
      <c r="AB92" s="139" t="e">
        <f>AB89+AB87+AB78+AB69+AB46+AB45+AB70+AB81</f>
        <v>#REF!</v>
      </c>
      <c r="AC92" s="139" t="e">
        <f ca="1">AC89+AC87+AC78+AC69+AC46+AC45+AC70+AC81</f>
        <v>#REF!</v>
      </c>
      <c r="AD92" s="940"/>
      <c r="AE92" s="105"/>
      <c r="AF92" s="105"/>
      <c r="AG92" s="138"/>
      <c r="AH92" s="941"/>
    </row>
    <row r="93" spans="1:34">
      <c r="C93" s="494"/>
      <c r="E93" s="494"/>
      <c r="G93" s="494"/>
      <c r="H93" s="661"/>
      <c r="I93" s="661"/>
      <c r="P93" s="661"/>
      <c r="Q93" s="661"/>
      <c r="X93" s="661"/>
      <c r="Y93" s="661"/>
      <c r="AE93" s="104"/>
      <c r="AF93" s="104"/>
      <c r="AH93" s="149"/>
    </row>
    <row r="94" spans="1:34">
      <c r="B94" s="142">
        <f ca="1">(B89+B87)/B13</f>
        <v>0.03</v>
      </c>
      <c r="C94" s="913"/>
      <c r="D94" s="142">
        <f ca="1">(D89+D87)/D13</f>
        <v>0.16</v>
      </c>
      <c r="E94" s="913"/>
      <c r="F94" s="142">
        <f ca="1">(F89+F87)/F13</f>
        <v>0.16</v>
      </c>
      <c r="G94" s="913"/>
      <c r="H94" s="954">
        <f ca="1">(H89+H87)/H13</f>
        <v>0.12</v>
      </c>
      <c r="I94" s="954"/>
      <c r="J94" s="142">
        <f ca="1">(J89+J87)/J13</f>
        <v>-0.25</v>
      </c>
      <c r="K94" s="299"/>
      <c r="L94" s="142" t="e">
        <f>(L89+L87)/L13</f>
        <v>#REF!</v>
      </c>
      <c r="M94" s="299"/>
      <c r="N94" s="142" t="e">
        <f>(N89+N87)/N13</f>
        <v>#REF!</v>
      </c>
      <c r="O94" s="299"/>
      <c r="P94" s="954" t="e">
        <f ca="1">(P89+P87)/P13</f>
        <v>#REF!</v>
      </c>
      <c r="Q94" s="954"/>
      <c r="R94" s="142" t="e">
        <f>(R89+R87)/R13</f>
        <v>#REF!</v>
      </c>
      <c r="S94" s="142"/>
      <c r="T94" s="142" t="e">
        <f>(T89+T87)/T13</f>
        <v>#REF!</v>
      </c>
      <c r="U94" s="142"/>
      <c r="V94" s="142" t="e">
        <f>(V89+V87)/V13</f>
        <v>#REF!</v>
      </c>
      <c r="W94" s="299"/>
      <c r="X94" s="954" t="e">
        <f>(X89+X87)/X13</f>
        <v>#REF!</v>
      </c>
      <c r="Y94" s="954"/>
      <c r="Z94" s="142" t="e">
        <f>(Z89+Z87)/Z13</f>
        <v>#REF!</v>
      </c>
      <c r="AA94" s="142" t="e">
        <f>(AA89+AA87)/AA13</f>
        <v>#REF!</v>
      </c>
      <c r="AB94" s="142" t="e">
        <f>(AB89+AB87)/AB13</f>
        <v>#REF!</v>
      </c>
      <c r="AC94" s="142" t="e">
        <f ca="1">(AC89+AC87)/AC13</f>
        <v>#REF!</v>
      </c>
      <c r="AE94" s="104"/>
      <c r="AF94" s="104"/>
      <c r="AH94" s="149"/>
    </row>
    <row r="95" spans="1:34">
      <c r="C95" s="494"/>
      <c r="D95" s="21"/>
      <c r="E95" s="21"/>
      <c r="F95" s="192"/>
      <c r="G95" s="192"/>
      <c r="H95" s="366"/>
      <c r="I95" s="366"/>
      <c r="J95" s="21"/>
      <c r="K95" s="21"/>
      <c r="L95" s="21"/>
      <c r="M95" s="21"/>
      <c r="N95" s="21"/>
      <c r="O95" s="21"/>
      <c r="P95" s="366"/>
      <c r="Q95" s="366"/>
      <c r="R95" s="73"/>
      <c r="S95" s="73"/>
      <c r="T95" s="73"/>
      <c r="U95" s="73"/>
      <c r="V95" s="73"/>
      <c r="W95" s="73"/>
      <c r="X95" s="366"/>
      <c r="Y95" s="366"/>
      <c r="Z95" s="21"/>
      <c r="AA95" s="192"/>
      <c r="AB95" s="21"/>
      <c r="AC95" s="21"/>
    </row>
    <row r="96" spans="1:34">
      <c r="C96" s="494"/>
      <c r="E96" s="494"/>
      <c r="G96" s="494"/>
      <c r="H96" s="661"/>
      <c r="I96" s="661"/>
      <c r="L96" s="8"/>
      <c r="M96" s="8"/>
      <c r="P96" s="661"/>
      <c r="Q96" s="661"/>
      <c r="R96" s="63"/>
      <c r="S96" s="63"/>
      <c r="V96" s="8"/>
      <c r="W96" s="8"/>
      <c r="X96" s="661"/>
      <c r="Y96" s="661"/>
      <c r="AB96" s="8"/>
    </row>
    <row r="97" spans="1:30">
      <c r="C97" s="494"/>
      <c r="D97" s="21"/>
      <c r="E97" s="21"/>
      <c r="F97" s="21"/>
      <c r="G97" s="21"/>
      <c r="H97" s="204"/>
      <c r="I97" s="204"/>
      <c r="J97" s="21"/>
      <c r="K97" s="21"/>
      <c r="L97" s="21"/>
      <c r="M97" s="21"/>
      <c r="N97" s="21"/>
      <c r="O97" s="21"/>
      <c r="P97" s="204"/>
      <c r="Q97" s="204"/>
      <c r="R97" s="21"/>
      <c r="S97" s="21"/>
      <c r="T97" s="21"/>
      <c r="U97" s="21"/>
      <c r="V97" s="21"/>
      <c r="W97" s="21"/>
      <c r="X97" s="204"/>
      <c r="Y97" s="204"/>
      <c r="Z97" s="21"/>
      <c r="AA97" s="21"/>
      <c r="AB97" s="21"/>
      <c r="AC97" s="21"/>
    </row>
    <row r="98" spans="1:30">
      <c r="A98" s="493" t="s">
        <v>618</v>
      </c>
      <c r="B98" s="156">
        <f ca="1">+B13</f>
        <v>2728</v>
      </c>
      <c r="C98" s="156"/>
      <c r="D98" s="156">
        <f t="shared" ref="D98:AC98" ca="1" si="58">+D13</f>
        <v>2728</v>
      </c>
      <c r="E98" s="156"/>
      <c r="F98" s="156">
        <f t="shared" ca="1" si="58"/>
        <v>2728</v>
      </c>
      <c r="G98" s="156"/>
      <c r="H98" s="361">
        <f ca="1">+SUM(B98+D98+F98)</f>
        <v>8184</v>
      </c>
      <c r="I98" s="361"/>
      <c r="J98" s="156">
        <f t="shared" ca="1" si="58"/>
        <v>2728</v>
      </c>
      <c r="K98" s="156"/>
      <c r="L98" s="156" t="e">
        <f t="shared" si="58"/>
        <v>#REF!</v>
      </c>
      <c r="M98" s="156"/>
      <c r="N98" s="156" t="e">
        <f t="shared" si="58"/>
        <v>#REF!</v>
      </c>
      <c r="O98" s="156"/>
      <c r="P98" s="361" t="e">
        <f ca="1">+SUM(J98+L98+N98)</f>
        <v>#REF!</v>
      </c>
      <c r="Q98" s="361"/>
      <c r="R98" s="156" t="e">
        <f t="shared" si="58"/>
        <v>#REF!</v>
      </c>
      <c r="S98" s="156"/>
      <c r="T98" s="156" t="e">
        <f t="shared" si="58"/>
        <v>#REF!</v>
      </c>
      <c r="U98" s="156"/>
      <c r="V98" s="156" t="e">
        <f t="shared" si="58"/>
        <v>#REF!</v>
      </c>
      <c r="W98" s="156" t="e">
        <f t="shared" si="58"/>
        <v>#REF!</v>
      </c>
      <c r="X98" s="361" t="e">
        <f>+SUM(R98+T98+V98)</f>
        <v>#REF!</v>
      </c>
      <c r="Y98" s="361"/>
      <c r="Z98" s="156" t="e">
        <f t="shared" si="58"/>
        <v>#REF!</v>
      </c>
      <c r="AA98" s="156" t="e">
        <f t="shared" si="58"/>
        <v>#REF!</v>
      </c>
      <c r="AB98" s="156" t="e">
        <f t="shared" si="58"/>
        <v>#REF!</v>
      </c>
      <c r="AC98" s="156" t="e">
        <f t="shared" ca="1" si="58"/>
        <v>#REF!</v>
      </c>
    </row>
    <row r="99" spans="1:30">
      <c r="B99" s="233">
        <f>'SPL 25 USD'!B128</f>
        <v>0</v>
      </c>
      <c r="C99" s="21"/>
      <c r="D99" s="21">
        <f>B99</f>
        <v>0</v>
      </c>
      <c r="E99" s="21"/>
      <c r="F99" s="21">
        <f>D99</f>
        <v>0</v>
      </c>
      <c r="G99" s="21"/>
      <c r="H99" s="361">
        <f>+SUM(B99+D99+F99)</f>
        <v>0</v>
      </c>
      <c r="I99" s="361"/>
      <c r="J99" s="21">
        <f>F99</f>
        <v>0</v>
      </c>
      <c r="K99" s="21"/>
      <c r="L99" s="21">
        <f>J99</f>
        <v>0</v>
      </c>
      <c r="M99" s="21"/>
      <c r="N99" s="21">
        <f>L99</f>
        <v>0</v>
      </c>
      <c r="O99" s="21"/>
      <c r="P99" s="361">
        <f>+SUM(J99+L99+N99)</f>
        <v>0</v>
      </c>
      <c r="Q99" s="361"/>
      <c r="R99" s="21">
        <f>N99</f>
        <v>0</v>
      </c>
      <c r="S99" s="21"/>
      <c r="T99" s="21">
        <f>R99</f>
        <v>0</v>
      </c>
      <c r="U99" s="21"/>
      <c r="V99" s="21">
        <f>T99</f>
        <v>0</v>
      </c>
      <c r="W99" s="21"/>
      <c r="X99" s="361">
        <f>+SUM(R99+T99+V99)</f>
        <v>0</v>
      </c>
      <c r="Y99" s="361"/>
      <c r="Z99" s="21">
        <f>V99</f>
        <v>0</v>
      </c>
      <c r="AA99" s="21">
        <f>Z99</f>
        <v>0</v>
      </c>
      <c r="AB99" s="21">
        <f>AA99</f>
        <v>0</v>
      </c>
      <c r="AC99" s="21">
        <f>AB99</f>
        <v>0</v>
      </c>
    </row>
    <row r="100" spans="1:30">
      <c r="A100" s="229" t="s">
        <v>54</v>
      </c>
      <c r="B100" s="21" t="s">
        <v>3</v>
      </c>
      <c r="C100" s="21"/>
      <c r="D100" s="21" t="s">
        <v>4</v>
      </c>
      <c r="E100" s="21"/>
      <c r="F100" s="21" t="s">
        <v>5</v>
      </c>
      <c r="G100" s="21"/>
      <c r="H100" s="1063" t="str">
        <f>+H5</f>
        <v>Q1</v>
      </c>
      <c r="I100" s="1063"/>
      <c r="J100" s="21" t="s">
        <v>6</v>
      </c>
      <c r="K100" s="21"/>
      <c r="L100" s="21" t="s">
        <v>7</v>
      </c>
      <c r="M100" s="21"/>
      <c r="N100" s="21" t="s">
        <v>8</v>
      </c>
      <c r="O100" s="21"/>
      <c r="P100" s="1063" t="str">
        <f>+P5</f>
        <v>Q2</v>
      </c>
      <c r="Q100" s="1063"/>
      <c r="R100" s="21" t="s">
        <v>9</v>
      </c>
      <c r="S100" s="21"/>
      <c r="T100" s="21" t="s">
        <v>10</v>
      </c>
      <c r="U100" s="21"/>
      <c r="V100" s="21" t="s">
        <v>11</v>
      </c>
      <c r="W100" s="21"/>
      <c r="X100" s="1063" t="str">
        <f>+X5</f>
        <v>Q3</v>
      </c>
      <c r="Y100" s="1063"/>
      <c r="Z100" s="21" t="s">
        <v>12</v>
      </c>
      <c r="AA100" s="21" t="s">
        <v>13</v>
      </c>
      <c r="AB100" s="21" t="s">
        <v>14</v>
      </c>
      <c r="AC100" s="21" t="s">
        <v>51</v>
      </c>
    </row>
    <row r="101" spans="1:30">
      <c r="A101" s="172" t="s">
        <v>424</v>
      </c>
      <c r="B101" s="20">
        <f>+B16+B17+B18+B19+B20+B21+B22+B23+B24+B25+B26+B37</f>
        <v>30</v>
      </c>
      <c r="C101" s="913">
        <f t="shared" ref="C101:C106" ca="1" si="59">+B101/$B$13</f>
        <v>0.01</v>
      </c>
      <c r="D101" s="20">
        <f>+D16+D17+D18+D19+D20+D21+D22+D23+D24+D25+D26+D37</f>
        <v>30</v>
      </c>
      <c r="E101" s="913">
        <f t="shared" ref="E101:E106" ca="1" si="60">+D101/$D$13</f>
        <v>0.01</v>
      </c>
      <c r="F101" s="20">
        <f>+F16+F17+F18+F19+F20+F21+F22+F23+F24+F25+F26+F37</f>
        <v>30</v>
      </c>
      <c r="G101" s="913">
        <f t="shared" ref="G101:G106" ca="1" si="61">+F101/$F$13</f>
        <v>0.01</v>
      </c>
      <c r="H101" s="179">
        <f>+H16+H17+H18+H19+H20+H21+H22+H23+H24+H25+H26+H37</f>
        <v>90</v>
      </c>
      <c r="I101" s="955">
        <f t="shared" ref="I101:I106" ca="1" si="62">+H101/$H$13</f>
        <v>0.01</v>
      </c>
      <c r="J101" s="20">
        <f>+J16+J17+J18+J19+J20+J21+J22+J23+J24+J25+J26+J37</f>
        <v>12</v>
      </c>
      <c r="K101" s="913">
        <f t="shared" ref="K101:K106" ca="1" si="63">+J101/$J$13</f>
        <v>0</v>
      </c>
      <c r="L101" s="20">
        <f>+L16+L17+L18+L19+L20+L21+L22+L23+L24+L25+L26+L37</f>
        <v>0</v>
      </c>
      <c r="M101" s="913" t="e">
        <f t="shared" ref="M101:M106" si="64">+L101/$L$13</f>
        <v>#REF!</v>
      </c>
      <c r="N101" s="20">
        <f>+N16+N17+N18+N19+N20+N21+N22+N23+N24+N25+N26+N37</f>
        <v>0</v>
      </c>
      <c r="O101" s="913" t="e">
        <f t="shared" ref="O101:O106" si="65">+N101/$N$13</f>
        <v>#REF!</v>
      </c>
      <c r="P101" s="179">
        <f>+P16+P17+P18+P19+P20+P21+P22+P23+P24+P25+P26+P37</f>
        <v>12</v>
      </c>
      <c r="Q101" s="955" t="e">
        <f t="shared" ref="Q101:Q106" ca="1" si="66">+P101/$P$13</f>
        <v>#REF!</v>
      </c>
      <c r="R101" s="20">
        <f>+R16+R17+R18+R19+R20+R21+R22+R23+R24+R25+R26+R37</f>
        <v>0</v>
      </c>
      <c r="S101" s="913" t="e">
        <f t="shared" ref="S101:S106" si="67">+R101/$R$13</f>
        <v>#REF!</v>
      </c>
      <c r="T101" s="20">
        <f>+T16+T17+T18+T19+T20+T21+T22+T23+T24+T25+T26+T37</f>
        <v>0</v>
      </c>
      <c r="U101" s="913" t="e">
        <f t="shared" ref="U101:U106" si="68">+T101/$T$13</f>
        <v>#REF!</v>
      </c>
      <c r="V101" s="20">
        <f>+V16+V17+V18+V19+V20+V21+V22+V23+V24+V25+V26+V37</f>
        <v>0</v>
      </c>
      <c r="W101" s="913" t="e">
        <f t="shared" ref="W101:W106" si="69">+V101/$V$13</f>
        <v>#REF!</v>
      </c>
      <c r="X101" s="179">
        <f>+X16+X17+X18+X19+X20+X21+X22+X23+X24+X25+X26+X37</f>
        <v>0</v>
      </c>
      <c r="Y101" s="955" t="e">
        <f>+X101/$X$13</f>
        <v>#REF!</v>
      </c>
      <c r="Z101" s="20">
        <f>+Z16+Z17+Z18+Z19+Z20+Z21+Z22+Z23+Z24+Z25+Z26+Z37</f>
        <v>0</v>
      </c>
      <c r="AA101" s="20">
        <f>+AA16+AA17+AA18+AA19+AA20+AA21+AA22+AA23+AA24+AA25+AA26+AA37</f>
        <v>0</v>
      </c>
      <c r="AB101" s="20">
        <f>+AB16+AB17+AB18+AB19+AB20+AB21+AB22+AB23+AB24+AB25+AB26+AB37</f>
        <v>0</v>
      </c>
      <c r="AC101" s="20">
        <f>+AC16+AC17+AC18+AC19+AC20+AC21+AC22+AC23+AC24+AC25+AC26+AC37</f>
        <v>102</v>
      </c>
      <c r="AD101" s="913" t="e">
        <f t="shared" ref="AD101:AD106" ca="1" si="70">+AC101/$AC$13</f>
        <v>#REF!</v>
      </c>
    </row>
    <row r="102" spans="1:30">
      <c r="A102" s="172" t="s">
        <v>425</v>
      </c>
      <c r="B102" s="20">
        <f ca="1">+B29+B30+B31+B32+B33+B35+B36+B28</f>
        <v>381</v>
      </c>
      <c r="C102" s="913">
        <f t="shared" ca="1" si="59"/>
        <v>0.14000000000000001</v>
      </c>
      <c r="D102" s="20">
        <f ca="1">+D29+D30+D31+D32+D33+D35+D36+D28</f>
        <v>67</v>
      </c>
      <c r="E102" s="913">
        <f t="shared" ca="1" si="60"/>
        <v>0.02</v>
      </c>
      <c r="F102" s="20">
        <f ca="1">+F29+F30+F31+F32+F33+F35+F36+F28</f>
        <v>67</v>
      </c>
      <c r="G102" s="913">
        <f t="shared" ca="1" si="61"/>
        <v>0.02</v>
      </c>
      <c r="H102" s="179">
        <f ca="1">+H29+H30+H31+H32+H33+H35+H36+H28</f>
        <v>515</v>
      </c>
      <c r="I102" s="955">
        <f t="shared" ca="1" si="62"/>
        <v>0.06</v>
      </c>
      <c r="J102" s="20">
        <f ca="1">+J29+J30+J31+J32+J33+J35+J36+J28</f>
        <v>1844</v>
      </c>
      <c r="K102" s="913">
        <f t="shared" ca="1" si="63"/>
        <v>0.68</v>
      </c>
      <c r="L102" s="20">
        <f>+L29+L30+L31+L32+L33+L35+L36+L28</f>
        <v>0</v>
      </c>
      <c r="M102" s="913" t="e">
        <f t="shared" si="64"/>
        <v>#REF!</v>
      </c>
      <c r="N102" s="20">
        <f>+N29+N30+N31+N32+N33+N35+N36+N28</f>
        <v>0</v>
      </c>
      <c r="O102" s="913" t="e">
        <f t="shared" si="65"/>
        <v>#REF!</v>
      </c>
      <c r="P102" s="179">
        <f ca="1">+P29+P30+P31+P32+P33+P35+P36+P28</f>
        <v>1844</v>
      </c>
      <c r="Q102" s="955" t="e">
        <f t="shared" ca="1" si="66"/>
        <v>#REF!</v>
      </c>
      <c r="R102" s="20">
        <f>+R29+R30+R31+R32+R33+R35+R36+R28</f>
        <v>0</v>
      </c>
      <c r="S102" s="913" t="e">
        <f t="shared" si="67"/>
        <v>#REF!</v>
      </c>
      <c r="T102" s="20">
        <f>+T29+T30+T31+T32+T33+T35+T36+T28</f>
        <v>0</v>
      </c>
      <c r="U102" s="913" t="e">
        <f t="shared" si="68"/>
        <v>#REF!</v>
      </c>
      <c r="V102" s="20">
        <f>+V29+V30+V31+V32+V33+V35+V36+V28</f>
        <v>0</v>
      </c>
      <c r="W102" s="913" t="e">
        <f t="shared" si="69"/>
        <v>#REF!</v>
      </c>
      <c r="X102" s="179">
        <f>+X29+X30+X31+X32+X33+X35+X36+X28</f>
        <v>0</v>
      </c>
      <c r="Y102" s="955" t="e">
        <f>+X102/$X$13</f>
        <v>#REF!</v>
      </c>
      <c r="Z102" s="20">
        <f>+Z29+Z30+Z31+Z32+Z33+Z35+Z36+Z28</f>
        <v>0</v>
      </c>
      <c r="AA102" s="20">
        <f>+AA29+AA30+AA31+AA32+AA33+AA35+AA36+AA28</f>
        <v>0</v>
      </c>
      <c r="AB102" s="20">
        <f>+AB29+AB30+AB31+AB32+AB33+AB35+AB36+AB28</f>
        <v>0</v>
      </c>
      <c r="AC102" s="20">
        <f ca="1">+AC29+AC30+AC31+AC32+AC33+AC35+AC36+AC28</f>
        <v>2359</v>
      </c>
      <c r="AD102" s="913" t="e">
        <f t="shared" ca="1" si="70"/>
        <v>#REF!</v>
      </c>
    </row>
    <row r="103" spans="1:30">
      <c r="A103" s="172" t="s">
        <v>426</v>
      </c>
      <c r="B103" s="20">
        <f>+B34+B38+B42</f>
        <v>0</v>
      </c>
      <c r="C103" s="913">
        <f t="shared" ca="1" si="59"/>
        <v>0</v>
      </c>
      <c r="D103" s="20">
        <f>+D34+D38+D42</f>
        <v>0</v>
      </c>
      <c r="E103" s="913">
        <f t="shared" ca="1" si="60"/>
        <v>0</v>
      </c>
      <c r="F103" s="20">
        <f>+F34+F38+F42</f>
        <v>0</v>
      </c>
      <c r="G103" s="913">
        <f t="shared" ca="1" si="61"/>
        <v>0</v>
      </c>
      <c r="H103" s="179">
        <f>+H34+H38+H42</f>
        <v>0</v>
      </c>
      <c r="I103" s="955">
        <f t="shared" ca="1" si="62"/>
        <v>0</v>
      </c>
      <c r="J103" s="20">
        <f>+J34+J38+J42</f>
        <v>0</v>
      </c>
      <c r="K103" s="913">
        <f t="shared" ca="1" si="63"/>
        <v>0</v>
      </c>
      <c r="L103" s="20">
        <f>+L34+L38+L42</f>
        <v>0</v>
      </c>
      <c r="M103" s="913" t="e">
        <f t="shared" si="64"/>
        <v>#REF!</v>
      </c>
      <c r="N103" s="20">
        <f>+N34+N38+N42</f>
        <v>0</v>
      </c>
      <c r="O103" s="913" t="e">
        <f t="shared" si="65"/>
        <v>#REF!</v>
      </c>
      <c r="P103" s="179">
        <f>+P34+P38+P42</f>
        <v>0</v>
      </c>
      <c r="Q103" s="955" t="e">
        <f t="shared" ca="1" si="66"/>
        <v>#REF!</v>
      </c>
      <c r="R103" s="20">
        <f>+R34+R38+R42</f>
        <v>0</v>
      </c>
      <c r="S103" s="913" t="e">
        <f t="shared" si="67"/>
        <v>#REF!</v>
      </c>
      <c r="T103" s="20">
        <f>+T34+T38+T42</f>
        <v>0</v>
      </c>
      <c r="U103" s="913" t="e">
        <f t="shared" si="68"/>
        <v>#REF!</v>
      </c>
      <c r="V103" s="20">
        <f>+V34+V38+V42</f>
        <v>0</v>
      </c>
      <c r="W103" s="913" t="e">
        <f t="shared" si="69"/>
        <v>#REF!</v>
      </c>
      <c r="X103" s="179">
        <f>+X34+X38+X42</f>
        <v>0</v>
      </c>
      <c r="Y103" s="955" t="e">
        <f>+X103/$X$13</f>
        <v>#REF!</v>
      </c>
      <c r="Z103" s="20">
        <f>+Z34+Z38+Z42</f>
        <v>0</v>
      </c>
      <c r="AA103" s="20">
        <f>+AA34+AA38+AA42</f>
        <v>0</v>
      </c>
      <c r="AB103" s="20">
        <f>+AB34+AB38+AB42</f>
        <v>0</v>
      </c>
      <c r="AC103" s="20">
        <f>+AC34+AC38+AC42</f>
        <v>0</v>
      </c>
      <c r="AD103" s="913" t="e">
        <f t="shared" ca="1" si="70"/>
        <v>#REF!</v>
      </c>
    </row>
    <row r="104" spans="1:30">
      <c r="A104" s="172" t="s">
        <v>427</v>
      </c>
      <c r="B104" s="20">
        <f>+B46</f>
        <v>0</v>
      </c>
      <c r="C104" s="913">
        <f t="shared" ca="1" si="59"/>
        <v>0</v>
      </c>
      <c r="D104" s="20">
        <f>+D46</f>
        <v>0</v>
      </c>
      <c r="E104" s="913">
        <f t="shared" ca="1" si="60"/>
        <v>0</v>
      </c>
      <c r="F104" s="20">
        <f>+F46</f>
        <v>0</v>
      </c>
      <c r="G104" s="913">
        <f t="shared" ca="1" si="61"/>
        <v>0</v>
      </c>
      <c r="H104" s="179">
        <f>+H46</f>
        <v>0</v>
      </c>
      <c r="I104" s="955">
        <f t="shared" ca="1" si="62"/>
        <v>0</v>
      </c>
      <c r="J104" s="20">
        <f>+J46</f>
        <v>0</v>
      </c>
      <c r="K104" s="913">
        <f t="shared" ca="1" si="63"/>
        <v>0</v>
      </c>
      <c r="L104" s="20">
        <f>+L46</f>
        <v>0</v>
      </c>
      <c r="M104" s="913" t="e">
        <f t="shared" si="64"/>
        <v>#REF!</v>
      </c>
      <c r="N104" s="20">
        <f>+N46</f>
        <v>0</v>
      </c>
      <c r="O104" s="913" t="e">
        <f t="shared" si="65"/>
        <v>#REF!</v>
      </c>
      <c r="P104" s="179">
        <f>+P46</f>
        <v>0</v>
      </c>
      <c r="Q104" s="955" t="e">
        <f t="shared" ca="1" si="66"/>
        <v>#REF!</v>
      </c>
      <c r="R104" s="20">
        <f>+R46</f>
        <v>0</v>
      </c>
      <c r="S104" s="913" t="e">
        <f t="shared" si="67"/>
        <v>#REF!</v>
      </c>
      <c r="T104" s="20">
        <f>+T46</f>
        <v>0</v>
      </c>
      <c r="U104" s="913" t="e">
        <f t="shared" si="68"/>
        <v>#REF!</v>
      </c>
      <c r="V104" s="20">
        <f>+V46</f>
        <v>0</v>
      </c>
      <c r="W104" s="913" t="e">
        <f t="shared" si="69"/>
        <v>#REF!</v>
      </c>
      <c r="X104" s="179">
        <f>+X46</f>
        <v>0</v>
      </c>
      <c r="Y104" s="955" t="e">
        <f>+X104/$X$13</f>
        <v>#REF!</v>
      </c>
      <c r="Z104" s="20">
        <f>+Z46</f>
        <v>0</v>
      </c>
      <c r="AA104" s="20">
        <f>+AA46</f>
        <v>0</v>
      </c>
      <c r="AB104" s="20">
        <f>+AB46</f>
        <v>0</v>
      </c>
      <c r="AC104" s="20">
        <f>+AC46</f>
        <v>0</v>
      </c>
      <c r="AD104" s="913" t="e">
        <f t="shared" ca="1" si="70"/>
        <v>#REF!</v>
      </c>
    </row>
    <row r="105" spans="1:30">
      <c r="A105" s="1" t="s">
        <v>428</v>
      </c>
      <c r="B105" s="20">
        <f ca="1">+B43+B44+B41+B47+B39</f>
        <v>64</v>
      </c>
      <c r="C105" s="913">
        <f t="shared" ca="1" si="59"/>
        <v>0.02</v>
      </c>
      <c r="D105" s="20">
        <f ca="1">+D43+D44+D41+D47+D39</f>
        <v>29</v>
      </c>
      <c r="E105" s="913">
        <f t="shared" ca="1" si="60"/>
        <v>0.01</v>
      </c>
      <c r="F105" s="20">
        <f ca="1">+F43+F44+F41+F47+F39</f>
        <v>29</v>
      </c>
      <c r="G105" s="913">
        <f t="shared" ca="1" si="61"/>
        <v>0.01</v>
      </c>
      <c r="H105" s="179">
        <f ca="1">+H43+H44+H41+H47+H39</f>
        <v>122</v>
      </c>
      <c r="I105" s="955">
        <f t="shared" ca="1" si="62"/>
        <v>0.01</v>
      </c>
      <c r="J105" s="20">
        <f ca="1">+J43+J44+J41+J47+J39</f>
        <v>204</v>
      </c>
      <c r="K105" s="913">
        <f t="shared" ca="1" si="63"/>
        <v>7.0000000000000007E-2</v>
      </c>
      <c r="L105" s="20">
        <f>+L43+L44+L41+L47+L39</f>
        <v>0</v>
      </c>
      <c r="M105" s="913" t="e">
        <f t="shared" si="64"/>
        <v>#REF!</v>
      </c>
      <c r="N105" s="20">
        <f>+N43+N44+N41+N47+N39</f>
        <v>0</v>
      </c>
      <c r="O105" s="913" t="e">
        <f t="shared" si="65"/>
        <v>#REF!</v>
      </c>
      <c r="P105" s="179">
        <f ca="1">+P43+P44+P41+P47+P39</f>
        <v>204</v>
      </c>
      <c r="Q105" s="955" t="e">
        <f t="shared" ca="1" si="66"/>
        <v>#REF!</v>
      </c>
      <c r="R105" s="20">
        <f>+R43+R44+R41+R47+R39</f>
        <v>0</v>
      </c>
      <c r="S105" s="913" t="e">
        <f t="shared" si="67"/>
        <v>#REF!</v>
      </c>
      <c r="T105" s="20">
        <f>+T43+T44+T41+T47+T39</f>
        <v>0</v>
      </c>
      <c r="U105" s="913" t="e">
        <f t="shared" si="68"/>
        <v>#REF!</v>
      </c>
      <c r="V105" s="20">
        <f>+V43+V44+V41+V47+V39</f>
        <v>0</v>
      </c>
      <c r="W105" s="908" t="e">
        <f t="shared" si="69"/>
        <v>#REF!</v>
      </c>
      <c r="X105" s="179">
        <f>+X43+X44+X41+X47+X39</f>
        <v>0</v>
      </c>
      <c r="Y105" s="955" t="e">
        <f>+X105/$X$13</f>
        <v>#REF!</v>
      </c>
      <c r="Z105" s="20">
        <f>+Z43+Z44+Z41+Z47+Z39</f>
        <v>0</v>
      </c>
      <c r="AA105" s="20">
        <f>+AA43+AA44+AA41+AA47+AA39</f>
        <v>0</v>
      </c>
      <c r="AB105" s="20">
        <f>+AB43+AB44+AB41+AB47+AB39</f>
        <v>0</v>
      </c>
      <c r="AC105" s="20">
        <f ca="1">+AC43+AC44+AC41+AC47+AC39</f>
        <v>326</v>
      </c>
      <c r="AD105" s="913" t="e">
        <f t="shared" ca="1" si="70"/>
        <v>#REF!</v>
      </c>
    </row>
    <row r="106" spans="1:30" ht="13.5" thickBot="1">
      <c r="B106" s="173">
        <f ca="1">SUM(B101:B105)</f>
        <v>475</v>
      </c>
      <c r="C106" s="913">
        <f t="shared" ca="1" si="59"/>
        <v>0.17</v>
      </c>
      <c r="D106" s="173">
        <f ca="1">SUM(D101:D105)</f>
        <v>126</v>
      </c>
      <c r="E106" s="913">
        <f t="shared" ca="1" si="60"/>
        <v>0.05</v>
      </c>
      <c r="F106" s="173">
        <f ca="1">SUM(F101:F105)</f>
        <v>126</v>
      </c>
      <c r="G106" s="913">
        <f t="shared" ca="1" si="61"/>
        <v>0.05</v>
      </c>
      <c r="H106" s="367">
        <f ca="1">SUM(H101:H105)</f>
        <v>727</v>
      </c>
      <c r="I106" s="370">
        <f t="shared" ca="1" si="62"/>
        <v>0.09</v>
      </c>
      <c r="J106" s="173">
        <f ca="1">SUM(J101:J105)</f>
        <v>2060</v>
      </c>
      <c r="K106" s="913">
        <f t="shared" ca="1" si="63"/>
        <v>0.76</v>
      </c>
      <c r="L106" s="173">
        <f>SUM(L101:L105)</f>
        <v>0</v>
      </c>
      <c r="M106" s="913" t="e">
        <f t="shared" si="64"/>
        <v>#REF!</v>
      </c>
      <c r="N106" s="173">
        <f>SUM(N101:N105)</f>
        <v>0</v>
      </c>
      <c r="O106" s="913" t="e">
        <f t="shared" si="65"/>
        <v>#REF!</v>
      </c>
      <c r="P106" s="367">
        <f ca="1">SUM(P101:P105)</f>
        <v>2060</v>
      </c>
      <c r="Q106" s="370" t="e">
        <f t="shared" ca="1" si="66"/>
        <v>#REF!</v>
      </c>
      <c r="R106" s="173">
        <f>SUM(R101:R105)</f>
        <v>0</v>
      </c>
      <c r="S106" s="913" t="e">
        <f t="shared" si="67"/>
        <v>#REF!</v>
      </c>
      <c r="T106" s="173">
        <f>SUM(T101:T105)</f>
        <v>0</v>
      </c>
      <c r="U106" s="913" t="e">
        <f t="shared" si="68"/>
        <v>#REF!</v>
      </c>
      <c r="V106" s="173">
        <f>SUM(V101:V105)</f>
        <v>0</v>
      </c>
      <c r="W106" s="913" t="e">
        <f t="shared" si="69"/>
        <v>#REF!</v>
      </c>
      <c r="X106" s="367">
        <f>SUM(X101:X105)</f>
        <v>0</v>
      </c>
      <c r="Y106" s="370">
        <f ca="1">+X106/$H$13</f>
        <v>0</v>
      </c>
      <c r="Z106" s="173">
        <f>SUM(Z101:Z105)</f>
        <v>0</v>
      </c>
      <c r="AA106" s="173">
        <f>SUM(AA101:AA105)</f>
        <v>0</v>
      </c>
      <c r="AB106" s="173">
        <f>SUM(AB101:AB105)</f>
        <v>0</v>
      </c>
      <c r="AC106" s="173">
        <f ca="1">SUM(AC101:AC105)</f>
        <v>2787</v>
      </c>
      <c r="AD106" s="913" t="e">
        <f t="shared" ca="1" si="70"/>
        <v>#REF!</v>
      </c>
    </row>
    <row r="107" spans="1:30">
      <c r="C107" s="494"/>
      <c r="E107" s="494"/>
      <c r="G107" s="494"/>
      <c r="H107" s="661"/>
      <c r="I107" s="661"/>
      <c r="P107" s="661"/>
      <c r="Q107" s="661"/>
      <c r="X107" s="661"/>
      <c r="Y107" s="661"/>
    </row>
    <row r="108" spans="1:30">
      <c r="A108" s="187"/>
      <c r="B108" s="179">
        <f ca="1">+B106-B49</f>
        <v>0</v>
      </c>
      <c r="C108" s="902"/>
      <c r="D108" s="179">
        <f t="shared" ref="D108:AC108" ca="1" si="71">+D106-D49</f>
        <v>0</v>
      </c>
      <c r="E108" s="902"/>
      <c r="F108" s="179">
        <f t="shared" ca="1" si="71"/>
        <v>0</v>
      </c>
      <c r="G108" s="902"/>
      <c r="H108" s="179">
        <f t="shared" ca="1" si="71"/>
        <v>0</v>
      </c>
      <c r="I108" s="179">
        <f t="shared" ca="1" si="71"/>
        <v>0</v>
      </c>
      <c r="J108" s="179">
        <f t="shared" ca="1" si="71"/>
        <v>0</v>
      </c>
      <c r="K108" s="20"/>
      <c r="L108" s="179">
        <f t="shared" si="71"/>
        <v>0</v>
      </c>
      <c r="M108" s="20"/>
      <c r="N108" s="179">
        <f t="shared" si="71"/>
        <v>0</v>
      </c>
      <c r="O108" s="20"/>
      <c r="P108" s="179">
        <f ca="1">+P106-P49</f>
        <v>0</v>
      </c>
      <c r="Q108" s="179" t="e">
        <f ca="1">+Q106-Q49</f>
        <v>#REF!</v>
      </c>
      <c r="R108" s="179">
        <f t="shared" si="71"/>
        <v>0</v>
      </c>
      <c r="S108" s="179"/>
      <c r="T108" s="179">
        <f t="shared" si="71"/>
        <v>0</v>
      </c>
      <c r="U108" s="179"/>
      <c r="V108" s="179">
        <f t="shared" si="71"/>
        <v>0</v>
      </c>
      <c r="W108" s="20"/>
      <c r="X108" s="179">
        <f>+X106-X49</f>
        <v>0</v>
      </c>
      <c r="Y108" s="179" t="e">
        <f ca="1">+Y106-Y49</f>
        <v>#REF!</v>
      </c>
      <c r="Z108" s="179">
        <f t="shared" si="71"/>
        <v>0</v>
      </c>
      <c r="AA108" s="179">
        <f t="shared" si="71"/>
        <v>0</v>
      </c>
      <c r="AB108" s="179">
        <f t="shared" si="71"/>
        <v>0</v>
      </c>
      <c r="AC108" s="179">
        <f t="shared" ca="1" si="71"/>
        <v>0</v>
      </c>
    </row>
    <row r="109" spans="1:30">
      <c r="A109" s="326" t="s">
        <v>619</v>
      </c>
      <c r="C109" s="494"/>
      <c r="E109" s="494"/>
      <c r="G109" s="494"/>
      <c r="H109" s="661"/>
      <c r="I109" s="661"/>
      <c r="P109" s="661"/>
      <c r="Q109" s="661"/>
      <c r="X109" s="661"/>
      <c r="Y109" s="661"/>
    </row>
    <row r="110" spans="1:30">
      <c r="C110" s="494"/>
      <c r="E110" s="494"/>
      <c r="G110" s="494"/>
      <c r="H110" s="661"/>
      <c r="I110" s="661"/>
      <c r="P110" s="661"/>
      <c r="Q110" s="661"/>
      <c r="X110" s="661"/>
      <c r="Y110" s="661"/>
    </row>
    <row r="111" spans="1:30">
      <c r="A111" s="172" t="s">
        <v>424</v>
      </c>
      <c r="B111" s="20">
        <f>+B53+B54+B55+B56+B70</f>
        <v>1000</v>
      </c>
      <c r="C111" s="908">
        <f t="shared" ref="C111:C117" ca="1" si="72">+B111/$B$13</f>
        <v>0.36699999999999999</v>
      </c>
      <c r="D111" s="20">
        <f>+D53+D54+D55+D56+D70</f>
        <v>1000</v>
      </c>
      <c r="E111" s="908">
        <f t="shared" ref="E111:E117" ca="1" si="73">+D111/$D$13</f>
        <v>0.36699999999999999</v>
      </c>
      <c r="F111" s="20">
        <f>+F53+F54+F55+F56+F70</f>
        <v>1000</v>
      </c>
      <c r="G111" s="908">
        <f t="shared" ref="G111:G117" ca="1" si="74">+F111/$F$13</f>
        <v>0.36699999999999999</v>
      </c>
      <c r="H111" s="179">
        <f>+H53+H54+H55+H56+H70</f>
        <v>3000</v>
      </c>
      <c r="I111" s="956">
        <f t="shared" ref="I111:I117" ca="1" si="75">+H111/$H$13</f>
        <v>0.36699999999999999</v>
      </c>
      <c r="J111" s="20">
        <f>+J53+J54+J55+J56+J70</f>
        <v>1000</v>
      </c>
      <c r="K111" s="908">
        <f t="shared" ref="K111:K117" ca="1" si="76">+J111/$J$13</f>
        <v>0.36699999999999999</v>
      </c>
      <c r="L111" s="20">
        <f>+L53+L54+L55+L56+L70</f>
        <v>1000</v>
      </c>
      <c r="M111" s="908" t="e">
        <f t="shared" ref="M111:M117" si="77">+L111/$L$13</f>
        <v>#REF!</v>
      </c>
      <c r="N111" s="20">
        <f>+N53+N54+N55+N56+N70</f>
        <v>1000</v>
      </c>
      <c r="O111" s="908" t="e">
        <f t="shared" ref="O111:O117" si="78">+N111/$N$13</f>
        <v>#REF!</v>
      </c>
      <c r="P111" s="179">
        <f>+P53+P54+P55+P56+P70</f>
        <v>3000</v>
      </c>
      <c r="Q111" s="956" t="e">
        <f t="shared" ref="Q111:Q117" ca="1" si="79">+P111/$P$13</f>
        <v>#REF!</v>
      </c>
      <c r="R111" s="20">
        <f>+R53+R54+R55+R56+R70</f>
        <v>1000</v>
      </c>
      <c r="S111" s="908" t="e">
        <f t="shared" ref="S111:S117" si="80">+R111/$R$13</f>
        <v>#REF!</v>
      </c>
      <c r="T111" s="20">
        <f>+T53+T54+T55+T56+T70</f>
        <v>1000</v>
      </c>
      <c r="U111" s="908" t="e">
        <f t="shared" ref="U111:U117" si="81">+T111/$T$13</f>
        <v>#REF!</v>
      </c>
      <c r="V111" s="20">
        <f>+V53+V54+V55+V56+V70</f>
        <v>1000</v>
      </c>
      <c r="W111" s="908" t="e">
        <f t="shared" ref="W111:W117" si="82">+V111/$V$13</f>
        <v>#REF!</v>
      </c>
      <c r="X111" s="179">
        <f>+X53+X54+X55+X56+X70</f>
        <v>3000</v>
      </c>
      <c r="Y111" s="956" t="e">
        <f t="shared" ref="Y111:Y117" si="83">+X111/$X$13</f>
        <v>#REF!</v>
      </c>
      <c r="Z111" s="20">
        <f>+Z53+Z54+Z55+Z56+Z70</f>
        <v>1000</v>
      </c>
      <c r="AA111" s="20">
        <f>+AA53+AA54+AA55+AA56+AA70</f>
        <v>1000</v>
      </c>
      <c r="AB111" s="20">
        <f>+AB53+AB54+AB55+AB56+AB70</f>
        <v>1000</v>
      </c>
      <c r="AC111" s="20">
        <f>+AC53+AC54+AC55+AC56+AC70</f>
        <v>12000</v>
      </c>
      <c r="AD111" s="908" t="e">
        <f t="shared" ref="AD111:AD117" ca="1" si="84">+AC111/$AC$13</f>
        <v>#REF!</v>
      </c>
    </row>
    <row r="112" spans="1:30">
      <c r="A112" s="172" t="s">
        <v>64</v>
      </c>
      <c r="B112" s="20">
        <f>+B59+B60+B61+B64+B65+B68</f>
        <v>0</v>
      </c>
      <c r="C112" s="908">
        <f t="shared" ca="1" si="72"/>
        <v>0</v>
      </c>
      <c r="D112" s="20">
        <f>+D59+D60+D61+D64+D65+D68</f>
        <v>0</v>
      </c>
      <c r="E112" s="908">
        <f t="shared" ca="1" si="73"/>
        <v>0</v>
      </c>
      <c r="F112" s="20">
        <f>+F59+F60+F61+F64+F65+F68</f>
        <v>0</v>
      </c>
      <c r="G112" s="908">
        <f t="shared" ca="1" si="74"/>
        <v>0</v>
      </c>
      <c r="H112" s="179">
        <f>+H59+H60+H61+H64+H65+H68</f>
        <v>0</v>
      </c>
      <c r="I112" s="956">
        <f t="shared" ca="1" si="75"/>
        <v>0</v>
      </c>
      <c r="J112" s="20">
        <f>+J59+J60+J61+J64+J65+J68</f>
        <v>0</v>
      </c>
      <c r="K112" s="908">
        <f t="shared" ca="1" si="76"/>
        <v>0</v>
      </c>
      <c r="L112" s="20">
        <f>+L59+L60+L61+L64+L65+L68</f>
        <v>0</v>
      </c>
      <c r="M112" s="908" t="e">
        <f t="shared" si="77"/>
        <v>#REF!</v>
      </c>
      <c r="N112" s="20">
        <f>+N59+N60+N61+N64+N65+N68</f>
        <v>0</v>
      </c>
      <c r="O112" s="908" t="e">
        <f t="shared" si="78"/>
        <v>#REF!</v>
      </c>
      <c r="P112" s="179">
        <f>+P59+P60+P61+P64+P65+P68</f>
        <v>0</v>
      </c>
      <c r="Q112" s="956" t="e">
        <f t="shared" ca="1" si="79"/>
        <v>#REF!</v>
      </c>
      <c r="R112" s="20">
        <f>+R59+R60+R61+R64+R65+R68</f>
        <v>0</v>
      </c>
      <c r="S112" s="908" t="e">
        <f t="shared" si="80"/>
        <v>#REF!</v>
      </c>
      <c r="T112" s="20">
        <f>+T59+T60+T61+T64+T65+T68</f>
        <v>0</v>
      </c>
      <c r="U112" s="908" t="e">
        <f t="shared" si="81"/>
        <v>#REF!</v>
      </c>
      <c r="V112" s="20">
        <f>+V59+V60+V61+V64+V65+V68</f>
        <v>0</v>
      </c>
      <c r="W112" s="908" t="e">
        <f t="shared" si="82"/>
        <v>#REF!</v>
      </c>
      <c r="X112" s="179">
        <f>+X59+X60+X61+X64+X65+X68</f>
        <v>0</v>
      </c>
      <c r="Y112" s="956" t="e">
        <f t="shared" si="83"/>
        <v>#REF!</v>
      </c>
      <c r="Z112" s="20">
        <f>+Z59+Z60+Z61+Z64+Z65+Z68</f>
        <v>0</v>
      </c>
      <c r="AA112" s="20">
        <f>+AA59+AA60+AA61+AA64+AA65+AA68</f>
        <v>0</v>
      </c>
      <c r="AB112" s="20">
        <f>+AB59+AB60+AB61+AB64+AB65+AB68</f>
        <v>0</v>
      </c>
      <c r="AC112" s="20">
        <f>+AC59+AC60+AC61+AC64+AC65+AC68</f>
        <v>0</v>
      </c>
      <c r="AD112" s="908" t="e">
        <f t="shared" ca="1" si="84"/>
        <v>#REF!</v>
      </c>
    </row>
    <row r="113" spans="1:30">
      <c r="A113" s="172" t="s">
        <v>430</v>
      </c>
      <c r="B113" s="20">
        <f>+B63</f>
        <v>0</v>
      </c>
      <c r="C113" s="908">
        <f t="shared" ca="1" si="72"/>
        <v>0</v>
      </c>
      <c r="D113" s="20">
        <f>+D63</f>
        <v>0</v>
      </c>
      <c r="E113" s="908">
        <f t="shared" ca="1" si="73"/>
        <v>0</v>
      </c>
      <c r="F113" s="20">
        <f>+F63</f>
        <v>0</v>
      </c>
      <c r="G113" s="908">
        <f t="shared" ca="1" si="74"/>
        <v>0</v>
      </c>
      <c r="H113" s="179">
        <f>+H63</f>
        <v>0</v>
      </c>
      <c r="I113" s="956">
        <f t="shared" ca="1" si="75"/>
        <v>0</v>
      </c>
      <c r="J113" s="20">
        <f>+J63</f>
        <v>0</v>
      </c>
      <c r="K113" s="908">
        <f t="shared" ca="1" si="76"/>
        <v>0</v>
      </c>
      <c r="L113" s="20">
        <f>+L63</f>
        <v>0</v>
      </c>
      <c r="M113" s="908" t="e">
        <f t="shared" si="77"/>
        <v>#REF!</v>
      </c>
      <c r="N113" s="20">
        <f>+N63</f>
        <v>0</v>
      </c>
      <c r="O113" s="908" t="e">
        <f t="shared" si="78"/>
        <v>#REF!</v>
      </c>
      <c r="P113" s="179">
        <f>+P63</f>
        <v>0</v>
      </c>
      <c r="Q113" s="956" t="e">
        <f t="shared" ca="1" si="79"/>
        <v>#REF!</v>
      </c>
      <c r="R113" s="20">
        <f>+R63</f>
        <v>0</v>
      </c>
      <c r="S113" s="908" t="e">
        <f t="shared" si="80"/>
        <v>#REF!</v>
      </c>
      <c r="T113" s="20">
        <f>+T63</f>
        <v>0</v>
      </c>
      <c r="U113" s="908" t="e">
        <f t="shared" si="81"/>
        <v>#REF!</v>
      </c>
      <c r="V113" s="20">
        <f>+V63</f>
        <v>0</v>
      </c>
      <c r="W113" s="908" t="e">
        <f t="shared" si="82"/>
        <v>#REF!</v>
      </c>
      <c r="X113" s="179">
        <f>+X63</f>
        <v>0</v>
      </c>
      <c r="Y113" s="956" t="e">
        <f t="shared" si="83"/>
        <v>#REF!</v>
      </c>
      <c r="Z113" s="20">
        <f>+Z63</f>
        <v>0</v>
      </c>
      <c r="AA113" s="20">
        <f>+AA63</f>
        <v>0</v>
      </c>
      <c r="AB113" s="20">
        <f>+AB63</f>
        <v>0</v>
      </c>
      <c r="AC113" s="20">
        <f>+AC63</f>
        <v>0</v>
      </c>
      <c r="AD113" s="908" t="e">
        <f t="shared" ca="1" si="84"/>
        <v>#REF!</v>
      </c>
    </row>
    <row r="114" spans="1:30">
      <c r="A114" s="172" t="s">
        <v>63</v>
      </c>
      <c r="B114" s="20">
        <f>+B57+B58</f>
        <v>50</v>
      </c>
      <c r="C114" s="908">
        <f t="shared" ca="1" si="72"/>
        <v>1.7999999999999999E-2</v>
      </c>
      <c r="D114" s="20">
        <f>+D57+D58</f>
        <v>50</v>
      </c>
      <c r="E114" s="908">
        <f t="shared" ca="1" si="73"/>
        <v>1.7999999999999999E-2</v>
      </c>
      <c r="F114" s="20">
        <f>+F57+F58</f>
        <v>50</v>
      </c>
      <c r="G114" s="908">
        <f t="shared" ca="1" si="74"/>
        <v>1.7999999999999999E-2</v>
      </c>
      <c r="H114" s="179">
        <f>+H57+H58</f>
        <v>150</v>
      </c>
      <c r="I114" s="956">
        <f t="shared" ca="1" si="75"/>
        <v>1.7999999999999999E-2</v>
      </c>
      <c r="J114" s="20">
        <f>+J57+J58</f>
        <v>50</v>
      </c>
      <c r="K114" s="908">
        <f t="shared" ca="1" si="76"/>
        <v>1.7999999999999999E-2</v>
      </c>
      <c r="L114" s="20">
        <f>+L57+L58</f>
        <v>50</v>
      </c>
      <c r="M114" s="908" t="e">
        <f t="shared" si="77"/>
        <v>#REF!</v>
      </c>
      <c r="N114" s="20">
        <f>+N57+N58</f>
        <v>50</v>
      </c>
      <c r="O114" s="908" t="e">
        <f t="shared" si="78"/>
        <v>#REF!</v>
      </c>
      <c r="P114" s="179">
        <f>+P57+P58</f>
        <v>150</v>
      </c>
      <c r="Q114" s="956" t="e">
        <f t="shared" ca="1" si="79"/>
        <v>#REF!</v>
      </c>
      <c r="R114" s="20">
        <f>+R57+R58</f>
        <v>50</v>
      </c>
      <c r="S114" s="908" t="e">
        <f t="shared" si="80"/>
        <v>#REF!</v>
      </c>
      <c r="T114" s="20">
        <f>+T57+T58</f>
        <v>50</v>
      </c>
      <c r="U114" s="908" t="e">
        <f t="shared" si="81"/>
        <v>#REF!</v>
      </c>
      <c r="V114" s="20">
        <f>+V57+V58</f>
        <v>50</v>
      </c>
      <c r="W114" s="908" t="e">
        <f t="shared" si="82"/>
        <v>#REF!</v>
      </c>
      <c r="X114" s="179">
        <f>+X57+X58</f>
        <v>150</v>
      </c>
      <c r="Y114" s="956" t="e">
        <f t="shared" si="83"/>
        <v>#REF!</v>
      </c>
      <c r="Z114" s="20">
        <f>+Z57+Z58</f>
        <v>50</v>
      </c>
      <c r="AA114" s="20">
        <f>+AA57+AA58</f>
        <v>50</v>
      </c>
      <c r="AB114" s="20">
        <f>+AB57+AB58</f>
        <v>50</v>
      </c>
      <c r="AC114" s="20">
        <f>+AC57+AC58</f>
        <v>600</v>
      </c>
      <c r="AD114" s="908" t="e">
        <f t="shared" ca="1" si="84"/>
        <v>#REF!</v>
      </c>
    </row>
    <row r="115" spans="1:30">
      <c r="A115" s="172" t="s">
        <v>431</v>
      </c>
      <c r="B115" s="20">
        <f>+B66+B67</f>
        <v>0</v>
      </c>
      <c r="C115" s="908">
        <f t="shared" ca="1" si="72"/>
        <v>0</v>
      </c>
      <c r="D115" s="20">
        <f>+D66+D67</f>
        <v>0</v>
      </c>
      <c r="E115" s="908">
        <f t="shared" ca="1" si="73"/>
        <v>0</v>
      </c>
      <c r="F115" s="20">
        <f>+F66+F67</f>
        <v>0</v>
      </c>
      <c r="G115" s="908">
        <f t="shared" ca="1" si="74"/>
        <v>0</v>
      </c>
      <c r="H115" s="179">
        <f>+H66+H67</f>
        <v>0</v>
      </c>
      <c r="I115" s="956">
        <f t="shared" ca="1" si="75"/>
        <v>0</v>
      </c>
      <c r="J115" s="20">
        <f>+J66+J67</f>
        <v>0</v>
      </c>
      <c r="K115" s="908">
        <f t="shared" ca="1" si="76"/>
        <v>0</v>
      </c>
      <c r="L115" s="20">
        <f>+L66+L67</f>
        <v>0</v>
      </c>
      <c r="M115" s="908" t="e">
        <f t="shared" si="77"/>
        <v>#REF!</v>
      </c>
      <c r="N115" s="20">
        <f>+N66+N67</f>
        <v>0</v>
      </c>
      <c r="O115" s="908" t="e">
        <f t="shared" si="78"/>
        <v>#REF!</v>
      </c>
      <c r="P115" s="179">
        <f>+P66+P67</f>
        <v>0</v>
      </c>
      <c r="Q115" s="956" t="e">
        <f t="shared" ca="1" si="79"/>
        <v>#REF!</v>
      </c>
      <c r="R115" s="20">
        <f>+R66+R67</f>
        <v>0</v>
      </c>
      <c r="S115" s="908" t="e">
        <f t="shared" si="80"/>
        <v>#REF!</v>
      </c>
      <c r="T115" s="20">
        <f>+T66+T67</f>
        <v>0</v>
      </c>
      <c r="U115" s="908" t="e">
        <f t="shared" si="81"/>
        <v>#REF!</v>
      </c>
      <c r="V115" s="20">
        <f>+V66+V67</f>
        <v>0</v>
      </c>
      <c r="W115" s="908" t="e">
        <f t="shared" si="82"/>
        <v>#REF!</v>
      </c>
      <c r="X115" s="179">
        <f>+X66+X67</f>
        <v>0</v>
      </c>
      <c r="Y115" s="956" t="e">
        <f t="shared" si="83"/>
        <v>#REF!</v>
      </c>
      <c r="Z115" s="20">
        <f>+Z66+Z67</f>
        <v>0</v>
      </c>
      <c r="AA115" s="20">
        <f>+AA66+AA67</f>
        <v>0</v>
      </c>
      <c r="AB115" s="20">
        <f>+AB66+AB67</f>
        <v>0</v>
      </c>
      <c r="AC115" s="20">
        <f>+AC66+AC67</f>
        <v>0</v>
      </c>
      <c r="AD115" s="908" t="e">
        <f t="shared" ca="1" si="84"/>
        <v>#REF!</v>
      </c>
    </row>
    <row r="116" spans="1:30">
      <c r="A116" s="172" t="s">
        <v>427</v>
      </c>
      <c r="B116" s="20">
        <f>+B69</f>
        <v>0</v>
      </c>
      <c r="C116" s="908">
        <f t="shared" ca="1" si="72"/>
        <v>0</v>
      </c>
      <c r="D116" s="20">
        <f>+D69</f>
        <v>0</v>
      </c>
      <c r="E116" s="908">
        <f t="shared" ca="1" si="73"/>
        <v>0</v>
      </c>
      <c r="F116" s="20">
        <f>+F69</f>
        <v>0</v>
      </c>
      <c r="G116" s="908">
        <f t="shared" ca="1" si="74"/>
        <v>0</v>
      </c>
      <c r="H116" s="179">
        <f>+H69</f>
        <v>0</v>
      </c>
      <c r="I116" s="956">
        <f t="shared" ca="1" si="75"/>
        <v>0</v>
      </c>
      <c r="J116" s="20">
        <f>+J69</f>
        <v>0</v>
      </c>
      <c r="K116" s="908">
        <f t="shared" ca="1" si="76"/>
        <v>0</v>
      </c>
      <c r="L116" s="20">
        <f>+L69</f>
        <v>0</v>
      </c>
      <c r="M116" s="908" t="e">
        <f t="shared" si="77"/>
        <v>#REF!</v>
      </c>
      <c r="N116" s="20">
        <f>+N69</f>
        <v>0</v>
      </c>
      <c r="O116" s="908" t="e">
        <f t="shared" si="78"/>
        <v>#REF!</v>
      </c>
      <c r="P116" s="179">
        <f>+P69</f>
        <v>0</v>
      </c>
      <c r="Q116" s="956" t="e">
        <f t="shared" ca="1" si="79"/>
        <v>#REF!</v>
      </c>
      <c r="R116" s="20">
        <f>+R69</f>
        <v>0</v>
      </c>
      <c r="S116" s="908" t="e">
        <f t="shared" si="80"/>
        <v>#REF!</v>
      </c>
      <c r="T116" s="20">
        <f>+T69</f>
        <v>0</v>
      </c>
      <c r="U116" s="908" t="e">
        <f t="shared" si="81"/>
        <v>#REF!</v>
      </c>
      <c r="V116" s="20">
        <f>+V69</f>
        <v>0</v>
      </c>
      <c r="W116" s="908" t="e">
        <f t="shared" si="82"/>
        <v>#REF!</v>
      </c>
      <c r="X116" s="179">
        <f>+X69</f>
        <v>0</v>
      </c>
      <c r="Y116" s="956" t="e">
        <f t="shared" si="83"/>
        <v>#REF!</v>
      </c>
      <c r="Z116" s="20">
        <f>+Z69</f>
        <v>0</v>
      </c>
      <c r="AA116" s="20">
        <f>+AA69</f>
        <v>0</v>
      </c>
      <c r="AB116" s="20">
        <f>+AB69</f>
        <v>0</v>
      </c>
      <c r="AC116" s="20">
        <f>+AC69</f>
        <v>0</v>
      </c>
      <c r="AD116" s="908" t="e">
        <f t="shared" ca="1" si="84"/>
        <v>#REF!</v>
      </c>
    </row>
    <row r="117" spans="1:30" ht="13.5" thickBot="1">
      <c r="B117" s="173">
        <f>SUM(B111:B116)</f>
        <v>1050</v>
      </c>
      <c r="C117" s="908">
        <f t="shared" ca="1" si="72"/>
        <v>0.38500000000000001</v>
      </c>
      <c r="D117" s="173">
        <f>SUM(D111:D116)</f>
        <v>1050</v>
      </c>
      <c r="E117" s="908">
        <f t="shared" ca="1" si="73"/>
        <v>0.38500000000000001</v>
      </c>
      <c r="F117" s="173">
        <f>SUM(F111:F116)</f>
        <v>1050</v>
      </c>
      <c r="G117" s="908">
        <f t="shared" ca="1" si="74"/>
        <v>0.38500000000000001</v>
      </c>
      <c r="H117" s="205">
        <f>SUM(H111:H116)</f>
        <v>3150</v>
      </c>
      <c r="I117" s="371">
        <f t="shared" ca="1" si="75"/>
        <v>0.38500000000000001</v>
      </c>
      <c r="J117" s="173">
        <f>SUM(J111:J116)</f>
        <v>1050</v>
      </c>
      <c r="K117" s="908">
        <f t="shared" ca="1" si="76"/>
        <v>0.38500000000000001</v>
      </c>
      <c r="L117" s="173">
        <f>SUM(L111:L116)</f>
        <v>1050</v>
      </c>
      <c r="M117" s="908" t="e">
        <f t="shared" si="77"/>
        <v>#REF!</v>
      </c>
      <c r="N117" s="173">
        <f>SUM(N111:N116)</f>
        <v>1050</v>
      </c>
      <c r="O117" s="908" t="e">
        <f t="shared" si="78"/>
        <v>#REF!</v>
      </c>
      <c r="P117" s="205">
        <f>SUM(P111:P116)</f>
        <v>3150</v>
      </c>
      <c r="Q117" s="371" t="e">
        <f t="shared" ca="1" si="79"/>
        <v>#REF!</v>
      </c>
      <c r="R117" s="173">
        <f>SUM(R111:R116)</f>
        <v>1050</v>
      </c>
      <c r="S117" s="908" t="e">
        <f t="shared" si="80"/>
        <v>#REF!</v>
      </c>
      <c r="T117" s="173">
        <f>SUM(T111:T116)</f>
        <v>1050</v>
      </c>
      <c r="U117" s="908" t="e">
        <f t="shared" si="81"/>
        <v>#REF!</v>
      </c>
      <c r="V117" s="173">
        <f>SUM(V111:V116)</f>
        <v>1050</v>
      </c>
      <c r="W117" s="908" t="e">
        <f t="shared" si="82"/>
        <v>#REF!</v>
      </c>
      <c r="X117" s="205">
        <f>SUM(X111:X116)</f>
        <v>3150</v>
      </c>
      <c r="Y117" s="371" t="e">
        <f t="shared" si="83"/>
        <v>#REF!</v>
      </c>
      <c r="Z117" s="173">
        <f>SUM(Z111:Z116)</f>
        <v>1050</v>
      </c>
      <c r="AA117" s="173">
        <f>SUM(AA111:AA116)</f>
        <v>1050</v>
      </c>
      <c r="AB117" s="173">
        <f>SUM(AB111:AB116)</f>
        <v>1050</v>
      </c>
      <c r="AC117" s="173">
        <f>SUM(AC111:AC116)</f>
        <v>12600</v>
      </c>
      <c r="AD117" s="908" t="e">
        <f t="shared" ca="1" si="84"/>
        <v>#REF!</v>
      </c>
    </row>
    <row r="118" spans="1:30">
      <c r="C118" s="494"/>
      <c r="E118" s="494"/>
      <c r="G118" s="494"/>
      <c r="H118" s="661"/>
      <c r="I118" s="661"/>
      <c r="P118" s="661"/>
      <c r="Q118" s="661"/>
      <c r="X118" s="661"/>
      <c r="Y118" s="661"/>
      <c r="AC118"/>
    </row>
    <row r="119" spans="1:30">
      <c r="A119" s="187"/>
      <c r="B119" s="179">
        <f>+B72-B117</f>
        <v>0</v>
      </c>
      <c r="C119" s="902"/>
      <c r="D119" s="179">
        <f>+D72-D117</f>
        <v>0</v>
      </c>
      <c r="E119" s="902"/>
      <c r="F119" s="179">
        <f>+F72-F117</f>
        <v>0</v>
      </c>
      <c r="G119" s="902"/>
      <c r="H119" s="179">
        <f>+H72-H117</f>
        <v>0</v>
      </c>
      <c r="I119" s="179">
        <f ca="1">+I72-I117</f>
        <v>0</v>
      </c>
      <c r="J119" s="179">
        <f>+J72-J117</f>
        <v>0</v>
      </c>
      <c r="K119" s="20"/>
      <c r="L119" s="179">
        <f>+L72-L117</f>
        <v>0</v>
      </c>
      <c r="M119" s="20"/>
      <c r="N119" s="179">
        <f>+N72-N117</f>
        <v>0</v>
      </c>
      <c r="O119" s="20"/>
      <c r="P119" s="179">
        <f>+P72-P117</f>
        <v>0</v>
      </c>
      <c r="Q119" s="179" t="e">
        <f ca="1">+Q72-Q117</f>
        <v>#REF!</v>
      </c>
      <c r="R119" s="179">
        <f>+R72-R117</f>
        <v>0</v>
      </c>
      <c r="S119" s="179"/>
      <c r="T119" s="179">
        <f>+T72-T117</f>
        <v>0</v>
      </c>
      <c r="U119" s="179"/>
      <c r="V119" s="179">
        <f>+V72-V117</f>
        <v>0</v>
      </c>
      <c r="W119" s="20"/>
      <c r="X119" s="179">
        <f t="shared" ref="X119:AC119" si="85">+X72-X117</f>
        <v>0</v>
      </c>
      <c r="Y119" s="179" t="e">
        <f t="shared" si="85"/>
        <v>#REF!</v>
      </c>
      <c r="Z119" s="179">
        <f t="shared" si="85"/>
        <v>0</v>
      </c>
      <c r="AA119" s="179">
        <f t="shared" si="85"/>
        <v>0</v>
      </c>
      <c r="AB119" s="179">
        <f t="shared" si="85"/>
        <v>0</v>
      </c>
      <c r="AC119" s="179">
        <f t="shared" si="85"/>
        <v>0</v>
      </c>
    </row>
    <row r="120" spans="1:30">
      <c r="A120" s="493" t="s">
        <v>620</v>
      </c>
      <c r="B120" s="20">
        <f ca="1">+B13</f>
        <v>2728</v>
      </c>
      <c r="C120" s="902"/>
      <c r="D120" s="20">
        <f ca="1">+D13</f>
        <v>2728</v>
      </c>
      <c r="E120" s="902"/>
      <c r="F120" s="20">
        <f ca="1">+F13</f>
        <v>2728</v>
      </c>
      <c r="G120" s="902"/>
      <c r="H120" s="218">
        <f ca="1">+H13</f>
        <v>8184</v>
      </c>
      <c r="I120" s="218"/>
      <c r="J120" s="20">
        <f ca="1">+J13</f>
        <v>2728</v>
      </c>
      <c r="K120" s="902"/>
      <c r="L120" s="20" t="e">
        <f>+L13</f>
        <v>#REF!</v>
      </c>
      <c r="M120" s="902"/>
      <c r="N120" s="20" t="e">
        <f>+N13</f>
        <v>#REF!</v>
      </c>
      <c r="P120" s="218" t="e">
        <f ca="1">+P13</f>
        <v>#REF!</v>
      </c>
      <c r="Q120" s="218"/>
      <c r="R120" s="20" t="e">
        <f>+R13</f>
        <v>#REF!</v>
      </c>
      <c r="S120" s="902"/>
      <c r="T120" s="20" t="e">
        <f>+T13</f>
        <v>#REF!</v>
      </c>
      <c r="U120" s="902"/>
      <c r="V120" s="20" t="e">
        <f>+V13</f>
        <v>#REF!</v>
      </c>
      <c r="X120" s="218" t="e">
        <f>+X13</f>
        <v>#REF!</v>
      </c>
      <c r="Y120" s="218"/>
    </row>
    <row r="121" spans="1:30">
      <c r="C121" s="494"/>
      <c r="E121" s="494"/>
      <c r="F121" s="236">
        <f ca="1">+F120+D120+B120</f>
        <v>8184</v>
      </c>
      <c r="G121" s="902"/>
      <c r="H121" s="949">
        <f ca="1">+F121-H120</f>
        <v>0</v>
      </c>
      <c r="I121" s="949"/>
      <c r="K121" s="494"/>
      <c r="M121" s="494"/>
      <c r="N121" s="236" t="e">
        <f ca="1">+N120+L120+J120</f>
        <v>#REF!</v>
      </c>
      <c r="P121" s="949" t="e">
        <f ca="1">+N121-P120</f>
        <v>#REF!</v>
      </c>
      <c r="Q121" s="949"/>
      <c r="S121" s="494"/>
      <c r="U121" s="494"/>
      <c r="V121" s="236" t="e">
        <f>+V120+T120+R120</f>
        <v>#REF!</v>
      </c>
      <c r="X121" s="949" t="e">
        <f>+V121-X120</f>
        <v>#REF!</v>
      </c>
      <c r="Y121" s="949"/>
    </row>
  </sheetData>
  <mergeCells count="12">
    <mergeCell ref="X3:Y3"/>
    <mergeCell ref="X4:Y4"/>
    <mergeCell ref="X5:Y5"/>
    <mergeCell ref="X100:Y100"/>
    <mergeCell ref="H5:I5"/>
    <mergeCell ref="H4:I4"/>
    <mergeCell ref="H3:I3"/>
    <mergeCell ref="H100:I100"/>
    <mergeCell ref="P3:Q3"/>
    <mergeCell ref="P4:Q4"/>
    <mergeCell ref="P5:Q5"/>
    <mergeCell ref="P100:Q100"/>
  </mergeCells>
  <conditionalFormatting sqref="AC17:AC47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{B6AD5508-347B-44A7-97A5-2C2BECA3C2FC}</x14:id>
        </ext>
      </extLst>
    </cfRule>
  </conditionalFormatting>
  <pageMargins left="0.7" right="0.7" top="0.75" bottom="0.75" header="0.3" footer="0.3"/>
  <drawing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6AD5508-347B-44A7-97A5-2C2BECA3C2FC}">
            <x14:dataBar minLength="0" maxLength="100" negativeBarColorSameAsPositive="1" axisPosition="none">
              <x14:cfvo type="min"/>
              <x14:cfvo type="max"/>
            </x14:dataBar>
          </x14:cfRule>
          <xm:sqref>AC17:AC47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">
    <tabColor rgb="FF66FF99"/>
    <pageSetUpPr fitToPage="1"/>
  </sheetPr>
  <dimension ref="A1:AD129"/>
  <sheetViews>
    <sheetView workbookViewId="0"/>
  </sheetViews>
  <sheetFormatPr baseColWidth="10" defaultColWidth="9.140625" defaultRowHeight="12.75"/>
  <cols>
    <col min="1" max="1" width="39.140625" bestFit="1" customWidth="1"/>
    <col min="2" max="2" width="14.5703125" customWidth="1"/>
    <col min="3" max="3" width="8" style="230" customWidth="1"/>
    <col min="4" max="4" width="10.42578125" customWidth="1"/>
    <col min="5" max="5" width="10.42578125" style="230" customWidth="1"/>
    <col min="6" max="6" width="11.42578125" customWidth="1"/>
    <col min="7" max="7" width="7.42578125" style="230" customWidth="1"/>
    <col min="8" max="8" width="12.42578125" customWidth="1"/>
    <col min="9" max="9" width="7.85546875" customWidth="1"/>
    <col min="10" max="10" width="12.42578125" customWidth="1"/>
    <col min="11" max="11" width="6.140625" customWidth="1"/>
    <col min="12" max="12" width="11" customWidth="1"/>
    <col min="13" max="13" width="6.85546875" customWidth="1"/>
    <col min="14" max="14" width="12.42578125" customWidth="1"/>
    <col min="15" max="15" width="6.42578125" customWidth="1"/>
    <col min="16" max="16" width="12.140625" customWidth="1"/>
    <col min="17" max="17" width="6.140625" customWidth="1"/>
    <col min="18" max="18" width="11.42578125" customWidth="1"/>
    <col min="19" max="19" width="7.140625" customWidth="1"/>
    <col min="20" max="20" width="13" customWidth="1"/>
    <col min="21" max="21" width="7.140625" customWidth="1"/>
    <col min="22" max="22" width="11" customWidth="1"/>
    <col min="23" max="23" width="6.85546875" customWidth="1"/>
    <col min="24" max="24" width="11.85546875" customWidth="1"/>
    <col min="25" max="25" width="7.42578125" customWidth="1"/>
    <col min="26" max="26" width="13.42578125" style="8" customWidth="1"/>
    <col min="27" max="27" width="8.140625" style="167" customWidth="1"/>
    <col min="28" max="28" width="11.42578125" style="96" bestFit="1" customWidth="1"/>
    <col min="29" max="29" width="9.140625" style="167"/>
    <col min="30" max="30" width="13.140625" bestFit="1" customWidth="1"/>
  </cols>
  <sheetData>
    <row r="1" spans="1:30" ht="15.75">
      <c r="A1" s="11" t="str">
        <f>'SPL 25 USD'!A1</f>
        <v>2025 Performance</v>
      </c>
      <c r="C1" s="494"/>
      <c r="E1" s="494"/>
      <c r="G1" s="494"/>
      <c r="L1" s="20"/>
      <c r="M1" s="20"/>
    </row>
    <row r="2" spans="1:30" s="4" customFormat="1" ht="15.75">
      <c r="A2" s="11" t="s">
        <v>372</v>
      </c>
      <c r="B2" s="1"/>
      <c r="C2" s="21"/>
      <c r="D2"/>
      <c r="E2" s="494"/>
      <c r="F2"/>
      <c r="G2" s="494"/>
      <c r="H2"/>
      <c r="I2"/>
      <c r="J2"/>
      <c r="K2"/>
      <c r="L2" s="14"/>
      <c r="M2" s="14"/>
      <c r="N2" s="14"/>
      <c r="O2" s="14"/>
      <c r="P2"/>
      <c r="Q2"/>
      <c r="R2"/>
      <c r="S2"/>
      <c r="T2"/>
      <c r="U2"/>
      <c r="V2"/>
      <c r="W2"/>
      <c r="X2"/>
      <c r="Y2"/>
      <c r="Z2" s="8"/>
      <c r="AA2" s="239"/>
      <c r="AB2" s="97"/>
      <c r="AC2" s="239"/>
    </row>
    <row r="3" spans="1:30" ht="15.75">
      <c r="A3" s="18" t="s">
        <v>373</v>
      </c>
      <c r="B3" s="60">
        <f>'FX Rates'!B3</f>
        <v>1</v>
      </c>
      <c r="C3" s="235"/>
      <c r="D3" s="60">
        <f>'FX Rates'!C3</f>
        <v>1</v>
      </c>
      <c r="E3" s="235"/>
      <c r="F3" s="60">
        <f>'FX Rates'!D3</f>
        <v>1</v>
      </c>
      <c r="G3" s="235"/>
      <c r="H3" s="60">
        <f>'FX Rates'!E3</f>
        <v>1</v>
      </c>
      <c r="I3" s="60"/>
      <c r="J3" s="60">
        <f>'FX Rates'!F3</f>
        <v>1</v>
      </c>
      <c r="K3" s="60"/>
      <c r="L3" s="60">
        <f>'FX Rates'!G3</f>
        <v>1</v>
      </c>
      <c r="M3" s="60"/>
      <c r="N3" s="60">
        <f>'FX Rates'!H3</f>
        <v>1</v>
      </c>
      <c r="O3" s="60"/>
      <c r="P3" s="60">
        <f>'FX Rates'!I3</f>
        <v>1</v>
      </c>
      <c r="Q3" s="60"/>
      <c r="R3" s="60">
        <f>'FX Rates'!J3</f>
        <v>1</v>
      </c>
      <c r="S3" s="60"/>
      <c r="T3" s="60">
        <f>'FX Rates'!K3</f>
        <v>1</v>
      </c>
      <c r="U3" s="60"/>
      <c r="V3" s="60">
        <f>'FX Rates'!L3</f>
        <v>1</v>
      </c>
      <c r="W3" s="60"/>
      <c r="X3" s="60">
        <f>'FX Rates'!M3</f>
        <v>1</v>
      </c>
      <c r="Y3" s="60"/>
      <c r="Z3" s="9"/>
    </row>
    <row r="4" spans="1:30">
      <c r="B4" s="21">
        <f>'SPL 25 USD'!B4</f>
        <v>2025</v>
      </c>
      <c r="C4" s="21"/>
      <c r="D4" s="21">
        <f>B4</f>
        <v>2025</v>
      </c>
      <c r="E4" s="21"/>
      <c r="F4" s="21">
        <f>D4</f>
        <v>2025</v>
      </c>
      <c r="G4" s="21"/>
      <c r="H4" s="21">
        <f>F4</f>
        <v>2025</v>
      </c>
      <c r="I4" s="21"/>
      <c r="J4" s="21">
        <f>H4</f>
        <v>2025</v>
      </c>
      <c r="K4" s="21"/>
      <c r="L4" s="21">
        <f>J4</f>
        <v>2025</v>
      </c>
      <c r="M4" s="21"/>
      <c r="N4" s="21">
        <f>L4</f>
        <v>2025</v>
      </c>
      <c r="O4" s="21"/>
      <c r="P4" s="21">
        <f>N4</f>
        <v>2025</v>
      </c>
      <c r="Q4" s="21"/>
      <c r="R4" s="21">
        <f>P4</f>
        <v>2025</v>
      </c>
      <c r="S4" s="21"/>
      <c r="T4" s="21">
        <f>R4</f>
        <v>2025</v>
      </c>
      <c r="U4" s="21"/>
      <c r="V4" s="21">
        <f>T4</f>
        <v>2025</v>
      </c>
      <c r="W4" s="21"/>
      <c r="X4" s="21">
        <f>V4</f>
        <v>2025</v>
      </c>
      <c r="Y4" s="21"/>
      <c r="Z4" s="21">
        <f>X4</f>
        <v>2025</v>
      </c>
      <c r="AA4" s="240"/>
      <c r="AB4" s="927" t="str">
        <f>'SPL 25 USD'!AC4</f>
        <v>2024YTD</v>
      </c>
    </row>
    <row r="5" spans="1:30" ht="15.75">
      <c r="A5" s="18" t="s">
        <v>2</v>
      </c>
      <c r="B5" s="21" t="s">
        <v>3</v>
      </c>
      <c r="C5" s="21"/>
      <c r="D5" s="21" t="s">
        <v>4</v>
      </c>
      <c r="E5" s="21"/>
      <c r="F5" s="21" t="s">
        <v>5</v>
      </c>
      <c r="G5" s="21"/>
      <c r="H5" s="21" t="s">
        <v>6</v>
      </c>
      <c r="I5" s="21"/>
      <c r="J5" s="21" t="s">
        <v>7</v>
      </c>
      <c r="K5" s="21"/>
      <c r="L5" s="21" t="s">
        <v>8</v>
      </c>
      <c r="M5" s="21"/>
      <c r="N5" s="21" t="s">
        <v>9</v>
      </c>
      <c r="O5" s="21"/>
      <c r="P5" s="21" t="s">
        <v>10</v>
      </c>
      <c r="Q5" s="21"/>
      <c r="R5" s="21" t="s">
        <v>11</v>
      </c>
      <c r="S5" s="21"/>
      <c r="T5" s="21" t="s">
        <v>12</v>
      </c>
      <c r="U5" s="21"/>
      <c r="V5" s="21" t="s">
        <v>13</v>
      </c>
      <c r="W5" s="21"/>
      <c r="X5" s="21" t="s">
        <v>14</v>
      </c>
      <c r="Y5" s="21"/>
      <c r="Z5" s="21" t="s">
        <v>51</v>
      </c>
      <c r="AB5" s="102" t="s">
        <v>52</v>
      </c>
    </row>
    <row r="6" spans="1:30">
      <c r="A6" s="6" t="s">
        <v>376</v>
      </c>
      <c r="C6" s="494"/>
      <c r="E6" s="494"/>
      <c r="G6" s="494"/>
      <c r="AB6" s="104"/>
    </row>
    <row r="7" spans="1:30">
      <c r="A7" s="757" t="s">
        <v>669</v>
      </c>
      <c r="B7" s="14">
        <f ca="1">IF(B$3=0,'DPL25 MLS'!B7,'DPL25 MLS'!B7/B$3)</f>
        <v>2728</v>
      </c>
      <c r="C7" s="903">
        <f ca="1">+B7/$B$13</f>
        <v>1</v>
      </c>
      <c r="D7" s="14">
        <f ca="1">IF(D$3=0,'DPL25 MLS'!D7,'DPL25 MLS'!D7/D$3)</f>
        <v>2728</v>
      </c>
      <c r="E7" s="903">
        <f ca="1">IFERROR(D7/D13,0)</f>
        <v>1</v>
      </c>
      <c r="F7" s="14">
        <f ca="1">IF(F$3=0,'DPL25 MLS'!F7,'DPL25 MLS'!F7/F$3)</f>
        <v>2728</v>
      </c>
      <c r="G7" s="957">
        <f ca="1">IFERROR(F7/F13,0)</f>
        <v>1</v>
      </c>
      <c r="H7" s="14">
        <f ca="1">IF(H$3=0,'DPL25 MLS'!H7,'DPL25 MLS'!H7/H$3)</f>
        <v>2728</v>
      </c>
      <c r="I7" s="903">
        <f ca="1">IFERROR(H7/H13,0)</f>
        <v>1</v>
      </c>
      <c r="J7" s="14" t="e">
        <f>IF(J$3=0,'DPL25 MLS'!J7,'DPL25 MLS'!J7/J$3)</f>
        <v>#REF!</v>
      </c>
      <c r="K7" s="903">
        <f>IFERROR(J7/J13,0)</f>
        <v>0</v>
      </c>
      <c r="L7" s="14" t="e">
        <f>IF(L$3=0,'DPL25 MLS'!L7,'DPL25 MLS'!L7/L$3)</f>
        <v>#REF!</v>
      </c>
      <c r="M7" s="903">
        <f>IFERROR(L7/L13,0)</f>
        <v>0</v>
      </c>
      <c r="N7" s="14" t="e">
        <f>IF(N$3=0,'DPL25 MLS'!N7,'DPL25 MLS'!N7/N$3)</f>
        <v>#REF!</v>
      </c>
      <c r="O7" s="903">
        <f>IFERROR(N7/N13,0)</f>
        <v>0</v>
      </c>
      <c r="P7" s="14" t="e">
        <f>IF(P$3=0,'DPL25 MLS'!P7,'DPL25 MLS'!P7/P$3)</f>
        <v>#REF!</v>
      </c>
      <c r="Q7" s="903">
        <f>IFERROR(P7/P13,0)</f>
        <v>0</v>
      </c>
      <c r="R7" s="14" t="e">
        <f>IF(R$3=0,'DPL25 MLS'!R7,'DPL25 MLS'!R7/R$3)</f>
        <v>#REF!</v>
      </c>
      <c r="S7" s="903">
        <f>IFERROR(R7/R13,0)</f>
        <v>0</v>
      </c>
      <c r="T7" s="14" t="e">
        <f>IF(T$3=0,'DPL25 MLS'!T7,'DPL25 MLS'!T7/T$3)</f>
        <v>#REF!</v>
      </c>
      <c r="U7" s="903">
        <f>IFERROR(T7/T13,0)</f>
        <v>0</v>
      </c>
      <c r="V7" s="14" t="e">
        <f>IF(V$3=0,'DPL25 MLS'!V7,'DPL25 MLS'!V7/V$3)</f>
        <v>#REF!</v>
      </c>
      <c r="W7" s="903">
        <f>IFERROR(V7/V13,0)</f>
        <v>0</v>
      </c>
      <c r="X7" s="14" t="e">
        <f>IF(X$3=0,'DPL25 MLS'!X7,'DPL25 MLS'!X7/X$3)</f>
        <v>#REF!</v>
      </c>
      <c r="Y7" s="903">
        <f>IFERROR(X7/X13,0)</f>
        <v>0</v>
      </c>
      <c r="Z7" s="15" t="e">
        <f t="shared" ref="Z7:Z12" ca="1" si="0">+B7+D7+F7+H7+J7+L7+N7+P7+R7+T7+V7+X7</f>
        <v>#REF!</v>
      </c>
      <c r="AA7" s="241" t="e">
        <f ca="1">+Z7/$Z$13</f>
        <v>#REF!</v>
      </c>
      <c r="AB7" s="104">
        <f>SUM('MLS24-Budget'!B7:$B7)</f>
        <v>1137014</v>
      </c>
      <c r="AC7" s="241">
        <f>+AB7/$AB$13</f>
        <v>1</v>
      </c>
    </row>
    <row r="8" spans="1:30">
      <c r="A8" s="757" t="s">
        <v>377</v>
      </c>
      <c r="B8" s="14">
        <f>IF(B$3=0,'DPL25 MLS'!B8,'DPL25 MLS'!B8/B$3)</f>
        <v>0</v>
      </c>
      <c r="C8" s="902"/>
      <c r="D8" s="14">
        <f>IF(D$3=0,'DPL25 MLS'!D8,'DPL25 MLS'!D8/D$3)</f>
        <v>0</v>
      </c>
      <c r="E8" s="902"/>
      <c r="F8" s="14">
        <f>IF(F$3=0,'DPL25 MLS'!F8,'DPL25 MLS'!F8/F$3)</f>
        <v>0</v>
      </c>
      <c r="G8" s="902"/>
      <c r="H8" s="14">
        <f>IF(H$3=0,'DPL25 MLS'!H8,'DPL25 MLS'!H8/H$3)</f>
        <v>0</v>
      </c>
      <c r="I8" s="902"/>
      <c r="J8" s="14">
        <f>IF(J$3=0,'DPL25 MLS'!J8,'DPL25 MLS'!J8/J$3)</f>
        <v>0</v>
      </c>
      <c r="K8" s="902"/>
      <c r="L8" s="14">
        <f>IF(L$3=0,'DPL25 MLS'!L8,'DPL25 MLS'!L8/L$3)</f>
        <v>0</v>
      </c>
      <c r="M8" s="902"/>
      <c r="N8" s="14">
        <f>IF(N$3=0,'DPL25 MLS'!N8,'DPL25 MLS'!N8/N$3)</f>
        <v>0</v>
      </c>
      <c r="O8" s="902"/>
      <c r="P8" s="14">
        <f>IF(P$3=0,'DPL25 MLS'!P8,'DPL25 MLS'!P8/P$3)</f>
        <v>0</v>
      </c>
      <c r="Q8" s="902"/>
      <c r="R8" s="14">
        <f>IF(R$3=0,'DPL25 MLS'!R8,'DPL25 MLS'!R8/R$3)</f>
        <v>0</v>
      </c>
      <c r="S8" s="902"/>
      <c r="T8" s="14">
        <f>IF(T$3=0,'DPL25 MLS'!T8,'DPL25 MLS'!T8/T$3)</f>
        <v>0</v>
      </c>
      <c r="U8" s="902"/>
      <c r="V8" s="14">
        <f>IF(V$3=0,'DPL25 MLS'!V8,'DPL25 MLS'!V8/V$3)</f>
        <v>0</v>
      </c>
      <c r="W8" s="902"/>
      <c r="X8" s="14">
        <f>IF(X$3=0,'DPL25 MLS'!X8,'DPL25 MLS'!X8/X$3)</f>
        <v>0</v>
      </c>
      <c r="Y8" s="902"/>
      <c r="Z8" s="15">
        <f t="shared" si="0"/>
        <v>0</v>
      </c>
      <c r="AB8" s="104">
        <f>SUM('MLS24-Budget'!B8:$B8)</f>
        <v>0</v>
      </c>
    </row>
    <row r="9" spans="1:30">
      <c r="A9" s="757" t="s">
        <v>378</v>
      </c>
      <c r="B9" s="14">
        <f>IF(B$3=0,'DPL25 MLS'!B9,'DPL25 MLS'!B9/B$3)</f>
        <v>0</v>
      </c>
      <c r="C9" s="903">
        <f ca="1">+B9/$B$13</f>
        <v>0</v>
      </c>
      <c r="D9" s="14">
        <f>IF(D$3=0,'DPL25 MLS'!D9,'DPL25 MLS'!D9/D$3)</f>
        <v>0</v>
      </c>
      <c r="E9" s="902"/>
      <c r="F9" s="14">
        <f>IF(F$3=0,'DPL25 MLS'!F9,'DPL25 MLS'!F9/F$3)</f>
        <v>0</v>
      </c>
      <c r="G9" s="902"/>
      <c r="H9" s="14">
        <f>IF(H$3=0,'DPL25 MLS'!H9,'DPL25 MLS'!H9/H$3)</f>
        <v>0</v>
      </c>
      <c r="I9" s="902"/>
      <c r="J9" s="14">
        <f>IF(J$3=0,'DPL25 MLS'!J9,'DPL25 MLS'!J9/J$3)</f>
        <v>0</v>
      </c>
      <c r="K9" s="902"/>
      <c r="L9" s="14">
        <f>IF(L$3=0,'DPL25 MLS'!L9,'DPL25 MLS'!L9/L$3)</f>
        <v>0</v>
      </c>
      <c r="M9" s="902"/>
      <c r="N9" s="14">
        <f>IF(N$3=0,'DPL25 MLS'!N9,'DPL25 MLS'!N9/N$3)</f>
        <v>0</v>
      </c>
      <c r="O9" s="902"/>
      <c r="P9" s="14">
        <f>IF(P$3=0,'DPL25 MLS'!P9,'DPL25 MLS'!P9/P$3)</f>
        <v>0</v>
      </c>
      <c r="Q9" s="902"/>
      <c r="R9" s="14">
        <f>IF(R$3=0,'DPL25 MLS'!R9,'DPL25 MLS'!R9/R$3)</f>
        <v>0</v>
      </c>
      <c r="S9" s="902"/>
      <c r="T9" s="14">
        <f>IF(T$3=0,'DPL25 MLS'!T9,'DPL25 MLS'!T9/T$3)</f>
        <v>0</v>
      </c>
      <c r="U9" s="902"/>
      <c r="V9" s="14">
        <f>IF(V$3=0,'DPL25 MLS'!V9,'DPL25 MLS'!V9/V$3)</f>
        <v>0</v>
      </c>
      <c r="W9" s="902"/>
      <c r="X9" s="14">
        <f>IF(X$3=0,'DPL25 MLS'!X9,'DPL25 MLS'!X9/X$3)</f>
        <v>0</v>
      </c>
      <c r="Y9" s="902"/>
      <c r="Z9" s="15">
        <f t="shared" si="0"/>
        <v>0</v>
      </c>
      <c r="AA9" s="242" t="e">
        <f ca="1">+Z9/$Z$13</f>
        <v>#REF!</v>
      </c>
      <c r="AB9" s="104">
        <f>SUM('MLS24-Budget'!B9:$B9)</f>
        <v>0</v>
      </c>
      <c r="AC9" s="242">
        <f>+AB9/$AB$13</f>
        <v>0</v>
      </c>
    </row>
    <row r="10" spans="1:30">
      <c r="A10" s="757" t="s">
        <v>379</v>
      </c>
      <c r="B10" s="14">
        <f>IF(B$3=0,'DPL25 MLS'!B10,'DPL25 MLS'!B10/B$3)</f>
        <v>0</v>
      </c>
      <c r="C10" s="902"/>
      <c r="D10" s="14">
        <f>IF(D$3=0,'DPL25 MLS'!D10,'DPL25 MLS'!D10/D$3)</f>
        <v>0</v>
      </c>
      <c r="E10" s="902"/>
      <c r="F10" s="14">
        <f>IF(F$3=0,'DPL25 MLS'!F10,'DPL25 MLS'!F10/F$3)</f>
        <v>0</v>
      </c>
      <c r="G10" s="902"/>
      <c r="H10" s="14">
        <f>IF(H$3=0,'DPL25 MLS'!H10,'DPL25 MLS'!H10/H$3)</f>
        <v>0</v>
      </c>
      <c r="I10" s="902"/>
      <c r="J10" s="14">
        <f>IF(J$3=0,'DPL25 MLS'!J10,'DPL25 MLS'!J10/J$3)</f>
        <v>0</v>
      </c>
      <c r="K10" s="902"/>
      <c r="L10" s="14">
        <f>IF(L$3=0,'DPL25 MLS'!L10,'DPL25 MLS'!L10/L$3)</f>
        <v>0</v>
      </c>
      <c r="M10" s="902"/>
      <c r="N10" s="14">
        <f>IF(N$3=0,'DPL25 MLS'!N10,'DPL25 MLS'!N10/N$3)</f>
        <v>0</v>
      </c>
      <c r="O10" s="902"/>
      <c r="P10" s="14">
        <f>IF(P$3=0,'DPL25 MLS'!P10,'DPL25 MLS'!P10/P$3)</f>
        <v>0</v>
      </c>
      <c r="Q10" s="902"/>
      <c r="R10" s="14">
        <f>IF(R$3=0,'DPL25 MLS'!R10,'DPL25 MLS'!R10/R$3)</f>
        <v>0</v>
      </c>
      <c r="S10" s="902"/>
      <c r="T10" s="14">
        <f>IF(T$3=0,'DPL25 MLS'!T10,'DPL25 MLS'!T10/T$3)</f>
        <v>0</v>
      </c>
      <c r="U10" s="902"/>
      <c r="V10" s="14">
        <f>IF(V$3=0,'DPL25 MLS'!V10,'DPL25 MLS'!V10/V$3)</f>
        <v>0</v>
      </c>
      <c r="W10" s="902"/>
      <c r="X10" s="14">
        <f>IF(X$3=0,'DPL25 MLS'!X10,'DPL25 MLS'!X10/X$3)</f>
        <v>0</v>
      </c>
      <c r="Y10" s="902"/>
      <c r="Z10" s="15">
        <f t="shared" si="0"/>
        <v>0</v>
      </c>
      <c r="AB10" s="104">
        <f>SUM('MLS24-Budget'!B10:$B10)</f>
        <v>0</v>
      </c>
    </row>
    <row r="11" spans="1:30" s="35" customFormat="1">
      <c r="A11" s="32" t="s">
        <v>380</v>
      </c>
      <c r="B11" s="14">
        <f>IF(B$3=0,'DPL25 MLS'!B11,'DPL25 MLS'!B11/B$3)</f>
        <v>0</v>
      </c>
      <c r="C11" s="902"/>
      <c r="D11" s="14">
        <f>IF(D$3=0,'DPL25 MLS'!D11,'DPL25 MLS'!D11/D$3)</f>
        <v>0</v>
      </c>
      <c r="E11" s="902"/>
      <c r="F11" s="14">
        <f>IF(F$3=0,'DPL25 MLS'!F11,'DPL25 MLS'!F11/F$3)</f>
        <v>0</v>
      </c>
      <c r="G11" s="902"/>
      <c r="H11" s="14">
        <f>IF(H$3=0,'DPL25 MLS'!H11,'DPL25 MLS'!H11/H$3)</f>
        <v>0</v>
      </c>
      <c r="I11" s="902"/>
      <c r="J11" s="14">
        <f>IF(J$3=0,'DPL25 MLS'!J11,'DPL25 MLS'!J11/J$3)</f>
        <v>0</v>
      </c>
      <c r="K11" s="902"/>
      <c r="L11" s="14">
        <f>IF(L$3=0,'DPL25 MLS'!L11,'DPL25 MLS'!L11/L$3)</f>
        <v>0</v>
      </c>
      <c r="M11" s="902"/>
      <c r="N11" s="14">
        <f>IF(N$3=0,'DPL25 MLS'!N11,'DPL25 MLS'!N11/N$3)</f>
        <v>0</v>
      </c>
      <c r="O11" s="902"/>
      <c r="P11" s="14">
        <f>IF(P$3=0,'DPL25 MLS'!P11,'DPL25 MLS'!P11/P$3)</f>
        <v>0</v>
      </c>
      <c r="Q11" s="902"/>
      <c r="R11" s="14">
        <f>IF(R$3=0,'DPL25 MLS'!R11,'DPL25 MLS'!R11/R$3)</f>
        <v>0</v>
      </c>
      <c r="S11" s="902"/>
      <c r="T11" s="14">
        <f>IF(T$3=0,'DPL25 MLS'!T11,'DPL25 MLS'!T11/T$3)</f>
        <v>0</v>
      </c>
      <c r="U11" s="902"/>
      <c r="V11" s="14">
        <f>IF(V$3=0,'DPL25 MLS'!V11,'DPL25 MLS'!V11/V$3)</f>
        <v>0</v>
      </c>
      <c r="W11" s="902"/>
      <c r="X11" s="14">
        <f>IF(X$3=0,'DPL25 MLS'!X11,'DPL25 MLS'!X11/X$3)</f>
        <v>0</v>
      </c>
      <c r="Y11" s="902"/>
      <c r="Z11" s="15">
        <f t="shared" si="0"/>
        <v>0</v>
      </c>
      <c r="AA11" s="243"/>
      <c r="AB11" s="104">
        <f>SUM('MLS24-Budget'!B11:$B11)</f>
        <v>0</v>
      </c>
      <c r="AC11" s="243"/>
    </row>
    <row r="12" spans="1:30">
      <c r="A12" s="757" t="s">
        <v>59</v>
      </c>
      <c r="B12" s="20"/>
      <c r="C12" s="902"/>
      <c r="D12" s="20"/>
      <c r="E12" s="902"/>
      <c r="F12" s="20"/>
      <c r="G12" s="902"/>
      <c r="H12" s="20"/>
      <c r="I12" s="902"/>
      <c r="J12" s="20"/>
      <c r="K12" s="902"/>
      <c r="L12" s="20"/>
      <c r="M12" s="902"/>
      <c r="N12" s="20"/>
      <c r="O12" s="902"/>
      <c r="P12" s="20"/>
      <c r="Q12" s="902"/>
      <c r="R12" s="20"/>
      <c r="S12" s="902"/>
      <c r="T12" s="20"/>
      <c r="U12" s="902"/>
      <c r="V12" s="20"/>
      <c r="W12" s="902"/>
      <c r="X12" s="20"/>
      <c r="Y12" s="902"/>
      <c r="Z12" s="15">
        <f t="shared" si="0"/>
        <v>0</v>
      </c>
      <c r="AB12" s="104">
        <f>SUM('MLS24-Budget'!B12:$B12)</f>
        <v>0</v>
      </c>
    </row>
    <row r="13" spans="1:30" s="1" customFormat="1" ht="13.5" thickBot="1">
      <c r="A13" s="6" t="s">
        <v>381</v>
      </c>
      <c r="B13" s="40">
        <f ca="1">SUM(B7:B12)</f>
        <v>2728</v>
      </c>
      <c r="C13" s="903">
        <f ca="1">+B13/$B$13</f>
        <v>1</v>
      </c>
      <c r="D13" s="40">
        <f t="shared" ref="D13:Z13" ca="1" si="1">SUM(D7:D12)</f>
        <v>2728</v>
      </c>
      <c r="E13" s="903">
        <f ca="1">IFERROR(D13/D13,0)</f>
        <v>1</v>
      </c>
      <c r="F13" s="40">
        <f t="shared" ca="1" si="1"/>
        <v>2728</v>
      </c>
      <c r="G13" s="903">
        <f ca="1">IFERROR(F13/F13,0)</f>
        <v>1</v>
      </c>
      <c r="H13" s="40">
        <f t="shared" ca="1" si="1"/>
        <v>2728</v>
      </c>
      <c r="I13" s="903">
        <f ca="1">IFERROR(H13/H13,0)</f>
        <v>1</v>
      </c>
      <c r="J13" s="40" t="e">
        <f t="shared" si="1"/>
        <v>#REF!</v>
      </c>
      <c r="K13" s="903">
        <f>IFERROR(J13/J13,0)</f>
        <v>0</v>
      </c>
      <c r="L13" s="40" t="e">
        <f t="shared" si="1"/>
        <v>#REF!</v>
      </c>
      <c r="M13" s="903">
        <f>IFERROR(L13/L13,0)</f>
        <v>0</v>
      </c>
      <c r="N13" s="40" t="e">
        <f t="shared" si="1"/>
        <v>#REF!</v>
      </c>
      <c r="O13" s="903">
        <f>IFERROR(N13/N13,0)</f>
        <v>0</v>
      </c>
      <c r="P13" s="40" t="e">
        <f t="shared" si="1"/>
        <v>#REF!</v>
      </c>
      <c r="Q13" s="903">
        <f>IFERROR(P13/P13,0)</f>
        <v>0</v>
      </c>
      <c r="R13" s="40" t="e">
        <f t="shared" si="1"/>
        <v>#REF!</v>
      </c>
      <c r="S13" s="903">
        <f>IFERROR(R13/R13,0)</f>
        <v>0</v>
      </c>
      <c r="T13" s="40" t="e">
        <f t="shared" si="1"/>
        <v>#REF!</v>
      </c>
      <c r="U13" s="903">
        <f>IFERROR(T13/T13,0)</f>
        <v>0</v>
      </c>
      <c r="V13" s="40" t="e">
        <f t="shared" si="1"/>
        <v>#REF!</v>
      </c>
      <c r="W13" s="903">
        <f>IFERROR(V13/V13,0)</f>
        <v>0</v>
      </c>
      <c r="X13" s="40" t="e">
        <f t="shared" si="1"/>
        <v>#REF!</v>
      </c>
      <c r="Y13" s="903">
        <f>IFERROR(X13/X13,0)</f>
        <v>0</v>
      </c>
      <c r="Z13" s="40" t="e">
        <f t="shared" ca="1" si="1"/>
        <v>#REF!</v>
      </c>
      <c r="AA13" s="241" t="e">
        <f ca="1">+Z13/$Z$13</f>
        <v>#REF!</v>
      </c>
      <c r="AB13" s="107">
        <f>SUM('MLS24-Budget'!B13:$B13)</f>
        <v>1137014</v>
      </c>
      <c r="AC13" s="242">
        <f>+AB13/$AB$13</f>
        <v>1</v>
      </c>
      <c r="AD13" s="166"/>
    </row>
    <row r="14" spans="1:30" ht="13.5" thickTop="1">
      <c r="A14" s="757"/>
      <c r="B14" s="20"/>
      <c r="C14" s="902"/>
      <c r="D14" s="20"/>
      <c r="E14" s="902"/>
      <c r="F14" s="20"/>
      <c r="G14" s="902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15"/>
      <c r="AB14" s="104"/>
      <c r="AD14" s="149"/>
    </row>
    <row r="15" spans="1:30">
      <c r="A15" s="6" t="s">
        <v>382</v>
      </c>
      <c r="B15" s="20"/>
      <c r="C15" s="902"/>
      <c r="D15" s="20"/>
      <c r="E15" s="902"/>
      <c r="F15" s="20"/>
      <c r="G15" s="902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15"/>
      <c r="AB15" s="104"/>
    </row>
    <row r="16" spans="1:30">
      <c r="A16" s="757" t="s">
        <v>266</v>
      </c>
      <c r="B16" s="14">
        <f>IF(B$3=0,'DPL25 MLS'!B16,'DPL25 MLS'!B16/B$3)</f>
        <v>0</v>
      </c>
      <c r="C16" s="958">
        <f ca="1">+B16/$B$13</f>
        <v>0</v>
      </c>
      <c r="D16" s="14">
        <f>IF(D$3=0,'DPL25 MLS'!D16,'DPL25 MLS'!D16/D$3)</f>
        <v>0</v>
      </c>
      <c r="E16" s="958">
        <f ca="1">IFERROR(D16/$D$13,0)</f>
        <v>0</v>
      </c>
      <c r="F16" s="14">
        <f>IF(F$3=0,'DPL25 MLS'!F16,'DPL25 MLS'!F16/F$3)</f>
        <v>0</v>
      </c>
      <c r="G16" s="958">
        <f ca="1">IFERROR(F16/$F$13,0)</f>
        <v>0</v>
      </c>
      <c r="H16" s="14">
        <f>IF(H$3=0,'DPL25 MLS'!H16,'DPL25 MLS'!H16/H$3)</f>
        <v>0</v>
      </c>
      <c r="I16" s="903">
        <f ca="1">IFERROR(H16/$H$13,0)</f>
        <v>0</v>
      </c>
      <c r="J16" s="14">
        <f>IF(J$3=0,'DPL25 MLS'!J16,'DPL25 MLS'!J16/J$3)</f>
        <v>0</v>
      </c>
      <c r="K16" s="903">
        <f>IFERROR(J16/$J$13,0)</f>
        <v>0</v>
      </c>
      <c r="L16" s="14">
        <f>IF(L$3=0,'DPL25 MLS'!L16,'DPL25 MLS'!L16/L$3)</f>
        <v>0</v>
      </c>
      <c r="M16" s="903">
        <f>IFERROR(L16/$L$13,0)</f>
        <v>0</v>
      </c>
      <c r="N16" s="14">
        <f>IF(N$3=0,'DPL25 MLS'!N16,'DPL25 MLS'!N16/N$3)</f>
        <v>0</v>
      </c>
      <c r="O16" s="959">
        <f>IFERROR(N16/$N$13,0)</f>
        <v>0</v>
      </c>
      <c r="P16" s="14">
        <f>IF(P$3=0,'DPL25 MLS'!P16,'DPL25 MLS'!P16/P$3)</f>
        <v>0</v>
      </c>
      <c r="Q16" s="959">
        <f>IFERROR(P16/$P$13,0)</f>
        <v>0</v>
      </c>
      <c r="R16" s="14">
        <f>IF(R$3=0,'DPL25 MLS'!R16,'DPL25 MLS'!R16/R$3)</f>
        <v>0</v>
      </c>
      <c r="S16" s="959">
        <f>IFERROR(R16/$R$13,0)</f>
        <v>0</v>
      </c>
      <c r="T16" s="14">
        <f>IF(T$3=0,'DPL25 MLS'!T16,'DPL25 MLS'!T16/T$3)</f>
        <v>0</v>
      </c>
      <c r="U16" s="959">
        <f>IFERROR(T16/$T$13,0)</f>
        <v>0</v>
      </c>
      <c r="V16" s="14">
        <f>IF(V$3=0,'DPL25 MLS'!V16,'DPL25 MLS'!V16/V$3)</f>
        <v>0</v>
      </c>
      <c r="W16" s="959">
        <f>IFERROR(V16/$V$13,0)</f>
        <v>0</v>
      </c>
      <c r="X16" s="14">
        <f>IF(X$3=0,'DPL25 MLS'!X16,'DPL25 MLS'!X16/X$3)</f>
        <v>0</v>
      </c>
      <c r="Y16" s="959">
        <f>IFERROR(X16/$X$13,0)</f>
        <v>0</v>
      </c>
      <c r="Z16" s="15">
        <f t="shared" ref="Z16:Z47" si="2">+B16+D16+F16+H16+J16+L16+N16+P16+R16+T16+V16+X16</f>
        <v>0</v>
      </c>
      <c r="AA16" s="242" t="e">
        <f t="shared" ref="AA16:AA49" ca="1" si="3">+Z16/$Z$13</f>
        <v>#REF!</v>
      </c>
      <c r="AB16" s="104">
        <f>SUM('MLS24-Budget'!B16:$B16)</f>
        <v>162958</v>
      </c>
      <c r="AC16" s="242">
        <f t="shared" ref="AC16:AC49" si="4">+AB16/$AB$13</f>
        <v>0.14330000000000001</v>
      </c>
    </row>
    <row r="17" spans="1:29">
      <c r="A17" s="757" t="s">
        <v>268</v>
      </c>
      <c r="B17" s="14">
        <f>IF(B$3=0,'DPL25 MLS'!B17,'DPL25 MLS'!B17/B$3)</f>
        <v>0</v>
      </c>
      <c r="C17" s="958">
        <f t="shared" ref="C17:C49" ca="1" si="5">+B17/$B$13</f>
        <v>0</v>
      </c>
      <c r="D17" s="14">
        <f>IF(D$3=0,'DPL25 MLS'!D17,'DPL25 MLS'!D17/D$3)</f>
        <v>0</v>
      </c>
      <c r="E17" s="958">
        <f t="shared" ref="E17:E49" ca="1" si="6">IFERROR(D17/$D$13,0)</f>
        <v>0</v>
      </c>
      <c r="F17" s="14">
        <f>IF(F$3=0,'DPL25 MLS'!F17,'DPL25 MLS'!F17/F$3)</f>
        <v>0</v>
      </c>
      <c r="G17" s="958">
        <f t="shared" ref="G17:G49" ca="1" si="7">IFERROR(F17/$F$13,0)</f>
        <v>0</v>
      </c>
      <c r="H17" s="14">
        <f>IF(H$3=0,'DPL25 MLS'!H17,'DPL25 MLS'!H17/H$3)</f>
        <v>0</v>
      </c>
      <c r="I17" s="903">
        <f t="shared" ref="I17:I49" ca="1" si="8">IFERROR(H17/$H$13,0)</f>
        <v>0</v>
      </c>
      <c r="J17" s="14">
        <f>IF(J$3=0,'DPL25 MLS'!J17,'DPL25 MLS'!J17/J$3)</f>
        <v>0</v>
      </c>
      <c r="K17" s="903">
        <f t="shared" ref="K17:K49" si="9">IFERROR(J17/$J$13,0)</f>
        <v>0</v>
      </c>
      <c r="L17" s="14">
        <f>IF(L$3=0,'DPL25 MLS'!L17,'DPL25 MLS'!L17/L$3)</f>
        <v>0</v>
      </c>
      <c r="M17" s="903">
        <f t="shared" ref="M17:M49" si="10">IFERROR(L17/$L$13,0)</f>
        <v>0</v>
      </c>
      <c r="N17" s="14">
        <f>IF(N$3=0,'DPL25 MLS'!N17,'DPL25 MLS'!N17/N$3)</f>
        <v>0</v>
      </c>
      <c r="O17" s="959">
        <f t="shared" ref="O17:O55" si="11">IFERROR(N17/$N$13,0)</f>
        <v>0</v>
      </c>
      <c r="P17" s="14">
        <f>IF(P$3=0,'DPL25 MLS'!P17,'DPL25 MLS'!P17/P$3)</f>
        <v>0</v>
      </c>
      <c r="Q17" s="959">
        <f t="shared" ref="Q17:Q55" si="12">IFERROR(P17/$P$13,0)</f>
        <v>0</v>
      </c>
      <c r="R17" s="14">
        <f>IF(R$3=0,'DPL25 MLS'!R17,'DPL25 MLS'!R17/R$3)</f>
        <v>0</v>
      </c>
      <c r="S17" s="959">
        <f t="shared" ref="S17:S55" si="13">IFERROR(R17/$R$13,0)</f>
        <v>0</v>
      </c>
      <c r="T17" s="14">
        <f>IF(T$3=0,'DPL25 MLS'!T17,'DPL25 MLS'!T17/T$3)</f>
        <v>0</v>
      </c>
      <c r="U17" s="959">
        <f t="shared" ref="U17:U49" si="14">IFERROR(T17/$T$13,0)</f>
        <v>0</v>
      </c>
      <c r="V17" s="14">
        <f>IF(V$3=0,'DPL25 MLS'!V17,'DPL25 MLS'!V17/V$3)</f>
        <v>0</v>
      </c>
      <c r="W17" s="959">
        <f t="shared" ref="W17:W55" si="15">IFERROR(V17/$V$13,0)</f>
        <v>0</v>
      </c>
      <c r="X17" s="14">
        <f>IF(X$3=0,'DPL25 MLS'!X17,'DPL25 MLS'!X17/X$3)</f>
        <v>0</v>
      </c>
      <c r="Y17" s="959">
        <f t="shared" ref="Y17:Y55" si="16">IFERROR(X17/$X$13,0)</f>
        <v>0</v>
      </c>
      <c r="Z17" s="15">
        <f t="shared" si="2"/>
        <v>0</v>
      </c>
      <c r="AA17" s="242" t="e">
        <f t="shared" ca="1" si="3"/>
        <v>#REF!</v>
      </c>
      <c r="AB17" s="104">
        <f>SUM('MLS24-Budget'!B17:$B17)</f>
        <v>111689</v>
      </c>
      <c r="AC17" s="242">
        <f t="shared" si="4"/>
        <v>9.8199999999999996E-2</v>
      </c>
    </row>
    <row r="18" spans="1:29">
      <c r="A18" s="933" t="s">
        <v>383</v>
      </c>
      <c r="B18" s="14">
        <f>IF(B$3=0,'DPL25 MLS'!B18,'DPL25 MLS'!B18/B$3)</f>
        <v>0</v>
      </c>
      <c r="C18" s="958">
        <f t="shared" ca="1" si="5"/>
        <v>0</v>
      </c>
      <c r="D18" s="14">
        <f>IF(D$3=0,'DPL25 MLS'!D18,'DPL25 MLS'!D18/D$3)</f>
        <v>0</v>
      </c>
      <c r="E18" s="958">
        <f t="shared" ca="1" si="6"/>
        <v>0</v>
      </c>
      <c r="F18" s="14">
        <f>IF(F$3=0,'DPL25 MLS'!F18,'DPL25 MLS'!F18/F$3)</f>
        <v>0</v>
      </c>
      <c r="G18" s="958">
        <f t="shared" ca="1" si="7"/>
        <v>0</v>
      </c>
      <c r="H18" s="14">
        <f>IF(H$3=0,'DPL25 MLS'!H18,'DPL25 MLS'!H18/H$3)</f>
        <v>0</v>
      </c>
      <c r="I18" s="903">
        <f t="shared" ca="1" si="8"/>
        <v>0</v>
      </c>
      <c r="J18" s="14">
        <f>IF(J$3=0,'DPL25 MLS'!J18,'DPL25 MLS'!J18/J$3)</f>
        <v>0</v>
      </c>
      <c r="K18" s="903">
        <f t="shared" si="9"/>
        <v>0</v>
      </c>
      <c r="L18" s="14">
        <f>IF(L$3=0,'DPL25 MLS'!L18,'DPL25 MLS'!L18/L$3)</f>
        <v>0</v>
      </c>
      <c r="M18" s="903">
        <f t="shared" si="10"/>
        <v>0</v>
      </c>
      <c r="N18" s="14">
        <f>IF(N$3=0,'DPL25 MLS'!N18,'DPL25 MLS'!N18/N$3)</f>
        <v>0</v>
      </c>
      <c r="O18" s="959">
        <f t="shared" si="11"/>
        <v>0</v>
      </c>
      <c r="P18" s="14">
        <f>IF(P$3=0,'DPL25 MLS'!P18,'DPL25 MLS'!P18/P$3)</f>
        <v>0</v>
      </c>
      <c r="Q18" s="959">
        <f t="shared" si="12"/>
        <v>0</v>
      </c>
      <c r="R18" s="14">
        <f>IF(R$3=0,'DPL25 MLS'!R18,'DPL25 MLS'!R18/R$3)</f>
        <v>0</v>
      </c>
      <c r="S18" s="959">
        <f t="shared" si="13"/>
        <v>0</v>
      </c>
      <c r="T18" s="14">
        <f>IF(T$3=0,'DPL25 MLS'!T18,'DPL25 MLS'!T18/T$3)</f>
        <v>0</v>
      </c>
      <c r="U18" s="959">
        <f t="shared" si="14"/>
        <v>0</v>
      </c>
      <c r="V18" s="14">
        <f>IF(V$3=0,'DPL25 MLS'!V18,'DPL25 MLS'!V18/V$3)</f>
        <v>0</v>
      </c>
      <c r="W18" s="959">
        <f t="shared" si="15"/>
        <v>0</v>
      </c>
      <c r="X18" s="14">
        <f>IF(X$3=0,'DPL25 MLS'!X18,'DPL25 MLS'!X18/X$3)</f>
        <v>0</v>
      </c>
      <c r="Y18" s="959">
        <f t="shared" si="16"/>
        <v>0</v>
      </c>
      <c r="Z18" s="15">
        <f t="shared" si="2"/>
        <v>0</v>
      </c>
      <c r="AA18" s="242" t="e">
        <f t="shared" ca="1" si="3"/>
        <v>#REF!</v>
      </c>
      <c r="AB18" s="104">
        <f>SUM('MLS24-Budget'!B18:$B18)</f>
        <v>0</v>
      </c>
      <c r="AC18" s="242">
        <f t="shared" si="4"/>
        <v>0</v>
      </c>
    </row>
    <row r="19" spans="1:29">
      <c r="A19" s="757" t="s">
        <v>269</v>
      </c>
      <c r="B19" s="14">
        <f>IF(B$3=0,'DPL25 MLS'!B19,'DPL25 MLS'!B19/B$3)</f>
        <v>0</v>
      </c>
      <c r="C19" s="958">
        <f t="shared" ca="1" si="5"/>
        <v>0</v>
      </c>
      <c r="D19" s="14">
        <f>IF(D$3=0,'DPL25 MLS'!D19,'DPL25 MLS'!D19/D$3)</f>
        <v>0</v>
      </c>
      <c r="E19" s="958">
        <f t="shared" ca="1" si="6"/>
        <v>0</v>
      </c>
      <c r="F19" s="14">
        <f>IF(F$3=0,'DPL25 MLS'!F19,'DPL25 MLS'!F19/F$3)</f>
        <v>0</v>
      </c>
      <c r="G19" s="958">
        <f t="shared" ca="1" si="7"/>
        <v>0</v>
      </c>
      <c r="H19" s="14">
        <f>IF(H$3=0,'DPL25 MLS'!H19,'DPL25 MLS'!H19/H$3)</f>
        <v>0</v>
      </c>
      <c r="I19" s="903">
        <f t="shared" ca="1" si="8"/>
        <v>0</v>
      </c>
      <c r="J19" s="14">
        <f>IF(J$3=0,'DPL25 MLS'!J19,'DPL25 MLS'!J19/J$3)</f>
        <v>0</v>
      </c>
      <c r="K19" s="903">
        <f t="shared" si="9"/>
        <v>0</v>
      </c>
      <c r="L19" s="14">
        <f>IF(L$3=0,'DPL25 MLS'!L19,'DPL25 MLS'!L19/L$3)</f>
        <v>0</v>
      </c>
      <c r="M19" s="903">
        <f t="shared" si="10"/>
        <v>0</v>
      </c>
      <c r="N19" s="14">
        <f>IF(N$3=0,'DPL25 MLS'!N19,'DPL25 MLS'!N19/N$3)</f>
        <v>0</v>
      </c>
      <c r="O19" s="959">
        <f t="shared" si="11"/>
        <v>0</v>
      </c>
      <c r="P19" s="14">
        <f>IF(P$3=0,'DPL25 MLS'!P19,'DPL25 MLS'!P19/P$3)</f>
        <v>0</v>
      </c>
      <c r="Q19" s="959">
        <f t="shared" si="12"/>
        <v>0</v>
      </c>
      <c r="R19" s="14">
        <f>IF(R$3=0,'DPL25 MLS'!R19,'DPL25 MLS'!R19/R$3)</f>
        <v>0</v>
      </c>
      <c r="S19" s="959">
        <f t="shared" si="13"/>
        <v>0</v>
      </c>
      <c r="T19" s="14">
        <f>IF(T$3=0,'DPL25 MLS'!T19,'DPL25 MLS'!T19/T$3)</f>
        <v>0</v>
      </c>
      <c r="U19" s="959">
        <f t="shared" si="14"/>
        <v>0</v>
      </c>
      <c r="V19" s="14">
        <f>IF(V$3=0,'DPL25 MLS'!V19,'DPL25 MLS'!V19/V$3)</f>
        <v>0</v>
      </c>
      <c r="W19" s="959">
        <f t="shared" si="15"/>
        <v>0</v>
      </c>
      <c r="X19" s="14">
        <f>IF(X$3=0,'DPL25 MLS'!X19,'DPL25 MLS'!X19/X$3)</f>
        <v>0</v>
      </c>
      <c r="Y19" s="959">
        <f t="shared" si="16"/>
        <v>0</v>
      </c>
      <c r="Z19" s="15">
        <f t="shared" si="2"/>
        <v>0</v>
      </c>
      <c r="AA19" s="242" t="e">
        <f t="shared" ca="1" si="3"/>
        <v>#REF!</v>
      </c>
      <c r="AB19" s="104">
        <f>SUM('MLS24-Budget'!B19:$B19)</f>
        <v>16039</v>
      </c>
      <c r="AC19" s="242">
        <f t="shared" si="4"/>
        <v>1.41E-2</v>
      </c>
    </row>
    <row r="20" spans="1:29">
      <c r="A20" s="757" t="s">
        <v>384</v>
      </c>
      <c r="B20" s="14">
        <f>IF(B$3=0,'DPL25 MLS'!B20,'DPL25 MLS'!B20/B$3)</f>
        <v>0</v>
      </c>
      <c r="C20" s="958">
        <f t="shared" ca="1" si="5"/>
        <v>0</v>
      </c>
      <c r="D20" s="14">
        <f>IF(D$3=0,'DPL25 MLS'!D20,'DPL25 MLS'!D20/D$3)</f>
        <v>0</v>
      </c>
      <c r="E20" s="958">
        <f t="shared" ca="1" si="6"/>
        <v>0</v>
      </c>
      <c r="F20" s="14">
        <f>IF(F$3=0,'DPL25 MLS'!F20,'DPL25 MLS'!F20/F$3)</f>
        <v>0</v>
      </c>
      <c r="G20" s="958">
        <f t="shared" ca="1" si="7"/>
        <v>0</v>
      </c>
      <c r="H20" s="14">
        <f>IF(H$3=0,'DPL25 MLS'!H20,'DPL25 MLS'!H20/H$3)</f>
        <v>0</v>
      </c>
      <c r="I20" s="903">
        <f t="shared" ca="1" si="8"/>
        <v>0</v>
      </c>
      <c r="J20" s="14">
        <f>IF(J$3=0,'DPL25 MLS'!J20,'DPL25 MLS'!J20/J$3)</f>
        <v>0</v>
      </c>
      <c r="K20" s="903">
        <f t="shared" si="9"/>
        <v>0</v>
      </c>
      <c r="L20" s="14">
        <f>IF(L$3=0,'DPL25 MLS'!L20,'DPL25 MLS'!L20/L$3)</f>
        <v>0</v>
      </c>
      <c r="M20" s="903">
        <f t="shared" si="10"/>
        <v>0</v>
      </c>
      <c r="N20" s="14">
        <f>IF(N$3=0,'DPL25 MLS'!N20,'DPL25 MLS'!N20/N$3)</f>
        <v>0</v>
      </c>
      <c r="O20" s="959">
        <f t="shared" si="11"/>
        <v>0</v>
      </c>
      <c r="P20" s="14">
        <f>IF(P$3=0,'DPL25 MLS'!P20,'DPL25 MLS'!P20/P$3)</f>
        <v>0</v>
      </c>
      <c r="Q20" s="959">
        <f t="shared" si="12"/>
        <v>0</v>
      </c>
      <c r="R20" s="14">
        <f>IF(R$3=0,'DPL25 MLS'!R20,'DPL25 MLS'!R20/R$3)</f>
        <v>0</v>
      </c>
      <c r="S20" s="959">
        <f t="shared" si="13"/>
        <v>0</v>
      </c>
      <c r="T20" s="14">
        <f>IF(T$3=0,'DPL25 MLS'!T20,'DPL25 MLS'!T20/T$3)</f>
        <v>0</v>
      </c>
      <c r="U20" s="959">
        <f t="shared" si="14"/>
        <v>0</v>
      </c>
      <c r="V20" s="14">
        <f>IF(V$3=0,'DPL25 MLS'!V20,'DPL25 MLS'!V20/V$3)</f>
        <v>0</v>
      </c>
      <c r="W20" s="959">
        <f t="shared" si="15"/>
        <v>0</v>
      </c>
      <c r="X20" s="14">
        <f>IF(X$3=0,'DPL25 MLS'!X20,'DPL25 MLS'!X20/X$3)</f>
        <v>0</v>
      </c>
      <c r="Y20" s="959">
        <f t="shared" si="16"/>
        <v>0</v>
      </c>
      <c r="Z20" s="15">
        <f t="shared" si="2"/>
        <v>0</v>
      </c>
      <c r="AA20" s="242" t="e">
        <f t="shared" ca="1" si="3"/>
        <v>#REF!</v>
      </c>
      <c r="AB20" s="104">
        <f>SUM('MLS24-Budget'!B20:$B20)</f>
        <v>4465</v>
      </c>
      <c r="AC20" s="242">
        <f t="shared" si="4"/>
        <v>3.8999999999999998E-3</v>
      </c>
    </row>
    <row r="21" spans="1:29">
      <c r="A21" s="757" t="s">
        <v>385</v>
      </c>
      <c r="B21" s="14">
        <f>IF(B$3=0,'DPL25 MLS'!B21,'DPL25 MLS'!B21/B$3)</f>
        <v>0</v>
      </c>
      <c r="C21" s="958">
        <f t="shared" ca="1" si="5"/>
        <v>0</v>
      </c>
      <c r="D21" s="14">
        <f>IF(D$3=0,'DPL25 MLS'!D21,'DPL25 MLS'!D21/D$3)</f>
        <v>0</v>
      </c>
      <c r="E21" s="958">
        <f t="shared" ca="1" si="6"/>
        <v>0</v>
      </c>
      <c r="F21" s="14">
        <f>IF(F$3=0,'DPL25 MLS'!F21,'DPL25 MLS'!F21/F$3)</f>
        <v>0</v>
      </c>
      <c r="G21" s="958">
        <f t="shared" ca="1" si="7"/>
        <v>0</v>
      </c>
      <c r="H21" s="14">
        <f>IF(H$3=0,'DPL25 MLS'!H21,'DPL25 MLS'!H21/H$3)</f>
        <v>0</v>
      </c>
      <c r="I21" s="903">
        <f t="shared" ca="1" si="8"/>
        <v>0</v>
      </c>
      <c r="J21" s="14">
        <f>IF(J$3=0,'DPL25 MLS'!J21,'DPL25 MLS'!J21/J$3)</f>
        <v>0</v>
      </c>
      <c r="K21" s="903">
        <f t="shared" si="9"/>
        <v>0</v>
      </c>
      <c r="L21" s="14">
        <f>IF(L$3=0,'DPL25 MLS'!L21,'DPL25 MLS'!L21/L$3)</f>
        <v>0</v>
      </c>
      <c r="M21" s="903">
        <f t="shared" si="10"/>
        <v>0</v>
      </c>
      <c r="N21" s="14">
        <f>IF(N$3=0,'DPL25 MLS'!N21,'DPL25 MLS'!N21/N$3)</f>
        <v>0</v>
      </c>
      <c r="O21" s="959">
        <f t="shared" si="11"/>
        <v>0</v>
      </c>
      <c r="P21" s="14">
        <f>IF(P$3=0,'DPL25 MLS'!P21,'DPL25 MLS'!P21/P$3)</f>
        <v>0</v>
      </c>
      <c r="Q21" s="959">
        <f t="shared" si="12"/>
        <v>0</v>
      </c>
      <c r="R21" s="14">
        <f>IF(R$3=0,'DPL25 MLS'!R21,'DPL25 MLS'!R21/R$3)</f>
        <v>0</v>
      </c>
      <c r="S21" s="959">
        <f t="shared" si="13"/>
        <v>0</v>
      </c>
      <c r="T21" s="14">
        <f>IF(T$3=0,'DPL25 MLS'!T21,'DPL25 MLS'!T21/T$3)</f>
        <v>0</v>
      </c>
      <c r="U21" s="959">
        <f t="shared" si="14"/>
        <v>0</v>
      </c>
      <c r="V21" s="14">
        <f>IF(V$3=0,'DPL25 MLS'!V21,'DPL25 MLS'!V21/V$3)</f>
        <v>0</v>
      </c>
      <c r="W21" s="959">
        <f t="shared" si="15"/>
        <v>0</v>
      </c>
      <c r="X21" s="14">
        <f>IF(X$3=0,'DPL25 MLS'!X21,'DPL25 MLS'!X21/X$3)</f>
        <v>0</v>
      </c>
      <c r="Y21" s="959">
        <f t="shared" si="16"/>
        <v>0</v>
      </c>
      <c r="Z21" s="15">
        <f t="shared" si="2"/>
        <v>0</v>
      </c>
      <c r="AA21" s="242" t="e">
        <f t="shared" ca="1" si="3"/>
        <v>#REF!</v>
      </c>
      <c r="AB21" s="104">
        <f>SUM('MLS24-Budget'!B21:$B21)</f>
        <v>5979</v>
      </c>
      <c r="AC21" s="242">
        <f t="shared" si="4"/>
        <v>5.3E-3</v>
      </c>
    </row>
    <row r="22" spans="1:29">
      <c r="A22" s="757" t="s">
        <v>386</v>
      </c>
      <c r="B22" s="14">
        <f>IF(B$3=0,'DPL25 MLS'!B22,'DPL25 MLS'!B22/B$3)</f>
        <v>0</v>
      </c>
      <c r="C22" s="958">
        <f t="shared" ca="1" si="5"/>
        <v>0</v>
      </c>
      <c r="D22" s="14">
        <f>IF(D$3=0,'DPL25 MLS'!D22,'DPL25 MLS'!D22/D$3)</f>
        <v>0</v>
      </c>
      <c r="E22" s="958">
        <f t="shared" ca="1" si="6"/>
        <v>0</v>
      </c>
      <c r="F22" s="14">
        <f>IF(F$3=0,'DPL25 MLS'!F22,'DPL25 MLS'!F22/F$3)</f>
        <v>0</v>
      </c>
      <c r="G22" s="958">
        <f t="shared" ca="1" si="7"/>
        <v>0</v>
      </c>
      <c r="H22" s="14">
        <f>IF(H$3=0,'DPL25 MLS'!H22,'DPL25 MLS'!H22/H$3)</f>
        <v>0</v>
      </c>
      <c r="I22" s="903">
        <f t="shared" ca="1" si="8"/>
        <v>0</v>
      </c>
      <c r="J22" s="14">
        <f>IF(J$3=0,'DPL25 MLS'!J22,'DPL25 MLS'!J22/J$3)</f>
        <v>0</v>
      </c>
      <c r="K22" s="903">
        <f t="shared" si="9"/>
        <v>0</v>
      </c>
      <c r="L22" s="14">
        <f>IF(L$3=0,'DPL25 MLS'!L22,'DPL25 MLS'!L22/L$3)</f>
        <v>0</v>
      </c>
      <c r="M22" s="903">
        <f t="shared" si="10"/>
        <v>0</v>
      </c>
      <c r="N22" s="14">
        <f>IF(N$3=0,'DPL25 MLS'!N22,'DPL25 MLS'!N22/N$3)</f>
        <v>0</v>
      </c>
      <c r="O22" s="959">
        <f t="shared" si="11"/>
        <v>0</v>
      </c>
      <c r="P22" s="14">
        <f>IF(P$3=0,'DPL25 MLS'!P22,'DPL25 MLS'!P22/P$3)</f>
        <v>0</v>
      </c>
      <c r="Q22" s="959">
        <f t="shared" si="12"/>
        <v>0</v>
      </c>
      <c r="R22" s="14">
        <f>IF(R$3=0,'DPL25 MLS'!R22,'DPL25 MLS'!R22/R$3)</f>
        <v>0</v>
      </c>
      <c r="S22" s="959">
        <f t="shared" si="13"/>
        <v>0</v>
      </c>
      <c r="T22" s="14">
        <f>IF(T$3=0,'DPL25 MLS'!T22,'DPL25 MLS'!T22/T$3)</f>
        <v>0</v>
      </c>
      <c r="U22" s="959">
        <f t="shared" si="14"/>
        <v>0</v>
      </c>
      <c r="V22" s="14">
        <f>IF(V$3=0,'DPL25 MLS'!V22,'DPL25 MLS'!V22/V$3)</f>
        <v>0</v>
      </c>
      <c r="W22" s="959">
        <f t="shared" si="15"/>
        <v>0</v>
      </c>
      <c r="X22" s="14">
        <f>IF(X$3=0,'DPL25 MLS'!X22,'DPL25 MLS'!X22/X$3)</f>
        <v>0</v>
      </c>
      <c r="Y22" s="959">
        <f t="shared" si="16"/>
        <v>0</v>
      </c>
      <c r="Z22" s="15">
        <f t="shared" si="2"/>
        <v>0</v>
      </c>
      <c r="AA22" s="242" t="e">
        <f t="shared" ca="1" si="3"/>
        <v>#REF!</v>
      </c>
      <c r="AB22" s="104">
        <f>SUM('MLS24-Budget'!B22:$B22)</f>
        <v>3068</v>
      </c>
      <c r="AC22" s="242">
        <f t="shared" si="4"/>
        <v>2.7000000000000001E-3</v>
      </c>
    </row>
    <row r="23" spans="1:29">
      <c r="A23" s="757" t="s">
        <v>387</v>
      </c>
      <c r="B23" s="14">
        <f>IF(B$3=0,'DPL25 MLS'!B23,'DPL25 MLS'!B23/B$3)</f>
        <v>0</v>
      </c>
      <c r="C23" s="958">
        <f t="shared" ca="1" si="5"/>
        <v>0</v>
      </c>
      <c r="D23" s="14">
        <f>IF(D$3=0,'DPL25 MLS'!D23,'DPL25 MLS'!D23/D$3)</f>
        <v>0</v>
      </c>
      <c r="E23" s="958">
        <f t="shared" ca="1" si="6"/>
        <v>0</v>
      </c>
      <c r="F23" s="14">
        <f>IF(F$3=0,'DPL25 MLS'!F23,'DPL25 MLS'!F23/F$3)</f>
        <v>0</v>
      </c>
      <c r="G23" s="958">
        <f t="shared" ca="1" si="7"/>
        <v>0</v>
      </c>
      <c r="H23" s="14">
        <f>IF(H$3=0,'DPL25 MLS'!H23,'DPL25 MLS'!H23/H$3)</f>
        <v>0</v>
      </c>
      <c r="I23" s="903">
        <f t="shared" ca="1" si="8"/>
        <v>0</v>
      </c>
      <c r="J23" s="14">
        <f>IF(J$3=0,'DPL25 MLS'!J23,'DPL25 MLS'!J23/J$3)</f>
        <v>0</v>
      </c>
      <c r="K23" s="903">
        <f t="shared" si="9"/>
        <v>0</v>
      </c>
      <c r="L23" s="14">
        <f>IF(L$3=0,'DPL25 MLS'!L23,'DPL25 MLS'!L23/L$3)</f>
        <v>0</v>
      </c>
      <c r="M23" s="903">
        <f t="shared" si="10"/>
        <v>0</v>
      </c>
      <c r="N23" s="14">
        <f>IF(N$3=0,'DPL25 MLS'!N23,'DPL25 MLS'!N23/N$3)</f>
        <v>0</v>
      </c>
      <c r="O23" s="959">
        <f t="shared" si="11"/>
        <v>0</v>
      </c>
      <c r="P23" s="14">
        <f>IF(P$3=0,'DPL25 MLS'!P23,'DPL25 MLS'!P23/P$3)</f>
        <v>0</v>
      </c>
      <c r="Q23" s="959">
        <f t="shared" si="12"/>
        <v>0</v>
      </c>
      <c r="R23" s="14">
        <f>IF(R$3=0,'DPL25 MLS'!R23,'DPL25 MLS'!R23/R$3)</f>
        <v>0</v>
      </c>
      <c r="S23" s="959">
        <f t="shared" si="13"/>
        <v>0</v>
      </c>
      <c r="T23" s="14">
        <f>IF(T$3=0,'DPL25 MLS'!T23,'DPL25 MLS'!T23/T$3)</f>
        <v>0</v>
      </c>
      <c r="U23" s="959">
        <f t="shared" si="14"/>
        <v>0</v>
      </c>
      <c r="V23" s="14">
        <f>IF(V$3=0,'DPL25 MLS'!V23,'DPL25 MLS'!V23/V$3)</f>
        <v>0</v>
      </c>
      <c r="W23" s="959">
        <f t="shared" si="15"/>
        <v>0</v>
      </c>
      <c r="X23" s="14">
        <f>IF(X$3=0,'DPL25 MLS'!X23,'DPL25 MLS'!X23/X$3)</f>
        <v>0</v>
      </c>
      <c r="Y23" s="959">
        <f t="shared" si="16"/>
        <v>0</v>
      </c>
      <c r="Z23" s="15">
        <f t="shared" si="2"/>
        <v>0</v>
      </c>
      <c r="AA23" s="242" t="e">
        <f t="shared" ca="1" si="3"/>
        <v>#REF!</v>
      </c>
      <c r="AB23" s="104">
        <f>SUM('MLS24-Budget'!B23:$B23)</f>
        <v>5086</v>
      </c>
      <c r="AC23" s="242">
        <f t="shared" si="4"/>
        <v>4.4999999999999997E-3</v>
      </c>
    </row>
    <row r="24" spans="1:29">
      <c r="A24" s="757" t="s">
        <v>388</v>
      </c>
      <c r="B24" s="14">
        <f>IF(B$3=0,'DPL25 MLS'!B24,'DPL25 MLS'!B24/B$3)</f>
        <v>0</v>
      </c>
      <c r="C24" s="958">
        <f t="shared" ca="1" si="5"/>
        <v>0</v>
      </c>
      <c r="D24" s="14">
        <f>IF(D$3=0,'DPL25 MLS'!D24,'DPL25 MLS'!D24/D$3)</f>
        <v>0</v>
      </c>
      <c r="E24" s="958">
        <f t="shared" ca="1" si="6"/>
        <v>0</v>
      </c>
      <c r="F24" s="14">
        <f>IF(F$3=0,'DPL25 MLS'!F24,'DPL25 MLS'!F24/F$3)</f>
        <v>0</v>
      </c>
      <c r="G24" s="958">
        <f t="shared" ca="1" si="7"/>
        <v>0</v>
      </c>
      <c r="H24" s="14">
        <f>IF(H$3=0,'DPL25 MLS'!H24,'DPL25 MLS'!H24/H$3)</f>
        <v>0</v>
      </c>
      <c r="I24" s="903">
        <f t="shared" ca="1" si="8"/>
        <v>0</v>
      </c>
      <c r="J24" s="14">
        <f>IF(J$3=0,'DPL25 MLS'!J24,'DPL25 MLS'!J24/J$3)</f>
        <v>0</v>
      </c>
      <c r="K24" s="903">
        <f t="shared" si="9"/>
        <v>0</v>
      </c>
      <c r="L24" s="14">
        <f>IF(L$3=0,'DPL25 MLS'!L24,'DPL25 MLS'!L24/L$3)</f>
        <v>0</v>
      </c>
      <c r="M24" s="903">
        <f t="shared" si="10"/>
        <v>0</v>
      </c>
      <c r="N24" s="14">
        <f>IF(N$3=0,'DPL25 MLS'!N24,'DPL25 MLS'!N24/N$3)</f>
        <v>0</v>
      </c>
      <c r="O24" s="959">
        <f t="shared" si="11"/>
        <v>0</v>
      </c>
      <c r="P24" s="14">
        <f>IF(P$3=0,'DPL25 MLS'!P24,'DPL25 MLS'!P24/P$3)</f>
        <v>0</v>
      </c>
      <c r="Q24" s="959">
        <f t="shared" si="12"/>
        <v>0</v>
      </c>
      <c r="R24" s="14">
        <f>IF(R$3=0,'DPL25 MLS'!R24,'DPL25 MLS'!R24/R$3)</f>
        <v>0</v>
      </c>
      <c r="S24" s="959">
        <f t="shared" si="13"/>
        <v>0</v>
      </c>
      <c r="T24" s="14">
        <f>IF(T$3=0,'DPL25 MLS'!T24,'DPL25 MLS'!T24/T$3)</f>
        <v>0</v>
      </c>
      <c r="U24" s="959">
        <f t="shared" si="14"/>
        <v>0</v>
      </c>
      <c r="V24" s="14">
        <f>IF(V$3=0,'DPL25 MLS'!V24,'DPL25 MLS'!V24/V$3)</f>
        <v>0</v>
      </c>
      <c r="W24" s="959">
        <f t="shared" si="15"/>
        <v>0</v>
      </c>
      <c r="X24" s="14">
        <f>IF(X$3=0,'DPL25 MLS'!X24,'DPL25 MLS'!X24/X$3)</f>
        <v>0</v>
      </c>
      <c r="Y24" s="959">
        <f t="shared" si="16"/>
        <v>0</v>
      </c>
      <c r="Z24" s="15">
        <f t="shared" si="2"/>
        <v>0</v>
      </c>
      <c r="AA24" s="242" t="e">
        <f t="shared" ca="1" si="3"/>
        <v>#REF!</v>
      </c>
      <c r="AB24" s="104">
        <f>SUM('MLS24-Budget'!B24:$B24)</f>
        <v>3346</v>
      </c>
      <c r="AC24" s="242">
        <f t="shared" si="4"/>
        <v>2.8999999999999998E-3</v>
      </c>
    </row>
    <row r="25" spans="1:29">
      <c r="A25" s="757" t="s">
        <v>389</v>
      </c>
      <c r="B25" s="14">
        <f>IF(B$3=0,'DPL25 MLS'!B25,'DPL25 MLS'!B25/B$3)</f>
        <v>0</v>
      </c>
      <c r="C25" s="958">
        <f t="shared" ca="1" si="5"/>
        <v>0</v>
      </c>
      <c r="D25" s="14">
        <f>IF(D$3=0,'DPL25 MLS'!D25,'DPL25 MLS'!D25/D$3)</f>
        <v>0</v>
      </c>
      <c r="E25" s="958">
        <f t="shared" ca="1" si="6"/>
        <v>0</v>
      </c>
      <c r="F25" s="14">
        <f>IF(F$3=0,'DPL25 MLS'!F25,'DPL25 MLS'!F25/F$3)</f>
        <v>0</v>
      </c>
      <c r="G25" s="958">
        <f t="shared" ca="1" si="7"/>
        <v>0</v>
      </c>
      <c r="H25" s="14">
        <f>IF(H$3=0,'DPL25 MLS'!H25,'DPL25 MLS'!H25/H$3)</f>
        <v>0</v>
      </c>
      <c r="I25" s="903">
        <f t="shared" ca="1" si="8"/>
        <v>0</v>
      </c>
      <c r="J25" s="14">
        <f>IF(J$3=0,'DPL25 MLS'!J25,'DPL25 MLS'!J25/J$3)</f>
        <v>0</v>
      </c>
      <c r="K25" s="903">
        <f t="shared" si="9"/>
        <v>0</v>
      </c>
      <c r="L25" s="14">
        <f>IF(L$3=0,'DPL25 MLS'!L25,'DPL25 MLS'!L25/L$3)</f>
        <v>0</v>
      </c>
      <c r="M25" s="903">
        <f t="shared" si="10"/>
        <v>0</v>
      </c>
      <c r="N25" s="14">
        <f>IF(N$3=0,'DPL25 MLS'!N25,'DPL25 MLS'!N25/N$3)</f>
        <v>0</v>
      </c>
      <c r="O25" s="959">
        <f t="shared" si="11"/>
        <v>0</v>
      </c>
      <c r="P25" s="14">
        <f>IF(P$3=0,'DPL25 MLS'!P25,'DPL25 MLS'!P25/P$3)</f>
        <v>0</v>
      </c>
      <c r="Q25" s="959">
        <f t="shared" si="12"/>
        <v>0</v>
      </c>
      <c r="R25" s="14">
        <f>IF(R$3=0,'DPL25 MLS'!R25,'DPL25 MLS'!R25/R$3)</f>
        <v>0</v>
      </c>
      <c r="S25" s="959">
        <f t="shared" si="13"/>
        <v>0</v>
      </c>
      <c r="T25" s="14">
        <f>IF(T$3=0,'DPL25 MLS'!T25,'DPL25 MLS'!T25/T$3)</f>
        <v>0</v>
      </c>
      <c r="U25" s="959">
        <f t="shared" si="14"/>
        <v>0</v>
      </c>
      <c r="V25" s="14">
        <f>IF(V$3=0,'DPL25 MLS'!V25,'DPL25 MLS'!V25/V$3)</f>
        <v>0</v>
      </c>
      <c r="W25" s="959">
        <f t="shared" si="15"/>
        <v>0</v>
      </c>
      <c r="X25" s="14">
        <f>IF(X$3=0,'DPL25 MLS'!X25,'DPL25 MLS'!X25/X$3)</f>
        <v>0</v>
      </c>
      <c r="Y25" s="959">
        <f t="shared" si="16"/>
        <v>0</v>
      </c>
      <c r="Z25" s="15">
        <f t="shared" si="2"/>
        <v>0</v>
      </c>
      <c r="AA25" s="242" t="e">
        <f t="shared" ca="1" si="3"/>
        <v>#REF!</v>
      </c>
      <c r="AB25" s="104">
        <f>SUM('MLS24-Budget'!B25:$B25)</f>
        <v>2331</v>
      </c>
      <c r="AC25" s="242">
        <f t="shared" si="4"/>
        <v>2.0999999999999999E-3</v>
      </c>
    </row>
    <row r="26" spans="1:29" s="4" customFormat="1">
      <c r="A26" s="757" t="s">
        <v>390</v>
      </c>
      <c r="B26" s="14">
        <f>IF(B$3=0,'DPL25 MLS'!B26,'DPL25 MLS'!B26/B$3)</f>
        <v>30</v>
      </c>
      <c r="C26" s="958">
        <f t="shared" ca="1" si="5"/>
        <v>1.0999999999999999E-2</v>
      </c>
      <c r="D26" s="14">
        <f>IF(D$3=0,'DPL25 MLS'!D26,'DPL25 MLS'!D26/D$3)</f>
        <v>30</v>
      </c>
      <c r="E26" s="958">
        <f t="shared" ca="1" si="6"/>
        <v>1.0999999999999999E-2</v>
      </c>
      <c r="F26" s="14">
        <f>IF(F$3=0,'DPL25 MLS'!F26,'DPL25 MLS'!F26/F$3)</f>
        <v>30</v>
      </c>
      <c r="G26" s="958">
        <f t="shared" ca="1" si="7"/>
        <v>1.0999999999999999E-2</v>
      </c>
      <c r="H26" s="14">
        <f>IF(H$3=0,'DPL25 MLS'!H26,'DPL25 MLS'!H26/H$3)</f>
        <v>12</v>
      </c>
      <c r="I26" s="903">
        <f t="shared" ca="1" si="8"/>
        <v>0</v>
      </c>
      <c r="J26" s="14">
        <f>IF(J$3=0,'DPL25 MLS'!J26,'DPL25 MLS'!J26/J$3)</f>
        <v>0</v>
      </c>
      <c r="K26" s="903">
        <f t="shared" si="9"/>
        <v>0</v>
      </c>
      <c r="L26" s="14">
        <f>IF(L$3=0,'DPL25 MLS'!L26,'DPL25 MLS'!L26/L$3)</f>
        <v>0</v>
      </c>
      <c r="M26" s="903">
        <f t="shared" si="10"/>
        <v>0</v>
      </c>
      <c r="N26" s="14">
        <f>IF(N$3=0,'DPL25 MLS'!N26,'DPL25 MLS'!N26/N$3)</f>
        <v>0</v>
      </c>
      <c r="O26" s="959">
        <f t="shared" si="11"/>
        <v>0</v>
      </c>
      <c r="P26" s="14">
        <f>IF(P$3=0,'DPL25 MLS'!P26,'DPL25 MLS'!P26/P$3)</f>
        <v>0</v>
      </c>
      <c r="Q26" s="959">
        <f t="shared" si="12"/>
        <v>0</v>
      </c>
      <c r="R26" s="14">
        <f>IF(R$3=0,'DPL25 MLS'!R26,'DPL25 MLS'!R26/R$3)</f>
        <v>0</v>
      </c>
      <c r="S26" s="959">
        <f t="shared" si="13"/>
        <v>0</v>
      </c>
      <c r="T26" s="14">
        <f>IF(T$3=0,'DPL25 MLS'!T26,'DPL25 MLS'!T26/T$3)</f>
        <v>0</v>
      </c>
      <c r="U26" s="959">
        <f t="shared" si="14"/>
        <v>0</v>
      </c>
      <c r="V26" s="14">
        <f>IF(V$3=0,'DPL25 MLS'!V26,'DPL25 MLS'!V26/V$3)</f>
        <v>0</v>
      </c>
      <c r="W26" s="959">
        <f t="shared" si="15"/>
        <v>0</v>
      </c>
      <c r="X26" s="14">
        <f>IF(X$3=0,'DPL25 MLS'!X26,'DPL25 MLS'!X26/X$3)</f>
        <v>0</v>
      </c>
      <c r="Y26" s="959">
        <f t="shared" si="16"/>
        <v>0</v>
      </c>
      <c r="Z26" s="15">
        <f t="shared" si="2"/>
        <v>102</v>
      </c>
      <c r="AA26" s="242" t="e">
        <f t="shared" ca="1" si="3"/>
        <v>#REF!</v>
      </c>
      <c r="AB26" s="104">
        <f>SUM('MLS24-Budget'!B26:$B26)</f>
        <v>7313</v>
      </c>
      <c r="AC26" s="242">
        <f t="shared" si="4"/>
        <v>6.4000000000000003E-3</v>
      </c>
    </row>
    <row r="27" spans="1:29" s="4" customFormat="1">
      <c r="A27" s="757" t="s">
        <v>391</v>
      </c>
      <c r="B27" s="14">
        <f>IF(B$3=0,'DPL25 MLS'!B27,'DPL25 MLS'!B27/B$3)</f>
        <v>0</v>
      </c>
      <c r="C27" s="958">
        <f t="shared" ca="1" si="5"/>
        <v>0</v>
      </c>
      <c r="D27" s="14">
        <f>IF(D$3=0,'DPL25 MLS'!D27,'DPL25 MLS'!D27/D$3)</f>
        <v>0</v>
      </c>
      <c r="E27" s="958">
        <f t="shared" ca="1" si="6"/>
        <v>0</v>
      </c>
      <c r="F27" s="14">
        <f>IF(F$3=0,'DPL25 MLS'!F27,'DPL25 MLS'!F27/F$3)</f>
        <v>0</v>
      </c>
      <c r="G27" s="958">
        <f t="shared" ca="1" si="7"/>
        <v>0</v>
      </c>
      <c r="H27" s="14">
        <f>IF(H$3=0,'DPL25 MLS'!H27,'DPL25 MLS'!H27/H$3)</f>
        <v>0</v>
      </c>
      <c r="I27" s="903">
        <f t="shared" ca="1" si="8"/>
        <v>0</v>
      </c>
      <c r="J27" s="14">
        <f>IF(J$3=0,'DPL25 MLS'!J27,'DPL25 MLS'!J27/J$3)</f>
        <v>0</v>
      </c>
      <c r="K27" s="903">
        <f t="shared" si="9"/>
        <v>0</v>
      </c>
      <c r="L27" s="14">
        <f>IF(L$3=0,'DPL25 MLS'!L27,'DPL25 MLS'!L27/L$3)</f>
        <v>0</v>
      </c>
      <c r="M27" s="903">
        <f t="shared" si="10"/>
        <v>0</v>
      </c>
      <c r="N27" s="14">
        <f>IF(N$3=0,'DPL25 MLS'!N27,'DPL25 MLS'!N27/N$3)</f>
        <v>0</v>
      </c>
      <c r="O27" s="959">
        <f t="shared" si="11"/>
        <v>0</v>
      </c>
      <c r="P27" s="14">
        <f>IF(P$3=0,'DPL25 MLS'!P27,'DPL25 MLS'!P27/P$3)</f>
        <v>0</v>
      </c>
      <c r="Q27" s="959">
        <f t="shared" si="12"/>
        <v>0</v>
      </c>
      <c r="R27" s="14">
        <f>IF(R$3=0,'DPL25 MLS'!R27,'DPL25 MLS'!R27/R$3)</f>
        <v>0</v>
      </c>
      <c r="S27" s="959">
        <f t="shared" si="13"/>
        <v>0</v>
      </c>
      <c r="T27" s="14">
        <f>IF(T$3=0,'DPL25 MLS'!T27,'DPL25 MLS'!T27/T$3)</f>
        <v>0</v>
      </c>
      <c r="U27" s="959">
        <f t="shared" si="14"/>
        <v>0</v>
      </c>
      <c r="V27" s="14">
        <f>IF(V$3=0,'DPL25 MLS'!V27,'DPL25 MLS'!V27/V$3)</f>
        <v>0</v>
      </c>
      <c r="W27" s="959">
        <f t="shared" si="15"/>
        <v>0</v>
      </c>
      <c r="X27" s="14">
        <f>IF(X$3=0,'DPL25 MLS'!X27,'DPL25 MLS'!X27/X$3)</f>
        <v>0</v>
      </c>
      <c r="Y27" s="959">
        <f t="shared" si="16"/>
        <v>0</v>
      </c>
      <c r="Z27" s="15">
        <f t="shared" si="2"/>
        <v>0</v>
      </c>
      <c r="AA27" s="242" t="e">
        <f t="shared" ca="1" si="3"/>
        <v>#REF!</v>
      </c>
      <c r="AB27" s="104">
        <f>SUM('MLS24-Budget'!B27:$B27)</f>
        <v>0</v>
      </c>
      <c r="AC27" s="242">
        <f t="shared" si="4"/>
        <v>0</v>
      </c>
    </row>
    <row r="28" spans="1:29" s="4" customFormat="1">
      <c r="A28" s="757" t="s">
        <v>392</v>
      </c>
      <c r="B28" s="14">
        <f>IF(B$3=0,'DPL25 MLS'!B28,'DPL25 MLS'!B28/B$3)</f>
        <v>0</v>
      </c>
      <c r="C28" s="958">
        <f t="shared" ca="1" si="5"/>
        <v>0</v>
      </c>
      <c r="D28" s="14">
        <f>IF(D$3=0,'DPL25 MLS'!D28,'DPL25 MLS'!D28/D$3)</f>
        <v>0</v>
      </c>
      <c r="E28" s="958">
        <f t="shared" ca="1" si="6"/>
        <v>0</v>
      </c>
      <c r="F28" s="14">
        <f>IF(F$3=0,'DPL25 MLS'!F28,'DPL25 MLS'!F28/F$3)</f>
        <v>0</v>
      </c>
      <c r="G28" s="958">
        <f t="shared" ca="1" si="7"/>
        <v>0</v>
      </c>
      <c r="H28" s="14">
        <f>IF(H$3=0,'DPL25 MLS'!H28,'DPL25 MLS'!H28/H$3)</f>
        <v>0</v>
      </c>
      <c r="I28" s="903">
        <f t="shared" ca="1" si="8"/>
        <v>0</v>
      </c>
      <c r="J28" s="14">
        <f>IF(J$3=0,'DPL25 MLS'!J28,'DPL25 MLS'!J28/J$3)</f>
        <v>0</v>
      </c>
      <c r="K28" s="903">
        <f t="shared" si="9"/>
        <v>0</v>
      </c>
      <c r="L28" s="14">
        <f>IF(L$3=0,'DPL25 MLS'!L28,'DPL25 MLS'!L28/L$3)</f>
        <v>0</v>
      </c>
      <c r="M28" s="903">
        <f t="shared" si="10"/>
        <v>0</v>
      </c>
      <c r="N28" s="14">
        <f>IF(N$3=0,'DPL25 MLS'!N28,'DPL25 MLS'!N28/N$3)</f>
        <v>0</v>
      </c>
      <c r="O28" s="959">
        <f t="shared" si="11"/>
        <v>0</v>
      </c>
      <c r="P28" s="14">
        <f>IF(P$3=0,'DPL25 MLS'!P28,'DPL25 MLS'!P28/P$3)</f>
        <v>0</v>
      </c>
      <c r="Q28" s="959">
        <f t="shared" si="12"/>
        <v>0</v>
      </c>
      <c r="R28" s="14">
        <f>IF(R$3=0,'DPL25 MLS'!R28,'DPL25 MLS'!R28/R$3)</f>
        <v>0</v>
      </c>
      <c r="S28" s="959">
        <f t="shared" si="13"/>
        <v>0</v>
      </c>
      <c r="T28" s="14">
        <f>IF(T$3=0,'DPL25 MLS'!T28,'DPL25 MLS'!T28/T$3)</f>
        <v>0</v>
      </c>
      <c r="U28" s="959">
        <f t="shared" si="14"/>
        <v>0</v>
      </c>
      <c r="V28" s="14">
        <f>IF(V$3=0,'DPL25 MLS'!V28,'DPL25 MLS'!V28/V$3)</f>
        <v>0</v>
      </c>
      <c r="W28" s="959">
        <f t="shared" si="15"/>
        <v>0</v>
      </c>
      <c r="X28" s="14">
        <f>IF(X$3=0,'DPL25 MLS'!X28,'DPL25 MLS'!X28/X$3)</f>
        <v>0</v>
      </c>
      <c r="Y28" s="959">
        <f t="shared" si="16"/>
        <v>0</v>
      </c>
      <c r="Z28" s="15">
        <f t="shared" si="2"/>
        <v>0</v>
      </c>
      <c r="AA28" s="242" t="e">
        <f t="shared" ca="1" si="3"/>
        <v>#REF!</v>
      </c>
      <c r="AB28" s="104">
        <f>SUM('MLS24-Budget'!B28:$B28)</f>
        <v>7319</v>
      </c>
      <c r="AC28" s="242">
        <f t="shared" si="4"/>
        <v>6.4000000000000003E-3</v>
      </c>
    </row>
    <row r="29" spans="1:29" s="4" customFormat="1">
      <c r="A29" s="757" t="s">
        <v>501</v>
      </c>
      <c r="B29" s="14">
        <f>IF(B$3=0,'DPL25 MLS'!B29,'DPL25 MLS'!B29/B$3)</f>
        <v>192</v>
      </c>
      <c r="C29" s="958">
        <f t="shared" ca="1" si="5"/>
        <v>7.0400000000000004E-2</v>
      </c>
      <c r="D29" s="14">
        <f>IF(D$3=0,'DPL25 MLS'!D29,'DPL25 MLS'!D29/D$3)</f>
        <v>0</v>
      </c>
      <c r="E29" s="958">
        <f t="shared" ca="1" si="6"/>
        <v>0</v>
      </c>
      <c r="F29" s="14">
        <f>IF(F$3=0,'DPL25 MLS'!F29,'DPL25 MLS'!F29/F$3)</f>
        <v>0</v>
      </c>
      <c r="G29" s="958">
        <f t="shared" ca="1" si="7"/>
        <v>0</v>
      </c>
      <c r="H29" s="14">
        <f>IF(H$3=0,'DPL25 MLS'!H29,'DPL25 MLS'!H29/H$3)</f>
        <v>192</v>
      </c>
      <c r="I29" s="903">
        <f t="shared" ca="1" si="8"/>
        <v>7.0000000000000007E-2</v>
      </c>
      <c r="J29" s="14">
        <f>IF(J$3=0,'DPL25 MLS'!J29,'DPL25 MLS'!J29/J$3)</f>
        <v>0</v>
      </c>
      <c r="K29" s="903">
        <f t="shared" si="9"/>
        <v>0</v>
      </c>
      <c r="L29" s="14">
        <f>IF(L$3=0,'DPL25 MLS'!L29,'DPL25 MLS'!L29/L$3)</f>
        <v>0</v>
      </c>
      <c r="M29" s="903">
        <f t="shared" si="10"/>
        <v>0</v>
      </c>
      <c r="N29" s="14">
        <f>IF(N$3=0,'DPL25 MLS'!N29,'DPL25 MLS'!N29/N$3)</f>
        <v>0</v>
      </c>
      <c r="O29" s="959">
        <f t="shared" si="11"/>
        <v>0</v>
      </c>
      <c r="P29" s="14">
        <f>IF(P$3=0,'DPL25 MLS'!P29,'DPL25 MLS'!P29/P$3)</f>
        <v>0</v>
      </c>
      <c r="Q29" s="959">
        <f t="shared" si="12"/>
        <v>0</v>
      </c>
      <c r="R29" s="14">
        <f>IF(R$3=0,'DPL25 MLS'!R29,'DPL25 MLS'!R29/R$3)</f>
        <v>0</v>
      </c>
      <c r="S29" s="959">
        <f t="shared" si="13"/>
        <v>0</v>
      </c>
      <c r="T29" s="14">
        <f>IF(T$3=0,'DPL25 MLS'!T29,'DPL25 MLS'!T29/T$3)</f>
        <v>0</v>
      </c>
      <c r="U29" s="959">
        <f t="shared" si="14"/>
        <v>0</v>
      </c>
      <c r="V29" s="14">
        <f>IF(V$3=0,'DPL25 MLS'!V29,'DPL25 MLS'!V29/V$3)</f>
        <v>0</v>
      </c>
      <c r="W29" s="959">
        <f t="shared" si="15"/>
        <v>0</v>
      </c>
      <c r="X29" s="14">
        <f>IF(X$3=0,'DPL25 MLS'!X29,'DPL25 MLS'!X29/X$3)</f>
        <v>0</v>
      </c>
      <c r="Y29" s="959">
        <f t="shared" si="16"/>
        <v>0</v>
      </c>
      <c r="Z29" s="15">
        <f t="shared" si="2"/>
        <v>384</v>
      </c>
      <c r="AA29" s="242" t="e">
        <f t="shared" ca="1" si="3"/>
        <v>#REF!</v>
      </c>
      <c r="AB29" s="104">
        <f>SUM('MLS24-Budget'!B29:$B29)</f>
        <v>45565</v>
      </c>
      <c r="AC29" s="242">
        <f t="shared" si="4"/>
        <v>4.0099999999999997E-2</v>
      </c>
    </row>
    <row r="30" spans="1:29" s="4" customFormat="1">
      <c r="A30" s="757" t="s">
        <v>393</v>
      </c>
      <c r="B30" s="14">
        <f>IF(B$3=0,'DPL25 MLS'!B30,'DPL25 MLS'!B30/B$3)</f>
        <v>0</v>
      </c>
      <c r="C30" s="958">
        <f t="shared" ca="1" si="5"/>
        <v>0</v>
      </c>
      <c r="D30" s="14">
        <f>IF(D$3=0,'DPL25 MLS'!D30,'DPL25 MLS'!D30/D$3)</f>
        <v>0</v>
      </c>
      <c r="E30" s="958">
        <f t="shared" ca="1" si="6"/>
        <v>0</v>
      </c>
      <c r="F30" s="14">
        <f>IF(F$3=0,'DPL25 MLS'!F30,'DPL25 MLS'!F30/F$3)</f>
        <v>0</v>
      </c>
      <c r="G30" s="958">
        <f t="shared" ca="1" si="7"/>
        <v>0</v>
      </c>
      <c r="H30" s="14">
        <f>IF(H$3=0,'DPL25 MLS'!H30,'DPL25 MLS'!H30/H$3)</f>
        <v>0</v>
      </c>
      <c r="I30" s="903">
        <f t="shared" ca="1" si="8"/>
        <v>0</v>
      </c>
      <c r="J30" s="14">
        <f>IF(J$3=0,'DPL25 MLS'!J30,'DPL25 MLS'!J30/J$3)</f>
        <v>0</v>
      </c>
      <c r="K30" s="903">
        <f t="shared" si="9"/>
        <v>0</v>
      </c>
      <c r="L30" s="14">
        <f>IF(L$3=0,'DPL25 MLS'!L30,'DPL25 MLS'!L30/L$3)</f>
        <v>0</v>
      </c>
      <c r="M30" s="903">
        <f t="shared" si="10"/>
        <v>0</v>
      </c>
      <c r="N30" s="14">
        <f>IF(N$3=0,'DPL25 MLS'!N30,'DPL25 MLS'!N30/N$3)</f>
        <v>0</v>
      </c>
      <c r="O30" s="959">
        <f t="shared" si="11"/>
        <v>0</v>
      </c>
      <c r="P30" s="14">
        <f>IF(P$3=0,'DPL25 MLS'!P30,'DPL25 MLS'!P30/P$3)</f>
        <v>0</v>
      </c>
      <c r="Q30" s="959">
        <f t="shared" si="12"/>
        <v>0</v>
      </c>
      <c r="R30" s="14">
        <f>IF(R$3=0,'DPL25 MLS'!R30,'DPL25 MLS'!R30/R$3)</f>
        <v>0</v>
      </c>
      <c r="S30" s="959">
        <f t="shared" si="13"/>
        <v>0</v>
      </c>
      <c r="T30" s="14">
        <f>IF(T$3=0,'DPL25 MLS'!T30,'DPL25 MLS'!T30/T$3)</f>
        <v>0</v>
      </c>
      <c r="U30" s="959">
        <f t="shared" si="14"/>
        <v>0</v>
      </c>
      <c r="V30" s="14">
        <f>IF(V$3=0,'DPL25 MLS'!V30,'DPL25 MLS'!V30/V$3)</f>
        <v>0</v>
      </c>
      <c r="W30" s="959">
        <f t="shared" si="15"/>
        <v>0</v>
      </c>
      <c r="X30" s="14">
        <f>IF(X$3=0,'DPL25 MLS'!X30,'DPL25 MLS'!X30/X$3)</f>
        <v>0</v>
      </c>
      <c r="Y30" s="959">
        <f t="shared" si="16"/>
        <v>0</v>
      </c>
      <c r="Z30" s="15">
        <f t="shared" si="2"/>
        <v>0</v>
      </c>
      <c r="AA30" s="242" t="e">
        <f t="shared" ca="1" si="3"/>
        <v>#REF!</v>
      </c>
      <c r="AB30" s="104">
        <f>SUM('MLS24-Budget'!B30:$B30)</f>
        <v>2492</v>
      </c>
      <c r="AC30" s="242">
        <f t="shared" si="4"/>
        <v>2.2000000000000001E-3</v>
      </c>
    </row>
    <row r="31" spans="1:29" s="4" customFormat="1">
      <c r="A31" s="757" t="s">
        <v>394</v>
      </c>
      <c r="B31" s="14">
        <f>IF(B$3=0,'DPL25 MLS'!B31,'DPL25 MLS'!B31/B$3)</f>
        <v>67</v>
      </c>
      <c r="C31" s="958">
        <f t="shared" ca="1" si="5"/>
        <v>2.46E-2</v>
      </c>
      <c r="D31" s="14">
        <f>IF(D$3=0,'DPL25 MLS'!D31,'DPL25 MLS'!D31/D$3)</f>
        <v>67</v>
      </c>
      <c r="E31" s="958">
        <f t="shared" ca="1" si="6"/>
        <v>2.46E-2</v>
      </c>
      <c r="F31" s="14">
        <f>IF(F$3=0,'DPL25 MLS'!F31,'DPL25 MLS'!F31/F$3)</f>
        <v>67</v>
      </c>
      <c r="G31" s="958">
        <f t="shared" ca="1" si="7"/>
        <v>2.46E-2</v>
      </c>
      <c r="H31" s="14">
        <f>IF(H$3=0,'DPL25 MLS'!H31,'DPL25 MLS'!H31/H$3)</f>
        <v>67</v>
      </c>
      <c r="I31" s="903">
        <f t="shared" ca="1" si="8"/>
        <v>0.02</v>
      </c>
      <c r="J31" s="14">
        <f>IF(J$3=0,'DPL25 MLS'!J31,'DPL25 MLS'!J31/J$3)</f>
        <v>0</v>
      </c>
      <c r="K31" s="903">
        <f t="shared" si="9"/>
        <v>0</v>
      </c>
      <c r="L31" s="14">
        <f>IF(L$3=0,'DPL25 MLS'!L31,'DPL25 MLS'!L31/L$3)</f>
        <v>0</v>
      </c>
      <c r="M31" s="903">
        <f t="shared" si="10"/>
        <v>0</v>
      </c>
      <c r="N31" s="14">
        <f>IF(N$3=0,'DPL25 MLS'!N31,'DPL25 MLS'!N31/N$3)</f>
        <v>0</v>
      </c>
      <c r="O31" s="959">
        <f t="shared" si="11"/>
        <v>0</v>
      </c>
      <c r="P31" s="14">
        <f>IF(P$3=0,'DPL25 MLS'!P31,'DPL25 MLS'!P31/P$3)</f>
        <v>0</v>
      </c>
      <c r="Q31" s="959">
        <f t="shared" si="12"/>
        <v>0</v>
      </c>
      <c r="R31" s="14">
        <f>IF(R$3=0,'DPL25 MLS'!R31,'DPL25 MLS'!R31/R$3)</f>
        <v>0</v>
      </c>
      <c r="S31" s="959">
        <f t="shared" si="13"/>
        <v>0</v>
      </c>
      <c r="T31" s="14">
        <f>IF(T$3=0,'DPL25 MLS'!T31,'DPL25 MLS'!T31/T$3)</f>
        <v>0</v>
      </c>
      <c r="U31" s="959">
        <f t="shared" si="14"/>
        <v>0</v>
      </c>
      <c r="V31" s="14">
        <f>IF(V$3=0,'DPL25 MLS'!V31,'DPL25 MLS'!V31/V$3)</f>
        <v>0</v>
      </c>
      <c r="W31" s="959">
        <f t="shared" si="15"/>
        <v>0</v>
      </c>
      <c r="X31" s="14">
        <f>IF(X$3=0,'DPL25 MLS'!X31,'DPL25 MLS'!X31/X$3)</f>
        <v>0</v>
      </c>
      <c r="Y31" s="959">
        <f t="shared" si="16"/>
        <v>0</v>
      </c>
      <c r="Z31" s="15">
        <f t="shared" si="2"/>
        <v>268</v>
      </c>
      <c r="AA31" s="242" t="e">
        <f t="shared" ca="1" si="3"/>
        <v>#REF!</v>
      </c>
      <c r="AB31" s="104">
        <f>SUM('MLS24-Budget'!B31:$B31)</f>
        <v>42907</v>
      </c>
      <c r="AC31" s="242">
        <f t="shared" si="4"/>
        <v>3.7699999999999997E-2</v>
      </c>
    </row>
    <row r="32" spans="1:29" s="4" customFormat="1">
      <c r="A32" s="757" t="s">
        <v>307</v>
      </c>
      <c r="B32" s="14">
        <f ca="1">IF(B$3=0,'DPL25 MLS'!B32,'DPL25 MLS'!B32/B$3)</f>
        <v>122</v>
      </c>
      <c r="C32" s="958">
        <f t="shared" ca="1" si="5"/>
        <v>4.4699999999999997E-2</v>
      </c>
      <c r="D32" s="14">
        <f ca="1">IF(D$3=0,'DPL25 MLS'!D32,'DPL25 MLS'!D32/D$3)</f>
        <v>0</v>
      </c>
      <c r="E32" s="958">
        <f t="shared" ca="1" si="6"/>
        <v>0</v>
      </c>
      <c r="F32" s="14">
        <f ca="1">IF(F$3=0,'DPL25 MLS'!F32,'DPL25 MLS'!F32/F$3)</f>
        <v>0</v>
      </c>
      <c r="G32" s="958">
        <f t="shared" ca="1" si="7"/>
        <v>0</v>
      </c>
      <c r="H32" s="14">
        <f ca="1">IF(H$3=0,'DPL25 MLS'!H32,'DPL25 MLS'!H32/H$3)</f>
        <v>122</v>
      </c>
      <c r="I32" s="903">
        <f t="shared" ca="1" si="8"/>
        <v>0.04</v>
      </c>
      <c r="J32" s="14">
        <f>IF(J$3=0,'DPL25 MLS'!J32,'DPL25 MLS'!J32/J$3)</f>
        <v>0</v>
      </c>
      <c r="K32" s="903">
        <f t="shared" si="9"/>
        <v>0</v>
      </c>
      <c r="L32" s="14">
        <f>IF(L$3=0,'DPL25 MLS'!L32,'DPL25 MLS'!L32/L$3)</f>
        <v>0</v>
      </c>
      <c r="M32" s="903">
        <f t="shared" si="10"/>
        <v>0</v>
      </c>
      <c r="N32" s="14">
        <f>IF(N$3=0,'DPL25 MLS'!N32,'DPL25 MLS'!N32/N$3)</f>
        <v>0</v>
      </c>
      <c r="O32" s="959">
        <f t="shared" si="11"/>
        <v>0</v>
      </c>
      <c r="P32" s="14">
        <f>IF(P$3=0,'DPL25 MLS'!P32,'DPL25 MLS'!P32/P$3)</f>
        <v>0</v>
      </c>
      <c r="Q32" s="959">
        <f t="shared" si="12"/>
        <v>0</v>
      </c>
      <c r="R32" s="14">
        <f>IF(R$3=0,'DPL25 MLS'!R32,'DPL25 MLS'!R32/R$3)</f>
        <v>0</v>
      </c>
      <c r="S32" s="959">
        <f t="shared" si="13"/>
        <v>0</v>
      </c>
      <c r="T32" s="14">
        <f>IF(T$3=0,'DPL25 MLS'!T32,'DPL25 MLS'!T32/T$3)</f>
        <v>0</v>
      </c>
      <c r="U32" s="959">
        <f t="shared" si="14"/>
        <v>0</v>
      </c>
      <c r="V32" s="14">
        <f>IF(V$3=0,'DPL25 MLS'!V32,'DPL25 MLS'!V32/V$3)</f>
        <v>0</v>
      </c>
      <c r="W32" s="959">
        <f t="shared" si="15"/>
        <v>0</v>
      </c>
      <c r="X32" s="14">
        <f>IF(X$3=0,'DPL25 MLS'!X32,'DPL25 MLS'!X32/X$3)</f>
        <v>0</v>
      </c>
      <c r="Y32" s="959">
        <f t="shared" si="16"/>
        <v>0</v>
      </c>
      <c r="Z32" s="15">
        <f t="shared" ca="1" si="2"/>
        <v>244</v>
      </c>
      <c r="AA32" s="242" t="e">
        <f t="shared" ca="1" si="3"/>
        <v>#REF!</v>
      </c>
      <c r="AB32" s="104">
        <f>SUM('MLS24-Budget'!B32:$B32)</f>
        <v>13259</v>
      </c>
      <c r="AC32" s="242">
        <f t="shared" si="4"/>
        <v>1.17E-2</v>
      </c>
    </row>
    <row r="33" spans="1:29" s="4" customFormat="1">
      <c r="A33" s="757" t="s">
        <v>395</v>
      </c>
      <c r="B33" s="14">
        <f>IF(B$3=0,'DPL25 MLS'!B33,'DPL25 MLS'!B33/B$3)</f>
        <v>0</v>
      </c>
      <c r="C33" s="958">
        <f t="shared" ca="1" si="5"/>
        <v>0</v>
      </c>
      <c r="D33" s="14">
        <f>IF(D$3=0,'DPL25 MLS'!D33,'DPL25 MLS'!D33/D$3)</f>
        <v>0</v>
      </c>
      <c r="E33" s="958">
        <f t="shared" ca="1" si="6"/>
        <v>0</v>
      </c>
      <c r="F33" s="14">
        <f>IF(F$3=0,'DPL25 MLS'!F33,'DPL25 MLS'!F33/F$3)</f>
        <v>0</v>
      </c>
      <c r="G33" s="958">
        <f t="shared" ca="1" si="7"/>
        <v>0</v>
      </c>
      <c r="H33" s="14">
        <f>IF(H$3=0,'DPL25 MLS'!H33,'DPL25 MLS'!H33/H$3)</f>
        <v>0</v>
      </c>
      <c r="I33" s="903">
        <f t="shared" ca="1" si="8"/>
        <v>0</v>
      </c>
      <c r="J33" s="14">
        <f>IF(J$3=0,'DPL25 MLS'!J33,'DPL25 MLS'!J33/J$3)</f>
        <v>0</v>
      </c>
      <c r="K33" s="903">
        <f t="shared" si="9"/>
        <v>0</v>
      </c>
      <c r="L33" s="14">
        <f>IF(L$3=0,'DPL25 MLS'!L33,'DPL25 MLS'!L33/L$3)</f>
        <v>0</v>
      </c>
      <c r="M33" s="903">
        <f t="shared" si="10"/>
        <v>0</v>
      </c>
      <c r="N33" s="14">
        <f>IF(N$3=0,'DPL25 MLS'!N33,'DPL25 MLS'!N33/N$3)</f>
        <v>0</v>
      </c>
      <c r="O33" s="959">
        <f t="shared" si="11"/>
        <v>0</v>
      </c>
      <c r="P33" s="14">
        <f>IF(P$3=0,'DPL25 MLS'!P33,'DPL25 MLS'!P33/P$3)</f>
        <v>0</v>
      </c>
      <c r="Q33" s="959">
        <f t="shared" si="12"/>
        <v>0</v>
      </c>
      <c r="R33" s="14">
        <f>IF(R$3=0,'DPL25 MLS'!R33,'DPL25 MLS'!R33/R$3)</f>
        <v>0</v>
      </c>
      <c r="S33" s="959">
        <f t="shared" si="13"/>
        <v>0</v>
      </c>
      <c r="T33" s="14">
        <f>IF(T$3=0,'DPL25 MLS'!T33,'DPL25 MLS'!T33/T$3)</f>
        <v>0</v>
      </c>
      <c r="U33" s="959">
        <f t="shared" si="14"/>
        <v>0</v>
      </c>
      <c r="V33" s="14">
        <f>IF(V$3=0,'DPL25 MLS'!V33,'DPL25 MLS'!V33/V$3)</f>
        <v>0</v>
      </c>
      <c r="W33" s="959">
        <f t="shared" si="15"/>
        <v>0</v>
      </c>
      <c r="X33" s="14">
        <f>IF(X$3=0,'DPL25 MLS'!X33,'DPL25 MLS'!X33/X$3)</f>
        <v>0</v>
      </c>
      <c r="Y33" s="959">
        <f t="shared" si="16"/>
        <v>0</v>
      </c>
      <c r="Z33" s="15">
        <f t="shared" si="2"/>
        <v>0</v>
      </c>
      <c r="AA33" s="242" t="e">
        <f t="shared" ca="1" si="3"/>
        <v>#REF!</v>
      </c>
      <c r="AB33" s="104">
        <f>SUM('MLS24-Budget'!B33:$B33)</f>
        <v>58875</v>
      </c>
      <c r="AC33" s="242">
        <f t="shared" si="4"/>
        <v>5.1799999999999999E-2</v>
      </c>
    </row>
    <row r="34" spans="1:29" s="4" customFormat="1">
      <c r="A34" s="757" t="s">
        <v>396</v>
      </c>
      <c r="B34" s="14">
        <f>IF(B$3=0,'DPL25 MLS'!B34,'DPL25 MLS'!B34/B$3)</f>
        <v>0</v>
      </c>
      <c r="C34" s="958">
        <f t="shared" ca="1" si="5"/>
        <v>0</v>
      </c>
      <c r="D34" s="14">
        <f>IF(D$3=0,'DPL25 MLS'!D34,'DPL25 MLS'!D34/D$3)</f>
        <v>0</v>
      </c>
      <c r="E34" s="958">
        <f t="shared" ca="1" si="6"/>
        <v>0</v>
      </c>
      <c r="F34" s="14">
        <f>IF(F$3=0,'DPL25 MLS'!F34,'DPL25 MLS'!F34/F$3)</f>
        <v>0</v>
      </c>
      <c r="G34" s="958">
        <f t="shared" ca="1" si="7"/>
        <v>0</v>
      </c>
      <c r="H34" s="14">
        <f>IF(H$3=0,'DPL25 MLS'!H34,'DPL25 MLS'!H34/H$3)</f>
        <v>0</v>
      </c>
      <c r="I34" s="903">
        <f t="shared" ca="1" si="8"/>
        <v>0</v>
      </c>
      <c r="J34" s="14">
        <f>IF(J$3=0,'DPL25 MLS'!J34,'DPL25 MLS'!J34/J$3)</f>
        <v>0</v>
      </c>
      <c r="K34" s="903">
        <f t="shared" si="9"/>
        <v>0</v>
      </c>
      <c r="L34" s="14">
        <f>IF(L$3=0,'DPL25 MLS'!L34,'DPL25 MLS'!L34/L$3)</f>
        <v>0</v>
      </c>
      <c r="M34" s="903">
        <f t="shared" si="10"/>
        <v>0</v>
      </c>
      <c r="N34" s="14">
        <f>IF(N$3=0,'DPL25 MLS'!N34,'DPL25 MLS'!N34/N$3)</f>
        <v>0</v>
      </c>
      <c r="O34" s="959">
        <f t="shared" si="11"/>
        <v>0</v>
      </c>
      <c r="P34" s="14">
        <f>IF(P$3=0,'DPL25 MLS'!P34,'DPL25 MLS'!P34/P$3)</f>
        <v>0</v>
      </c>
      <c r="Q34" s="959">
        <f t="shared" si="12"/>
        <v>0</v>
      </c>
      <c r="R34" s="14">
        <f>IF(R$3=0,'DPL25 MLS'!R34,'DPL25 MLS'!R34/R$3)</f>
        <v>0</v>
      </c>
      <c r="S34" s="959">
        <f t="shared" si="13"/>
        <v>0</v>
      </c>
      <c r="T34" s="14">
        <f>IF(T$3=0,'DPL25 MLS'!T34,'DPL25 MLS'!T34/T$3)</f>
        <v>0</v>
      </c>
      <c r="U34" s="959">
        <f t="shared" si="14"/>
        <v>0</v>
      </c>
      <c r="V34" s="14">
        <f>IF(V$3=0,'DPL25 MLS'!V34,'DPL25 MLS'!V34/V$3)</f>
        <v>0</v>
      </c>
      <c r="W34" s="959">
        <f t="shared" si="15"/>
        <v>0</v>
      </c>
      <c r="X34" s="14">
        <f>IF(X$3=0,'DPL25 MLS'!X34,'DPL25 MLS'!X34/X$3)</f>
        <v>0</v>
      </c>
      <c r="Y34" s="959">
        <f t="shared" si="16"/>
        <v>0</v>
      </c>
      <c r="Z34" s="15">
        <f t="shared" si="2"/>
        <v>0</v>
      </c>
      <c r="AA34" s="242" t="e">
        <f t="shared" ca="1" si="3"/>
        <v>#REF!</v>
      </c>
      <c r="AB34" s="104">
        <f>SUM('MLS24-Budget'!B34:$B34)</f>
        <v>1874</v>
      </c>
      <c r="AC34" s="242">
        <f t="shared" si="4"/>
        <v>1.6000000000000001E-3</v>
      </c>
    </row>
    <row r="35" spans="1:29" s="4" customFormat="1">
      <c r="A35" s="757" t="s">
        <v>290</v>
      </c>
      <c r="B35" s="14">
        <f>IF(B$3=0,'DPL25 MLS'!B35,'DPL25 MLS'!B35/B$3)</f>
        <v>0</v>
      </c>
      <c r="C35" s="958">
        <f t="shared" ca="1" si="5"/>
        <v>0</v>
      </c>
      <c r="D35" s="14">
        <f>IF(D$3=0,'DPL25 MLS'!D35,'DPL25 MLS'!D35/D$3)</f>
        <v>0</v>
      </c>
      <c r="E35" s="958">
        <f t="shared" ca="1" si="6"/>
        <v>0</v>
      </c>
      <c r="F35" s="14">
        <f>IF(F$3=0,'DPL25 MLS'!F35,'DPL25 MLS'!F35/F$3)</f>
        <v>0</v>
      </c>
      <c r="G35" s="958">
        <f t="shared" ca="1" si="7"/>
        <v>0</v>
      </c>
      <c r="H35" s="14">
        <f>IF(H$3=0,'DPL25 MLS'!H35,'DPL25 MLS'!H35/H$3)</f>
        <v>1463</v>
      </c>
      <c r="I35" s="903">
        <f t="shared" ca="1" si="8"/>
        <v>0.54</v>
      </c>
      <c r="J35" s="14">
        <f>IF(J$3=0,'DPL25 MLS'!J35,'DPL25 MLS'!J35/J$3)</f>
        <v>0</v>
      </c>
      <c r="K35" s="903">
        <f t="shared" si="9"/>
        <v>0</v>
      </c>
      <c r="L35" s="14">
        <f>IF(L$3=0,'DPL25 MLS'!L35,'DPL25 MLS'!L35/L$3)</f>
        <v>0</v>
      </c>
      <c r="M35" s="903">
        <f t="shared" si="10"/>
        <v>0</v>
      </c>
      <c r="N35" s="14">
        <f>IF(N$3=0,'DPL25 MLS'!N35,'DPL25 MLS'!N35/N$3)</f>
        <v>0</v>
      </c>
      <c r="O35" s="959">
        <f t="shared" si="11"/>
        <v>0</v>
      </c>
      <c r="P35" s="14">
        <f>IF(P$3=0,'DPL25 MLS'!P35,'DPL25 MLS'!P35/P$3)</f>
        <v>0</v>
      </c>
      <c r="Q35" s="959">
        <f t="shared" si="12"/>
        <v>0</v>
      </c>
      <c r="R35" s="14">
        <f>IF(R$3=0,'DPL25 MLS'!R35,'DPL25 MLS'!R35/R$3)</f>
        <v>0</v>
      </c>
      <c r="S35" s="959">
        <f t="shared" si="13"/>
        <v>0</v>
      </c>
      <c r="T35" s="14">
        <f>IF(T$3=0,'DPL25 MLS'!T35,'DPL25 MLS'!T35/T$3)</f>
        <v>0</v>
      </c>
      <c r="U35" s="959">
        <f t="shared" si="14"/>
        <v>0</v>
      </c>
      <c r="V35" s="14">
        <f>IF(V$3=0,'DPL25 MLS'!V35,'DPL25 MLS'!V35/V$3)</f>
        <v>0</v>
      </c>
      <c r="W35" s="959">
        <f t="shared" si="15"/>
        <v>0</v>
      </c>
      <c r="X35" s="14">
        <f>IF(X$3=0,'DPL25 MLS'!X35,'DPL25 MLS'!X35/X$3)</f>
        <v>0</v>
      </c>
      <c r="Y35" s="959">
        <f t="shared" si="16"/>
        <v>0</v>
      </c>
      <c r="Z35" s="15">
        <f t="shared" si="2"/>
        <v>1463</v>
      </c>
      <c r="AA35" s="242" t="e">
        <f t="shared" ca="1" si="3"/>
        <v>#REF!</v>
      </c>
      <c r="AB35" s="104">
        <f>SUM('MLS24-Budget'!B35:$B35)</f>
        <v>13638</v>
      </c>
      <c r="AC35" s="242">
        <f t="shared" si="4"/>
        <v>1.2E-2</v>
      </c>
    </row>
    <row r="36" spans="1:29" s="4" customFormat="1">
      <c r="A36" s="757" t="s">
        <v>297</v>
      </c>
      <c r="B36" s="14">
        <f>IF(B$3=0,'DPL25 MLS'!B36,'DPL25 MLS'!B36/B$3)</f>
        <v>0</v>
      </c>
      <c r="C36" s="958">
        <f t="shared" ca="1" si="5"/>
        <v>0</v>
      </c>
      <c r="D36" s="14">
        <f>IF(D$3=0,'DPL25 MLS'!D36,'DPL25 MLS'!D36/D$3)</f>
        <v>0</v>
      </c>
      <c r="E36" s="958">
        <f t="shared" ca="1" si="6"/>
        <v>0</v>
      </c>
      <c r="F36" s="14">
        <f>IF(F$3=0,'DPL25 MLS'!F36,'DPL25 MLS'!F36/F$3)</f>
        <v>0</v>
      </c>
      <c r="G36" s="958">
        <f t="shared" ca="1" si="7"/>
        <v>0</v>
      </c>
      <c r="H36" s="14">
        <f>IF(H$3=0,'DPL25 MLS'!H36,'DPL25 MLS'!H36/H$3)</f>
        <v>0</v>
      </c>
      <c r="I36" s="903">
        <f t="shared" ca="1" si="8"/>
        <v>0</v>
      </c>
      <c r="J36" s="14">
        <f>IF(J$3=0,'DPL25 MLS'!J36,'DPL25 MLS'!J36/J$3)</f>
        <v>0</v>
      </c>
      <c r="K36" s="903">
        <f t="shared" si="9"/>
        <v>0</v>
      </c>
      <c r="L36" s="14">
        <f>IF(L$3=0,'DPL25 MLS'!L36,'DPL25 MLS'!L36/L$3)</f>
        <v>0</v>
      </c>
      <c r="M36" s="903">
        <f t="shared" si="10"/>
        <v>0</v>
      </c>
      <c r="N36" s="14">
        <f>IF(N$3=0,'DPL25 MLS'!N36,'DPL25 MLS'!N36/N$3)</f>
        <v>0</v>
      </c>
      <c r="O36" s="959">
        <f t="shared" si="11"/>
        <v>0</v>
      </c>
      <c r="P36" s="14">
        <f>IF(P$3=0,'DPL25 MLS'!P36,'DPL25 MLS'!P36/P$3)</f>
        <v>0</v>
      </c>
      <c r="Q36" s="959">
        <f t="shared" si="12"/>
        <v>0</v>
      </c>
      <c r="R36" s="14">
        <f>IF(R$3=0,'DPL25 MLS'!R36,'DPL25 MLS'!R36/R$3)</f>
        <v>0</v>
      </c>
      <c r="S36" s="959">
        <f t="shared" si="13"/>
        <v>0</v>
      </c>
      <c r="T36" s="14">
        <f>IF(T$3=0,'DPL25 MLS'!T36,'DPL25 MLS'!T36/T$3)</f>
        <v>0</v>
      </c>
      <c r="U36" s="959">
        <f t="shared" si="14"/>
        <v>0</v>
      </c>
      <c r="V36" s="14">
        <f>IF(V$3=0,'DPL25 MLS'!V36,'DPL25 MLS'!V36/V$3)</f>
        <v>0</v>
      </c>
      <c r="W36" s="959">
        <f t="shared" si="15"/>
        <v>0</v>
      </c>
      <c r="X36" s="14">
        <f>IF(X$3=0,'DPL25 MLS'!X36,'DPL25 MLS'!X36/X$3)</f>
        <v>0</v>
      </c>
      <c r="Y36" s="959">
        <f t="shared" si="16"/>
        <v>0</v>
      </c>
      <c r="Z36" s="15">
        <f t="shared" si="2"/>
        <v>0</v>
      </c>
      <c r="AA36" s="242" t="e">
        <f t="shared" ca="1" si="3"/>
        <v>#REF!</v>
      </c>
      <c r="AB36" s="104">
        <f>SUM('MLS24-Budget'!B36:$B36)</f>
        <v>6519</v>
      </c>
      <c r="AC36" s="242">
        <f t="shared" si="4"/>
        <v>5.7000000000000002E-3</v>
      </c>
    </row>
    <row r="37" spans="1:29" s="4" customFormat="1">
      <c r="A37" s="757" t="s">
        <v>299</v>
      </c>
      <c r="B37" s="14">
        <f>IF(B$3=0,'DPL25 MLS'!B37,'DPL25 MLS'!B37/B$3)</f>
        <v>0</v>
      </c>
      <c r="C37" s="958">
        <f t="shared" ca="1" si="5"/>
        <v>0</v>
      </c>
      <c r="D37" s="14">
        <f>IF(D$3=0,'DPL25 MLS'!D37,'DPL25 MLS'!D37/D$3)</f>
        <v>0</v>
      </c>
      <c r="E37" s="958">
        <f t="shared" ca="1" si="6"/>
        <v>0</v>
      </c>
      <c r="F37" s="14">
        <f>IF(F$3=0,'DPL25 MLS'!F37,'DPL25 MLS'!F37/F$3)</f>
        <v>0</v>
      </c>
      <c r="G37" s="958">
        <f t="shared" ca="1" si="7"/>
        <v>0</v>
      </c>
      <c r="H37" s="14">
        <f>IF(H$3=0,'DPL25 MLS'!H37,'DPL25 MLS'!H37/H$3)</f>
        <v>0</v>
      </c>
      <c r="I37" s="903">
        <f t="shared" ca="1" si="8"/>
        <v>0</v>
      </c>
      <c r="J37" s="14">
        <f>IF(J$3=0,'DPL25 MLS'!J37,'DPL25 MLS'!J37/J$3)</f>
        <v>0</v>
      </c>
      <c r="K37" s="903">
        <f t="shared" si="9"/>
        <v>0</v>
      </c>
      <c r="L37" s="14">
        <f>IF(L$3=0,'DPL25 MLS'!L37,'DPL25 MLS'!L37/L$3)</f>
        <v>0</v>
      </c>
      <c r="M37" s="903">
        <f t="shared" si="10"/>
        <v>0</v>
      </c>
      <c r="N37" s="14">
        <f>IF(N$3=0,'DPL25 MLS'!N37,'DPL25 MLS'!N37/N$3)</f>
        <v>0</v>
      </c>
      <c r="O37" s="959">
        <f t="shared" si="11"/>
        <v>0</v>
      </c>
      <c r="P37" s="14">
        <f>IF(P$3=0,'DPL25 MLS'!P37,'DPL25 MLS'!P37/P$3)</f>
        <v>0</v>
      </c>
      <c r="Q37" s="959">
        <f t="shared" si="12"/>
        <v>0</v>
      </c>
      <c r="R37" s="14">
        <f>IF(R$3=0,'DPL25 MLS'!R37,'DPL25 MLS'!R37/R$3)</f>
        <v>0</v>
      </c>
      <c r="S37" s="959">
        <f t="shared" si="13"/>
        <v>0</v>
      </c>
      <c r="T37" s="14">
        <f>IF(T$3=0,'DPL25 MLS'!T37,'DPL25 MLS'!T37/T$3)</f>
        <v>0</v>
      </c>
      <c r="U37" s="959">
        <f t="shared" si="14"/>
        <v>0</v>
      </c>
      <c r="V37" s="14">
        <f>IF(V$3=0,'DPL25 MLS'!V37,'DPL25 MLS'!V37/V$3)</f>
        <v>0</v>
      </c>
      <c r="W37" s="959">
        <f t="shared" si="15"/>
        <v>0</v>
      </c>
      <c r="X37" s="14">
        <f>IF(X$3=0,'DPL25 MLS'!X37,'DPL25 MLS'!X37/X$3)</f>
        <v>0</v>
      </c>
      <c r="Y37" s="959">
        <f t="shared" si="16"/>
        <v>0</v>
      </c>
      <c r="Z37" s="15">
        <f t="shared" si="2"/>
        <v>0</v>
      </c>
      <c r="AA37" s="242" t="e">
        <f t="shared" ca="1" si="3"/>
        <v>#REF!</v>
      </c>
      <c r="AB37" s="104">
        <f>SUM('MLS24-Budget'!B37:$B37)</f>
        <v>5117</v>
      </c>
      <c r="AC37" s="242">
        <f t="shared" si="4"/>
        <v>4.4999999999999997E-3</v>
      </c>
    </row>
    <row r="38" spans="1:29" s="4" customFormat="1">
      <c r="A38" s="757" t="s">
        <v>397</v>
      </c>
      <c r="B38" s="14">
        <f>IF(B$3=0,'DPL25 MLS'!B38,'DPL25 MLS'!B38/B$3)</f>
        <v>0</v>
      </c>
      <c r="C38" s="958">
        <f t="shared" ca="1" si="5"/>
        <v>0</v>
      </c>
      <c r="D38" s="14">
        <f>IF(D$3=0,'DPL25 MLS'!D38,'DPL25 MLS'!D38/D$3)</f>
        <v>0</v>
      </c>
      <c r="E38" s="958">
        <f t="shared" ca="1" si="6"/>
        <v>0</v>
      </c>
      <c r="F38" s="14">
        <f>IF(F$3=0,'DPL25 MLS'!F38,'DPL25 MLS'!F38/F$3)</f>
        <v>0</v>
      </c>
      <c r="G38" s="958">
        <f t="shared" ca="1" si="7"/>
        <v>0</v>
      </c>
      <c r="H38" s="14">
        <f>IF(H$3=0,'DPL25 MLS'!H38,'DPL25 MLS'!H38/H$3)</f>
        <v>0</v>
      </c>
      <c r="I38" s="903">
        <f t="shared" ca="1" si="8"/>
        <v>0</v>
      </c>
      <c r="J38" s="14">
        <f>IF(J$3=0,'DPL25 MLS'!J38,'DPL25 MLS'!J38/J$3)</f>
        <v>0</v>
      </c>
      <c r="K38" s="903">
        <f t="shared" si="9"/>
        <v>0</v>
      </c>
      <c r="L38" s="14">
        <f>IF(L$3=0,'DPL25 MLS'!L38,'DPL25 MLS'!L38/L$3)</f>
        <v>0</v>
      </c>
      <c r="M38" s="903">
        <f t="shared" si="10"/>
        <v>0</v>
      </c>
      <c r="N38" s="14">
        <f>IF(N$3=0,'DPL25 MLS'!N38,'DPL25 MLS'!N38/N$3)</f>
        <v>0</v>
      </c>
      <c r="O38" s="959">
        <f t="shared" si="11"/>
        <v>0</v>
      </c>
      <c r="P38" s="14">
        <f>IF(P$3=0,'DPL25 MLS'!P38,'DPL25 MLS'!P38/P$3)</f>
        <v>0</v>
      </c>
      <c r="Q38" s="959">
        <f t="shared" si="12"/>
        <v>0</v>
      </c>
      <c r="R38" s="14">
        <f>IF(R$3=0,'DPL25 MLS'!R38,'DPL25 MLS'!R38/R$3)</f>
        <v>0</v>
      </c>
      <c r="S38" s="959">
        <f t="shared" si="13"/>
        <v>0</v>
      </c>
      <c r="T38" s="14">
        <f>IF(T$3=0,'DPL25 MLS'!T38,'DPL25 MLS'!T38/T$3)</f>
        <v>0</v>
      </c>
      <c r="U38" s="959">
        <f t="shared" si="14"/>
        <v>0</v>
      </c>
      <c r="V38" s="14">
        <f>IF(V$3=0,'DPL25 MLS'!V38,'DPL25 MLS'!V38/V$3)</f>
        <v>0</v>
      </c>
      <c r="W38" s="959">
        <f t="shared" si="15"/>
        <v>0</v>
      </c>
      <c r="X38" s="14">
        <f>IF(X$3=0,'DPL25 MLS'!X38,'DPL25 MLS'!X38/X$3)</f>
        <v>0</v>
      </c>
      <c r="Y38" s="959">
        <f t="shared" si="16"/>
        <v>0</v>
      </c>
      <c r="Z38" s="15">
        <f t="shared" si="2"/>
        <v>0</v>
      </c>
      <c r="AA38" s="242" t="e">
        <f t="shared" ca="1" si="3"/>
        <v>#REF!</v>
      </c>
      <c r="AB38" s="104">
        <f>SUM('MLS24-Budget'!B38:$B38)</f>
        <v>7628</v>
      </c>
      <c r="AC38" s="242">
        <f t="shared" si="4"/>
        <v>6.7000000000000002E-3</v>
      </c>
    </row>
    <row r="39" spans="1:29" s="4" customFormat="1">
      <c r="A39" s="757" t="s">
        <v>593</v>
      </c>
      <c r="B39" s="14">
        <f>IF(B$3=0,'DPL25 MLS'!B39,'DPL25 MLS'!B39/B$3)</f>
        <v>0</v>
      </c>
      <c r="C39" s="958">
        <f t="shared" ca="1" si="5"/>
        <v>0</v>
      </c>
      <c r="D39" s="14">
        <f>IF(D$3=0,'DPL25 MLS'!D39,'DPL25 MLS'!D39/D$3)</f>
        <v>0</v>
      </c>
      <c r="E39" s="958">
        <f t="shared" ca="1" si="6"/>
        <v>0</v>
      </c>
      <c r="F39" s="14">
        <f>IF(F$3=0,'DPL25 MLS'!F39,'DPL25 MLS'!F39/F$3)</f>
        <v>0</v>
      </c>
      <c r="G39" s="958">
        <f t="shared" ca="1" si="7"/>
        <v>0</v>
      </c>
      <c r="H39" s="14">
        <f>IF(H$3=0,'DPL25 MLS'!H39,'DPL25 MLS'!H39/H$3)</f>
        <v>0</v>
      </c>
      <c r="I39" s="903">
        <f t="shared" ca="1" si="8"/>
        <v>0</v>
      </c>
      <c r="J39" s="14">
        <f>IF(J$3=0,'DPL25 MLS'!J39,'DPL25 MLS'!J39/J$3)</f>
        <v>0</v>
      </c>
      <c r="K39" s="903">
        <f t="shared" si="9"/>
        <v>0</v>
      </c>
      <c r="L39" s="14">
        <f>IF(L$3=0,'DPL25 MLS'!L39,'DPL25 MLS'!L39/L$3)</f>
        <v>0</v>
      </c>
      <c r="M39" s="903">
        <f t="shared" si="10"/>
        <v>0</v>
      </c>
      <c r="N39" s="14">
        <f>IF(N$3=0,'DPL25 MLS'!N39,'DPL25 MLS'!N39/N$3)</f>
        <v>0</v>
      </c>
      <c r="O39" s="959">
        <f t="shared" si="11"/>
        <v>0</v>
      </c>
      <c r="P39" s="14">
        <f>IF(P$3=0,'DPL25 MLS'!P39,'DPL25 MLS'!P39/P$3)</f>
        <v>0</v>
      </c>
      <c r="Q39" s="959">
        <f t="shared" si="12"/>
        <v>0</v>
      </c>
      <c r="R39" s="14">
        <f>IF(R$3=0,'DPL25 MLS'!R39,'DPL25 MLS'!R39/R$3)</f>
        <v>0</v>
      </c>
      <c r="S39" s="959">
        <f t="shared" si="13"/>
        <v>0</v>
      </c>
      <c r="T39" s="14">
        <f>IF(T$3=0,'DPL25 MLS'!T39,'DPL25 MLS'!T39/T$3)</f>
        <v>0</v>
      </c>
      <c r="U39" s="959">
        <f t="shared" si="14"/>
        <v>0</v>
      </c>
      <c r="V39" s="14">
        <f>IF(V$3=0,'DPL25 MLS'!V39,'DPL25 MLS'!V39/V$3)</f>
        <v>0</v>
      </c>
      <c r="W39" s="959">
        <f t="shared" si="15"/>
        <v>0</v>
      </c>
      <c r="X39" s="14">
        <f>IF(X$3=0,'DPL25 MLS'!X39,'DPL25 MLS'!X39/X$3)</f>
        <v>0</v>
      </c>
      <c r="Y39" s="959">
        <f t="shared" si="16"/>
        <v>0</v>
      </c>
      <c r="Z39" s="15">
        <f t="shared" si="2"/>
        <v>0</v>
      </c>
      <c r="AA39" s="242" t="e">
        <f t="shared" ca="1" si="3"/>
        <v>#REF!</v>
      </c>
      <c r="AB39" s="104">
        <f>SUM('MLS24-Budget'!B39:$B39)</f>
        <v>-181</v>
      </c>
      <c r="AC39" s="242">
        <f t="shared" si="4"/>
        <v>-2.0000000000000001E-4</v>
      </c>
    </row>
    <row r="40" spans="1:29" s="4" customFormat="1">
      <c r="A40" s="757" t="s">
        <v>399</v>
      </c>
      <c r="B40" s="14">
        <f>IF(B$3=0,'DPL25 MLS'!B40,'DPL25 MLS'!B40/B$3)</f>
        <v>0</v>
      </c>
      <c r="C40" s="958">
        <f t="shared" ca="1" si="5"/>
        <v>0</v>
      </c>
      <c r="D40" s="14">
        <f>IF(D$3=0,'DPL25 MLS'!D40,'DPL25 MLS'!D40/D$3)</f>
        <v>0</v>
      </c>
      <c r="E40" s="958">
        <f t="shared" ca="1" si="6"/>
        <v>0</v>
      </c>
      <c r="F40" s="14">
        <f>IF(F$3=0,'DPL25 MLS'!F40,'DPL25 MLS'!F40/F$3)</f>
        <v>0</v>
      </c>
      <c r="G40" s="958">
        <f t="shared" ca="1" si="7"/>
        <v>0</v>
      </c>
      <c r="H40" s="14">
        <f>IF(H$3=0,'DPL25 MLS'!H40,'DPL25 MLS'!H40/H$3)</f>
        <v>0</v>
      </c>
      <c r="I40" s="903">
        <f t="shared" ca="1" si="8"/>
        <v>0</v>
      </c>
      <c r="J40" s="14">
        <f>IF(J$3=0,'DPL25 MLS'!J40,'DPL25 MLS'!J40/J$3)</f>
        <v>0</v>
      </c>
      <c r="K40" s="903">
        <f t="shared" si="9"/>
        <v>0</v>
      </c>
      <c r="L40" s="14">
        <f>IF(L$3=0,'DPL25 MLS'!L40,'DPL25 MLS'!L40/L$3)</f>
        <v>0</v>
      </c>
      <c r="M40" s="903">
        <f t="shared" si="10"/>
        <v>0</v>
      </c>
      <c r="N40" s="14">
        <f>IF(N$3=0,'DPL25 MLS'!N40,'DPL25 MLS'!N40/N$3)</f>
        <v>0</v>
      </c>
      <c r="O40" s="959">
        <f t="shared" si="11"/>
        <v>0</v>
      </c>
      <c r="P40" s="14">
        <f>IF(P$3=0,'DPL25 MLS'!P40,'DPL25 MLS'!P40/P$3)</f>
        <v>0</v>
      </c>
      <c r="Q40" s="959">
        <f t="shared" si="12"/>
        <v>0</v>
      </c>
      <c r="R40" s="14">
        <f>IF(R$3=0,'DPL25 MLS'!R40,'DPL25 MLS'!R40/R$3)</f>
        <v>0</v>
      </c>
      <c r="S40" s="959">
        <f t="shared" si="13"/>
        <v>0</v>
      </c>
      <c r="T40" s="14">
        <f>IF(T$3=0,'DPL25 MLS'!T40,'DPL25 MLS'!T40/T$3)</f>
        <v>0</v>
      </c>
      <c r="U40" s="959">
        <f t="shared" si="14"/>
        <v>0</v>
      </c>
      <c r="V40" s="14">
        <f>IF(V$3=0,'DPL25 MLS'!V40,'DPL25 MLS'!V40/V$3)</f>
        <v>0</v>
      </c>
      <c r="W40" s="959">
        <f t="shared" si="15"/>
        <v>0</v>
      </c>
      <c r="X40" s="14">
        <f>IF(X$3=0,'DPL25 MLS'!X40,'DPL25 MLS'!X40/X$3)</f>
        <v>0</v>
      </c>
      <c r="Y40" s="959">
        <f t="shared" si="16"/>
        <v>0</v>
      </c>
      <c r="Z40" s="15">
        <f t="shared" si="2"/>
        <v>0</v>
      </c>
      <c r="AA40" s="242" t="e">
        <f t="shared" ca="1" si="3"/>
        <v>#REF!</v>
      </c>
      <c r="AB40" s="104">
        <f>SUM('MLS24-Budget'!B40:$B40)</f>
        <v>0</v>
      </c>
      <c r="AC40" s="242">
        <f t="shared" si="4"/>
        <v>0</v>
      </c>
    </row>
    <row r="41" spans="1:29" s="4" customFormat="1">
      <c r="A41" s="757" t="s">
        <v>400</v>
      </c>
      <c r="B41" s="14">
        <f>IF(B$3=0,'DPL25 MLS'!B41,'DPL25 MLS'!B41/B$3)</f>
        <v>0</v>
      </c>
      <c r="C41" s="958">
        <f t="shared" ca="1" si="5"/>
        <v>0</v>
      </c>
      <c r="D41" s="14">
        <f>IF(D$3=0,'DPL25 MLS'!D41,'DPL25 MLS'!D41/D$3)</f>
        <v>0</v>
      </c>
      <c r="E41" s="958">
        <f t="shared" ca="1" si="6"/>
        <v>0</v>
      </c>
      <c r="F41" s="14">
        <f>IF(F$3=0,'DPL25 MLS'!F41,'DPL25 MLS'!F41/F$3)</f>
        <v>0</v>
      </c>
      <c r="G41" s="958">
        <f t="shared" ca="1" si="7"/>
        <v>0</v>
      </c>
      <c r="H41" s="14">
        <f>IF(H$3=0,'DPL25 MLS'!H41,'DPL25 MLS'!H41/H$3)</f>
        <v>0</v>
      </c>
      <c r="I41" s="903">
        <f t="shared" ca="1" si="8"/>
        <v>0</v>
      </c>
      <c r="J41" s="14">
        <f>IF(J$3=0,'DPL25 MLS'!J41,'DPL25 MLS'!J41/J$3)</f>
        <v>0</v>
      </c>
      <c r="K41" s="903">
        <f t="shared" si="9"/>
        <v>0</v>
      </c>
      <c r="L41" s="14">
        <f>IF(L$3=0,'DPL25 MLS'!L41,'DPL25 MLS'!L41/L$3)</f>
        <v>0</v>
      </c>
      <c r="M41" s="903">
        <f t="shared" si="10"/>
        <v>0</v>
      </c>
      <c r="N41" s="14">
        <f>IF(N$3=0,'DPL25 MLS'!N41,'DPL25 MLS'!N41/N$3)</f>
        <v>0</v>
      </c>
      <c r="O41" s="959">
        <f t="shared" si="11"/>
        <v>0</v>
      </c>
      <c r="P41" s="14">
        <f>IF(P$3=0,'DPL25 MLS'!P41,'DPL25 MLS'!P41/P$3)</f>
        <v>0</v>
      </c>
      <c r="Q41" s="959">
        <f t="shared" si="12"/>
        <v>0</v>
      </c>
      <c r="R41" s="14">
        <f>IF(R$3=0,'DPL25 MLS'!R41,'DPL25 MLS'!R41/R$3)</f>
        <v>0</v>
      </c>
      <c r="S41" s="959">
        <f t="shared" si="13"/>
        <v>0</v>
      </c>
      <c r="T41" s="14">
        <f>IF(T$3=0,'DPL25 MLS'!T41,'DPL25 MLS'!T41/T$3)</f>
        <v>0</v>
      </c>
      <c r="U41" s="959">
        <f t="shared" si="14"/>
        <v>0</v>
      </c>
      <c r="V41" s="14">
        <f>IF(V$3=0,'DPL25 MLS'!V41,'DPL25 MLS'!V41/V$3)</f>
        <v>0</v>
      </c>
      <c r="W41" s="959">
        <f t="shared" si="15"/>
        <v>0</v>
      </c>
      <c r="X41" s="14">
        <f>IF(X$3=0,'DPL25 MLS'!X41,'DPL25 MLS'!X41/X$3)</f>
        <v>0</v>
      </c>
      <c r="Y41" s="959">
        <f t="shared" si="16"/>
        <v>0</v>
      </c>
      <c r="Z41" s="15">
        <f t="shared" si="2"/>
        <v>0</v>
      </c>
      <c r="AA41" s="242" t="e">
        <f t="shared" ca="1" si="3"/>
        <v>#REF!</v>
      </c>
      <c r="AB41" s="104">
        <f>SUM('MLS24-Budget'!B41:$B41)</f>
        <v>0</v>
      </c>
      <c r="AC41" s="242">
        <f t="shared" si="4"/>
        <v>0</v>
      </c>
    </row>
    <row r="42" spans="1:29" s="4" customFormat="1">
      <c r="A42" s="757" t="s">
        <v>66</v>
      </c>
      <c r="B42" s="14">
        <f>IF(B$3=0,'DPL25 MLS'!B42,'DPL25 MLS'!B42/B$3)</f>
        <v>0</v>
      </c>
      <c r="C42" s="958">
        <f t="shared" ca="1" si="5"/>
        <v>0</v>
      </c>
      <c r="D42" s="14">
        <f>IF(D$3=0,'DPL25 MLS'!D42,'DPL25 MLS'!D42/D$3)</f>
        <v>0</v>
      </c>
      <c r="E42" s="958">
        <f t="shared" ca="1" si="6"/>
        <v>0</v>
      </c>
      <c r="F42" s="14">
        <f>IF(F$3=0,'DPL25 MLS'!F42,'DPL25 MLS'!F42/F$3)</f>
        <v>0</v>
      </c>
      <c r="G42" s="958">
        <f t="shared" ca="1" si="7"/>
        <v>0</v>
      </c>
      <c r="H42" s="14">
        <f>IF(H$3=0,'DPL25 MLS'!H42,'DPL25 MLS'!H42/H$3)</f>
        <v>0</v>
      </c>
      <c r="I42" s="903">
        <f t="shared" ca="1" si="8"/>
        <v>0</v>
      </c>
      <c r="J42" s="14">
        <f>IF(J$3=0,'DPL25 MLS'!J42,'DPL25 MLS'!J42/J$3)</f>
        <v>0</v>
      </c>
      <c r="K42" s="903">
        <f t="shared" si="9"/>
        <v>0</v>
      </c>
      <c r="L42" s="14">
        <f>IF(L$3=0,'DPL25 MLS'!L42,'DPL25 MLS'!L42/L$3)</f>
        <v>0</v>
      </c>
      <c r="M42" s="903">
        <f t="shared" si="10"/>
        <v>0</v>
      </c>
      <c r="N42" s="14">
        <f>IF(N$3=0,'DPL25 MLS'!N42,'DPL25 MLS'!N42/N$3)</f>
        <v>0</v>
      </c>
      <c r="O42" s="959">
        <f t="shared" si="11"/>
        <v>0</v>
      </c>
      <c r="P42" s="14">
        <f>IF(P$3=0,'DPL25 MLS'!P42,'DPL25 MLS'!P42/P$3)</f>
        <v>0</v>
      </c>
      <c r="Q42" s="959">
        <f t="shared" si="12"/>
        <v>0</v>
      </c>
      <c r="R42" s="14">
        <f>IF(R$3=0,'DPL25 MLS'!R42,'DPL25 MLS'!R42/R$3)</f>
        <v>0</v>
      </c>
      <c r="S42" s="959">
        <f t="shared" si="13"/>
        <v>0</v>
      </c>
      <c r="T42" s="14">
        <f>IF(T$3=0,'DPL25 MLS'!T42,'DPL25 MLS'!T42/T$3)</f>
        <v>0</v>
      </c>
      <c r="U42" s="959">
        <f t="shared" si="14"/>
        <v>0</v>
      </c>
      <c r="V42" s="14">
        <f>IF(V$3=0,'DPL25 MLS'!V42,'DPL25 MLS'!V42/V$3)</f>
        <v>0</v>
      </c>
      <c r="W42" s="959">
        <f t="shared" si="15"/>
        <v>0</v>
      </c>
      <c r="X42" s="14">
        <f>IF(X$3=0,'DPL25 MLS'!X42,'DPL25 MLS'!X42/X$3)</f>
        <v>0</v>
      </c>
      <c r="Y42" s="959">
        <f t="shared" si="16"/>
        <v>0</v>
      </c>
      <c r="Z42" s="15">
        <f t="shared" si="2"/>
        <v>0</v>
      </c>
      <c r="AA42" s="242" t="e">
        <f t="shared" ca="1" si="3"/>
        <v>#REF!</v>
      </c>
      <c r="AB42" s="104">
        <f>SUM('MLS24-Budget'!B42:$B42)</f>
        <v>8906</v>
      </c>
      <c r="AC42" s="242">
        <f t="shared" si="4"/>
        <v>7.7999999999999996E-3</v>
      </c>
    </row>
    <row r="43" spans="1:29" s="4" customFormat="1">
      <c r="A43" s="757" t="s">
        <v>401</v>
      </c>
      <c r="B43" s="14">
        <f>IF(B$3=0,'DPL25 MLS'!B43,'DPL25 MLS'!B43/B$3)</f>
        <v>0</v>
      </c>
      <c r="C43" s="958">
        <f t="shared" ca="1" si="5"/>
        <v>0</v>
      </c>
      <c r="D43" s="14">
        <f>IF(D$3=0,'DPL25 MLS'!D43,'DPL25 MLS'!D43/D$3)</f>
        <v>0</v>
      </c>
      <c r="E43" s="958">
        <f t="shared" ca="1" si="6"/>
        <v>0</v>
      </c>
      <c r="F43" s="14">
        <f>IF(F$3=0,'DPL25 MLS'!F43,'DPL25 MLS'!F43/F$3)</f>
        <v>0</v>
      </c>
      <c r="G43" s="958">
        <f t="shared" ca="1" si="7"/>
        <v>0</v>
      </c>
      <c r="H43" s="14">
        <f>IF(H$3=0,'DPL25 MLS'!H43,'DPL25 MLS'!H43/H$3)</f>
        <v>0</v>
      </c>
      <c r="I43" s="903">
        <f t="shared" ca="1" si="8"/>
        <v>0</v>
      </c>
      <c r="J43" s="14">
        <f>IF(J$3=0,'DPL25 MLS'!J43,'DPL25 MLS'!J43/J$3)</f>
        <v>0</v>
      </c>
      <c r="K43" s="903">
        <f t="shared" si="9"/>
        <v>0</v>
      </c>
      <c r="L43" s="14">
        <f>IF(L$3=0,'DPL25 MLS'!L43,'DPL25 MLS'!L43/L$3)</f>
        <v>0</v>
      </c>
      <c r="M43" s="903">
        <f t="shared" si="10"/>
        <v>0</v>
      </c>
      <c r="N43" s="14">
        <f>IF(N$3=0,'DPL25 MLS'!N43,'DPL25 MLS'!N43/N$3)</f>
        <v>0</v>
      </c>
      <c r="O43" s="959">
        <f t="shared" si="11"/>
        <v>0</v>
      </c>
      <c r="P43" s="14">
        <f>IF(P$3=0,'DPL25 MLS'!P43,'DPL25 MLS'!P43/P$3)</f>
        <v>0</v>
      </c>
      <c r="Q43" s="959">
        <f t="shared" si="12"/>
        <v>0</v>
      </c>
      <c r="R43" s="14">
        <f>IF(R$3=0,'DPL25 MLS'!R43,'DPL25 MLS'!R43/R$3)</f>
        <v>0</v>
      </c>
      <c r="S43" s="959">
        <f t="shared" si="13"/>
        <v>0</v>
      </c>
      <c r="T43" s="14">
        <f>IF(T$3=0,'DPL25 MLS'!T43,'DPL25 MLS'!T43/T$3)</f>
        <v>0</v>
      </c>
      <c r="U43" s="959">
        <f t="shared" si="14"/>
        <v>0</v>
      </c>
      <c r="V43" s="14">
        <f>IF(V$3=0,'DPL25 MLS'!V43,'DPL25 MLS'!V43/V$3)</f>
        <v>0</v>
      </c>
      <c r="W43" s="959">
        <f t="shared" si="15"/>
        <v>0</v>
      </c>
      <c r="X43" s="14">
        <f>IF(X$3=0,'DPL25 MLS'!X43,'DPL25 MLS'!X43/X$3)</f>
        <v>0</v>
      </c>
      <c r="Y43" s="959">
        <f t="shared" si="16"/>
        <v>0</v>
      </c>
      <c r="Z43" s="15">
        <f t="shared" si="2"/>
        <v>0</v>
      </c>
      <c r="AA43" s="242" t="e">
        <f t="shared" ca="1" si="3"/>
        <v>#REF!</v>
      </c>
      <c r="AB43" s="104">
        <f>SUM('MLS24-Budget'!B43:$B43)</f>
        <v>0</v>
      </c>
      <c r="AC43" s="242">
        <f t="shared" si="4"/>
        <v>0</v>
      </c>
    </row>
    <row r="44" spans="1:29" s="4" customFormat="1">
      <c r="A44" s="757" t="s">
        <v>402</v>
      </c>
      <c r="B44" s="14">
        <f>IF(B$3=0,'DPL25 MLS'!B44,'DPL25 MLS'!B44/B$3)</f>
        <v>0</v>
      </c>
      <c r="C44" s="958">
        <f t="shared" ca="1" si="5"/>
        <v>0</v>
      </c>
      <c r="D44" s="14">
        <f>IF(D$3=0,'DPL25 MLS'!D45,'DPL25 MLS'!D45/D$3)</f>
        <v>0</v>
      </c>
      <c r="E44" s="958">
        <f t="shared" ca="1" si="6"/>
        <v>0</v>
      </c>
      <c r="F44" s="14">
        <f>IF(F$3=0,'DPL25 MLS'!F44,'DPL25 MLS'!F44/F$3)</f>
        <v>0</v>
      </c>
      <c r="G44" s="958">
        <f t="shared" ca="1" si="7"/>
        <v>0</v>
      </c>
      <c r="H44" s="14">
        <f>IF(H$3=0,'DPL25 MLS'!H44,'DPL25 MLS'!H44/H$3)</f>
        <v>0</v>
      </c>
      <c r="I44" s="903">
        <f t="shared" ca="1" si="8"/>
        <v>0</v>
      </c>
      <c r="J44" s="14">
        <f>IF(J$3=0,'DPL25 MLS'!J44,'DPL25 MLS'!J44/J$3)</f>
        <v>0</v>
      </c>
      <c r="K44" s="903">
        <f t="shared" si="9"/>
        <v>0</v>
      </c>
      <c r="L44" s="14">
        <f>IF(L$3=0,'DPL25 MLS'!L44,'DPL25 MLS'!L44/L$3)</f>
        <v>0</v>
      </c>
      <c r="M44" s="903">
        <f t="shared" si="10"/>
        <v>0</v>
      </c>
      <c r="N44" s="14">
        <f>IF(N$3=0,'DPL25 MLS'!N44,'DPL25 MLS'!N44/N$3)</f>
        <v>0</v>
      </c>
      <c r="O44" s="959">
        <f t="shared" si="11"/>
        <v>0</v>
      </c>
      <c r="P44" s="14">
        <f>IF(P$3=0,'DPL25 MLS'!P44,'DPL25 MLS'!P44/P$3)</f>
        <v>0</v>
      </c>
      <c r="Q44" s="959">
        <f t="shared" si="12"/>
        <v>0</v>
      </c>
      <c r="R44" s="14">
        <f>IF(R$3=0,'DPL25 MLS'!R44,'DPL25 MLS'!R44/R$3)</f>
        <v>0</v>
      </c>
      <c r="S44" s="959">
        <f t="shared" si="13"/>
        <v>0</v>
      </c>
      <c r="T44" s="14">
        <f>IF(T$3=0,'DPL25 MLS'!T44,'DPL25 MLS'!T44/T$3)</f>
        <v>0</v>
      </c>
      <c r="U44" s="959">
        <f t="shared" si="14"/>
        <v>0</v>
      </c>
      <c r="V44" s="14">
        <f>IF(V$3=0,'DPL25 MLS'!V44,'DPL25 MLS'!V44/V$3)</f>
        <v>0</v>
      </c>
      <c r="W44" s="959">
        <f t="shared" si="15"/>
        <v>0</v>
      </c>
      <c r="X44" s="14">
        <f>IF(X$3=0,'DPL25 MLS'!X44,'DPL25 MLS'!X44/X$3)</f>
        <v>0</v>
      </c>
      <c r="Y44" s="959">
        <f t="shared" si="16"/>
        <v>0</v>
      </c>
      <c r="Z44" s="15">
        <f t="shared" si="2"/>
        <v>0</v>
      </c>
      <c r="AA44" s="242" t="e">
        <f t="shared" ca="1" si="3"/>
        <v>#REF!</v>
      </c>
      <c r="AB44" s="104">
        <f>SUM('MLS24-Budget'!B44:$B44)</f>
        <v>0</v>
      </c>
      <c r="AC44" s="242">
        <f t="shared" si="4"/>
        <v>0</v>
      </c>
    </row>
    <row r="45" spans="1:29" s="4" customFormat="1">
      <c r="A45" s="757" t="s">
        <v>403</v>
      </c>
      <c r="B45" s="14">
        <f>IF(B$3=0,'DPL25 MLS'!B45,'DPL25 MLS'!B45/B$3)</f>
        <v>0</v>
      </c>
      <c r="C45" s="958">
        <f t="shared" ca="1" si="5"/>
        <v>0</v>
      </c>
      <c r="D45" s="14">
        <f>IF(D$3=0,'DPL25 MLS'!D45,'DPL25 MLS'!D45/D$3)</f>
        <v>0</v>
      </c>
      <c r="E45" s="958">
        <f t="shared" ca="1" si="6"/>
        <v>0</v>
      </c>
      <c r="F45" s="14">
        <f>IF(F$3=0,'DPL25 MLS'!F45,'DPL25 MLS'!F45/F$3)</f>
        <v>0</v>
      </c>
      <c r="G45" s="958">
        <f t="shared" ca="1" si="7"/>
        <v>0</v>
      </c>
      <c r="H45" s="14">
        <f>IF(H$3=0,'DPL25 MLS'!H45,'DPL25 MLS'!H45/H$3)</f>
        <v>0</v>
      </c>
      <c r="I45" s="903">
        <f t="shared" ca="1" si="8"/>
        <v>0</v>
      </c>
      <c r="J45" s="14">
        <f>IF(J$3=0,'DPL25 MLS'!J45,'DPL25 MLS'!J45/J$3)</f>
        <v>0</v>
      </c>
      <c r="K45" s="903">
        <f t="shared" si="9"/>
        <v>0</v>
      </c>
      <c r="L45" s="14">
        <f>IF(L$3=0,'DPL25 MLS'!L45,'DPL25 MLS'!L45/L$3)</f>
        <v>0</v>
      </c>
      <c r="M45" s="903">
        <f t="shared" si="10"/>
        <v>0</v>
      </c>
      <c r="N45" s="14">
        <f>IF(N$3=0,'DPL25 MLS'!N45,'DPL25 MLS'!N45/N$3)</f>
        <v>0</v>
      </c>
      <c r="O45" s="959">
        <f t="shared" si="11"/>
        <v>0</v>
      </c>
      <c r="P45" s="14">
        <f>IF(P$3=0,'DPL25 MLS'!P45,'DPL25 MLS'!P45/P$3)</f>
        <v>0</v>
      </c>
      <c r="Q45" s="959">
        <f t="shared" si="12"/>
        <v>0</v>
      </c>
      <c r="R45" s="14">
        <f>IF(R$3=0,'DPL25 MLS'!R45,'DPL25 MLS'!R45/R$3)</f>
        <v>0</v>
      </c>
      <c r="S45" s="959">
        <f t="shared" si="13"/>
        <v>0</v>
      </c>
      <c r="T45" s="14">
        <f>IF(T$3=0,'DPL25 MLS'!T45,'DPL25 MLS'!T45/T$3)</f>
        <v>0</v>
      </c>
      <c r="U45" s="959">
        <f t="shared" si="14"/>
        <v>0</v>
      </c>
      <c r="V45" s="14">
        <f>IF(V$3=0,'DPL25 MLS'!V45,'DPL25 MLS'!V45/V$3)</f>
        <v>0</v>
      </c>
      <c r="W45" s="959">
        <f t="shared" si="15"/>
        <v>0</v>
      </c>
      <c r="X45" s="14">
        <f>IF(X$3=0,'DPL25 MLS'!X45,'DPL25 MLS'!X45/X$3)</f>
        <v>0</v>
      </c>
      <c r="Y45" s="959">
        <f t="shared" si="16"/>
        <v>0</v>
      </c>
      <c r="Z45" s="15">
        <f t="shared" si="2"/>
        <v>0</v>
      </c>
      <c r="AA45" s="242" t="e">
        <f t="shared" ca="1" si="3"/>
        <v>#REF!</v>
      </c>
      <c r="AB45" s="104">
        <f>SUM('MLS24-Budget'!B45:$B45)</f>
        <v>0</v>
      </c>
      <c r="AC45" s="242">
        <f t="shared" si="4"/>
        <v>0</v>
      </c>
    </row>
    <row r="46" spans="1:29" s="4" customFormat="1">
      <c r="A46" s="757" t="s">
        <v>404</v>
      </c>
      <c r="B46" s="14">
        <f>IF(B$3=0,'DPL25 MLS'!B46,'DPL25 MLS'!B46/B$3)</f>
        <v>0</v>
      </c>
      <c r="C46" s="958">
        <f t="shared" ca="1" si="5"/>
        <v>0</v>
      </c>
      <c r="D46" s="14">
        <f>IF(D$3=0,'DPL25 MLS'!D46,'DPL25 MLS'!D46/D$3)</f>
        <v>0</v>
      </c>
      <c r="E46" s="958">
        <f t="shared" ca="1" si="6"/>
        <v>0</v>
      </c>
      <c r="F46" s="14">
        <f>IF(F$3=0,'DPL25 MLS'!F46,'DPL25 MLS'!F46/F$3)</f>
        <v>0</v>
      </c>
      <c r="G46" s="958">
        <f t="shared" ca="1" si="7"/>
        <v>0</v>
      </c>
      <c r="H46" s="14">
        <f>IF(H$3=0,'DPL25 MLS'!H46,'DPL25 MLS'!H46/H$3)</f>
        <v>0</v>
      </c>
      <c r="I46" s="903">
        <f t="shared" ca="1" si="8"/>
        <v>0</v>
      </c>
      <c r="J46" s="14">
        <f>IF(J$3=0,'DPL25 MLS'!J46,'DPL25 MLS'!J46/J$3)</f>
        <v>0</v>
      </c>
      <c r="K46" s="903">
        <f t="shared" si="9"/>
        <v>0</v>
      </c>
      <c r="L46" s="14">
        <f>IF(L$3=0,'DPL25 MLS'!L46,'DPL25 MLS'!L46/L$3)</f>
        <v>0</v>
      </c>
      <c r="M46" s="903">
        <f t="shared" si="10"/>
        <v>0</v>
      </c>
      <c r="N46" s="14">
        <f>IF(N$3=0,'DPL25 MLS'!N46,'DPL25 MLS'!N46/N$3)</f>
        <v>0</v>
      </c>
      <c r="O46" s="959">
        <f t="shared" si="11"/>
        <v>0</v>
      </c>
      <c r="P46" s="14">
        <f>IF(P$3=0,'DPL25 MLS'!P46,'DPL25 MLS'!P46/P$3)</f>
        <v>0</v>
      </c>
      <c r="Q46" s="959">
        <f t="shared" si="12"/>
        <v>0</v>
      </c>
      <c r="R46" s="14">
        <f>IF(R$3=0,'DPL25 MLS'!R46,'DPL25 MLS'!R46/R$3)</f>
        <v>0</v>
      </c>
      <c r="S46" s="959">
        <f t="shared" si="13"/>
        <v>0</v>
      </c>
      <c r="T46" s="14">
        <f>IF(T$3=0,'DPL25 MLS'!T46,'DPL25 MLS'!T46/T$3)</f>
        <v>0</v>
      </c>
      <c r="U46" s="959">
        <f t="shared" si="14"/>
        <v>0</v>
      </c>
      <c r="V46" s="14">
        <f>IF(V$3=0,'DPL25 MLS'!V46,'DPL25 MLS'!V46/V$3)</f>
        <v>0</v>
      </c>
      <c r="W46" s="959">
        <f t="shared" si="15"/>
        <v>0</v>
      </c>
      <c r="X46" s="14">
        <f>IF(X$3=0,'DPL25 MLS'!X46,'DPL25 MLS'!X46/X$3)</f>
        <v>0</v>
      </c>
      <c r="Y46" s="959">
        <f t="shared" si="16"/>
        <v>0</v>
      </c>
      <c r="Z46" s="15">
        <f t="shared" si="2"/>
        <v>0</v>
      </c>
      <c r="AA46" s="242" t="e">
        <f t="shared" ca="1" si="3"/>
        <v>#REF!</v>
      </c>
      <c r="AB46" s="104">
        <f>SUM('MLS24-Budget'!B46:$B46)</f>
        <v>28113</v>
      </c>
      <c r="AC46" s="242">
        <f t="shared" si="4"/>
        <v>2.47E-2</v>
      </c>
    </row>
    <row r="47" spans="1:29" s="37" customFormat="1">
      <c r="A47" s="32" t="s">
        <v>684</v>
      </c>
      <c r="B47" s="14">
        <f ca="1">IF(B$3=0,'DPL25 MLS'!B47,'DPL25 MLS'!B47/B$3)</f>
        <v>64</v>
      </c>
      <c r="C47" s="958">
        <f t="shared" ca="1" si="5"/>
        <v>2.35E-2</v>
      </c>
      <c r="D47" s="14">
        <f ca="1">IF(D$3=0,'DPL25 MLS'!D47,'DPL25 MLS'!D47/D$3)</f>
        <v>29</v>
      </c>
      <c r="E47" s="958">
        <f t="shared" ca="1" si="6"/>
        <v>1.06E-2</v>
      </c>
      <c r="F47" s="14">
        <f ca="1">IF(F$3=0,'DPL25 MLS'!F47,'DPL25 MLS'!F47/F$3)</f>
        <v>29</v>
      </c>
      <c r="G47" s="958">
        <f t="shared" ca="1" si="7"/>
        <v>1.06E-2</v>
      </c>
      <c r="H47" s="14">
        <f ca="1">IF(H$3=0,'DPL25 MLS'!H47,'DPL25 MLS'!H47/H$3)</f>
        <v>204</v>
      </c>
      <c r="I47" s="903">
        <f t="shared" ca="1" si="8"/>
        <v>7.0000000000000007E-2</v>
      </c>
      <c r="J47" s="14">
        <f>IF(J$3=0,'DPL25 MLS'!J47,'DPL25 MLS'!J47/J$3)</f>
        <v>0</v>
      </c>
      <c r="K47" s="903">
        <f t="shared" si="9"/>
        <v>0</v>
      </c>
      <c r="L47" s="14">
        <f>IF(L$3=0,'DPL25 MLS'!L47,'DPL25 MLS'!L47/L$3)</f>
        <v>0</v>
      </c>
      <c r="M47" s="903">
        <f t="shared" si="10"/>
        <v>0</v>
      </c>
      <c r="N47" s="14">
        <f>IF(N$3=0,'DPL25 MLS'!N47,'DPL25 MLS'!N47/N$3)</f>
        <v>0</v>
      </c>
      <c r="O47" s="959">
        <f t="shared" si="11"/>
        <v>0</v>
      </c>
      <c r="P47" s="14">
        <f>IF(P$3=0,'DPL25 MLS'!P47,'DPL25 MLS'!P47/P$3)</f>
        <v>0</v>
      </c>
      <c r="Q47" s="959">
        <f t="shared" si="12"/>
        <v>0</v>
      </c>
      <c r="R47" s="14">
        <f>IF(R$3=0,'DPL25 MLS'!R47,'DPL25 MLS'!R47/R$3)</f>
        <v>0</v>
      </c>
      <c r="S47" s="959">
        <f t="shared" si="13"/>
        <v>0</v>
      </c>
      <c r="T47" s="14">
        <f>IF(T$3=0,'DPL25 MLS'!T47,'DPL25 MLS'!T47/T$3)</f>
        <v>0</v>
      </c>
      <c r="U47" s="959">
        <f t="shared" si="14"/>
        <v>0</v>
      </c>
      <c r="V47" s="14">
        <f>IF(V$3=0,'DPL25 MLS'!V47,'DPL25 MLS'!V47/V$3)</f>
        <v>0</v>
      </c>
      <c r="W47" s="959">
        <f t="shared" si="15"/>
        <v>0</v>
      </c>
      <c r="X47" s="14">
        <f>IF(X$3=0,'DPL25 MLS'!X47,'DPL25 MLS'!X47/X$3)</f>
        <v>0</v>
      </c>
      <c r="Y47" s="959">
        <f t="shared" si="16"/>
        <v>0</v>
      </c>
      <c r="Z47" s="15">
        <f t="shared" ca="1" si="2"/>
        <v>326</v>
      </c>
      <c r="AA47" s="242" t="e">
        <f t="shared" ca="1" si="3"/>
        <v>#REF!</v>
      </c>
      <c r="AB47" s="104">
        <f>SUM('MLS24-Budget'!B47:$B47)</f>
        <v>0</v>
      </c>
      <c r="AC47" s="242">
        <f t="shared" si="4"/>
        <v>0</v>
      </c>
    </row>
    <row r="48" spans="1:29" s="4" customFormat="1">
      <c r="A48" s="757"/>
      <c r="B48" s="14"/>
      <c r="C48" s="958">
        <f t="shared" ca="1" si="5"/>
        <v>0</v>
      </c>
      <c r="D48" s="14"/>
      <c r="E48" s="958">
        <f t="shared" ca="1" si="6"/>
        <v>0</v>
      </c>
      <c r="F48" s="14"/>
      <c r="G48" s="958">
        <f t="shared" ca="1" si="7"/>
        <v>0</v>
      </c>
      <c r="H48" s="14"/>
      <c r="I48" s="903">
        <f t="shared" ca="1" si="8"/>
        <v>0</v>
      </c>
      <c r="J48" s="14"/>
      <c r="K48" s="903">
        <f t="shared" si="9"/>
        <v>0</v>
      </c>
      <c r="L48" s="14"/>
      <c r="M48" s="903">
        <f t="shared" si="10"/>
        <v>0</v>
      </c>
      <c r="N48" s="14"/>
      <c r="O48" s="959">
        <f t="shared" si="11"/>
        <v>0</v>
      </c>
      <c r="P48" s="14"/>
      <c r="Q48" s="959">
        <f t="shared" si="12"/>
        <v>0</v>
      </c>
      <c r="R48" s="14"/>
      <c r="S48" s="959">
        <f t="shared" si="13"/>
        <v>0</v>
      </c>
      <c r="T48" s="14"/>
      <c r="U48" s="959">
        <f t="shared" si="14"/>
        <v>0</v>
      </c>
      <c r="V48" s="14"/>
      <c r="W48" s="959">
        <f t="shared" si="15"/>
        <v>0</v>
      </c>
      <c r="X48" s="14"/>
      <c r="Y48" s="959">
        <f t="shared" si="16"/>
        <v>0</v>
      </c>
      <c r="Z48" s="15"/>
      <c r="AA48" s="242" t="e">
        <f t="shared" ca="1" si="3"/>
        <v>#REF!</v>
      </c>
      <c r="AB48" s="104"/>
      <c r="AC48" s="242">
        <f t="shared" si="4"/>
        <v>0</v>
      </c>
    </row>
    <row r="49" spans="1:29" s="1" customFormat="1" ht="13.5" thickBot="1">
      <c r="A49" s="6" t="s">
        <v>407</v>
      </c>
      <c r="B49" s="16">
        <f t="shared" ref="B49:Z49" ca="1" si="17">SUM(B16:B48)</f>
        <v>475</v>
      </c>
      <c r="C49" s="958">
        <f t="shared" ca="1" si="5"/>
        <v>0.1741</v>
      </c>
      <c r="D49" s="16">
        <f t="shared" ca="1" si="17"/>
        <v>126</v>
      </c>
      <c r="E49" s="958">
        <f t="shared" ca="1" si="6"/>
        <v>4.6199999999999998E-2</v>
      </c>
      <c r="F49" s="16">
        <f t="shared" ca="1" si="17"/>
        <v>126</v>
      </c>
      <c r="G49" s="958">
        <f t="shared" ca="1" si="7"/>
        <v>4.6199999999999998E-2</v>
      </c>
      <c r="H49" s="16">
        <f t="shared" ca="1" si="17"/>
        <v>2060</v>
      </c>
      <c r="I49" s="903">
        <f t="shared" ca="1" si="8"/>
        <v>0.76</v>
      </c>
      <c r="J49" s="16">
        <f t="shared" si="17"/>
        <v>0</v>
      </c>
      <c r="K49" s="903">
        <f t="shared" si="9"/>
        <v>0</v>
      </c>
      <c r="L49" s="16">
        <f t="shared" si="17"/>
        <v>0</v>
      </c>
      <c r="M49" s="903">
        <f t="shared" si="10"/>
        <v>0</v>
      </c>
      <c r="N49" s="16">
        <f t="shared" si="17"/>
        <v>0</v>
      </c>
      <c r="O49" s="959">
        <f t="shared" si="11"/>
        <v>0</v>
      </c>
      <c r="P49" s="16">
        <f t="shared" si="17"/>
        <v>0</v>
      </c>
      <c r="Q49" s="959">
        <f t="shared" si="12"/>
        <v>0</v>
      </c>
      <c r="R49" s="16">
        <f t="shared" si="17"/>
        <v>0</v>
      </c>
      <c r="S49" s="959">
        <f t="shared" si="13"/>
        <v>0</v>
      </c>
      <c r="T49" s="16">
        <f t="shared" si="17"/>
        <v>0</v>
      </c>
      <c r="U49" s="959">
        <f t="shared" si="14"/>
        <v>0</v>
      </c>
      <c r="V49" s="16">
        <f t="shared" si="17"/>
        <v>0</v>
      </c>
      <c r="W49" s="959">
        <f t="shared" si="15"/>
        <v>0</v>
      </c>
      <c r="X49" s="16">
        <f t="shared" si="17"/>
        <v>0</v>
      </c>
      <c r="Y49" s="959">
        <f t="shared" si="16"/>
        <v>0</v>
      </c>
      <c r="Z49" s="16">
        <f t="shared" ca="1" si="17"/>
        <v>2787</v>
      </c>
      <c r="AA49" s="242" t="e">
        <f t="shared" ca="1" si="3"/>
        <v>#REF!</v>
      </c>
      <c r="AB49" s="107">
        <f>SUM('MLS24-Budget'!B49:$B49)</f>
        <v>564305</v>
      </c>
      <c r="AC49" s="242">
        <f t="shared" si="4"/>
        <v>0.49630000000000002</v>
      </c>
    </row>
    <row r="50" spans="1:29" s="1" customFormat="1" ht="13.5" thickTop="1">
      <c r="A50" s="6"/>
      <c r="B50" s="15"/>
      <c r="C50" s="236"/>
      <c r="D50" s="15"/>
      <c r="E50" s="236"/>
      <c r="F50" s="15"/>
      <c r="G50" s="236"/>
      <c r="H50" s="15"/>
      <c r="I50" s="15"/>
      <c r="J50" s="15"/>
      <c r="K50" s="15"/>
      <c r="L50" s="15"/>
      <c r="M50" s="15"/>
      <c r="N50" s="15"/>
      <c r="O50" s="959">
        <f t="shared" si="11"/>
        <v>0</v>
      </c>
      <c r="P50" s="15"/>
      <c r="Q50" s="959">
        <f t="shared" si="12"/>
        <v>0</v>
      </c>
      <c r="R50" s="15"/>
      <c r="S50" s="959">
        <f t="shared" si="13"/>
        <v>0</v>
      </c>
      <c r="T50" s="15"/>
      <c r="U50" s="15"/>
      <c r="V50" s="15"/>
      <c r="W50" s="959">
        <f t="shared" si="15"/>
        <v>0</v>
      </c>
      <c r="X50" s="15"/>
      <c r="Y50" s="959">
        <f t="shared" si="16"/>
        <v>0</v>
      </c>
      <c r="Z50" s="15"/>
      <c r="AA50" s="21"/>
      <c r="AB50" s="104"/>
      <c r="AC50" s="21"/>
    </row>
    <row r="51" spans="1:29" s="1" customFormat="1">
      <c r="A51" s="6"/>
      <c r="B51" s="15"/>
      <c r="C51" s="236"/>
      <c r="D51" s="15"/>
      <c r="E51" s="236"/>
      <c r="F51" s="15"/>
      <c r="G51" s="958">
        <f t="shared" ref="G51:G56" ca="1" si="18">IFERROR(F51/$F$13,0)</f>
        <v>0</v>
      </c>
      <c r="H51" s="15"/>
      <c r="I51" s="15"/>
      <c r="J51" s="15"/>
      <c r="K51" s="15"/>
      <c r="L51" s="15"/>
      <c r="M51" s="15"/>
      <c r="N51" s="15"/>
      <c r="O51" s="959">
        <f t="shared" si="11"/>
        <v>0</v>
      </c>
      <c r="P51" s="15"/>
      <c r="Q51" s="959">
        <f t="shared" si="12"/>
        <v>0</v>
      </c>
      <c r="R51" s="15"/>
      <c r="S51" s="959">
        <f t="shared" si="13"/>
        <v>0</v>
      </c>
      <c r="T51" s="15"/>
      <c r="U51" s="15"/>
      <c r="V51" s="15"/>
      <c r="W51" s="959">
        <f t="shared" si="15"/>
        <v>0</v>
      </c>
      <c r="X51" s="15"/>
      <c r="Y51" s="959">
        <f t="shared" si="16"/>
        <v>0</v>
      </c>
      <c r="Z51" s="15"/>
      <c r="AA51" s="21"/>
      <c r="AB51" s="104"/>
      <c r="AC51" s="21"/>
    </row>
    <row r="52" spans="1:29">
      <c r="A52" s="6" t="s">
        <v>410</v>
      </c>
      <c r="B52" s="14">
        <f ca="1">IF(B$3=0,'DPL25 MLS'!B52,'DPL25 MLS'!B52/B$3)</f>
        <v>1050</v>
      </c>
      <c r="C52" s="958">
        <f ca="1">+B52/$B$13</f>
        <v>0.38490000000000002</v>
      </c>
      <c r="D52" s="14">
        <f ca="1">IF(D$3=0,'DPL25 MLS'!D52,'DPL25 MLS'!D52/D$3)</f>
        <v>1050</v>
      </c>
      <c r="E52" s="958">
        <f ca="1">IFERROR(D52/$D$13,0)</f>
        <v>0.38490000000000002</v>
      </c>
      <c r="F52" s="14">
        <f ca="1">IF(F$3=0,'DPL25 MLS'!F52,'DPL25 MLS'!F52/F$3)</f>
        <v>1050</v>
      </c>
      <c r="G52" s="958">
        <f t="shared" ca="1" si="18"/>
        <v>0.38490000000000002</v>
      </c>
      <c r="H52" s="14">
        <f ca="1">IF(H$3=0,'DPL25 MLS'!H52,'DPL25 MLS'!H52/H$3)</f>
        <v>1050</v>
      </c>
      <c r="I52" s="903">
        <f ca="1">IFERROR(H52/$H$13,0)</f>
        <v>0.38</v>
      </c>
      <c r="J52" s="14" t="e">
        <f>IF(J$3=0,'DPL25 MLS'!J52,'DPL25 MLS'!J52/J$3)</f>
        <v>#REF!</v>
      </c>
      <c r="K52" s="903">
        <f>IFERROR(J52/$J$13,0)</f>
        <v>0</v>
      </c>
      <c r="L52" s="14" t="e">
        <f>IF(L$3=0,'DPL25 MLS'!L52,'DPL25 MLS'!L52/L$3)</f>
        <v>#REF!</v>
      </c>
      <c r="M52" s="903">
        <f>IFERROR(L52/$L$13,0)</f>
        <v>0</v>
      </c>
      <c r="N52" s="14" t="e">
        <f>IF(N$3=0,'DPL25 MLS'!N52,'DPL25 MLS'!N52/N$3)</f>
        <v>#REF!</v>
      </c>
      <c r="O52" s="959">
        <f t="shared" si="11"/>
        <v>0</v>
      </c>
      <c r="P52" s="14" t="e">
        <f>IF(P$3=0,'DPL25 MLS'!P52,'DPL25 MLS'!P52/P$3)</f>
        <v>#REF!</v>
      </c>
      <c r="Q52" s="959">
        <f t="shared" si="12"/>
        <v>0</v>
      </c>
      <c r="R52" s="14" t="e">
        <f>IF(R$3=0,'DPL25 MLS'!R52,'DPL25 MLS'!R52/R$3)</f>
        <v>#REF!</v>
      </c>
      <c r="S52" s="959">
        <f t="shared" si="13"/>
        <v>0</v>
      </c>
      <c r="T52" s="14" t="e">
        <f>IF(T$3=0,'DPL25 MLS'!T52,'DPL25 MLS'!T52/T$3)</f>
        <v>#REF!</v>
      </c>
      <c r="U52" s="14"/>
      <c r="V52" s="14" t="e">
        <f>IF(V$3=0,'DPL25 MLS'!V52,'DPL25 MLS'!V52/V$3)</f>
        <v>#REF!</v>
      </c>
      <c r="W52" s="959">
        <f t="shared" si="15"/>
        <v>0</v>
      </c>
      <c r="X52" s="14" t="e">
        <f>IF(X$3=0,'DPL25 MLS'!X52,'DPL25 MLS'!X52/X$3)</f>
        <v>#REF!</v>
      </c>
      <c r="Y52" s="959">
        <f t="shared" si="16"/>
        <v>0</v>
      </c>
      <c r="Z52" s="15" t="e">
        <f ca="1">+B52+D52+F52+H52+J52+L52+N52+P52+R52+T52+V52+X52</f>
        <v>#REF!</v>
      </c>
      <c r="AA52" s="242" t="e">
        <f ca="1">+Z52/$Z$13</f>
        <v>#REF!</v>
      </c>
      <c r="AB52" s="104">
        <f>SUM('MLS24-Budget'!B52:$B52)</f>
        <v>0</v>
      </c>
      <c r="AC52" s="242">
        <f>+AB52/$AB$13</f>
        <v>0</v>
      </c>
    </row>
    <row r="53" spans="1:29" s="1" customFormat="1">
      <c r="A53" s="6"/>
      <c r="B53" s="15"/>
      <c r="C53" s="236"/>
      <c r="D53" s="15"/>
      <c r="E53" s="236"/>
      <c r="F53" s="15"/>
      <c r="G53" s="958">
        <f t="shared" ca="1" si="18"/>
        <v>0</v>
      </c>
      <c r="H53" s="15"/>
      <c r="I53" s="15"/>
      <c r="J53" s="15"/>
      <c r="K53" s="15"/>
      <c r="L53" s="15"/>
      <c r="M53" s="15"/>
      <c r="N53" s="15"/>
      <c r="O53" s="959">
        <f t="shared" si="11"/>
        <v>0</v>
      </c>
      <c r="P53" s="15"/>
      <c r="Q53" s="959">
        <f t="shared" si="12"/>
        <v>0</v>
      </c>
      <c r="R53" s="15"/>
      <c r="S53" s="959">
        <f t="shared" si="13"/>
        <v>0</v>
      </c>
      <c r="T53" s="15"/>
      <c r="U53" s="15"/>
      <c r="V53" s="15"/>
      <c r="W53" s="959">
        <f t="shared" si="15"/>
        <v>0</v>
      </c>
      <c r="X53" s="15"/>
      <c r="Y53" s="959">
        <f t="shared" si="16"/>
        <v>0</v>
      </c>
      <c r="Z53" s="15"/>
      <c r="AA53" s="21"/>
      <c r="AB53" s="104"/>
      <c r="AC53" s="21"/>
    </row>
    <row r="54" spans="1:29" s="1" customFormat="1">
      <c r="A54" s="6"/>
      <c r="B54" s="15"/>
      <c r="C54" s="236"/>
      <c r="D54" s="15"/>
      <c r="E54" s="236"/>
      <c r="F54" s="15"/>
      <c r="G54" s="958">
        <f t="shared" ca="1" si="18"/>
        <v>0</v>
      </c>
      <c r="H54" s="15"/>
      <c r="I54" s="15"/>
      <c r="J54" s="15"/>
      <c r="K54" s="15"/>
      <c r="L54" s="15"/>
      <c r="M54" s="15"/>
      <c r="N54" s="15"/>
      <c r="O54" s="959">
        <f t="shared" si="11"/>
        <v>0</v>
      </c>
      <c r="P54" s="15"/>
      <c r="Q54" s="959">
        <f t="shared" si="12"/>
        <v>0</v>
      </c>
      <c r="R54" s="15"/>
      <c r="S54" s="959">
        <f t="shared" si="13"/>
        <v>0</v>
      </c>
      <c r="T54" s="15"/>
      <c r="U54" s="15"/>
      <c r="V54" s="15"/>
      <c r="W54" s="959">
        <f t="shared" si="15"/>
        <v>0</v>
      </c>
      <c r="X54" s="15"/>
      <c r="Y54" s="959">
        <f t="shared" si="16"/>
        <v>0</v>
      </c>
      <c r="Z54" s="15"/>
      <c r="AA54" s="21"/>
      <c r="AB54" s="104"/>
      <c r="AC54" s="21"/>
    </row>
    <row r="55" spans="1:29" s="1" customFormat="1" ht="13.5" thickBot="1">
      <c r="A55" s="6" t="s">
        <v>432</v>
      </c>
      <c r="B55" s="26">
        <f t="shared" ref="B55:Z55" ca="1" si="19">B13-B49-B52</f>
        <v>1203</v>
      </c>
      <c r="C55" s="958">
        <f ca="1">+B55/$B$13</f>
        <v>0.441</v>
      </c>
      <c r="D55" s="26">
        <f t="shared" ca="1" si="19"/>
        <v>1552</v>
      </c>
      <c r="E55" s="958">
        <f ca="1">IFERROR(D55/$D$13,0)</f>
        <v>0.56889999999999996</v>
      </c>
      <c r="F55" s="26">
        <f t="shared" ca="1" si="19"/>
        <v>1552</v>
      </c>
      <c r="G55" s="958">
        <f t="shared" ca="1" si="18"/>
        <v>0.56889999999999996</v>
      </c>
      <c r="H55" s="26">
        <f t="shared" ca="1" si="19"/>
        <v>-382</v>
      </c>
      <c r="I55" s="903">
        <f ca="1">IFERROR(H55/$H$13,0)</f>
        <v>-0.14000000000000001</v>
      </c>
      <c r="J55" s="26" t="e">
        <f t="shared" si="19"/>
        <v>#REF!</v>
      </c>
      <c r="K55" s="903">
        <f>IFERROR(J55/$J$13,0)</f>
        <v>0</v>
      </c>
      <c r="L55" s="26" t="e">
        <f t="shared" si="19"/>
        <v>#REF!</v>
      </c>
      <c r="M55" s="903">
        <f>IFERROR(L55/$L$13,0)</f>
        <v>0</v>
      </c>
      <c r="N55" s="26" t="e">
        <f t="shared" si="19"/>
        <v>#REF!</v>
      </c>
      <c r="O55" s="959">
        <f t="shared" si="11"/>
        <v>0</v>
      </c>
      <c r="P55" s="26" t="e">
        <f t="shared" si="19"/>
        <v>#REF!</v>
      </c>
      <c r="Q55" s="959">
        <f t="shared" si="12"/>
        <v>0</v>
      </c>
      <c r="R55" s="26" t="e">
        <f t="shared" si="19"/>
        <v>#REF!</v>
      </c>
      <c r="S55" s="959">
        <f t="shared" si="13"/>
        <v>0</v>
      </c>
      <c r="T55" s="26" t="e">
        <f t="shared" si="19"/>
        <v>#REF!</v>
      </c>
      <c r="U55" s="959">
        <f>IFERROR(T55/$T$13,0)</f>
        <v>0</v>
      </c>
      <c r="V55" s="26" t="e">
        <f t="shared" si="19"/>
        <v>#REF!</v>
      </c>
      <c r="W55" s="959">
        <f t="shared" si="15"/>
        <v>0</v>
      </c>
      <c r="X55" s="26" t="e">
        <f t="shared" si="19"/>
        <v>#REF!</v>
      </c>
      <c r="Y55" s="959">
        <f t="shared" si="16"/>
        <v>0</v>
      </c>
      <c r="Z55" s="26" t="e">
        <f t="shared" ca="1" si="19"/>
        <v>#REF!</v>
      </c>
      <c r="AA55" s="242" t="e">
        <f ca="1">+Z55/$Z$13</f>
        <v>#REF!</v>
      </c>
      <c r="AB55" s="108">
        <f>SUM('MLS24-Budget'!B55:$B55)</f>
        <v>0</v>
      </c>
      <c r="AC55" s="21"/>
    </row>
    <row r="56" spans="1:29">
      <c r="A56" s="6" t="s">
        <v>433</v>
      </c>
      <c r="B56" s="13">
        <f t="shared" ref="B56:Z56" ca="1" si="20">+IF(B55=0,0,B55/B13)</f>
        <v>0.44</v>
      </c>
      <c r="C56" s="191"/>
      <c r="D56" s="13">
        <f t="shared" ca="1" si="20"/>
        <v>0.56999999999999995</v>
      </c>
      <c r="E56" s="191"/>
      <c r="F56" s="13">
        <f t="shared" ca="1" si="20"/>
        <v>0.56999999999999995</v>
      </c>
      <c r="G56" s="958">
        <f t="shared" ca="1" si="18"/>
        <v>2.0000000000000001E-4</v>
      </c>
      <c r="H56" s="13">
        <f t="shared" ca="1" si="20"/>
        <v>-0.14000000000000001</v>
      </c>
      <c r="I56" s="13"/>
      <c r="J56" s="13" t="e">
        <f t="shared" si="20"/>
        <v>#REF!</v>
      </c>
      <c r="K56" s="13"/>
      <c r="L56" s="13" t="e">
        <f t="shared" si="20"/>
        <v>#REF!</v>
      </c>
      <c r="M56" s="13"/>
      <c r="N56" s="13" t="e">
        <f t="shared" si="20"/>
        <v>#REF!</v>
      </c>
      <c r="O56" s="13"/>
      <c r="P56" s="13" t="e">
        <f t="shared" si="20"/>
        <v>#REF!</v>
      </c>
      <c r="Q56" s="13"/>
      <c r="R56" s="13" t="e">
        <f t="shared" si="20"/>
        <v>#REF!</v>
      </c>
      <c r="S56" s="13"/>
      <c r="T56" s="13" t="e">
        <f t="shared" si="20"/>
        <v>#REF!</v>
      </c>
      <c r="U56" s="13"/>
      <c r="V56" s="13" t="e">
        <f t="shared" si="20"/>
        <v>#REF!</v>
      </c>
      <c r="W56" s="13"/>
      <c r="X56" s="13" t="e">
        <f t="shared" si="20"/>
        <v>#REF!</v>
      </c>
      <c r="Y56" s="13"/>
      <c r="Z56" s="13" t="e">
        <f t="shared" ca="1" si="20"/>
        <v>#REF!</v>
      </c>
    </row>
    <row r="57" spans="1:29" s="1" customFormat="1">
      <c r="A57" s="6"/>
      <c r="B57" s="15"/>
      <c r="C57" s="236"/>
      <c r="D57" s="15"/>
      <c r="E57" s="236"/>
      <c r="F57" s="15"/>
      <c r="G57" s="236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21"/>
      <c r="AB57" s="98"/>
      <c r="AC57" s="21"/>
    </row>
    <row r="58" spans="1:29" s="1" customFormat="1">
      <c r="A58" s="6"/>
      <c r="B58" s="15"/>
      <c r="C58" s="236"/>
      <c r="D58" s="15"/>
      <c r="E58" s="236"/>
      <c r="F58" s="15"/>
      <c r="G58" s="236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21"/>
      <c r="AB58" s="98"/>
      <c r="AC58" s="21"/>
    </row>
    <row r="59" spans="1:29" s="1" customFormat="1">
      <c r="A59" s="6"/>
      <c r="B59" s="15"/>
      <c r="C59" s="236"/>
      <c r="D59" s="15"/>
      <c r="E59" s="236"/>
      <c r="F59" s="15"/>
      <c r="G59" s="236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21"/>
      <c r="AB59" s="98"/>
      <c r="AC59" s="21"/>
    </row>
    <row r="60" spans="1:29" s="1" customFormat="1">
      <c r="A60" s="6" t="s">
        <v>671</v>
      </c>
      <c r="B60" s="15"/>
      <c r="C60" s="236"/>
      <c r="D60" s="15"/>
      <c r="E60" s="236"/>
      <c r="F60" s="15"/>
      <c r="G60" s="236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21"/>
      <c r="AB60" s="98"/>
      <c r="AC60" s="21"/>
    </row>
    <row r="61" spans="1:29" s="1" customFormat="1">
      <c r="A61" s="6"/>
      <c r="B61" s="15"/>
      <c r="C61" s="236"/>
      <c r="D61" s="15"/>
      <c r="E61" s="236"/>
      <c r="F61" s="15"/>
      <c r="G61" s="236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21"/>
      <c r="AB61" s="98"/>
      <c r="AC61" s="21"/>
    </row>
    <row r="62" spans="1:29" s="1" customFormat="1">
      <c r="A62" s="757" t="s">
        <v>672</v>
      </c>
      <c r="B62" s="39">
        <f t="shared" ref="B62:Z62" ca="1" si="21">B$13-B$49</f>
        <v>2253</v>
      </c>
      <c r="C62" s="237"/>
      <c r="D62" s="39">
        <f t="shared" ca="1" si="21"/>
        <v>2602</v>
      </c>
      <c r="E62" s="237"/>
      <c r="F62" s="39">
        <f t="shared" ca="1" si="21"/>
        <v>2602</v>
      </c>
      <c r="G62" s="237"/>
      <c r="H62" s="39">
        <f t="shared" ca="1" si="21"/>
        <v>668</v>
      </c>
      <c r="I62" s="39"/>
      <c r="J62" s="39" t="e">
        <f t="shared" si="21"/>
        <v>#REF!</v>
      </c>
      <c r="K62" s="39"/>
      <c r="L62" s="39" t="e">
        <f t="shared" si="21"/>
        <v>#REF!</v>
      </c>
      <c r="M62" s="39"/>
      <c r="N62" s="39" t="e">
        <f t="shared" si="21"/>
        <v>#REF!</v>
      </c>
      <c r="O62" s="39"/>
      <c r="P62" s="39" t="e">
        <f t="shared" si="21"/>
        <v>#REF!</v>
      </c>
      <c r="Q62" s="39"/>
      <c r="R62" s="39" t="e">
        <f t="shared" si="21"/>
        <v>#REF!</v>
      </c>
      <c r="S62" s="39"/>
      <c r="T62" s="39" t="e">
        <f t="shared" si="21"/>
        <v>#REF!</v>
      </c>
      <c r="U62" s="39"/>
      <c r="V62" s="39" t="e">
        <f t="shared" si="21"/>
        <v>#REF!</v>
      </c>
      <c r="W62" s="39"/>
      <c r="X62" s="39" t="e">
        <f t="shared" si="21"/>
        <v>#REF!</v>
      </c>
      <c r="Y62" s="39"/>
      <c r="Z62" s="39" t="e">
        <f t="shared" ca="1" si="21"/>
        <v>#REF!</v>
      </c>
      <c r="AA62" s="21"/>
      <c r="AB62" s="98"/>
      <c r="AC62" s="21"/>
    </row>
    <row r="63" spans="1:29" s="1" customFormat="1">
      <c r="A63" s="757" t="s">
        <v>673</v>
      </c>
      <c r="B63" s="10">
        <f t="shared" ref="B63:Z63" ca="1" si="22">IF(B62=0,0,B62/B$13)</f>
        <v>0.83</v>
      </c>
      <c r="C63" s="191"/>
      <c r="D63" s="10">
        <f t="shared" ca="1" si="22"/>
        <v>0.95</v>
      </c>
      <c r="E63" s="191"/>
      <c r="F63" s="10">
        <f t="shared" ca="1" si="22"/>
        <v>0.95</v>
      </c>
      <c r="G63" s="191"/>
      <c r="H63" s="10">
        <f t="shared" ca="1" si="22"/>
        <v>0.24</v>
      </c>
      <c r="I63" s="10"/>
      <c r="J63" s="10" t="e">
        <f t="shared" si="22"/>
        <v>#REF!</v>
      </c>
      <c r="K63" s="10"/>
      <c r="L63" s="10" t="e">
        <f t="shared" si="22"/>
        <v>#REF!</v>
      </c>
      <c r="M63" s="10"/>
      <c r="N63" s="10" t="e">
        <f t="shared" si="22"/>
        <v>#REF!</v>
      </c>
      <c r="O63" s="10"/>
      <c r="P63" s="10" t="e">
        <f t="shared" si="22"/>
        <v>#REF!</v>
      </c>
      <c r="Q63" s="10"/>
      <c r="R63" s="10" t="e">
        <f t="shared" si="22"/>
        <v>#REF!</v>
      </c>
      <c r="S63" s="10"/>
      <c r="T63" s="10" t="e">
        <f t="shared" si="22"/>
        <v>#REF!</v>
      </c>
      <c r="U63" s="10"/>
      <c r="V63" s="10" t="e">
        <f t="shared" si="22"/>
        <v>#REF!</v>
      </c>
      <c r="W63" s="10"/>
      <c r="X63" s="10" t="e">
        <f t="shared" si="22"/>
        <v>#REF!</v>
      </c>
      <c r="Y63" s="10"/>
      <c r="Z63" s="10" t="e">
        <f t="shared" ca="1" si="22"/>
        <v>#REF!</v>
      </c>
      <c r="AA63" s="21"/>
      <c r="AB63" s="98"/>
      <c r="AC63" s="21"/>
    </row>
    <row r="64" spans="1:29" s="1" customFormat="1" ht="6" customHeight="1">
      <c r="A64" s="6"/>
      <c r="B64" s="10"/>
      <c r="C64" s="191"/>
      <c r="D64" s="10"/>
      <c r="E64" s="191"/>
      <c r="F64" s="10"/>
      <c r="G64" s="191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21"/>
      <c r="AB64" s="98"/>
      <c r="AC64" s="21"/>
    </row>
    <row r="65" spans="1:29" s="1" customFormat="1">
      <c r="A65" s="757" t="s">
        <v>674</v>
      </c>
      <c r="B65" s="39">
        <f t="shared" ref="B65:Z65" ca="1" si="23">B7-SUM(B16:B42)-B46</f>
        <v>2317</v>
      </c>
      <c r="C65" s="237"/>
      <c r="D65" s="39">
        <f t="shared" ca="1" si="23"/>
        <v>2631</v>
      </c>
      <c r="E65" s="237"/>
      <c r="F65" s="39">
        <f t="shared" ca="1" si="23"/>
        <v>2631</v>
      </c>
      <c r="G65" s="237"/>
      <c r="H65" s="39">
        <f t="shared" ca="1" si="23"/>
        <v>872</v>
      </c>
      <c r="I65" s="39"/>
      <c r="J65" s="39" t="e">
        <f t="shared" si="23"/>
        <v>#REF!</v>
      </c>
      <c r="K65" s="39"/>
      <c r="L65" s="39" t="e">
        <f t="shared" si="23"/>
        <v>#REF!</v>
      </c>
      <c r="M65" s="39"/>
      <c r="N65" s="39" t="e">
        <f t="shared" si="23"/>
        <v>#REF!</v>
      </c>
      <c r="O65" s="39"/>
      <c r="P65" s="39" t="e">
        <f t="shared" si="23"/>
        <v>#REF!</v>
      </c>
      <c r="Q65" s="39"/>
      <c r="R65" s="39" t="e">
        <f t="shared" si="23"/>
        <v>#REF!</v>
      </c>
      <c r="S65" s="39"/>
      <c r="T65" s="39" t="e">
        <f t="shared" si="23"/>
        <v>#REF!</v>
      </c>
      <c r="U65" s="39"/>
      <c r="V65" s="39" t="e">
        <f t="shared" si="23"/>
        <v>#REF!</v>
      </c>
      <c r="W65" s="39"/>
      <c r="X65" s="39" t="e">
        <f t="shared" si="23"/>
        <v>#REF!</v>
      </c>
      <c r="Y65" s="39"/>
      <c r="Z65" s="39" t="e">
        <f t="shared" ca="1" si="23"/>
        <v>#REF!</v>
      </c>
      <c r="AA65" s="21"/>
      <c r="AB65" s="98"/>
      <c r="AC65" s="21"/>
    </row>
    <row r="66" spans="1:29" s="1" customFormat="1">
      <c r="A66" s="757" t="s">
        <v>675</v>
      </c>
      <c r="B66" s="10">
        <f t="shared" ref="B66:Z66" ca="1" si="24">IF(B65=0,0,B65/B7)</f>
        <v>0.85</v>
      </c>
      <c r="C66" s="191"/>
      <c r="D66" s="10">
        <f t="shared" ca="1" si="24"/>
        <v>0.96</v>
      </c>
      <c r="E66" s="191"/>
      <c r="F66" s="10">
        <f t="shared" ca="1" si="24"/>
        <v>0.96</v>
      </c>
      <c r="G66" s="191"/>
      <c r="H66" s="10">
        <f t="shared" ca="1" si="24"/>
        <v>0.32</v>
      </c>
      <c r="I66" s="10"/>
      <c r="J66" s="10" t="e">
        <f t="shared" si="24"/>
        <v>#REF!</v>
      </c>
      <c r="K66" s="10"/>
      <c r="L66" s="10" t="e">
        <f t="shared" si="24"/>
        <v>#REF!</v>
      </c>
      <c r="M66" s="10"/>
      <c r="N66" s="10" t="e">
        <f t="shared" si="24"/>
        <v>#REF!</v>
      </c>
      <c r="O66" s="10"/>
      <c r="P66" s="10" t="e">
        <f t="shared" si="24"/>
        <v>#REF!</v>
      </c>
      <c r="Q66" s="10"/>
      <c r="R66" s="10" t="e">
        <f t="shared" si="24"/>
        <v>#REF!</v>
      </c>
      <c r="S66" s="10"/>
      <c r="T66" s="10" t="e">
        <f t="shared" si="24"/>
        <v>#REF!</v>
      </c>
      <c r="U66" s="10"/>
      <c r="V66" s="10" t="e">
        <f t="shared" si="24"/>
        <v>#REF!</v>
      </c>
      <c r="W66" s="10"/>
      <c r="X66" s="10" t="e">
        <f t="shared" si="24"/>
        <v>#REF!</v>
      </c>
      <c r="Y66" s="10"/>
      <c r="Z66" s="10" t="e">
        <f t="shared" ca="1" si="24"/>
        <v>#REF!</v>
      </c>
      <c r="AA66" s="21"/>
      <c r="AB66" s="98"/>
      <c r="AC66" s="21"/>
    </row>
    <row r="67" spans="1:29" s="1" customFormat="1" ht="6.2" customHeight="1">
      <c r="A67" s="757"/>
      <c r="B67" s="10"/>
      <c r="C67" s="191"/>
      <c r="D67" s="10"/>
      <c r="E67" s="191"/>
      <c r="F67" s="10"/>
      <c r="G67" s="191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21"/>
      <c r="AB67" s="98"/>
      <c r="AC67" s="21"/>
    </row>
    <row r="68" spans="1:29" s="1" customFormat="1">
      <c r="A68" s="757" t="s">
        <v>676</v>
      </c>
      <c r="B68" s="39">
        <f t="shared" ref="B68:Z68" si="25">B8-B43-B44</f>
        <v>0</v>
      </c>
      <c r="C68" s="237"/>
      <c r="D68" s="39">
        <f t="shared" si="25"/>
        <v>0</v>
      </c>
      <c r="E68" s="237"/>
      <c r="F68" s="39">
        <f t="shared" si="25"/>
        <v>0</v>
      </c>
      <c r="G68" s="237"/>
      <c r="H68" s="39">
        <f t="shared" si="25"/>
        <v>0</v>
      </c>
      <c r="I68" s="39"/>
      <c r="J68" s="39">
        <f t="shared" si="25"/>
        <v>0</v>
      </c>
      <c r="K68" s="39"/>
      <c r="L68" s="39">
        <f t="shared" si="25"/>
        <v>0</v>
      </c>
      <c r="M68" s="39"/>
      <c r="N68" s="39">
        <f t="shared" si="25"/>
        <v>0</v>
      </c>
      <c r="O68" s="39"/>
      <c r="P68" s="39">
        <f t="shared" si="25"/>
        <v>0</v>
      </c>
      <c r="Q68" s="39"/>
      <c r="R68" s="39">
        <f t="shared" si="25"/>
        <v>0</v>
      </c>
      <c r="S68" s="39"/>
      <c r="T68" s="39">
        <f t="shared" si="25"/>
        <v>0</v>
      </c>
      <c r="U68" s="39"/>
      <c r="V68" s="39">
        <f t="shared" si="25"/>
        <v>0</v>
      </c>
      <c r="W68" s="39"/>
      <c r="X68" s="39">
        <f t="shared" si="25"/>
        <v>0</v>
      </c>
      <c r="Y68" s="39"/>
      <c r="Z68" s="39">
        <f t="shared" si="25"/>
        <v>0</v>
      </c>
      <c r="AA68" s="21"/>
      <c r="AB68" s="98"/>
      <c r="AC68" s="21"/>
    </row>
    <row r="69" spans="1:29" s="1" customFormat="1">
      <c r="A69" s="757" t="s">
        <v>677</v>
      </c>
      <c r="B69" s="10">
        <f t="shared" ref="B69:Z69" si="26">IF(B68=0,0,B68/B8)</f>
        <v>0</v>
      </c>
      <c r="C69" s="191"/>
      <c r="D69" s="10">
        <f t="shared" si="26"/>
        <v>0</v>
      </c>
      <c r="E69" s="191"/>
      <c r="F69" s="10">
        <f t="shared" si="26"/>
        <v>0</v>
      </c>
      <c r="G69" s="191"/>
      <c r="H69" s="10">
        <f t="shared" si="26"/>
        <v>0</v>
      </c>
      <c r="I69" s="10"/>
      <c r="J69" s="10">
        <f t="shared" si="26"/>
        <v>0</v>
      </c>
      <c r="K69" s="10"/>
      <c r="L69" s="10">
        <f t="shared" si="26"/>
        <v>0</v>
      </c>
      <c r="M69" s="10"/>
      <c r="N69" s="10">
        <f t="shared" si="26"/>
        <v>0</v>
      </c>
      <c r="O69" s="10"/>
      <c r="P69" s="10">
        <f t="shared" si="26"/>
        <v>0</v>
      </c>
      <c r="Q69" s="10"/>
      <c r="R69" s="10">
        <f t="shared" si="26"/>
        <v>0</v>
      </c>
      <c r="S69" s="10"/>
      <c r="T69" s="10">
        <f t="shared" si="26"/>
        <v>0</v>
      </c>
      <c r="U69" s="10"/>
      <c r="V69" s="10">
        <f t="shared" si="26"/>
        <v>0</v>
      </c>
      <c r="W69" s="10"/>
      <c r="X69" s="10">
        <f t="shared" si="26"/>
        <v>0</v>
      </c>
      <c r="Y69" s="10"/>
      <c r="Z69" s="10">
        <f t="shared" si="26"/>
        <v>0</v>
      </c>
      <c r="AA69" s="21"/>
      <c r="AB69" s="98"/>
      <c r="AC69" s="21"/>
    </row>
    <row r="70" spans="1:29" s="1" customFormat="1" ht="6.2" customHeight="1">
      <c r="A70" s="757"/>
      <c r="B70" s="10"/>
      <c r="C70" s="191"/>
      <c r="D70" s="10"/>
      <c r="E70" s="191"/>
      <c r="F70" s="10"/>
      <c r="G70" s="191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21"/>
      <c r="AB70" s="98"/>
      <c r="AC70" s="21"/>
    </row>
    <row r="71" spans="1:29" s="1" customFormat="1">
      <c r="A71" s="757" t="s">
        <v>678</v>
      </c>
      <c r="B71" s="39">
        <f t="shared" ref="B71:Z71" si="27">B10-B45</f>
        <v>0</v>
      </c>
      <c r="C71" s="237"/>
      <c r="D71" s="39">
        <f t="shared" si="27"/>
        <v>0</v>
      </c>
      <c r="E71" s="237"/>
      <c r="F71" s="39">
        <f t="shared" si="27"/>
        <v>0</v>
      </c>
      <c r="G71" s="237"/>
      <c r="H71" s="39">
        <f t="shared" si="27"/>
        <v>0</v>
      </c>
      <c r="I71" s="39"/>
      <c r="J71" s="39">
        <f t="shared" si="27"/>
        <v>0</v>
      </c>
      <c r="K71" s="39"/>
      <c r="L71" s="39">
        <f t="shared" si="27"/>
        <v>0</v>
      </c>
      <c r="M71" s="39"/>
      <c r="N71" s="39">
        <f t="shared" si="27"/>
        <v>0</v>
      </c>
      <c r="O71" s="39"/>
      <c r="P71" s="39">
        <f t="shared" si="27"/>
        <v>0</v>
      </c>
      <c r="Q71" s="39"/>
      <c r="R71" s="39">
        <f t="shared" si="27"/>
        <v>0</v>
      </c>
      <c r="S71" s="39"/>
      <c r="T71" s="39">
        <f t="shared" si="27"/>
        <v>0</v>
      </c>
      <c r="U71" s="39"/>
      <c r="V71" s="39">
        <f t="shared" si="27"/>
        <v>0</v>
      </c>
      <c r="W71" s="39"/>
      <c r="X71" s="39">
        <f t="shared" si="27"/>
        <v>0</v>
      </c>
      <c r="Y71" s="39"/>
      <c r="Z71" s="39">
        <f t="shared" si="27"/>
        <v>0</v>
      </c>
      <c r="AA71" s="21"/>
      <c r="AB71" s="98"/>
      <c r="AC71" s="21"/>
    </row>
    <row r="72" spans="1:29" s="1" customFormat="1">
      <c r="A72" s="757" t="s">
        <v>679</v>
      </c>
      <c r="B72" s="10">
        <f t="shared" ref="B72:Z72" si="28">IF(B71=0,0,B71/B10)</f>
        <v>0</v>
      </c>
      <c r="C72" s="191"/>
      <c r="D72" s="10">
        <f t="shared" si="28"/>
        <v>0</v>
      </c>
      <c r="E72" s="191"/>
      <c r="F72" s="10">
        <f t="shared" si="28"/>
        <v>0</v>
      </c>
      <c r="G72" s="191"/>
      <c r="H72" s="10">
        <f t="shared" si="28"/>
        <v>0</v>
      </c>
      <c r="I72" s="10"/>
      <c r="J72" s="10">
        <f t="shared" si="28"/>
        <v>0</v>
      </c>
      <c r="K72" s="10"/>
      <c r="L72" s="10">
        <f t="shared" si="28"/>
        <v>0</v>
      </c>
      <c r="M72" s="10"/>
      <c r="N72" s="10">
        <f t="shared" si="28"/>
        <v>0</v>
      </c>
      <c r="O72" s="10"/>
      <c r="P72" s="10">
        <f t="shared" si="28"/>
        <v>0</v>
      </c>
      <c r="Q72" s="10"/>
      <c r="R72" s="10">
        <f t="shared" si="28"/>
        <v>0</v>
      </c>
      <c r="S72" s="10"/>
      <c r="T72" s="10">
        <f t="shared" si="28"/>
        <v>0</v>
      </c>
      <c r="U72" s="10"/>
      <c r="V72" s="10">
        <f t="shared" si="28"/>
        <v>0</v>
      </c>
      <c r="W72" s="10"/>
      <c r="X72" s="10">
        <f t="shared" si="28"/>
        <v>0</v>
      </c>
      <c r="Y72" s="10"/>
      <c r="Z72" s="10">
        <f t="shared" si="28"/>
        <v>0</v>
      </c>
      <c r="AA72" s="21"/>
      <c r="AB72" s="98"/>
      <c r="AC72" s="21"/>
    </row>
    <row r="73" spans="1:29" s="1" customFormat="1" ht="6.2" customHeight="1">
      <c r="A73" s="757"/>
      <c r="B73" s="10"/>
      <c r="C73" s="191"/>
      <c r="D73" s="10"/>
      <c r="E73" s="191"/>
      <c r="F73" s="10"/>
      <c r="G73" s="191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21"/>
      <c r="AB73" s="98"/>
      <c r="AC73" s="21"/>
    </row>
    <row r="75" spans="1:29">
      <c r="A75" s="493" t="s">
        <v>686</v>
      </c>
      <c r="B75" s="47">
        <f ca="1">B55+B46+B45</f>
        <v>1203</v>
      </c>
      <c r="C75" s="238"/>
      <c r="D75" s="47">
        <f t="shared" ref="D75:Z75" ca="1" si="29">D55+D46+D45</f>
        <v>1552</v>
      </c>
      <c r="E75" s="238"/>
      <c r="F75" s="47">
        <f t="shared" ca="1" si="29"/>
        <v>1552</v>
      </c>
      <c r="G75" s="238"/>
      <c r="H75" s="47">
        <f t="shared" ca="1" si="29"/>
        <v>-382</v>
      </c>
      <c r="I75" s="47"/>
      <c r="J75" s="47" t="e">
        <f t="shared" si="29"/>
        <v>#REF!</v>
      </c>
      <c r="K75" s="47"/>
      <c r="L75" s="47" t="e">
        <f t="shared" si="29"/>
        <v>#REF!</v>
      </c>
      <c r="M75" s="47"/>
      <c r="N75" s="47" t="e">
        <f t="shared" si="29"/>
        <v>#REF!</v>
      </c>
      <c r="O75" s="47"/>
      <c r="P75" s="47" t="e">
        <f t="shared" si="29"/>
        <v>#REF!</v>
      </c>
      <c r="Q75" s="47"/>
      <c r="R75" s="47" t="e">
        <f t="shared" si="29"/>
        <v>#REF!</v>
      </c>
      <c r="S75" s="47"/>
      <c r="T75" s="47" t="e">
        <f t="shared" si="29"/>
        <v>#REF!</v>
      </c>
      <c r="U75" s="47"/>
      <c r="V75" s="47" t="e">
        <f t="shared" si="29"/>
        <v>#REF!</v>
      </c>
      <c r="W75" s="47"/>
      <c r="X75" s="47" t="e">
        <f t="shared" si="29"/>
        <v>#REF!</v>
      </c>
      <c r="Y75" s="47"/>
      <c r="Z75" s="47" t="e">
        <f t="shared" ca="1" si="29"/>
        <v>#REF!</v>
      </c>
    </row>
    <row r="76" spans="1:29">
      <c r="C76" s="494"/>
      <c r="E76" s="494"/>
      <c r="G76" s="494"/>
      <c r="Z76" s="15"/>
      <c r="AB76" s="99">
        <v>0</v>
      </c>
    </row>
    <row r="77" spans="1:29">
      <c r="C77" s="494"/>
      <c r="E77" s="494"/>
      <c r="G77" s="494"/>
      <c r="AB77" s="99">
        <v>0</v>
      </c>
    </row>
    <row r="78" spans="1:29">
      <c r="C78" s="494"/>
      <c r="E78" s="494"/>
      <c r="G78" s="494"/>
      <c r="AB78" s="99">
        <v>0</v>
      </c>
    </row>
    <row r="79" spans="1:29">
      <c r="A79" s="21"/>
      <c r="C79" s="494"/>
      <c r="E79" s="494"/>
      <c r="G79" s="494"/>
      <c r="AB79" s="99">
        <v>0</v>
      </c>
    </row>
    <row r="80" spans="1:29">
      <c r="C80" s="494"/>
      <c r="E80" s="494"/>
      <c r="G80" s="494"/>
      <c r="AB80" s="99"/>
    </row>
    <row r="81" spans="1:28">
      <c r="A81" s="1"/>
      <c r="C81" s="494"/>
      <c r="E81" s="494"/>
      <c r="G81" s="494"/>
      <c r="AB81" s="12"/>
    </row>
    <row r="82" spans="1:28">
      <c r="A82" s="1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1"/>
      <c r="W82" s="1"/>
      <c r="X82" s="21"/>
      <c r="Y82" s="21"/>
      <c r="AB82" s="12"/>
    </row>
    <row r="83" spans="1:28">
      <c r="A83" s="1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1"/>
      <c r="W83" s="1"/>
      <c r="X83" s="21"/>
      <c r="Y83" s="21"/>
      <c r="AA83" s="494"/>
      <c r="AB83" s="12"/>
    </row>
    <row r="84" spans="1:28">
      <c r="A84" s="1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1"/>
      <c r="W84" s="1"/>
      <c r="X84" s="21"/>
      <c r="Y84" s="21"/>
      <c r="AB84" s="12"/>
    </row>
    <row r="85" spans="1:28">
      <c r="A85" s="1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1"/>
      <c r="W85" s="1"/>
      <c r="X85" s="21"/>
      <c r="Y85" s="21"/>
      <c r="AB85" s="12"/>
    </row>
    <row r="86" spans="1:28">
      <c r="A86" s="1"/>
      <c r="C86" s="494"/>
      <c r="E86" s="494"/>
      <c r="G86" s="494"/>
      <c r="V86" s="1"/>
      <c r="W86" s="1"/>
      <c r="AB86" s="12"/>
    </row>
    <row r="87" spans="1:28">
      <c r="A87" s="1"/>
      <c r="C87" s="494"/>
      <c r="E87" s="494"/>
      <c r="G87" s="494"/>
      <c r="V87" s="1"/>
      <c r="W87" s="1"/>
      <c r="AB87" s="12"/>
    </row>
    <row r="88" spans="1:28">
      <c r="A88" s="1"/>
      <c r="C88" s="494"/>
      <c r="E88" s="494"/>
      <c r="G88" s="494"/>
      <c r="V88" s="1"/>
      <c r="W88" s="1"/>
      <c r="AB88" s="12"/>
    </row>
    <row r="89" spans="1:28">
      <c r="A89" s="1"/>
      <c r="C89" s="494"/>
      <c r="E89" s="494"/>
      <c r="G89" s="494"/>
      <c r="V89" s="1"/>
      <c r="W89" s="1"/>
      <c r="AB89" s="12"/>
    </row>
    <row r="90" spans="1:28">
      <c r="A90" s="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167"/>
      <c r="Q90" s="167"/>
      <c r="R90" s="167"/>
      <c r="S90" s="167"/>
      <c r="T90" s="167"/>
      <c r="U90" s="167"/>
      <c r="V90" s="1"/>
      <c r="W90" s="1"/>
      <c r="X90" s="167"/>
      <c r="Y90" s="167"/>
      <c r="AB90" s="12"/>
    </row>
    <row r="91" spans="1:28">
      <c r="A91" s="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1"/>
      <c r="W91" s="1"/>
      <c r="X91" s="21"/>
      <c r="Y91" s="21"/>
      <c r="AB91" s="12"/>
    </row>
    <row r="92" spans="1:28">
      <c r="A92" s="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1"/>
      <c r="W92" s="1"/>
      <c r="X92" s="21"/>
      <c r="Y92" s="21"/>
      <c r="AB92" s="12"/>
    </row>
    <row r="93" spans="1:28">
      <c r="A93" s="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1"/>
      <c r="W93" s="1"/>
      <c r="X93" s="21"/>
      <c r="Y93" s="21"/>
      <c r="AB93" s="12"/>
    </row>
    <row r="94" spans="1:28">
      <c r="A94" s="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1"/>
      <c r="W94" s="1"/>
      <c r="X94" s="21"/>
      <c r="Y94" s="21"/>
      <c r="AB94" s="12"/>
    </row>
    <row r="95" spans="1:28">
      <c r="A95" s="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1"/>
      <c r="W95" s="1"/>
      <c r="X95" s="21"/>
      <c r="Y95" s="21"/>
      <c r="AB95" s="12"/>
    </row>
    <row r="96" spans="1:28">
      <c r="C96" s="494"/>
      <c r="E96" s="494"/>
      <c r="G96" s="494"/>
      <c r="V96" s="1"/>
      <c r="W96" s="1"/>
      <c r="AB96" s="12"/>
    </row>
    <row r="97" spans="1:28">
      <c r="A97" s="1"/>
      <c r="C97" s="494"/>
      <c r="E97" s="494"/>
      <c r="G97" s="494"/>
      <c r="V97" s="1"/>
      <c r="W97" s="1"/>
      <c r="AB97" s="12"/>
    </row>
    <row r="98" spans="1:28">
      <c r="A98" s="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1"/>
      <c r="W98" s="1"/>
      <c r="X98" s="21"/>
      <c r="Y98" s="21"/>
      <c r="AB98" s="12"/>
    </row>
    <row r="99" spans="1:28">
      <c r="A99" s="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1"/>
      <c r="W99" s="1"/>
      <c r="X99" s="21"/>
      <c r="Y99" s="21"/>
      <c r="AB99" s="12"/>
    </row>
    <row r="100" spans="1:28">
      <c r="A100" s="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1"/>
      <c r="W100" s="1"/>
      <c r="X100" s="21"/>
      <c r="Y100" s="21"/>
      <c r="AB100" s="12"/>
    </row>
    <row r="101" spans="1:28">
      <c r="A101" s="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1"/>
      <c r="W101" s="1"/>
      <c r="X101" s="21"/>
      <c r="Y101" s="21"/>
      <c r="AB101" s="12"/>
    </row>
    <row r="102" spans="1:28">
      <c r="A102" s="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1"/>
      <c r="W102" s="1"/>
      <c r="X102" s="21"/>
      <c r="Y102" s="21"/>
      <c r="AB102" s="12"/>
    </row>
    <row r="103" spans="1:28">
      <c r="A103" s="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1"/>
      <c r="W103" s="1"/>
      <c r="X103" s="21"/>
      <c r="Y103" s="21"/>
      <c r="AB103" s="12"/>
    </row>
    <row r="104" spans="1:28">
      <c r="A104" s="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1"/>
      <c r="W104" s="1"/>
      <c r="X104" s="21"/>
      <c r="Y104" s="21"/>
      <c r="AB104" s="12"/>
    </row>
    <row r="105" spans="1:28">
      <c r="C105" s="494"/>
      <c r="E105" s="494"/>
      <c r="G105" s="494"/>
      <c r="V105" s="1"/>
      <c r="W105" s="1"/>
      <c r="X105" s="8"/>
      <c r="Y105" s="8"/>
      <c r="AB105" s="99"/>
    </row>
    <row r="106" spans="1:28">
      <c r="A106" s="1"/>
      <c r="B106" s="21">
        <f>SUM(B82:B104)</f>
        <v>0</v>
      </c>
      <c r="C106" s="21"/>
      <c r="D106" s="21">
        <f>SUM(D82:D104)</f>
        <v>0</v>
      </c>
      <c r="E106" s="21"/>
      <c r="F106" s="21">
        <f>SUM(F82:F104)</f>
        <v>0</v>
      </c>
      <c r="G106" s="21"/>
      <c r="H106" s="21">
        <f t="shared" ref="H106:R106" si="30">SUM(H82:H104)</f>
        <v>0</v>
      </c>
      <c r="I106" s="21"/>
      <c r="J106" s="21">
        <f t="shared" si="30"/>
        <v>0</v>
      </c>
      <c r="K106" s="21"/>
      <c r="L106" s="21">
        <f t="shared" si="30"/>
        <v>0</v>
      </c>
      <c r="M106" s="21"/>
      <c r="N106" s="21">
        <f t="shared" si="30"/>
        <v>0</v>
      </c>
      <c r="O106" s="21"/>
      <c r="P106" s="21">
        <f t="shared" si="30"/>
        <v>0</v>
      </c>
      <c r="Q106" s="21"/>
      <c r="R106" s="21">
        <f t="shared" si="30"/>
        <v>0</v>
      </c>
      <c r="S106" s="21"/>
      <c r="T106" s="21">
        <f>SUM(T82:T104)</f>
        <v>0</v>
      </c>
      <c r="U106" s="21"/>
      <c r="V106" s="1">
        <v>106</v>
      </c>
      <c r="W106" s="1"/>
      <c r="X106" s="21">
        <f>SUM(X82:X104)</f>
        <v>0</v>
      </c>
      <c r="Y106" s="21"/>
      <c r="AB106" s="99"/>
    </row>
    <row r="107" spans="1:28">
      <c r="C107" s="494"/>
      <c r="E107" s="494"/>
      <c r="G107" s="494"/>
      <c r="AB107" s="99"/>
    </row>
    <row r="108" spans="1:28">
      <c r="C108" s="494"/>
      <c r="E108" s="494"/>
      <c r="G108" s="494"/>
      <c r="AB108" s="99"/>
    </row>
    <row r="109" spans="1:28">
      <c r="C109" s="494"/>
      <c r="E109" s="494"/>
      <c r="G109" s="494"/>
      <c r="AB109" s="99"/>
    </row>
    <row r="110" spans="1:28">
      <c r="C110" s="494"/>
      <c r="E110" s="494"/>
      <c r="G110" s="494"/>
      <c r="AB110" s="99"/>
    </row>
    <row r="111" spans="1:28">
      <c r="C111" s="494"/>
      <c r="E111" s="494"/>
      <c r="G111" s="494"/>
      <c r="AB111" s="99"/>
    </row>
    <row r="112" spans="1:28">
      <c r="C112" s="494"/>
      <c r="E112" s="494"/>
      <c r="G112" s="494"/>
      <c r="AB112" s="99"/>
    </row>
    <row r="113" spans="28:28">
      <c r="AB113" s="99"/>
    </row>
    <row r="114" spans="28:28">
      <c r="AB114" s="99"/>
    </row>
    <row r="115" spans="28:28">
      <c r="AB115" s="99"/>
    </row>
    <row r="116" spans="28:28">
      <c r="AB116" s="99"/>
    </row>
    <row r="117" spans="28:28">
      <c r="AB117" s="99"/>
    </row>
    <row r="118" spans="28:28">
      <c r="AB118" s="99"/>
    </row>
    <row r="119" spans="28:28">
      <c r="AB119" s="99"/>
    </row>
    <row r="120" spans="28:28">
      <c r="AB120" s="99"/>
    </row>
    <row r="121" spans="28:28">
      <c r="AB121" s="99"/>
    </row>
    <row r="122" spans="28:28">
      <c r="AB122" s="99"/>
    </row>
    <row r="123" spans="28:28">
      <c r="AB123" s="99"/>
    </row>
    <row r="124" spans="28:28">
      <c r="AB124" s="99"/>
    </row>
    <row r="125" spans="28:28">
      <c r="AB125" s="99"/>
    </row>
    <row r="126" spans="28:28">
      <c r="AB126" s="99"/>
    </row>
    <row r="127" spans="28:28">
      <c r="AB127" s="99"/>
    </row>
    <row r="128" spans="28:28">
      <c r="AB128" s="99"/>
    </row>
    <row r="129" spans="28:28">
      <c r="AB129" s="99"/>
    </row>
  </sheetData>
  <phoneticPr fontId="29" type="noConversion"/>
  <pageMargins left="0.75" right="0.75" top="0.54" bottom="0.55000000000000004" header="0.5" footer="0.5"/>
  <pageSetup scale="38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5">
    <tabColor rgb="FF66FF99"/>
    <pageSetUpPr fitToPage="1"/>
  </sheetPr>
  <dimension ref="A1:P79"/>
  <sheetViews>
    <sheetView workbookViewId="0"/>
  </sheetViews>
  <sheetFormatPr baseColWidth="10" defaultColWidth="9.140625" defaultRowHeight="12.75"/>
  <cols>
    <col min="1" max="1" width="39.140625" bestFit="1" customWidth="1"/>
    <col min="2" max="2" width="10.42578125" customWidth="1"/>
    <col min="3" max="3" width="10.42578125" bestFit="1" customWidth="1"/>
    <col min="4" max="5" width="9.140625" customWidth="1"/>
    <col min="6" max="6" width="10.42578125" bestFit="1" customWidth="1"/>
    <col min="7" max="7" width="9.42578125" bestFit="1" customWidth="1"/>
    <col min="8" max="9" width="10.42578125" bestFit="1" customWidth="1"/>
    <col min="10" max="10" width="10" bestFit="1" customWidth="1"/>
    <col min="11" max="12" width="10.42578125" bestFit="1" customWidth="1"/>
    <col min="13" max="13" width="10" customWidth="1"/>
    <col min="14" max="14" width="11.42578125" style="8" bestFit="1" customWidth="1"/>
    <col min="15" max="15" width="4.42578125" customWidth="1"/>
    <col min="16" max="16" width="11.42578125" style="96" bestFit="1" customWidth="1"/>
  </cols>
  <sheetData>
    <row r="1" spans="1:16" ht="15.75">
      <c r="A1" s="11" t="str">
        <f>'SPL 25 USD'!A1</f>
        <v>2025 Performance</v>
      </c>
    </row>
    <row r="2" spans="1:16" s="4" customFormat="1" ht="15.75">
      <c r="A2" s="11" t="s">
        <v>687</v>
      </c>
      <c r="B2" s="1"/>
      <c r="C2"/>
      <c r="D2"/>
      <c r="E2"/>
      <c r="F2"/>
      <c r="G2"/>
      <c r="H2"/>
      <c r="I2"/>
      <c r="J2"/>
      <c r="K2"/>
      <c r="L2"/>
      <c r="M2"/>
      <c r="N2" s="8"/>
      <c r="P2" s="97"/>
    </row>
    <row r="3" spans="1:16" ht="15.75">
      <c r="A3" s="18" t="s">
        <v>373</v>
      </c>
      <c r="B3" s="60">
        <f>'FX Rates'!B3</f>
        <v>1</v>
      </c>
      <c r="C3" s="60">
        <f>'FX Rates'!C3</f>
        <v>1</v>
      </c>
      <c r="D3" s="60">
        <f>'FX Rates'!D3</f>
        <v>1</v>
      </c>
      <c r="E3" s="60">
        <f>'FX Rates'!E3</f>
        <v>1</v>
      </c>
      <c r="F3" s="60">
        <f>'FX Rates'!F3</f>
        <v>1</v>
      </c>
      <c r="G3" s="60">
        <f>'FX Rates'!G3</f>
        <v>1</v>
      </c>
      <c r="H3" s="60">
        <f>'FX Rates'!H3</f>
        <v>1</v>
      </c>
      <c r="I3" s="60">
        <f>'FX Rates'!I3</f>
        <v>1</v>
      </c>
      <c r="J3" s="60">
        <f>'FX Rates'!J3</f>
        <v>1</v>
      </c>
      <c r="K3" s="60">
        <f>'FX Rates'!K3</f>
        <v>1</v>
      </c>
      <c r="L3" s="60">
        <f>'FX Rates'!L3</f>
        <v>1</v>
      </c>
      <c r="M3" s="60">
        <f>'FX Rates'!M3</f>
        <v>1</v>
      </c>
      <c r="N3" s="9"/>
    </row>
    <row r="4" spans="1:16">
      <c r="B4" s="21">
        <f>'SPL 25 USD'!B4</f>
        <v>2025</v>
      </c>
      <c r="C4" s="21">
        <f>B4</f>
        <v>2025</v>
      </c>
      <c r="D4" s="21">
        <f t="shared" ref="D4:N4" si="0">C4</f>
        <v>2025</v>
      </c>
      <c r="E4" s="21">
        <f t="shared" si="0"/>
        <v>2025</v>
      </c>
      <c r="F4" s="21">
        <f t="shared" si="0"/>
        <v>2025</v>
      </c>
      <c r="G4" s="21">
        <f t="shared" si="0"/>
        <v>2025</v>
      </c>
      <c r="H4" s="21">
        <f t="shared" si="0"/>
        <v>2025</v>
      </c>
      <c r="I4" s="21">
        <f t="shared" si="0"/>
        <v>2025</v>
      </c>
      <c r="J4" s="21">
        <f t="shared" si="0"/>
        <v>2025</v>
      </c>
      <c r="K4" s="21">
        <f t="shared" si="0"/>
        <v>2025</v>
      </c>
      <c r="L4" s="21">
        <f t="shared" si="0"/>
        <v>2025</v>
      </c>
      <c r="M4" s="21">
        <f t="shared" si="0"/>
        <v>2025</v>
      </c>
      <c r="N4" s="21">
        <f t="shared" si="0"/>
        <v>2025</v>
      </c>
      <c r="O4" s="2"/>
      <c r="P4" s="927" t="str">
        <f>'SPL 25 USD'!AC4</f>
        <v>2024YTD</v>
      </c>
    </row>
    <row r="5" spans="1:16" ht="15.75">
      <c r="A5" s="18" t="s">
        <v>2</v>
      </c>
      <c r="B5" s="21" t="s">
        <v>3</v>
      </c>
      <c r="C5" s="21" t="s">
        <v>4</v>
      </c>
      <c r="D5" s="21" t="s">
        <v>5</v>
      </c>
      <c r="E5" s="21" t="s">
        <v>6</v>
      </c>
      <c r="F5" s="21" t="s">
        <v>7</v>
      </c>
      <c r="G5" s="21" t="s">
        <v>8</v>
      </c>
      <c r="H5" s="21" t="s">
        <v>9</v>
      </c>
      <c r="I5" s="21" t="s">
        <v>10</v>
      </c>
      <c r="J5" s="21" t="s">
        <v>11</v>
      </c>
      <c r="K5" s="21" t="s">
        <v>12</v>
      </c>
      <c r="L5" s="21" t="s">
        <v>13</v>
      </c>
      <c r="M5" s="21" t="s">
        <v>14</v>
      </c>
      <c r="N5" s="21" t="s">
        <v>51</v>
      </c>
      <c r="P5" s="102" t="s">
        <v>52</v>
      </c>
    </row>
    <row r="6" spans="1:16">
      <c r="A6" s="6" t="s">
        <v>376</v>
      </c>
    </row>
    <row r="7" spans="1:16">
      <c r="A7" s="757" t="s">
        <v>688</v>
      </c>
      <c r="B7" s="125">
        <f>IF(B$3=0,DPL23Downhole!B7,DPL23Downhole!B7/B$3)</f>
        <v>0</v>
      </c>
      <c r="C7" s="125">
        <f>IF(C$3=0,DPL23Downhole!C7,DPL23Downhole!C7/C$3)</f>
        <v>0</v>
      </c>
      <c r="D7" s="125">
        <f>IF(D$3=0,DPL23Downhole!D7,DPL23Downhole!D7/D$3)</f>
        <v>0</v>
      </c>
      <c r="E7" s="125">
        <f>IF(E$3=0,DPL23Downhole!E7,DPL23Downhole!E7/E$3)</f>
        <v>0</v>
      </c>
      <c r="F7" s="125">
        <f>IF(F$3=0,DPL23Downhole!F7,DPL23Downhole!F7/F$3)</f>
        <v>0</v>
      </c>
      <c r="G7" s="125">
        <f>IF(G$3=0,DPL23Downhole!G7,DPL23Downhole!G7/G$3)</f>
        <v>0</v>
      </c>
      <c r="H7" s="125">
        <f>IF(H$3=0,DPL23Downhole!H7,DPL23Downhole!H7/H$3)</f>
        <v>0</v>
      </c>
      <c r="I7" s="125">
        <f>IF(I$3=0,DPL23Downhole!I7,DPL23Downhole!I7/I$3)</f>
        <v>0</v>
      </c>
      <c r="J7" s="125">
        <f>IF(J$3=0,DPL23Downhole!J7,DPL23Downhole!J7/J$3)</f>
        <v>0</v>
      </c>
      <c r="K7" s="125">
        <f>IF(K$3=0,DPL23Downhole!K7,DPL23Downhole!K7/K$3)</f>
        <v>0</v>
      </c>
      <c r="L7" s="125">
        <f>IF(L$3=0,DPL23Downhole!L7,DPL23Downhole!L7/L$3)</f>
        <v>0</v>
      </c>
      <c r="M7" s="125">
        <f>IF(M$3=0,DPL23Downhole!M7,DPL23Downhole!M7/M$3)</f>
        <v>0</v>
      </c>
      <c r="N7" s="126">
        <f>SUM(B7:M7)</f>
        <v>0</v>
      </c>
      <c r="P7" s="104">
        <f>SUM('Downhole23-Budget'!B7:$B7)</f>
        <v>0</v>
      </c>
    </row>
    <row r="8" spans="1:16">
      <c r="A8" s="757" t="s">
        <v>689</v>
      </c>
      <c r="B8" s="125">
        <f>IF(B$3=0,DPL23Downhole!B8,DPL23Downhole!B8/B$3)</f>
        <v>0</v>
      </c>
      <c r="C8" s="125">
        <f>IF(C$3=0,DPL23Downhole!C8,DPL23Downhole!C8/C$3)</f>
        <v>0</v>
      </c>
      <c r="D8" s="125">
        <f>IF(D$3=0,DPL23Downhole!D8,DPL23Downhole!D8/D$3)</f>
        <v>0</v>
      </c>
      <c r="E8" s="125">
        <f>IF(E$3=0,DPL23Downhole!E8,DPL23Downhole!E8/E$3)</f>
        <v>0</v>
      </c>
      <c r="F8" s="125">
        <f>IF(F$3=0,DPL23Downhole!F8,DPL23Downhole!F8/F$3)</f>
        <v>0</v>
      </c>
      <c r="G8" s="125">
        <f>IF(G$3=0,DPL23Downhole!G8,DPL23Downhole!G8/G$3)</f>
        <v>0</v>
      </c>
      <c r="H8" s="125">
        <f>IF(H$3=0,DPL23Downhole!H8,DPL23Downhole!H8/H$3)</f>
        <v>0</v>
      </c>
      <c r="I8" s="125">
        <f>IF(I$3=0,DPL23Downhole!I8,DPL23Downhole!I8/I$3)</f>
        <v>0</v>
      </c>
      <c r="J8" s="125">
        <f>IF(J$3=0,DPL23Downhole!J8,DPL23Downhole!J8/J$3)</f>
        <v>0</v>
      </c>
      <c r="K8" s="125">
        <f>IF(K$3=0,DPL23Downhole!K8,DPL23Downhole!K8/K$3)</f>
        <v>0</v>
      </c>
      <c r="L8" s="125">
        <f>IF(L$3=0,DPL23Downhole!L8,DPL23Downhole!L8/L$3)</f>
        <v>0</v>
      </c>
      <c r="M8" s="125">
        <f>IF(M$3=0,DPL23Downhole!M8,DPL23Downhole!M8/M$3)</f>
        <v>0</v>
      </c>
      <c r="N8" s="126">
        <f>SUM(B8:M8)</f>
        <v>0</v>
      </c>
      <c r="P8" s="104">
        <f>SUM('Downhole23-Budget'!B8:$B8)</f>
        <v>0</v>
      </c>
    </row>
    <row r="9" spans="1:16">
      <c r="A9" s="757" t="s">
        <v>690</v>
      </c>
      <c r="B9" s="125">
        <f>IF(B$3=0,DPL23Downhole!B9,DPL23Downhole!B9/B$3)</f>
        <v>0</v>
      </c>
      <c r="C9" s="125">
        <f>IF(C$3=0,DPL23Downhole!C9,DPL23Downhole!C9/C$3)</f>
        <v>0</v>
      </c>
      <c r="D9" s="125">
        <f>IF(D$3=0,DPL23Downhole!D9,DPL23Downhole!D9/D$3)</f>
        <v>0</v>
      </c>
      <c r="E9" s="125">
        <f>IF(E$3=0,DPL23Downhole!E9,DPL23Downhole!E9/E$3)</f>
        <v>0</v>
      </c>
      <c r="F9" s="125">
        <f>IF(F$3=0,DPL23Downhole!F9,DPL23Downhole!F9/F$3)</f>
        <v>0</v>
      </c>
      <c r="G9" s="125">
        <f>IF(G$3=0,DPL23Downhole!G9,DPL23Downhole!G9/G$3)</f>
        <v>0</v>
      </c>
      <c r="H9" s="125">
        <f>IF(H$3=0,DPL23Downhole!H9,DPL23Downhole!H9/H$3)</f>
        <v>0</v>
      </c>
      <c r="I9" s="125">
        <f>IF(I$3=0,DPL23Downhole!I9,DPL23Downhole!I9/I$3)</f>
        <v>0</v>
      </c>
      <c r="J9" s="125">
        <f>IF(J$3=0,DPL23Downhole!J9,DPL23Downhole!J9/J$3)</f>
        <v>0</v>
      </c>
      <c r="K9" s="125">
        <f>IF(K$3=0,DPL23Downhole!K9,DPL23Downhole!K9/K$3)</f>
        <v>0</v>
      </c>
      <c r="L9" s="125">
        <f>IF(L$3=0,DPL23Downhole!L9,DPL23Downhole!L9/L$3)</f>
        <v>0</v>
      </c>
      <c r="M9" s="125">
        <f>IF(M$3=0,DPL23Downhole!M9,DPL23Downhole!M9/M$3)</f>
        <v>0</v>
      </c>
      <c r="N9" s="126">
        <f>SUM(B9:M9)</f>
        <v>0</v>
      </c>
      <c r="P9" s="104">
        <f>SUM('Downhole23-Budget'!B9:$B9)</f>
        <v>0</v>
      </c>
    </row>
    <row r="10" spans="1:16" s="35" customFormat="1">
      <c r="A10" s="32" t="s">
        <v>380</v>
      </c>
      <c r="B10" s="125">
        <f>IF(B$3=0,DPL23Downhole!B10,DPL23Downhole!B10/B$3)</f>
        <v>0</v>
      </c>
      <c r="C10" s="125">
        <f>IF(C$3=0,DPL23Downhole!C10,DPL23Downhole!C10/C$3)</f>
        <v>0</v>
      </c>
      <c r="D10" s="125">
        <f>IF(D$3=0,DPL23Downhole!D10,DPL23Downhole!D10/D$3)</f>
        <v>0</v>
      </c>
      <c r="E10" s="125">
        <f>IF(E$3=0,DPL23Downhole!E10,DPL23Downhole!E10/E$3)</f>
        <v>0</v>
      </c>
      <c r="F10" s="125">
        <f>IF(F$3=0,DPL23Downhole!F10,DPL23Downhole!F10/F$3)</f>
        <v>0</v>
      </c>
      <c r="G10" s="125">
        <f>IF(G$3=0,DPL23Downhole!G10,DPL23Downhole!G10/G$3)</f>
        <v>0</v>
      </c>
      <c r="H10" s="125">
        <f>IF(H$3=0,DPL23Downhole!H10,DPL23Downhole!H10/H$3)</f>
        <v>0</v>
      </c>
      <c r="I10" s="125">
        <f>IF(I$3=0,DPL23Downhole!I10,DPL23Downhole!I10/I$3)</f>
        <v>0</v>
      </c>
      <c r="J10" s="125">
        <f>IF(J$3=0,DPL23Downhole!J10,DPL23Downhole!J10/J$3)</f>
        <v>0</v>
      </c>
      <c r="K10" s="125">
        <f>IF(K$3=0,DPL23Downhole!K10,DPL23Downhole!K10/K$3)</f>
        <v>0</v>
      </c>
      <c r="L10" s="125">
        <f>IF(L$3=0,DPL23Downhole!L10,DPL23Downhole!L10/L$3)</f>
        <v>0</v>
      </c>
      <c r="M10" s="125">
        <f>IF(M$3=0,DPL23Downhole!M10,DPL23Downhole!M10/M$3)</f>
        <v>0</v>
      </c>
      <c r="N10" s="126">
        <f>SUM(B10:M10)</f>
        <v>0</v>
      </c>
      <c r="P10" s="104">
        <f>SUM('Downhole23-Budget'!B10:$B10)</f>
        <v>0</v>
      </c>
    </row>
    <row r="11" spans="1:16">
      <c r="A11" s="757" t="s">
        <v>59</v>
      </c>
      <c r="B11" s="127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7"/>
      <c r="N11" s="126">
        <f>SUM(B11:M11)</f>
        <v>0</v>
      </c>
      <c r="P11" s="104"/>
    </row>
    <row r="12" spans="1:16" s="1" customFormat="1" ht="13.5" thickBot="1">
      <c r="A12" s="6" t="s">
        <v>381</v>
      </c>
      <c r="B12" s="128">
        <f>SUM(B7:B11)</f>
        <v>0</v>
      </c>
      <c r="C12" s="128">
        <f t="shared" ref="C12:N12" si="1">SUM(C7:C11)</f>
        <v>0</v>
      </c>
      <c r="D12" s="128">
        <f t="shared" si="1"/>
        <v>0</v>
      </c>
      <c r="E12" s="128">
        <f t="shared" si="1"/>
        <v>0</v>
      </c>
      <c r="F12" s="128">
        <f t="shared" si="1"/>
        <v>0</v>
      </c>
      <c r="G12" s="128">
        <f t="shared" si="1"/>
        <v>0</v>
      </c>
      <c r="H12" s="128">
        <f t="shared" si="1"/>
        <v>0</v>
      </c>
      <c r="I12" s="128">
        <f t="shared" si="1"/>
        <v>0</v>
      </c>
      <c r="J12" s="128">
        <f t="shared" si="1"/>
        <v>0</v>
      </c>
      <c r="K12" s="128">
        <f t="shared" si="1"/>
        <v>0</v>
      </c>
      <c r="L12" s="128">
        <f t="shared" si="1"/>
        <v>0</v>
      </c>
      <c r="M12" s="128">
        <f t="shared" si="1"/>
        <v>0</v>
      </c>
      <c r="N12" s="128">
        <f t="shared" si="1"/>
        <v>0</v>
      </c>
      <c r="P12" s="107">
        <f>SUM('Downhole23-Budget'!B13:$B13)</f>
        <v>0</v>
      </c>
    </row>
    <row r="13" spans="1:16" ht="13.5" thickTop="1">
      <c r="A13" s="757"/>
      <c r="B13" s="127"/>
      <c r="C13" s="127"/>
      <c r="D13" s="127"/>
      <c r="E13" s="127"/>
      <c r="F13" s="127"/>
      <c r="G13" s="127"/>
      <c r="H13" s="127"/>
      <c r="I13" s="127"/>
      <c r="J13" s="127"/>
      <c r="K13" s="127"/>
      <c r="L13" s="127"/>
      <c r="M13" s="127"/>
      <c r="N13" s="126"/>
      <c r="P13" s="104"/>
    </row>
    <row r="14" spans="1:16">
      <c r="A14" s="6" t="s">
        <v>382</v>
      </c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6"/>
      <c r="P14" s="104"/>
    </row>
    <row r="15" spans="1:16">
      <c r="A15" s="757" t="s">
        <v>266</v>
      </c>
      <c r="B15" s="125">
        <f>IF(B$3=0,DPL23Downhole!B15,DPL23Downhole!B15/B$3)</f>
        <v>0</v>
      </c>
      <c r="C15" s="125">
        <f>IF(C$3=0,DPL23Downhole!C15,DPL23Downhole!C15/C$3)</f>
        <v>0</v>
      </c>
      <c r="D15" s="125">
        <f>IF(D$3=0,DPL23Downhole!D15,DPL23Downhole!D15/D$3)</f>
        <v>0</v>
      </c>
      <c r="E15" s="125">
        <f>IF(E$3=0,DPL23Downhole!E15,DPL23Downhole!E15/E$3)</f>
        <v>0</v>
      </c>
      <c r="F15" s="125">
        <f>IF(F$3=0,DPL23Downhole!F15,DPL23Downhole!F15/F$3)</f>
        <v>0</v>
      </c>
      <c r="G15" s="125">
        <f>IF(G$3=0,DPL23Downhole!G15,DPL23Downhole!G15/G$3)</f>
        <v>0</v>
      </c>
      <c r="H15" s="125">
        <f>IF(H$3=0,DPL23Downhole!H15,DPL23Downhole!H15/H$3)</f>
        <v>0</v>
      </c>
      <c r="I15" s="125">
        <f>IF(I$3=0,DPL23Downhole!I15,DPL23Downhole!I15/I$3)</f>
        <v>0</v>
      </c>
      <c r="J15" s="125">
        <f>IF(J$3=0,DPL23Downhole!J15,DPL23Downhole!J15/J$3)</f>
        <v>0</v>
      </c>
      <c r="K15" s="125">
        <f>IF(K$3=0,DPL23Downhole!K15,DPL23Downhole!K15/K$3)</f>
        <v>0</v>
      </c>
      <c r="L15" s="125">
        <f>IF(L$3=0,DPL23Downhole!L15,DPL23Downhole!L15/L$3)</f>
        <v>0</v>
      </c>
      <c r="M15" s="125">
        <f>IF(M$3=0,DPL23Downhole!M15,DPL23Downhole!M15/M$3)</f>
        <v>0</v>
      </c>
      <c r="N15" s="126">
        <f>SUM(B15:M15)</f>
        <v>0</v>
      </c>
      <c r="P15" s="104">
        <f>SUM('Downhole23-Budget'!B16:$B16)</f>
        <v>0</v>
      </c>
    </row>
    <row r="16" spans="1:16">
      <c r="A16" s="757" t="s">
        <v>268</v>
      </c>
      <c r="B16" s="125">
        <f>IF(B$3=0,DPL23Downhole!B16,DPL23Downhole!B16/B$3)</f>
        <v>0</v>
      </c>
      <c r="C16" s="125">
        <f>IF(C$3=0,DPL23Downhole!C16,DPL23Downhole!C16/C$3)</f>
        <v>0</v>
      </c>
      <c r="D16" s="125">
        <f>IF(D$3=0,DPL23Downhole!D16,DPL23Downhole!D16/D$3)</f>
        <v>0</v>
      </c>
      <c r="E16" s="125">
        <f>IF(E$3=0,DPL23Downhole!E16,DPL23Downhole!E16/E$3)</f>
        <v>0</v>
      </c>
      <c r="F16" s="125">
        <f>IF(F$3=0,DPL23Downhole!F16,DPL23Downhole!F16/F$3)</f>
        <v>0</v>
      </c>
      <c r="G16" s="125">
        <f>IF(G$3=0,DPL23Downhole!G16,DPL23Downhole!G16/G$3)</f>
        <v>0</v>
      </c>
      <c r="H16" s="125">
        <f>IF(H$3=0,DPL23Downhole!H16,DPL23Downhole!H16/H$3)</f>
        <v>0</v>
      </c>
      <c r="I16" s="125">
        <f>IF(I$3=0,DPL23Downhole!I16,DPL23Downhole!I16/I$3)</f>
        <v>0</v>
      </c>
      <c r="J16" s="125">
        <f>IF(J$3=0,DPL23Downhole!J16,DPL23Downhole!J16/J$3)</f>
        <v>0</v>
      </c>
      <c r="K16" s="125">
        <f>IF(K$3=0,DPL23Downhole!K16,DPL23Downhole!K16/K$3)</f>
        <v>0</v>
      </c>
      <c r="L16" s="125">
        <f>IF(L$3=0,DPL23Downhole!L16,DPL23Downhole!L16/L$3)</f>
        <v>0</v>
      </c>
      <c r="M16" s="125">
        <f>IF(M$3=0,DPL23Downhole!M16,DPL23Downhole!M16/M$3)</f>
        <v>0</v>
      </c>
      <c r="N16" s="126">
        <f t="shared" ref="N16:N46" si="2">SUM(B16:M16)</f>
        <v>0</v>
      </c>
      <c r="P16" s="104">
        <f>SUM('Downhole23-Budget'!B17:$B17)</f>
        <v>0</v>
      </c>
    </row>
    <row r="17" spans="1:16">
      <c r="A17" s="757"/>
      <c r="B17" s="125"/>
      <c r="C17" s="125"/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126"/>
      <c r="P17" s="104"/>
    </row>
    <row r="18" spans="1:16">
      <c r="A18" s="757"/>
      <c r="B18" s="125"/>
      <c r="C18" s="125"/>
      <c r="D18" s="125"/>
      <c r="E18" s="125"/>
      <c r="F18" s="125"/>
      <c r="G18" s="125"/>
      <c r="H18" s="125"/>
      <c r="I18" s="125"/>
      <c r="J18" s="125"/>
      <c r="K18" s="125"/>
      <c r="L18" s="125"/>
      <c r="M18" s="125"/>
      <c r="N18" s="126"/>
      <c r="P18" s="104"/>
    </row>
    <row r="19" spans="1:16">
      <c r="A19" s="757"/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125"/>
      <c r="M19" s="125"/>
      <c r="N19" s="126"/>
      <c r="P19" s="104"/>
    </row>
    <row r="20" spans="1:16">
      <c r="A20" s="757" t="s">
        <v>385</v>
      </c>
      <c r="B20" s="125">
        <f>IF(B$3=0,DPL23Downhole!B20,DPL23Downhole!B20/B$3)</f>
        <v>0</v>
      </c>
      <c r="C20" s="125">
        <f>IF(C$3=0,DPL23Downhole!C20,DPL23Downhole!C20/C$3)</f>
        <v>0</v>
      </c>
      <c r="D20" s="125">
        <f>IF(D$3=0,DPL23Downhole!D20,DPL23Downhole!D20/D$3)</f>
        <v>0</v>
      </c>
      <c r="E20" s="125">
        <f>IF(E$3=0,DPL23Downhole!E20,DPL23Downhole!E20/E$3)</f>
        <v>0</v>
      </c>
      <c r="F20" s="125">
        <f>IF(F$3=0,DPL23Downhole!F20,DPL23Downhole!F20/F$3)</f>
        <v>0</v>
      </c>
      <c r="G20" s="125">
        <f>IF(G$3=0,DPL23Downhole!G20,DPL23Downhole!G20/G$3)</f>
        <v>0</v>
      </c>
      <c r="H20" s="125">
        <f>IF(H$3=0,DPL23Downhole!H20,DPL23Downhole!H20/H$3)</f>
        <v>0</v>
      </c>
      <c r="I20" s="125">
        <f>IF(I$3=0,DPL23Downhole!I20,DPL23Downhole!I20/I$3)</f>
        <v>0</v>
      </c>
      <c r="J20" s="125">
        <f>IF(J$3=0,DPL23Downhole!J20,DPL23Downhole!J20/J$3)</f>
        <v>0</v>
      </c>
      <c r="K20" s="125">
        <f>IF(K$3=0,DPL23Downhole!K20,DPL23Downhole!K20/K$3)</f>
        <v>0</v>
      </c>
      <c r="L20" s="125">
        <f>IF(L$3=0,DPL23Downhole!L20,DPL23Downhole!L20/L$3)</f>
        <v>0</v>
      </c>
      <c r="M20" s="125">
        <f>IF(M$3=0,DPL23Downhole!M20,DPL23Downhole!M20/M$3)</f>
        <v>0</v>
      </c>
      <c r="N20" s="126">
        <f t="shared" si="2"/>
        <v>0</v>
      </c>
      <c r="P20" s="104">
        <f>SUM('Downhole23-Budget'!B18:$B18)</f>
        <v>0</v>
      </c>
    </row>
    <row r="21" spans="1:16">
      <c r="A21" s="757" t="s">
        <v>386</v>
      </c>
      <c r="B21" s="125">
        <f>IF(B$3=0,DPL23Downhole!B21,DPL23Downhole!B21/B$3)</f>
        <v>0</v>
      </c>
      <c r="C21" s="125">
        <f>IF(C$3=0,DPL23Downhole!C21,DPL23Downhole!C21/C$3)</f>
        <v>0</v>
      </c>
      <c r="D21" s="125">
        <f>IF(D$3=0,DPL23Downhole!D21,DPL23Downhole!D21/D$3)</f>
        <v>0</v>
      </c>
      <c r="E21" s="125">
        <f>IF(E$3=0,DPL23Downhole!E21,DPL23Downhole!E21/E$3)</f>
        <v>0</v>
      </c>
      <c r="F21" s="125">
        <f>IF(F$3=0,DPL23Downhole!F21,DPL23Downhole!F21/F$3)</f>
        <v>0</v>
      </c>
      <c r="G21" s="125">
        <f>IF(G$3=0,DPL23Downhole!G21,DPL23Downhole!G21/G$3)</f>
        <v>0</v>
      </c>
      <c r="H21" s="125">
        <f>IF(H$3=0,DPL23Downhole!H21,DPL23Downhole!H21/H$3)</f>
        <v>0</v>
      </c>
      <c r="I21" s="125">
        <f>IF(I$3=0,DPL23Downhole!I21,DPL23Downhole!I21/I$3)</f>
        <v>0</v>
      </c>
      <c r="J21" s="125">
        <f>IF(J$3=0,DPL23Downhole!J21,DPL23Downhole!J21/J$3)</f>
        <v>0</v>
      </c>
      <c r="K21" s="125">
        <f>IF(K$3=0,DPL23Downhole!K21,DPL23Downhole!K21/K$3)</f>
        <v>0</v>
      </c>
      <c r="L21" s="125">
        <f>IF(L$3=0,DPL23Downhole!L21,DPL23Downhole!L21/L$3)</f>
        <v>0</v>
      </c>
      <c r="M21" s="125">
        <f>IF(M$3=0,DPL23Downhole!M21,DPL23Downhole!M21/M$3)</f>
        <v>0</v>
      </c>
      <c r="N21" s="126">
        <f t="shared" si="2"/>
        <v>0</v>
      </c>
      <c r="P21" s="104">
        <f>SUM('Downhole23-Budget'!B19:$B19)</f>
        <v>0</v>
      </c>
    </row>
    <row r="22" spans="1:16">
      <c r="A22" s="757"/>
      <c r="B22" s="125"/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5"/>
      <c r="N22" s="126"/>
      <c r="P22" s="104"/>
    </row>
    <row r="23" spans="1:16">
      <c r="A23" s="757"/>
      <c r="B23" s="125"/>
      <c r="C23" s="125"/>
      <c r="D23" s="125"/>
      <c r="E23" s="125"/>
      <c r="F23" s="125"/>
      <c r="G23" s="125"/>
      <c r="H23" s="125"/>
      <c r="I23" s="125"/>
      <c r="J23" s="125"/>
      <c r="K23" s="125"/>
      <c r="L23" s="125"/>
      <c r="M23" s="125"/>
      <c r="N23" s="126"/>
      <c r="P23" s="104"/>
    </row>
    <row r="24" spans="1:16">
      <c r="A24" s="757"/>
      <c r="B24" s="125"/>
      <c r="C24" s="125"/>
      <c r="D24" s="125"/>
      <c r="E24" s="125"/>
      <c r="F24" s="125"/>
      <c r="G24" s="125"/>
      <c r="H24" s="125"/>
      <c r="I24" s="125"/>
      <c r="J24" s="125"/>
      <c r="K24" s="125"/>
      <c r="L24" s="125"/>
      <c r="M24" s="125"/>
      <c r="N24" s="126"/>
      <c r="P24" s="104"/>
    </row>
    <row r="25" spans="1:16" s="4" customFormat="1">
      <c r="A25" s="757" t="s">
        <v>390</v>
      </c>
      <c r="B25" s="125">
        <f>IF(B$3=0,DPL23Downhole!B25,DPL23Downhole!B25/B$3)</f>
        <v>0</v>
      </c>
      <c r="C25" s="125">
        <f>IF(C$3=0,DPL23Downhole!C25,DPL23Downhole!C25/C$3)</f>
        <v>0</v>
      </c>
      <c r="D25" s="125">
        <f>IF(D$3=0,DPL23Downhole!D25,DPL23Downhole!D25/D$3)</f>
        <v>0</v>
      </c>
      <c r="E25" s="125">
        <f>IF(E$3=0,DPL23Downhole!E25,DPL23Downhole!E25/E$3)</f>
        <v>0</v>
      </c>
      <c r="F25" s="125">
        <f>IF(F$3=0,DPL23Downhole!F25,DPL23Downhole!F25/F$3)</f>
        <v>0</v>
      </c>
      <c r="G25" s="125">
        <f>IF(G$3=0,DPL23Downhole!G25,DPL23Downhole!G25/G$3)</f>
        <v>0</v>
      </c>
      <c r="H25" s="125">
        <f>IF(H$3=0,DPL23Downhole!H25,DPL23Downhole!H25/H$3)</f>
        <v>0</v>
      </c>
      <c r="I25" s="125">
        <f>IF(I$3=0,DPL23Downhole!I25,DPL23Downhole!I25/I$3)</f>
        <v>0</v>
      </c>
      <c r="J25" s="125">
        <f>IF(J$3=0,DPL23Downhole!J25,DPL23Downhole!J25/J$3)</f>
        <v>0</v>
      </c>
      <c r="K25" s="125">
        <f>IF(K$3=0,DPL23Downhole!K25,DPL23Downhole!K25/K$3)</f>
        <v>0</v>
      </c>
      <c r="L25" s="125">
        <f>IF(L$3=0,DPL23Downhole!L25,DPL23Downhole!L25/L$3)</f>
        <v>0</v>
      </c>
      <c r="M25" s="125">
        <f>IF(M$3=0,DPL23Downhole!M25,DPL23Downhole!M25/M$3)</f>
        <v>0</v>
      </c>
      <c r="N25" s="126">
        <f t="shared" si="2"/>
        <v>0</v>
      </c>
      <c r="P25" s="104">
        <f>SUM('Downhole23-Budget'!B20:$B20)</f>
        <v>0</v>
      </c>
    </row>
    <row r="26" spans="1:16" s="4" customFormat="1">
      <c r="A26" s="757" t="s">
        <v>391</v>
      </c>
      <c r="B26" s="125">
        <f>IF(B$3=0,DPL23Downhole!B26,DPL23Downhole!B26/B$3)</f>
        <v>0</v>
      </c>
      <c r="C26" s="125">
        <f>IF(C$3=0,DPL23Downhole!C26,DPL23Downhole!C26/C$3)</f>
        <v>0</v>
      </c>
      <c r="D26" s="125">
        <f>IF(D$3=0,DPL23Downhole!D26,DPL23Downhole!D26/D$3)</f>
        <v>0</v>
      </c>
      <c r="E26" s="125">
        <f>IF(E$3=0,DPL23Downhole!E26,DPL23Downhole!E26/E$3)</f>
        <v>0</v>
      </c>
      <c r="F26" s="125">
        <f>IF(F$3=0,DPL23Downhole!F26,DPL23Downhole!F26/F$3)</f>
        <v>0</v>
      </c>
      <c r="G26" s="125">
        <f>IF(G$3=0,DPL23Downhole!G26,DPL23Downhole!G26/G$3)</f>
        <v>0</v>
      </c>
      <c r="H26" s="125">
        <f>IF(H$3=0,DPL23Downhole!H26,DPL23Downhole!H26/H$3)</f>
        <v>0</v>
      </c>
      <c r="I26" s="125">
        <f>IF(I$3=0,DPL23Downhole!I26,DPL23Downhole!I26/I$3)</f>
        <v>0</v>
      </c>
      <c r="J26" s="125">
        <f>IF(J$3=0,DPL23Downhole!J26,DPL23Downhole!J26/J$3)</f>
        <v>0</v>
      </c>
      <c r="K26" s="125">
        <f>IF(K$3=0,DPL23Downhole!K26,DPL23Downhole!K26/K$3)</f>
        <v>0</v>
      </c>
      <c r="L26" s="125">
        <f>IF(L$3=0,DPL23Downhole!L26,DPL23Downhole!L26/L$3)</f>
        <v>0</v>
      </c>
      <c r="M26" s="125">
        <f>IF(M$3=0,DPL23Downhole!M26,DPL23Downhole!M26/M$3)</f>
        <v>0</v>
      </c>
      <c r="N26" s="126">
        <f t="shared" si="2"/>
        <v>0</v>
      </c>
      <c r="P26" s="104">
        <f>SUM('Downhole23-Budget'!B21:$B21)</f>
        <v>0</v>
      </c>
    </row>
    <row r="27" spans="1:16" s="4" customFormat="1">
      <c r="A27" s="757" t="s">
        <v>392</v>
      </c>
      <c r="B27" s="125">
        <f>IF(B$3=0,DPL23Downhole!B27,DPL23Downhole!B27/B$3)</f>
        <v>0</v>
      </c>
      <c r="C27" s="125">
        <f>IF(C$3=0,DPL23Downhole!C27,DPL23Downhole!C27/C$3)</f>
        <v>0</v>
      </c>
      <c r="D27" s="125">
        <f>IF(D$3=0,DPL23Downhole!D27,DPL23Downhole!D27/D$3)</f>
        <v>0</v>
      </c>
      <c r="E27" s="125">
        <f>IF(E$3=0,DPL23Downhole!E27,DPL23Downhole!E27/E$3)</f>
        <v>0</v>
      </c>
      <c r="F27" s="125">
        <f>IF(F$3=0,DPL23Downhole!F27,DPL23Downhole!F27/F$3)</f>
        <v>0</v>
      </c>
      <c r="G27" s="125">
        <f>IF(G$3=0,DPL23Downhole!G27,DPL23Downhole!G27/G$3)</f>
        <v>0</v>
      </c>
      <c r="H27" s="125">
        <f>IF(H$3=0,DPL23Downhole!H27,DPL23Downhole!H27/H$3)</f>
        <v>0</v>
      </c>
      <c r="I27" s="125">
        <f>IF(I$3=0,DPL23Downhole!I27,DPL23Downhole!I27/I$3)</f>
        <v>0</v>
      </c>
      <c r="J27" s="125">
        <f>IF(J$3=0,DPL23Downhole!J27,DPL23Downhole!J27/J$3)</f>
        <v>0</v>
      </c>
      <c r="K27" s="125">
        <f>IF(K$3=0,DPL23Downhole!K27,DPL23Downhole!K27/K$3)</f>
        <v>0</v>
      </c>
      <c r="L27" s="125">
        <f>IF(L$3=0,DPL23Downhole!L27,DPL23Downhole!L27/L$3)</f>
        <v>0</v>
      </c>
      <c r="M27" s="125">
        <f>IF(M$3=0,DPL23Downhole!M27,DPL23Downhole!M27/M$3)</f>
        <v>0</v>
      </c>
      <c r="N27" s="126">
        <f t="shared" si="2"/>
        <v>0</v>
      </c>
      <c r="P27" s="104">
        <f>SUM('Downhole23-Budget'!B22:$B22)</f>
        <v>0</v>
      </c>
    </row>
    <row r="28" spans="1:16" s="4" customFormat="1">
      <c r="A28" s="757" t="s">
        <v>501</v>
      </c>
      <c r="B28" s="125">
        <f>IF(B$3=0,DPL23Downhole!B28,DPL23Downhole!B28/B$3)</f>
        <v>0</v>
      </c>
      <c r="C28" s="125">
        <f>IF(C$3=0,DPL23Downhole!C28,DPL23Downhole!C28/C$3)</f>
        <v>0</v>
      </c>
      <c r="D28" s="125">
        <f>IF(D$3=0,DPL23Downhole!D28,DPL23Downhole!D28/D$3)</f>
        <v>0</v>
      </c>
      <c r="E28" s="125">
        <f>IF(E$3=0,DPL23Downhole!E28,DPL23Downhole!E28/E$3)</f>
        <v>0</v>
      </c>
      <c r="F28" s="125">
        <f>IF(F$3=0,DPL23Downhole!F28,DPL23Downhole!F28/F$3)</f>
        <v>0</v>
      </c>
      <c r="G28" s="125">
        <f>IF(G$3=0,DPL23Downhole!G28,DPL23Downhole!G28/G$3)</f>
        <v>0</v>
      </c>
      <c r="H28" s="125">
        <f>IF(H$3=0,DPL23Downhole!H28,DPL23Downhole!H28/H$3)</f>
        <v>0</v>
      </c>
      <c r="I28" s="125">
        <f>IF(I$3=0,DPL23Downhole!I28,DPL23Downhole!I28/I$3)</f>
        <v>0</v>
      </c>
      <c r="J28" s="125">
        <f>IF(J$3=0,DPL23Downhole!J28,DPL23Downhole!J28/J$3)</f>
        <v>0</v>
      </c>
      <c r="K28" s="125">
        <f>IF(K$3=0,DPL23Downhole!K28,DPL23Downhole!K28/K$3)</f>
        <v>0</v>
      </c>
      <c r="L28" s="125">
        <f>IF(L$3=0,DPL23Downhole!L28,DPL23Downhole!L28/L$3)</f>
        <v>0</v>
      </c>
      <c r="M28" s="125">
        <f>IF(M$3=0,DPL23Downhole!M28,DPL23Downhole!M28/M$3)</f>
        <v>0</v>
      </c>
      <c r="N28" s="126">
        <f t="shared" si="2"/>
        <v>0</v>
      </c>
      <c r="P28" s="104">
        <f>SUM('Downhole23-Budget'!B23:$B23)</f>
        <v>0</v>
      </c>
    </row>
    <row r="29" spans="1:16" s="4" customFormat="1">
      <c r="A29" s="757" t="s">
        <v>393</v>
      </c>
      <c r="B29" s="125">
        <f>IF(B$3=0,DPL23Downhole!B29,DPL23Downhole!B29/B$3)</f>
        <v>0</v>
      </c>
      <c r="C29" s="125">
        <f>IF(C$3=0,DPL23Downhole!C29,DPL23Downhole!C29/C$3)</f>
        <v>0</v>
      </c>
      <c r="D29" s="125">
        <f>IF(D$3=0,DPL23Downhole!D29,DPL23Downhole!D29/D$3)</f>
        <v>0</v>
      </c>
      <c r="E29" s="125">
        <f>IF(E$3=0,DPL23Downhole!E29,DPL23Downhole!E29/E$3)</f>
        <v>0</v>
      </c>
      <c r="F29" s="125">
        <f>IF(F$3=0,DPL23Downhole!F29,DPL23Downhole!F29/F$3)</f>
        <v>0</v>
      </c>
      <c r="G29" s="125">
        <f>IF(G$3=0,DPL23Downhole!G29,DPL23Downhole!G29/G$3)</f>
        <v>0</v>
      </c>
      <c r="H29" s="125">
        <f>IF(H$3=0,DPL23Downhole!H29,DPL23Downhole!H29/H$3)</f>
        <v>0</v>
      </c>
      <c r="I29" s="125">
        <f>IF(I$3=0,DPL23Downhole!I29,DPL23Downhole!I29/I$3)</f>
        <v>0</v>
      </c>
      <c r="J29" s="125">
        <f>IF(J$3=0,DPL23Downhole!J29,DPL23Downhole!J29/J$3)</f>
        <v>0</v>
      </c>
      <c r="K29" s="125">
        <f>IF(K$3=0,DPL23Downhole!K29,DPL23Downhole!K29/K$3)</f>
        <v>0</v>
      </c>
      <c r="L29" s="125">
        <f>IF(L$3=0,DPL23Downhole!L29,DPL23Downhole!L29/L$3)</f>
        <v>0</v>
      </c>
      <c r="M29" s="125">
        <f>IF(M$3=0,DPL23Downhole!M29,DPL23Downhole!M29/M$3)</f>
        <v>0</v>
      </c>
      <c r="N29" s="126">
        <f t="shared" si="2"/>
        <v>0</v>
      </c>
      <c r="P29" s="104">
        <f>SUM('Downhole23-Budget'!B24:$B24)</f>
        <v>0</v>
      </c>
    </row>
    <row r="30" spans="1:16" s="4" customFormat="1">
      <c r="A30" s="757" t="s">
        <v>394</v>
      </c>
      <c r="B30" s="125">
        <f>IF(B$3=0,DPL23Downhole!B30,DPL23Downhole!B30/B$3)</f>
        <v>0</v>
      </c>
      <c r="C30" s="125">
        <f>IF(C$3=0,DPL23Downhole!C30,DPL23Downhole!C30/C$3)</f>
        <v>0</v>
      </c>
      <c r="D30" s="125">
        <f>IF(D$3=0,DPL23Downhole!D30,DPL23Downhole!D30/D$3)</f>
        <v>0</v>
      </c>
      <c r="E30" s="125">
        <f>IF(E$3=0,DPL23Downhole!E30,DPL23Downhole!E30/E$3)</f>
        <v>0</v>
      </c>
      <c r="F30" s="125">
        <f>IF(F$3=0,DPL23Downhole!F30,DPL23Downhole!F30/F$3)</f>
        <v>0</v>
      </c>
      <c r="G30" s="125">
        <f>IF(G$3=0,DPL23Downhole!G30,DPL23Downhole!G30/G$3)</f>
        <v>0</v>
      </c>
      <c r="H30" s="125">
        <f>IF(H$3=0,DPL23Downhole!H30,DPL23Downhole!H30/H$3)</f>
        <v>0</v>
      </c>
      <c r="I30" s="125">
        <f>IF(I$3=0,DPL23Downhole!I30,DPL23Downhole!I30/I$3)</f>
        <v>0</v>
      </c>
      <c r="J30" s="125">
        <f>IF(J$3=0,DPL23Downhole!J30,DPL23Downhole!J30/J$3)</f>
        <v>0</v>
      </c>
      <c r="K30" s="125">
        <f>IF(K$3=0,DPL23Downhole!K30,DPL23Downhole!K30/K$3)</f>
        <v>0</v>
      </c>
      <c r="L30" s="125">
        <f>IF(L$3=0,DPL23Downhole!L30,DPL23Downhole!L30/L$3)</f>
        <v>0</v>
      </c>
      <c r="M30" s="125">
        <f>IF(M$3=0,DPL23Downhole!M30,DPL23Downhole!M30/M$3)</f>
        <v>0</v>
      </c>
      <c r="N30" s="126">
        <f t="shared" si="2"/>
        <v>0</v>
      </c>
      <c r="P30" s="104">
        <f>SUM('Downhole23-Budget'!B25:$B25)</f>
        <v>0</v>
      </c>
    </row>
    <row r="31" spans="1:16" s="4" customFormat="1">
      <c r="A31" s="757" t="s">
        <v>307</v>
      </c>
      <c r="B31" s="125">
        <f>IF(B$3=0,DPL23Downhole!B31,DPL23Downhole!B31/B$3)</f>
        <v>0</v>
      </c>
      <c r="C31" s="125">
        <f>IF(C$3=0,DPL23Downhole!C31,DPL23Downhole!C31/C$3)</f>
        <v>0</v>
      </c>
      <c r="D31" s="125">
        <f>IF(D$3=0,DPL23Downhole!D31,DPL23Downhole!D31/D$3)</f>
        <v>0</v>
      </c>
      <c r="E31" s="125">
        <f>IF(E$3=0,DPL23Downhole!E31,DPL23Downhole!E31/E$3)</f>
        <v>0</v>
      </c>
      <c r="F31" s="125">
        <f>IF(F$3=0,DPL23Downhole!F31,DPL23Downhole!F31/F$3)</f>
        <v>0</v>
      </c>
      <c r="G31" s="125">
        <f>IF(G$3=0,DPL23Downhole!G31,DPL23Downhole!G31/G$3)</f>
        <v>0</v>
      </c>
      <c r="H31" s="125">
        <f>IF(H$3=0,DPL23Downhole!H31,DPL23Downhole!H31/H$3)</f>
        <v>0</v>
      </c>
      <c r="I31" s="125">
        <f>IF(I$3=0,DPL23Downhole!I31,DPL23Downhole!I31/I$3)</f>
        <v>0</v>
      </c>
      <c r="J31" s="125">
        <f>IF(J$3=0,DPL23Downhole!J31,DPL23Downhole!J31/J$3)</f>
        <v>0</v>
      </c>
      <c r="K31" s="125">
        <f>IF(K$3=0,DPL23Downhole!K31,DPL23Downhole!K31/K$3)</f>
        <v>0</v>
      </c>
      <c r="L31" s="125">
        <f>IF(L$3=0,DPL23Downhole!L31,DPL23Downhole!L31/L$3)</f>
        <v>0</v>
      </c>
      <c r="M31" s="125">
        <f>IF(M$3=0,DPL23Downhole!M31,DPL23Downhole!M31/M$3)</f>
        <v>0</v>
      </c>
      <c r="N31" s="126">
        <f t="shared" si="2"/>
        <v>0</v>
      </c>
      <c r="P31" s="104">
        <f>SUM('Downhole23-Budget'!B26:$B26)</f>
        <v>0</v>
      </c>
    </row>
    <row r="32" spans="1:16" s="4" customFormat="1">
      <c r="A32" s="757" t="s">
        <v>395</v>
      </c>
      <c r="B32" s="125">
        <f>IF(B$3=0,DPL23Downhole!B32,DPL23Downhole!B32/B$3)</f>
        <v>0</v>
      </c>
      <c r="C32" s="125">
        <f>IF(C$3=0,DPL23Downhole!C32,DPL23Downhole!C32/C$3)</f>
        <v>0</v>
      </c>
      <c r="D32" s="125">
        <f>IF(D$3=0,DPL23Downhole!D32,DPL23Downhole!D32/D$3)</f>
        <v>0</v>
      </c>
      <c r="E32" s="125">
        <f>IF(E$3=0,DPL23Downhole!E32,DPL23Downhole!E32/E$3)</f>
        <v>0</v>
      </c>
      <c r="F32" s="125">
        <f>IF(F$3=0,DPL23Downhole!F32,DPL23Downhole!F32/F$3)</f>
        <v>0</v>
      </c>
      <c r="G32" s="125">
        <f>IF(G$3=0,DPL23Downhole!G32,DPL23Downhole!G32/G$3)</f>
        <v>0</v>
      </c>
      <c r="H32" s="125">
        <f>IF(H$3=0,DPL23Downhole!H32,DPL23Downhole!H32/H$3)</f>
        <v>0</v>
      </c>
      <c r="I32" s="125">
        <f>IF(I$3=0,DPL23Downhole!I32,DPL23Downhole!I32/I$3)</f>
        <v>0</v>
      </c>
      <c r="J32" s="125">
        <f>IF(J$3=0,DPL23Downhole!J32,DPL23Downhole!J32/J$3)</f>
        <v>0</v>
      </c>
      <c r="K32" s="125">
        <f>IF(K$3=0,DPL23Downhole!K32,DPL23Downhole!K32/K$3)</f>
        <v>0</v>
      </c>
      <c r="L32" s="125">
        <f>IF(L$3=0,DPL23Downhole!L32,DPL23Downhole!L32/L$3)</f>
        <v>0</v>
      </c>
      <c r="M32" s="125">
        <f>IF(M$3=0,DPL23Downhole!M32,DPL23Downhole!M32/M$3)</f>
        <v>0</v>
      </c>
      <c r="N32" s="126">
        <f t="shared" si="2"/>
        <v>0</v>
      </c>
      <c r="P32" s="104">
        <f>SUM('Downhole23-Budget'!B27:$B27)</f>
        <v>0</v>
      </c>
    </row>
    <row r="33" spans="1:16" s="4" customFormat="1">
      <c r="A33" s="757" t="s">
        <v>396</v>
      </c>
      <c r="B33" s="125">
        <f>IF(B$3=0,DPL23Downhole!B33,DPL23Downhole!B33/B$3)</f>
        <v>0</v>
      </c>
      <c r="C33" s="125">
        <f>IF(C$3=0,DPL23Downhole!C33,DPL23Downhole!C33/C$3)</f>
        <v>0</v>
      </c>
      <c r="D33" s="125">
        <f>IF(D$3=0,DPL23Downhole!D33,DPL23Downhole!D33/D$3)</f>
        <v>0</v>
      </c>
      <c r="E33" s="125">
        <f>IF(E$3=0,DPL23Downhole!E33,DPL23Downhole!E33/E$3)</f>
        <v>0</v>
      </c>
      <c r="F33" s="125">
        <f>IF(F$3=0,DPL23Downhole!F33,DPL23Downhole!F33/F$3)</f>
        <v>0</v>
      </c>
      <c r="G33" s="125">
        <f>IF(G$3=0,DPL23Downhole!G33,DPL23Downhole!G33/G$3)</f>
        <v>0</v>
      </c>
      <c r="H33" s="125">
        <f>IF(H$3=0,DPL23Downhole!H33,DPL23Downhole!H33/H$3)</f>
        <v>0</v>
      </c>
      <c r="I33" s="125">
        <f>IF(I$3=0,DPL23Downhole!I33,DPL23Downhole!I33/I$3)</f>
        <v>0</v>
      </c>
      <c r="J33" s="125">
        <f>IF(J$3=0,DPL23Downhole!J33,DPL23Downhole!J33/J$3)</f>
        <v>0</v>
      </c>
      <c r="K33" s="125">
        <f>IF(K$3=0,DPL23Downhole!K33,DPL23Downhole!K33/K$3)</f>
        <v>0</v>
      </c>
      <c r="L33" s="125">
        <f>IF(L$3=0,DPL23Downhole!L33,DPL23Downhole!L33/L$3)</f>
        <v>0</v>
      </c>
      <c r="M33" s="125">
        <f>IF(M$3=0,DPL23Downhole!M33,DPL23Downhole!M33/M$3)</f>
        <v>0</v>
      </c>
      <c r="N33" s="126">
        <f t="shared" si="2"/>
        <v>0</v>
      </c>
      <c r="P33" s="104">
        <f>SUM('Downhole23-Budget'!B28:$B28)</f>
        <v>0</v>
      </c>
    </row>
    <row r="34" spans="1:16" s="4" customFormat="1">
      <c r="A34" s="757" t="s">
        <v>290</v>
      </c>
      <c r="B34" s="125">
        <f>IF(B$3=0,DPL23Downhole!B34,DPL23Downhole!B34/B$3)</f>
        <v>0</v>
      </c>
      <c r="C34" s="125">
        <f>IF(C$3=0,DPL23Downhole!C34,DPL23Downhole!C34/C$3)</f>
        <v>0</v>
      </c>
      <c r="D34" s="125">
        <f>IF(D$3=0,DPL23Downhole!D34,DPL23Downhole!D34/D$3)</f>
        <v>0</v>
      </c>
      <c r="E34" s="125">
        <f>IF(E$3=0,DPL23Downhole!E34,DPL23Downhole!E34/E$3)</f>
        <v>0</v>
      </c>
      <c r="F34" s="125">
        <f>IF(F$3=0,DPL23Downhole!F34,DPL23Downhole!F34/F$3)</f>
        <v>0</v>
      </c>
      <c r="G34" s="125">
        <f>IF(G$3=0,DPL23Downhole!G34,DPL23Downhole!G34/G$3)</f>
        <v>0</v>
      </c>
      <c r="H34" s="125">
        <f>IF(H$3=0,DPL23Downhole!H34,DPL23Downhole!H34/H$3)</f>
        <v>0</v>
      </c>
      <c r="I34" s="125">
        <f>IF(I$3=0,DPL23Downhole!I34,DPL23Downhole!I34/I$3)</f>
        <v>0</v>
      </c>
      <c r="J34" s="125">
        <f>IF(J$3=0,DPL23Downhole!J34,DPL23Downhole!J34/J$3)</f>
        <v>0</v>
      </c>
      <c r="K34" s="125">
        <f>IF(K$3=0,DPL23Downhole!K34,DPL23Downhole!K34/K$3)</f>
        <v>0</v>
      </c>
      <c r="L34" s="125">
        <f>IF(L$3=0,DPL23Downhole!L34,DPL23Downhole!L34/L$3)</f>
        <v>0</v>
      </c>
      <c r="M34" s="125">
        <f>IF(M$3=0,DPL23Downhole!M34,DPL23Downhole!M34/M$3)</f>
        <v>0</v>
      </c>
      <c r="N34" s="126">
        <f t="shared" si="2"/>
        <v>0</v>
      </c>
      <c r="P34" s="104">
        <f>SUM('Downhole23-Budget'!B29:$B29)</f>
        <v>0</v>
      </c>
    </row>
    <row r="35" spans="1:16" s="4" customFormat="1">
      <c r="A35" s="757" t="s">
        <v>297</v>
      </c>
      <c r="B35" s="125">
        <f>IF(B$3=0,DPL23Downhole!B35,DPL23Downhole!B35/B$3)</f>
        <v>0</v>
      </c>
      <c r="C35" s="125">
        <f>IF(C$3=0,DPL23Downhole!C35,DPL23Downhole!C35/C$3)</f>
        <v>0</v>
      </c>
      <c r="D35" s="125">
        <f>IF(D$3=0,DPL23Downhole!D35,DPL23Downhole!D35/D$3)</f>
        <v>0</v>
      </c>
      <c r="E35" s="125">
        <f>IF(E$3=0,DPL23Downhole!E35,DPL23Downhole!E35/E$3)</f>
        <v>0</v>
      </c>
      <c r="F35" s="125">
        <f>IF(F$3=0,DPL23Downhole!F35,DPL23Downhole!F35/F$3)</f>
        <v>0</v>
      </c>
      <c r="G35" s="125">
        <f>IF(G$3=0,DPL23Downhole!G35,DPL23Downhole!G35/G$3)</f>
        <v>0</v>
      </c>
      <c r="H35" s="125">
        <f>IF(H$3=0,DPL23Downhole!H35,DPL23Downhole!H35/H$3)</f>
        <v>0</v>
      </c>
      <c r="I35" s="125">
        <f>IF(I$3=0,DPL23Downhole!I35,DPL23Downhole!I35/I$3)</f>
        <v>0</v>
      </c>
      <c r="J35" s="125">
        <f>IF(J$3=0,DPL23Downhole!J35,DPL23Downhole!J35/J$3)</f>
        <v>0</v>
      </c>
      <c r="K35" s="125">
        <f>IF(K$3=0,DPL23Downhole!K35,DPL23Downhole!K35/K$3)</f>
        <v>0</v>
      </c>
      <c r="L35" s="125">
        <f>IF(L$3=0,DPL23Downhole!L35,DPL23Downhole!L35/L$3)</f>
        <v>0</v>
      </c>
      <c r="M35" s="125">
        <f>IF(M$3=0,DPL23Downhole!M35,DPL23Downhole!M35/M$3)</f>
        <v>0</v>
      </c>
      <c r="N35" s="126">
        <f t="shared" si="2"/>
        <v>0</v>
      </c>
      <c r="P35" s="104">
        <f>SUM('Downhole23-Budget'!B30:$B30)</f>
        <v>0</v>
      </c>
    </row>
    <row r="36" spans="1:16" s="4" customFormat="1">
      <c r="A36" s="757" t="s">
        <v>299</v>
      </c>
      <c r="B36" s="125">
        <f>IF(B$3=0,DPL23Downhole!B36,DPL23Downhole!B36/B$3)</f>
        <v>0</v>
      </c>
      <c r="C36" s="125">
        <f>IF(C$3=0,DPL23Downhole!C36,DPL23Downhole!C36/C$3)</f>
        <v>0</v>
      </c>
      <c r="D36" s="125">
        <f>IF(D$3=0,DPL23Downhole!D36,DPL23Downhole!D36/D$3)</f>
        <v>0</v>
      </c>
      <c r="E36" s="125">
        <f>IF(E$3=0,DPL23Downhole!E36,DPL23Downhole!E36/E$3)</f>
        <v>0</v>
      </c>
      <c r="F36" s="125">
        <f>IF(F$3=0,DPL23Downhole!F36,DPL23Downhole!F36/F$3)</f>
        <v>0</v>
      </c>
      <c r="G36" s="125">
        <f>IF(G$3=0,DPL23Downhole!G36,DPL23Downhole!G36/G$3)</f>
        <v>0</v>
      </c>
      <c r="H36" s="125">
        <f>IF(H$3=0,DPL23Downhole!H36,DPL23Downhole!H36/H$3)</f>
        <v>0</v>
      </c>
      <c r="I36" s="125">
        <f>IF(I$3=0,DPL23Downhole!I36,DPL23Downhole!I36/I$3)</f>
        <v>0</v>
      </c>
      <c r="J36" s="125">
        <f>IF(J$3=0,DPL23Downhole!J36,DPL23Downhole!J36/J$3)</f>
        <v>0</v>
      </c>
      <c r="K36" s="125">
        <f>IF(K$3=0,DPL23Downhole!K36,DPL23Downhole!K36/K$3)</f>
        <v>0</v>
      </c>
      <c r="L36" s="125">
        <f>IF(L$3=0,DPL23Downhole!L36,DPL23Downhole!L36/L$3)</f>
        <v>0</v>
      </c>
      <c r="M36" s="125">
        <f>IF(M$3=0,DPL23Downhole!M36,DPL23Downhole!M36/M$3)</f>
        <v>0</v>
      </c>
      <c r="N36" s="126">
        <f t="shared" si="2"/>
        <v>0</v>
      </c>
      <c r="P36" s="104">
        <f>SUM('Downhole23-Budget'!B31:$B31)</f>
        <v>0</v>
      </c>
    </row>
    <row r="37" spans="1:16" s="4" customFormat="1">
      <c r="A37" s="757" t="s">
        <v>691</v>
      </c>
      <c r="B37" s="125">
        <f>IF(B$3=0,DPL23Downhole!B37,DPL23Downhole!B37/B$3)</f>
        <v>0</v>
      </c>
      <c r="C37" s="125">
        <f>IF(C$3=0,DPL23Downhole!C37,DPL23Downhole!C37/C$3)</f>
        <v>0</v>
      </c>
      <c r="D37" s="125">
        <f>IF(D$3=0,DPL23Downhole!D37,DPL23Downhole!D37/D$3)</f>
        <v>0</v>
      </c>
      <c r="E37" s="125">
        <f>IF(E$3=0,DPL23Downhole!E37,DPL23Downhole!E37/E$3)</f>
        <v>0</v>
      </c>
      <c r="F37" s="125">
        <f>IF(F$3=0,DPL23Downhole!F37,DPL23Downhole!F37/F$3)</f>
        <v>0</v>
      </c>
      <c r="G37" s="125">
        <f>IF(G$3=0,DPL23Downhole!G37,DPL23Downhole!G37/G$3)</f>
        <v>0</v>
      </c>
      <c r="H37" s="125">
        <f>IF(H$3=0,DPL23Downhole!H37,DPL23Downhole!H37/H$3)</f>
        <v>0</v>
      </c>
      <c r="I37" s="125">
        <f>IF(I$3=0,DPL23Downhole!I37,DPL23Downhole!I37/I$3)</f>
        <v>0</v>
      </c>
      <c r="J37" s="125">
        <f>IF(J$3=0,DPL23Downhole!J37,DPL23Downhole!J37/J$3)</f>
        <v>0</v>
      </c>
      <c r="K37" s="125">
        <f>IF(K$3=0,DPL23Downhole!K37,DPL23Downhole!K37/K$3)</f>
        <v>0</v>
      </c>
      <c r="L37" s="125">
        <f>IF(L$3=0,DPL23Downhole!L37,DPL23Downhole!L37/L$3)</f>
        <v>0</v>
      </c>
      <c r="M37" s="125">
        <f>IF(M$3=0,DPL23Downhole!M37,DPL23Downhole!M37/M$3)</f>
        <v>0</v>
      </c>
      <c r="N37" s="126">
        <f t="shared" si="2"/>
        <v>0</v>
      </c>
      <c r="P37" s="104">
        <f>SUM('Downhole23-Budget'!B32:$B32)</f>
        <v>0</v>
      </c>
    </row>
    <row r="38" spans="1:16" s="4" customFormat="1">
      <c r="A38" s="757" t="s">
        <v>593</v>
      </c>
      <c r="B38" s="125">
        <f>IF(B$3=0,DPL23Downhole!B38,DPL23Downhole!B38/B$3)</f>
        <v>0</v>
      </c>
      <c r="C38" s="125">
        <f>IF(C$3=0,DPL23Downhole!C38,DPL23Downhole!C38/C$3)</f>
        <v>0</v>
      </c>
      <c r="D38" s="125">
        <f>IF(D$3=0,DPL23Downhole!D38,DPL23Downhole!D38/D$3)</f>
        <v>0</v>
      </c>
      <c r="E38" s="125">
        <f>IF(E$3=0,DPL23Downhole!E38,DPL23Downhole!E38/E$3)</f>
        <v>0</v>
      </c>
      <c r="F38" s="125">
        <f>IF(F$3=0,DPL23Downhole!F38,DPL23Downhole!F38/F$3)</f>
        <v>0</v>
      </c>
      <c r="G38" s="125">
        <f>IF(G$3=0,DPL23Downhole!G38,DPL23Downhole!G38/G$3)</f>
        <v>0</v>
      </c>
      <c r="H38" s="125">
        <f>IF(H$3=0,DPL23Downhole!H38,DPL23Downhole!H38/H$3)</f>
        <v>0</v>
      </c>
      <c r="I38" s="125">
        <f>IF(I$3=0,DPL23Downhole!I38,DPL23Downhole!I38/I$3)</f>
        <v>0</v>
      </c>
      <c r="J38" s="125">
        <f>IF(J$3=0,DPL23Downhole!J38,DPL23Downhole!J38/J$3)</f>
        <v>0</v>
      </c>
      <c r="K38" s="125">
        <f>IF(K$3=0,DPL23Downhole!K38,DPL23Downhole!K38/K$3)</f>
        <v>0</v>
      </c>
      <c r="L38" s="125">
        <f>IF(L$3=0,DPL23Downhole!L38,DPL23Downhole!L38/L$3)</f>
        <v>0</v>
      </c>
      <c r="M38" s="125">
        <f>IF(M$3=0,DPL23Downhole!M38,DPL23Downhole!M38/M$3)</f>
        <v>0</v>
      </c>
      <c r="N38" s="126">
        <f t="shared" si="2"/>
        <v>0</v>
      </c>
      <c r="P38" s="104">
        <f>SUM('Downhole23-Budget'!B33:$B33)</f>
        <v>0</v>
      </c>
    </row>
    <row r="39" spans="1:16" s="4" customFormat="1">
      <c r="A39" s="757" t="s">
        <v>399</v>
      </c>
      <c r="B39" s="125">
        <f>IF(B$3=0,DPL23Downhole!B39,DPL23Downhole!B39/B$3)</f>
        <v>0</v>
      </c>
      <c r="C39" s="125">
        <f>IF(C$3=0,DPL23Downhole!C39,DPL23Downhole!C39/C$3)</f>
        <v>0</v>
      </c>
      <c r="D39" s="125">
        <f>IF(D$3=0,DPL23Downhole!D39,DPL23Downhole!D39/D$3)</f>
        <v>0</v>
      </c>
      <c r="E39" s="125">
        <f>IF(E$3=0,DPL23Downhole!E39,DPL23Downhole!E39/E$3)</f>
        <v>0</v>
      </c>
      <c r="F39" s="125">
        <f>IF(F$3=0,DPL23Downhole!F39,DPL23Downhole!F39/F$3)</f>
        <v>0</v>
      </c>
      <c r="G39" s="125">
        <f>IF(G$3=0,DPL23Downhole!G39,DPL23Downhole!G39/G$3)</f>
        <v>0</v>
      </c>
      <c r="H39" s="125">
        <f>IF(H$3=0,DPL23Downhole!H39,DPL23Downhole!H39/H$3)</f>
        <v>0</v>
      </c>
      <c r="I39" s="125">
        <f>IF(I$3=0,DPL23Downhole!I39,DPL23Downhole!I39/I$3)</f>
        <v>0</v>
      </c>
      <c r="J39" s="125">
        <f>IF(J$3=0,DPL23Downhole!J39,DPL23Downhole!J39/J$3)</f>
        <v>0</v>
      </c>
      <c r="K39" s="125">
        <f>IF(K$3=0,DPL23Downhole!K39,DPL23Downhole!K39/K$3)</f>
        <v>0</v>
      </c>
      <c r="L39" s="125">
        <f>IF(L$3=0,DPL23Downhole!L39,DPL23Downhole!L39/L$3)</f>
        <v>0</v>
      </c>
      <c r="M39" s="125">
        <f>IF(M$3=0,DPL23Downhole!M39,DPL23Downhole!M39/M$3)</f>
        <v>0</v>
      </c>
      <c r="N39" s="126">
        <f t="shared" si="2"/>
        <v>0</v>
      </c>
      <c r="P39" s="104">
        <f>SUM('Downhole23-Budget'!B38:$B38)</f>
        <v>0</v>
      </c>
    </row>
    <row r="40" spans="1:16" s="4" customFormat="1">
      <c r="A40" s="757" t="s">
        <v>400</v>
      </c>
      <c r="B40" s="125">
        <f>IF(B$3=0,DPL23Downhole!B40,DPL23Downhole!B40/B$3)</f>
        <v>0</v>
      </c>
      <c r="C40" s="125">
        <f>IF(C$3=0,DPL23Downhole!C40,DPL23Downhole!C40/C$3)</f>
        <v>0</v>
      </c>
      <c r="D40" s="125">
        <f>IF(D$3=0,DPL23Downhole!D40,DPL23Downhole!D40/D$3)</f>
        <v>0</v>
      </c>
      <c r="E40" s="125">
        <f>IF(E$3=0,DPL23Downhole!E40,DPL23Downhole!E40/E$3)</f>
        <v>0</v>
      </c>
      <c r="F40" s="125">
        <f>IF(F$3=0,DPL23Downhole!F40,DPL23Downhole!F40/F$3)</f>
        <v>0</v>
      </c>
      <c r="G40" s="125">
        <f>IF(G$3=0,DPL23Downhole!G40,DPL23Downhole!G40/G$3)</f>
        <v>0</v>
      </c>
      <c r="H40" s="125">
        <f>IF(H$3=0,DPL23Downhole!H40,DPL23Downhole!H40/H$3)</f>
        <v>0</v>
      </c>
      <c r="I40" s="125">
        <f>IF(I$3=0,DPL23Downhole!I40,DPL23Downhole!I40/I$3)</f>
        <v>0</v>
      </c>
      <c r="J40" s="125">
        <f>IF(J$3=0,DPL23Downhole!J40,DPL23Downhole!J40/J$3)</f>
        <v>0</v>
      </c>
      <c r="K40" s="125">
        <f>IF(K$3=0,DPL23Downhole!K40,DPL23Downhole!K40/K$3)</f>
        <v>0</v>
      </c>
      <c r="L40" s="125">
        <f>IF(L$3=0,DPL23Downhole!L40,DPL23Downhole!L40/L$3)</f>
        <v>0</v>
      </c>
      <c r="M40" s="125">
        <f>IF(M$3=0,DPL23Downhole!M40,DPL23Downhole!M40/M$3)</f>
        <v>0</v>
      </c>
      <c r="N40" s="126">
        <f t="shared" si="2"/>
        <v>0</v>
      </c>
      <c r="P40" s="104">
        <f>SUM('Downhole23-Budget'!B39:$B39)</f>
        <v>0</v>
      </c>
    </row>
    <row r="41" spans="1:16" s="4" customFormat="1">
      <c r="A41" s="757" t="s">
        <v>692</v>
      </c>
      <c r="B41" s="125">
        <f>IF(B$3=0,DPL23Downhole!B41,DPL23Downhole!B41/B$3)</f>
        <v>0</v>
      </c>
      <c r="C41" s="125">
        <f>IF(C$3=0,DPL23Downhole!C41,DPL23Downhole!C41/C$3)</f>
        <v>0</v>
      </c>
      <c r="D41" s="125">
        <f>IF(D$3=0,DPL23Downhole!D41,DPL23Downhole!D41/D$3)</f>
        <v>0</v>
      </c>
      <c r="E41" s="125">
        <f>IF(E$3=0,DPL23Downhole!E41,DPL23Downhole!E41/E$3)</f>
        <v>0</v>
      </c>
      <c r="F41" s="125">
        <f>IF(F$3=0,DPL23Downhole!F41,DPL23Downhole!F41/F$3)</f>
        <v>0</v>
      </c>
      <c r="G41" s="125">
        <f>IF(G$3=0,DPL23Downhole!G41,DPL23Downhole!G41/G$3)</f>
        <v>0</v>
      </c>
      <c r="H41" s="125">
        <f>IF(H$3=0,DPL23Downhole!H41,DPL23Downhole!H41/H$3)</f>
        <v>0</v>
      </c>
      <c r="I41" s="125">
        <f>IF(I$3=0,DPL23Downhole!I41,DPL23Downhole!I41/I$3)</f>
        <v>0</v>
      </c>
      <c r="J41" s="125">
        <f>IF(J$3=0,DPL23Downhole!J41,DPL23Downhole!J41/J$3)</f>
        <v>0</v>
      </c>
      <c r="K41" s="125">
        <f>IF(K$3=0,DPL23Downhole!K41,DPL23Downhole!K41/K$3)</f>
        <v>0</v>
      </c>
      <c r="L41" s="125">
        <f>IF(L$3=0,DPL23Downhole!L41,DPL23Downhole!L41/L$3)</f>
        <v>0</v>
      </c>
      <c r="M41" s="125">
        <f>IF(M$3=0,DPL23Downhole!M41,DPL23Downhole!M41/M$3)</f>
        <v>0</v>
      </c>
      <c r="N41" s="126">
        <f t="shared" si="2"/>
        <v>0</v>
      </c>
      <c r="P41" s="104">
        <f>SUM('Downhole23-Budget'!B40:$B40)</f>
        <v>0</v>
      </c>
    </row>
    <row r="42" spans="1:16" s="4" customFormat="1">
      <c r="A42" s="757" t="s">
        <v>66</v>
      </c>
      <c r="B42" s="125">
        <f>IF(B$3=0,DPL23Downhole!B42,DPL23Downhole!B42/B$3)</f>
        <v>0</v>
      </c>
      <c r="C42" s="125">
        <f>IF(C$3=0,DPL23Downhole!C42,DPL23Downhole!C42/C$3)</f>
        <v>0</v>
      </c>
      <c r="D42" s="125">
        <f>IF(D$3=0,DPL23Downhole!D42,DPL23Downhole!D42/D$3)</f>
        <v>0</v>
      </c>
      <c r="E42" s="125">
        <f>IF(E$3=0,DPL23Downhole!E42,DPL23Downhole!E42/E$3)</f>
        <v>0</v>
      </c>
      <c r="F42" s="125">
        <f>IF(F$3=0,DPL23Downhole!F42,DPL23Downhole!F42/F$3)</f>
        <v>0</v>
      </c>
      <c r="G42" s="125">
        <f>IF(G$3=0,DPL23Downhole!G42,DPL23Downhole!G42/G$3)</f>
        <v>0</v>
      </c>
      <c r="H42" s="125">
        <f>IF(H$3=0,DPL23Downhole!H42,DPL23Downhole!H42/H$3)</f>
        <v>0</v>
      </c>
      <c r="I42" s="125">
        <f>IF(I$3=0,DPL23Downhole!I42,DPL23Downhole!I42/I$3)</f>
        <v>0</v>
      </c>
      <c r="J42" s="125">
        <f>IF(J$3=0,DPL23Downhole!J42,DPL23Downhole!J42/J$3)</f>
        <v>0</v>
      </c>
      <c r="K42" s="125">
        <f>IF(K$3=0,DPL23Downhole!K42,DPL23Downhole!K42/K$3)</f>
        <v>0</v>
      </c>
      <c r="L42" s="125">
        <f>IF(L$3=0,DPL23Downhole!L42,DPL23Downhole!L42/L$3)</f>
        <v>0</v>
      </c>
      <c r="M42" s="125">
        <f>IF(M$3=0,DPL23Downhole!M42,DPL23Downhole!M42/M$3)</f>
        <v>0</v>
      </c>
      <c r="N42" s="126">
        <f t="shared" si="2"/>
        <v>0</v>
      </c>
      <c r="P42" s="104">
        <f>SUM('Downhole23-Budget'!B41:$B41)</f>
        <v>0</v>
      </c>
    </row>
    <row r="43" spans="1:16" s="4" customFormat="1">
      <c r="A43" s="757" t="s">
        <v>401</v>
      </c>
      <c r="B43" s="125">
        <f>IF(B$3=0,DPL23Downhole!B43,DPL23Downhole!B43/B$3)</f>
        <v>0</v>
      </c>
      <c r="C43" s="125">
        <f>IF(C$3=0,DPL23Downhole!C43,DPL23Downhole!C43/C$3)</f>
        <v>0</v>
      </c>
      <c r="D43" s="125">
        <f>IF(D$3=0,DPL23Downhole!D43,DPL23Downhole!D43/D$3)</f>
        <v>0</v>
      </c>
      <c r="E43" s="125">
        <f>IF(E$3=0,DPL23Downhole!E43,DPL23Downhole!E43/E$3)</f>
        <v>0</v>
      </c>
      <c r="F43" s="125">
        <f>IF(F$3=0,DPL23Downhole!F43,DPL23Downhole!F43/F$3)</f>
        <v>0</v>
      </c>
      <c r="G43" s="125">
        <f>IF(G$3=0,DPL23Downhole!G43,DPL23Downhole!G43/G$3)</f>
        <v>0</v>
      </c>
      <c r="H43" s="125">
        <f>IF(H$3=0,DPL23Downhole!H43,DPL23Downhole!H43/H$3)</f>
        <v>0</v>
      </c>
      <c r="I43" s="125">
        <f>IF(I$3=0,DPL23Downhole!I43,DPL23Downhole!I43/I$3)</f>
        <v>0</v>
      </c>
      <c r="J43" s="125">
        <f>IF(J$3=0,DPL23Downhole!J43,DPL23Downhole!J43/J$3)</f>
        <v>0</v>
      </c>
      <c r="K43" s="125">
        <f>IF(K$3=0,DPL23Downhole!K43,DPL23Downhole!K43/K$3)</f>
        <v>0</v>
      </c>
      <c r="L43" s="125">
        <f>IF(L$3=0,DPL23Downhole!L43,DPL23Downhole!L43/L$3)</f>
        <v>0</v>
      </c>
      <c r="M43" s="125">
        <f>IF(M$3=0,DPL23Downhole!M43,DPL23Downhole!M43/M$3)</f>
        <v>0</v>
      </c>
      <c r="N43" s="126">
        <f t="shared" si="2"/>
        <v>0</v>
      </c>
      <c r="P43" s="104">
        <f>SUM('Downhole23-Budget'!B42:$B42)</f>
        <v>0</v>
      </c>
    </row>
    <row r="44" spans="1:16" s="4" customFormat="1">
      <c r="A44" s="757" t="s">
        <v>402</v>
      </c>
      <c r="B44" s="125">
        <f>IF(B$3=0,DPL23Downhole!B44,DPL23Downhole!B44/B$3)</f>
        <v>0</v>
      </c>
      <c r="C44" s="125">
        <f>IF(C$3=0,DPL23Downhole!C44,DPL23Downhole!C44/C$3)</f>
        <v>0</v>
      </c>
      <c r="D44" s="125">
        <f>IF(D$3=0,DPL23Downhole!D44,DPL23Downhole!D44/D$3)</f>
        <v>0</v>
      </c>
      <c r="E44" s="125">
        <f>IF(E$3=0,DPL23Downhole!E44,DPL23Downhole!E44/E$3)</f>
        <v>0</v>
      </c>
      <c r="F44" s="125">
        <f>IF(F$3=0,DPL23Downhole!F44,DPL23Downhole!F44/F$3)</f>
        <v>0</v>
      </c>
      <c r="G44" s="125">
        <f>IF(G$3=0,DPL23Downhole!G44,DPL23Downhole!G44/G$3)</f>
        <v>0</v>
      </c>
      <c r="H44" s="125">
        <f>IF(H$3=0,DPL23Downhole!H44,DPL23Downhole!H44/H$3)</f>
        <v>0</v>
      </c>
      <c r="I44" s="125">
        <f>IF(I$3=0,DPL23Downhole!I44,DPL23Downhole!I44/I$3)</f>
        <v>0</v>
      </c>
      <c r="J44" s="125">
        <f>IF(J$3=0,DPL23Downhole!J44,DPL23Downhole!J44/J$3)</f>
        <v>0</v>
      </c>
      <c r="K44" s="125">
        <f>IF(K$3=0,DPL23Downhole!K44,DPL23Downhole!K44/K$3)</f>
        <v>0</v>
      </c>
      <c r="L44" s="125">
        <f>IF(L$3=0,DPL23Downhole!L44,DPL23Downhole!L44/L$3)</f>
        <v>0</v>
      </c>
      <c r="M44" s="125">
        <f>IF(M$3=0,DPL23Downhole!M44,DPL23Downhole!M44/M$3)</f>
        <v>0</v>
      </c>
      <c r="N44" s="126">
        <f t="shared" si="2"/>
        <v>0</v>
      </c>
      <c r="P44" s="104">
        <f>SUM('Downhole23-Budget'!B43:$B43)</f>
        <v>0</v>
      </c>
    </row>
    <row r="45" spans="1:16" s="4" customFormat="1">
      <c r="A45" s="757" t="s">
        <v>403</v>
      </c>
      <c r="B45" s="125">
        <f>IF(B$3=0,DPL23Downhole!B45,DPL23Downhole!B45/B$3)</f>
        <v>0</v>
      </c>
      <c r="C45" s="125">
        <f>IF(C$3=0,DPL23Downhole!C45,DPL23Downhole!C45/C$3)</f>
        <v>0</v>
      </c>
      <c r="D45" s="125">
        <f>IF(D$3=0,DPL23Downhole!D45,DPL23Downhole!D45/D$3)</f>
        <v>0</v>
      </c>
      <c r="E45" s="125">
        <f>IF(E$3=0,DPL23Downhole!E45,DPL23Downhole!E45/E$3)</f>
        <v>0</v>
      </c>
      <c r="F45" s="125">
        <f>IF(F$3=0,DPL23Downhole!F45,DPL23Downhole!F45/F$3)</f>
        <v>0</v>
      </c>
      <c r="G45" s="125">
        <f>IF(G$3=0,DPL23Downhole!G45,DPL23Downhole!G45/G$3)</f>
        <v>0</v>
      </c>
      <c r="H45" s="125">
        <f>IF(H$3=0,DPL23Downhole!H45,DPL23Downhole!H45/H$3)</f>
        <v>0</v>
      </c>
      <c r="I45" s="125">
        <f>IF(I$3=0,DPL23Downhole!I45,DPL23Downhole!I45/I$3)</f>
        <v>0</v>
      </c>
      <c r="J45" s="125">
        <f>IF(J$3=0,DPL23Downhole!J45,DPL23Downhole!J45/J$3)</f>
        <v>0</v>
      </c>
      <c r="K45" s="125">
        <f>IF(K$3=0,DPL23Downhole!K45,DPL23Downhole!K45/K$3)</f>
        <v>0</v>
      </c>
      <c r="L45" s="125">
        <f>IF(L$3=0,DPL23Downhole!L45,DPL23Downhole!L45/L$3)</f>
        <v>0</v>
      </c>
      <c r="M45" s="125">
        <f>IF(M$3=0,DPL23Downhole!M45,DPL23Downhole!M45/M$3)</f>
        <v>0</v>
      </c>
      <c r="N45" s="126">
        <f t="shared" si="2"/>
        <v>0</v>
      </c>
      <c r="P45" s="104">
        <f>SUM('Downhole23-Budget'!B44:$B44)</f>
        <v>0</v>
      </c>
    </row>
    <row r="46" spans="1:16" s="4" customFormat="1">
      <c r="A46" s="757" t="s">
        <v>404</v>
      </c>
      <c r="B46" s="125">
        <f>IF(B$3=0,DPL23Downhole!B46,DPL23Downhole!B46/B$3)</f>
        <v>0</v>
      </c>
      <c r="C46" s="125">
        <f>IF(C$3=0,DPL23Downhole!C46,DPL23Downhole!C46/C$3)</f>
        <v>0</v>
      </c>
      <c r="D46" s="125">
        <f>IF(D$3=0,DPL23Downhole!D46,DPL23Downhole!D46/D$3)</f>
        <v>0</v>
      </c>
      <c r="E46" s="125">
        <f>IF(E$3=0,DPL23Downhole!E46,DPL23Downhole!E46/E$3)</f>
        <v>0</v>
      </c>
      <c r="F46" s="125">
        <f>IF(F$3=0,DPL23Downhole!F46,DPL23Downhole!F46/F$3)</f>
        <v>0</v>
      </c>
      <c r="G46" s="125">
        <f>IF(G$3=0,DPL23Downhole!G46,DPL23Downhole!G46/G$3)</f>
        <v>0</v>
      </c>
      <c r="H46" s="125">
        <f>IF(H$3=0,DPL23Downhole!H46,DPL23Downhole!H46/H$3)</f>
        <v>0</v>
      </c>
      <c r="I46" s="125">
        <f>IF(I$3=0,DPL23Downhole!I46,DPL23Downhole!I46/I$3)</f>
        <v>0</v>
      </c>
      <c r="J46" s="125">
        <f>IF(J$3=0,DPL23Downhole!J46,DPL23Downhole!J46/J$3)</f>
        <v>0</v>
      </c>
      <c r="K46" s="125">
        <f>IF(K$3=0,DPL23Downhole!K46,DPL23Downhole!K46/K$3)</f>
        <v>0</v>
      </c>
      <c r="L46" s="125">
        <f>IF(L$3=0,DPL23Downhole!L46,DPL23Downhole!L46/L$3)</f>
        <v>0</v>
      </c>
      <c r="M46" s="125">
        <f>IF(M$3=0,DPL23Downhole!M46,DPL23Downhole!M46/M$3)</f>
        <v>0</v>
      </c>
      <c r="N46" s="126">
        <f t="shared" si="2"/>
        <v>0</v>
      </c>
      <c r="P46" s="104">
        <f>SUM('Downhole23-Budget'!B45:$B45)</f>
        <v>0</v>
      </c>
    </row>
    <row r="47" spans="1:16" s="37" customFormat="1">
      <c r="A47" s="32" t="s">
        <v>684</v>
      </c>
      <c r="B47" s="125">
        <f>IF(B$3=0,DPL23Downhole!B47,DPL23Downhole!B47/B$3)</f>
        <v>0</v>
      </c>
      <c r="C47" s="125">
        <f>IF(C$3=0,DPL23Downhole!C47,DPL23Downhole!C47/C$3)</f>
        <v>0</v>
      </c>
      <c r="D47" s="125">
        <f>IF(D$3=0,DPL23Downhole!D47,DPL23Downhole!D47/D$3)</f>
        <v>0</v>
      </c>
      <c r="E47" s="125">
        <f>IF(E$3=0,DPL23Downhole!E47,DPL23Downhole!E47/E$3)</f>
        <v>0</v>
      </c>
      <c r="F47" s="125">
        <f>IF(F$3=0,DPL23Downhole!F47,DPL23Downhole!F47/F$3)</f>
        <v>0</v>
      </c>
      <c r="G47" s="125">
        <f>IF(G$3=0,DPL23Downhole!G47,DPL23Downhole!G47/G$3)</f>
        <v>0</v>
      </c>
      <c r="H47" s="125">
        <f>IF(H$3=0,DPL23Downhole!H47,DPL23Downhole!H47/H$3)</f>
        <v>0</v>
      </c>
      <c r="I47" s="125">
        <f>IF(I$3=0,DPL23Downhole!I47,DPL23Downhole!I47/I$3)</f>
        <v>0</v>
      </c>
      <c r="J47" s="125">
        <f>IF(J$3=0,DPL23Downhole!J47,DPL23Downhole!J47/J$3)</f>
        <v>0</v>
      </c>
      <c r="K47" s="125">
        <f>IF(K$3=0,DPL23Downhole!K47,DPL23Downhole!K47/K$3)</f>
        <v>0</v>
      </c>
      <c r="L47" s="125">
        <f>IF(L$3=0,DPL23Downhole!L47,DPL23Downhole!L47/L$3)</f>
        <v>0</v>
      </c>
      <c r="M47" s="125">
        <f>IF(M$3=0,DPL23Downhole!M47,DPL23Downhole!M47/M$3)</f>
        <v>0</v>
      </c>
      <c r="N47" s="129">
        <f>SUM(B47:M47)</f>
        <v>0</v>
      </c>
      <c r="P47" s="104">
        <f>SUM('Downhole23-Budget'!B46:$B46)</f>
        <v>0</v>
      </c>
    </row>
    <row r="48" spans="1:16" s="4" customFormat="1">
      <c r="A48" s="757"/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6"/>
      <c r="P48" s="104"/>
    </row>
    <row r="49" spans="1:16" s="1" customFormat="1" ht="13.5" thickBot="1">
      <c r="A49" s="6" t="s">
        <v>407</v>
      </c>
      <c r="B49" s="128">
        <f>SUM(B15:B48)</f>
        <v>0</v>
      </c>
      <c r="C49" s="128">
        <f t="shared" ref="C49:N49" si="3">SUM(C15:C48)</f>
        <v>0</v>
      </c>
      <c r="D49" s="128">
        <f t="shared" si="3"/>
        <v>0</v>
      </c>
      <c r="E49" s="128">
        <f t="shared" si="3"/>
        <v>0</v>
      </c>
      <c r="F49" s="128">
        <f t="shared" si="3"/>
        <v>0</v>
      </c>
      <c r="G49" s="128">
        <f t="shared" si="3"/>
        <v>0</v>
      </c>
      <c r="H49" s="128">
        <f t="shared" si="3"/>
        <v>0</v>
      </c>
      <c r="I49" s="128">
        <f t="shared" si="3"/>
        <v>0</v>
      </c>
      <c r="J49" s="128">
        <f t="shared" si="3"/>
        <v>0</v>
      </c>
      <c r="K49" s="128">
        <f t="shared" si="3"/>
        <v>0</v>
      </c>
      <c r="L49" s="128">
        <f t="shared" si="3"/>
        <v>0</v>
      </c>
      <c r="M49" s="128">
        <f t="shared" si="3"/>
        <v>0</v>
      </c>
      <c r="N49" s="128">
        <f t="shared" si="3"/>
        <v>0</v>
      </c>
      <c r="P49" s="107">
        <f>SUM('Downhole23-Budget'!B49:$B49)</f>
        <v>0</v>
      </c>
    </row>
    <row r="50" spans="1:16" s="1" customFormat="1" ht="13.5" thickTop="1">
      <c r="A50" s="6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P50" s="104"/>
    </row>
    <row r="51" spans="1:16" s="1" customFormat="1">
      <c r="A51" s="6"/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P51" s="104"/>
    </row>
    <row r="52" spans="1:16">
      <c r="A52" s="6" t="s">
        <v>410</v>
      </c>
      <c r="B52" s="125">
        <f>IF(B$3=0,DPL23Downhole!B52,DPL23Downhole!B52/B$3)</f>
        <v>0</v>
      </c>
      <c r="C52" s="125">
        <f>IF(C$3=0,DPL23Downhole!C52,DPL23Downhole!C52/C$3)</f>
        <v>0</v>
      </c>
      <c r="D52" s="125">
        <f>IF(D$3=0,DPL23Downhole!D52,DPL23Downhole!D52/D$3)</f>
        <v>0</v>
      </c>
      <c r="E52" s="125">
        <f>IF(E$3=0,DPL23Downhole!E52,DPL23Downhole!E52/E$3)</f>
        <v>0</v>
      </c>
      <c r="F52" s="125">
        <f>IF(F$3=0,DPL23Downhole!F52,DPL23Downhole!F52/F$3)</f>
        <v>0</v>
      </c>
      <c r="G52" s="125">
        <f>IF(G$3=0,DPL23Downhole!G52,DPL23Downhole!G52/G$3)</f>
        <v>0</v>
      </c>
      <c r="H52" s="125">
        <f>IF(H$3=0,DPL23Downhole!H52,DPL23Downhole!H52/H$3)</f>
        <v>0</v>
      </c>
      <c r="I52" s="125">
        <f>IF(I$3=0,DPL23Downhole!I52,DPL23Downhole!I52/I$3)</f>
        <v>0</v>
      </c>
      <c r="J52" s="125">
        <f>IF(J$3=0,DPL23Downhole!J52,DPL23Downhole!J52/J$3)</f>
        <v>0</v>
      </c>
      <c r="K52" s="125">
        <f>IF(K$3=0,DPL23Downhole!K52,DPL23Downhole!K52/K$3)</f>
        <v>0</v>
      </c>
      <c r="L52" s="125">
        <f>IF(L$3=0,DPL23Downhole!L52,DPL23Downhole!L52/L$3)</f>
        <v>0</v>
      </c>
      <c r="M52" s="125">
        <f>IF(M$3=0,DPL23Downhole!M52,DPL23Downhole!M52/M$3)</f>
        <v>0</v>
      </c>
      <c r="N52" s="130">
        <f>IF(N$12=0,0,N$12/'DPL25 Summary USD'!Z$13*'DPL25 Summary USD'!Z$72)</f>
        <v>0</v>
      </c>
      <c r="P52" s="104">
        <f>SUM('Downhole23-Budget'!B52:$B52)</f>
        <v>0</v>
      </c>
    </row>
    <row r="53" spans="1:16" s="1" customFormat="1">
      <c r="A53" s="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P53" s="104"/>
    </row>
    <row r="54" spans="1:16" s="1" customFormat="1">
      <c r="A54" s="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P54" s="104"/>
    </row>
    <row r="55" spans="1:16" s="1" customFormat="1" ht="13.5" thickBot="1">
      <c r="A55" s="6" t="s">
        <v>432</v>
      </c>
      <c r="B55" s="131">
        <f>B12-B49-B52</f>
        <v>0</v>
      </c>
      <c r="C55" s="131">
        <f t="shared" ref="C55:N55" si="4">C12-C49-C52</f>
        <v>0</v>
      </c>
      <c r="D55" s="131">
        <f t="shared" si="4"/>
        <v>0</v>
      </c>
      <c r="E55" s="131">
        <f t="shared" si="4"/>
        <v>0</v>
      </c>
      <c r="F55" s="131">
        <f t="shared" si="4"/>
        <v>0</v>
      </c>
      <c r="G55" s="131">
        <f t="shared" si="4"/>
        <v>0</v>
      </c>
      <c r="H55" s="131">
        <f t="shared" si="4"/>
        <v>0</v>
      </c>
      <c r="I55" s="131">
        <f t="shared" si="4"/>
        <v>0</v>
      </c>
      <c r="J55" s="131">
        <f t="shared" si="4"/>
        <v>0</v>
      </c>
      <c r="K55" s="131">
        <f t="shared" si="4"/>
        <v>0</v>
      </c>
      <c r="L55" s="131">
        <f t="shared" si="4"/>
        <v>0</v>
      </c>
      <c r="M55" s="131">
        <f t="shared" si="4"/>
        <v>0</v>
      </c>
      <c r="N55" s="131">
        <f t="shared" si="4"/>
        <v>0</v>
      </c>
      <c r="P55" s="108">
        <f>SUM('Downhole23-Budget'!B55:$B55)</f>
        <v>0</v>
      </c>
    </row>
    <row r="56" spans="1:16">
      <c r="A56" s="6" t="s">
        <v>433</v>
      </c>
      <c r="B56" s="13">
        <f>+IF(B55=0,0,B55/B12)</f>
        <v>0</v>
      </c>
      <c r="C56" s="13">
        <f t="shared" ref="C56:N56" si="5">+IF(C55=0,0,C55/C12)</f>
        <v>0</v>
      </c>
      <c r="D56" s="13">
        <f t="shared" si="5"/>
        <v>0</v>
      </c>
      <c r="E56" s="13">
        <f t="shared" si="5"/>
        <v>0</v>
      </c>
      <c r="F56" s="13">
        <f t="shared" si="5"/>
        <v>0</v>
      </c>
      <c r="G56" s="13">
        <f t="shared" si="5"/>
        <v>0</v>
      </c>
      <c r="H56" s="13">
        <f t="shared" si="5"/>
        <v>0</v>
      </c>
      <c r="I56" s="13">
        <f t="shared" si="5"/>
        <v>0</v>
      </c>
      <c r="J56" s="13">
        <f t="shared" si="5"/>
        <v>0</v>
      </c>
      <c r="K56" s="13">
        <f t="shared" si="5"/>
        <v>0</v>
      </c>
      <c r="L56" s="13">
        <f t="shared" si="5"/>
        <v>0</v>
      </c>
      <c r="M56" s="13">
        <f t="shared" si="5"/>
        <v>0</v>
      </c>
      <c r="N56" s="13">
        <f t="shared" si="5"/>
        <v>0</v>
      </c>
    </row>
    <row r="57" spans="1:16" s="1" customFormat="1">
      <c r="A57" s="6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P57" s="98"/>
    </row>
    <row r="58" spans="1:16" s="1" customFormat="1">
      <c r="A58" s="6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P58" s="98"/>
    </row>
    <row r="59" spans="1:16" s="1" customFormat="1">
      <c r="A59" s="6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P59" s="98"/>
    </row>
    <row r="60" spans="1:16" s="1" customFormat="1">
      <c r="A60" s="6" t="s">
        <v>671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P60" s="98"/>
    </row>
    <row r="61" spans="1:16" s="1" customFormat="1">
      <c r="A61" s="6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P61" s="98"/>
    </row>
    <row r="62" spans="1:16" s="1" customFormat="1">
      <c r="A62" s="757" t="s">
        <v>672</v>
      </c>
      <c r="B62" s="39">
        <f>B$12-B$49</f>
        <v>0</v>
      </c>
      <c r="C62" s="39">
        <f t="shared" ref="C62:N62" si="6">C$12-C$49</f>
        <v>0</v>
      </c>
      <c r="D62" s="39">
        <f t="shared" si="6"/>
        <v>0</v>
      </c>
      <c r="E62" s="39">
        <f t="shared" si="6"/>
        <v>0</v>
      </c>
      <c r="F62" s="39">
        <f t="shared" si="6"/>
        <v>0</v>
      </c>
      <c r="G62" s="39">
        <f t="shared" si="6"/>
        <v>0</v>
      </c>
      <c r="H62" s="39">
        <f t="shared" si="6"/>
        <v>0</v>
      </c>
      <c r="I62" s="39">
        <f t="shared" si="6"/>
        <v>0</v>
      </c>
      <c r="J62" s="39">
        <f t="shared" si="6"/>
        <v>0</v>
      </c>
      <c r="K62" s="39">
        <f t="shared" si="6"/>
        <v>0</v>
      </c>
      <c r="L62" s="39">
        <f t="shared" si="6"/>
        <v>0</v>
      </c>
      <c r="M62" s="39">
        <f t="shared" si="6"/>
        <v>0</v>
      </c>
      <c r="N62" s="39">
        <f t="shared" si="6"/>
        <v>0</v>
      </c>
      <c r="P62" s="98"/>
    </row>
    <row r="63" spans="1:16" s="1" customFormat="1">
      <c r="A63" s="757" t="s">
        <v>673</v>
      </c>
      <c r="B63" s="10">
        <f t="shared" ref="B63:N63" si="7">IF(B62=0,0,B62/B$12)</f>
        <v>0</v>
      </c>
      <c r="C63" s="10">
        <f t="shared" si="7"/>
        <v>0</v>
      </c>
      <c r="D63" s="10">
        <f t="shared" si="7"/>
        <v>0</v>
      </c>
      <c r="E63" s="10">
        <f t="shared" si="7"/>
        <v>0</v>
      </c>
      <c r="F63" s="10">
        <f t="shared" si="7"/>
        <v>0</v>
      </c>
      <c r="G63" s="10">
        <f t="shared" si="7"/>
        <v>0</v>
      </c>
      <c r="H63" s="10">
        <f t="shared" si="7"/>
        <v>0</v>
      </c>
      <c r="I63" s="10">
        <f t="shared" si="7"/>
        <v>0</v>
      </c>
      <c r="J63" s="10">
        <f t="shared" si="7"/>
        <v>0</v>
      </c>
      <c r="K63" s="10">
        <f t="shared" si="7"/>
        <v>0</v>
      </c>
      <c r="L63" s="10">
        <f t="shared" si="7"/>
        <v>0</v>
      </c>
      <c r="M63" s="10">
        <f t="shared" si="7"/>
        <v>0</v>
      </c>
      <c r="N63" s="10">
        <f t="shared" si="7"/>
        <v>0</v>
      </c>
      <c r="P63" s="98"/>
    </row>
    <row r="64" spans="1:16" s="1" customFormat="1" ht="6" customHeight="1">
      <c r="A64" s="6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P64" s="98"/>
    </row>
    <row r="65" spans="1:16" s="1" customFormat="1">
      <c r="A65" s="757" t="s">
        <v>674</v>
      </c>
      <c r="B65" s="39">
        <f>B7-SUM(B15:B42)-B46</f>
        <v>0</v>
      </c>
      <c r="C65" s="39">
        <f t="shared" ref="C65:N65" si="8">C7-SUM(C15:C42)-C46</f>
        <v>0</v>
      </c>
      <c r="D65" s="39">
        <f t="shared" si="8"/>
        <v>0</v>
      </c>
      <c r="E65" s="39">
        <f t="shared" si="8"/>
        <v>0</v>
      </c>
      <c r="F65" s="39">
        <f t="shared" si="8"/>
        <v>0</v>
      </c>
      <c r="G65" s="39">
        <f t="shared" si="8"/>
        <v>0</v>
      </c>
      <c r="H65" s="39">
        <f t="shared" si="8"/>
        <v>0</v>
      </c>
      <c r="I65" s="39">
        <f t="shared" si="8"/>
        <v>0</v>
      </c>
      <c r="J65" s="39">
        <f t="shared" si="8"/>
        <v>0</v>
      </c>
      <c r="K65" s="39">
        <f t="shared" si="8"/>
        <v>0</v>
      </c>
      <c r="L65" s="39">
        <f t="shared" si="8"/>
        <v>0</v>
      </c>
      <c r="M65" s="39">
        <f t="shared" si="8"/>
        <v>0</v>
      </c>
      <c r="N65" s="39">
        <f t="shared" si="8"/>
        <v>0</v>
      </c>
      <c r="P65" s="98"/>
    </row>
    <row r="66" spans="1:16" s="1" customFormat="1">
      <c r="A66" s="757" t="s">
        <v>675</v>
      </c>
      <c r="B66" s="10">
        <f t="shared" ref="B66:N66" si="9">IF(B65=0,0,B65/B7)</f>
        <v>0</v>
      </c>
      <c r="C66" s="10">
        <f t="shared" si="9"/>
        <v>0</v>
      </c>
      <c r="D66" s="10">
        <f t="shared" si="9"/>
        <v>0</v>
      </c>
      <c r="E66" s="10">
        <f t="shared" si="9"/>
        <v>0</v>
      </c>
      <c r="F66" s="10">
        <f t="shared" si="9"/>
        <v>0</v>
      </c>
      <c r="G66" s="10">
        <f t="shared" si="9"/>
        <v>0</v>
      </c>
      <c r="H66" s="10">
        <f t="shared" si="9"/>
        <v>0</v>
      </c>
      <c r="I66" s="10">
        <f t="shared" si="9"/>
        <v>0</v>
      </c>
      <c r="J66" s="10">
        <f t="shared" si="9"/>
        <v>0</v>
      </c>
      <c r="K66" s="10">
        <f t="shared" si="9"/>
        <v>0</v>
      </c>
      <c r="L66" s="10">
        <f t="shared" si="9"/>
        <v>0</v>
      </c>
      <c r="M66" s="10">
        <f t="shared" si="9"/>
        <v>0</v>
      </c>
      <c r="N66" s="10">
        <f t="shared" si="9"/>
        <v>0</v>
      </c>
      <c r="P66" s="98"/>
    </row>
    <row r="67" spans="1:16" s="1" customFormat="1" ht="6.2" customHeight="1">
      <c r="A67" s="757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P67" s="98"/>
    </row>
    <row r="68" spans="1:16" s="1" customFormat="1">
      <c r="A68" s="757" t="s">
        <v>676</v>
      </c>
      <c r="B68" s="39">
        <f t="shared" ref="B68:N68" si="10">B8-B43-B44</f>
        <v>0</v>
      </c>
      <c r="C68" s="39">
        <f t="shared" si="10"/>
        <v>0</v>
      </c>
      <c r="D68" s="39">
        <f t="shared" si="10"/>
        <v>0</v>
      </c>
      <c r="E68" s="39">
        <f t="shared" si="10"/>
        <v>0</v>
      </c>
      <c r="F68" s="39">
        <f t="shared" si="10"/>
        <v>0</v>
      </c>
      <c r="G68" s="39">
        <f t="shared" si="10"/>
        <v>0</v>
      </c>
      <c r="H68" s="39">
        <f t="shared" si="10"/>
        <v>0</v>
      </c>
      <c r="I68" s="39">
        <f t="shared" si="10"/>
        <v>0</v>
      </c>
      <c r="J68" s="39">
        <f t="shared" si="10"/>
        <v>0</v>
      </c>
      <c r="K68" s="39">
        <f t="shared" si="10"/>
        <v>0</v>
      </c>
      <c r="L68" s="39">
        <f t="shared" si="10"/>
        <v>0</v>
      </c>
      <c r="M68" s="39">
        <f t="shared" si="10"/>
        <v>0</v>
      </c>
      <c r="N68" s="39">
        <f t="shared" si="10"/>
        <v>0</v>
      </c>
      <c r="P68" s="98"/>
    </row>
    <row r="69" spans="1:16" s="1" customFormat="1">
      <c r="A69" s="757" t="s">
        <v>677</v>
      </c>
      <c r="B69" s="10">
        <f t="shared" ref="B69:N69" si="11">IF(B68=0,0,B68/B8)</f>
        <v>0</v>
      </c>
      <c r="C69" s="10">
        <f t="shared" si="11"/>
        <v>0</v>
      </c>
      <c r="D69" s="10">
        <f t="shared" si="11"/>
        <v>0</v>
      </c>
      <c r="E69" s="10">
        <f t="shared" si="11"/>
        <v>0</v>
      </c>
      <c r="F69" s="10">
        <f t="shared" si="11"/>
        <v>0</v>
      </c>
      <c r="G69" s="10">
        <f t="shared" si="11"/>
        <v>0</v>
      </c>
      <c r="H69" s="10">
        <f t="shared" si="11"/>
        <v>0</v>
      </c>
      <c r="I69" s="10">
        <f t="shared" si="11"/>
        <v>0</v>
      </c>
      <c r="J69" s="10">
        <f t="shared" si="11"/>
        <v>0</v>
      </c>
      <c r="K69" s="10">
        <f t="shared" si="11"/>
        <v>0</v>
      </c>
      <c r="L69" s="10">
        <f t="shared" si="11"/>
        <v>0</v>
      </c>
      <c r="M69" s="10">
        <f t="shared" si="11"/>
        <v>0</v>
      </c>
      <c r="N69" s="10">
        <f t="shared" si="11"/>
        <v>0</v>
      </c>
      <c r="P69" s="98"/>
    </row>
    <row r="70" spans="1:16" s="1" customFormat="1" ht="6.2" customHeight="1">
      <c r="A70" s="757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P70" s="98"/>
    </row>
    <row r="71" spans="1:16" s="1" customFormat="1">
      <c r="A71" s="757" t="s">
        <v>678</v>
      </c>
      <c r="B71" s="39">
        <f t="shared" ref="B71:N71" si="12">B9-B45</f>
        <v>0</v>
      </c>
      <c r="C71" s="39">
        <f t="shared" si="12"/>
        <v>0</v>
      </c>
      <c r="D71" s="39">
        <f t="shared" si="12"/>
        <v>0</v>
      </c>
      <c r="E71" s="39">
        <f t="shared" si="12"/>
        <v>0</v>
      </c>
      <c r="F71" s="39">
        <f t="shared" si="12"/>
        <v>0</v>
      </c>
      <c r="G71" s="39">
        <f t="shared" si="12"/>
        <v>0</v>
      </c>
      <c r="H71" s="39">
        <f t="shared" si="12"/>
        <v>0</v>
      </c>
      <c r="I71" s="39">
        <f t="shared" si="12"/>
        <v>0</v>
      </c>
      <c r="J71" s="39">
        <f t="shared" si="12"/>
        <v>0</v>
      </c>
      <c r="K71" s="39">
        <f t="shared" si="12"/>
        <v>0</v>
      </c>
      <c r="L71" s="39">
        <f t="shared" si="12"/>
        <v>0</v>
      </c>
      <c r="M71" s="39">
        <f t="shared" si="12"/>
        <v>0</v>
      </c>
      <c r="N71" s="39">
        <f t="shared" si="12"/>
        <v>0</v>
      </c>
      <c r="P71" s="98"/>
    </row>
    <row r="72" spans="1:16" s="1" customFormat="1">
      <c r="A72" s="757" t="s">
        <v>679</v>
      </c>
      <c r="B72" s="10">
        <f t="shared" ref="B72:N72" si="13">IF(B71=0,0,B71/B9)</f>
        <v>0</v>
      </c>
      <c r="C72" s="10">
        <f t="shared" si="13"/>
        <v>0</v>
      </c>
      <c r="D72" s="10">
        <f t="shared" si="13"/>
        <v>0</v>
      </c>
      <c r="E72" s="10">
        <f t="shared" si="13"/>
        <v>0</v>
      </c>
      <c r="F72" s="10">
        <f t="shared" si="13"/>
        <v>0</v>
      </c>
      <c r="G72" s="10">
        <f t="shared" si="13"/>
        <v>0</v>
      </c>
      <c r="H72" s="10">
        <f t="shared" si="13"/>
        <v>0</v>
      </c>
      <c r="I72" s="10">
        <f t="shared" si="13"/>
        <v>0</v>
      </c>
      <c r="J72" s="10">
        <f t="shared" si="13"/>
        <v>0</v>
      </c>
      <c r="K72" s="10">
        <f t="shared" si="13"/>
        <v>0</v>
      </c>
      <c r="L72" s="10">
        <f t="shared" si="13"/>
        <v>0</v>
      </c>
      <c r="M72" s="10">
        <f t="shared" si="13"/>
        <v>0</v>
      </c>
      <c r="N72" s="10">
        <f t="shared" si="13"/>
        <v>0</v>
      </c>
      <c r="P72" s="98"/>
    </row>
    <row r="73" spans="1:16" s="1" customFormat="1" ht="6.2" customHeight="1">
      <c r="A73" s="757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P73" s="98"/>
    </row>
    <row r="75" spans="1:16">
      <c r="A75" t="s">
        <v>541</v>
      </c>
      <c r="B75" s="47">
        <f>B55+B46+B45</f>
        <v>0</v>
      </c>
      <c r="C75" s="47">
        <f t="shared" ref="C75:N75" si="14">C55+C46+C45</f>
        <v>0</v>
      </c>
      <c r="D75" s="47">
        <f t="shared" si="14"/>
        <v>0</v>
      </c>
      <c r="E75" s="47">
        <f t="shared" si="14"/>
        <v>0</v>
      </c>
      <c r="F75" s="47">
        <f t="shared" si="14"/>
        <v>0</v>
      </c>
      <c r="G75" s="47">
        <f t="shared" si="14"/>
        <v>0</v>
      </c>
      <c r="H75" s="47">
        <f t="shared" si="14"/>
        <v>0</v>
      </c>
      <c r="I75" s="47">
        <f t="shared" si="14"/>
        <v>0</v>
      </c>
      <c r="J75" s="47">
        <f t="shared" si="14"/>
        <v>0</v>
      </c>
      <c r="K75" s="47">
        <f t="shared" si="14"/>
        <v>0</v>
      </c>
      <c r="L75" s="47">
        <f t="shared" si="14"/>
        <v>0</v>
      </c>
      <c r="M75" s="47">
        <f t="shared" si="14"/>
        <v>0</v>
      </c>
      <c r="N75" s="47">
        <f t="shared" si="14"/>
        <v>0</v>
      </c>
    </row>
    <row r="76" spans="1:16" s="1" customFormat="1">
      <c r="A76" s="6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P76" s="98"/>
    </row>
    <row r="77" spans="1:16">
      <c r="A77" s="757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</row>
    <row r="78" spans="1:16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7"/>
    </row>
    <row r="79" spans="1:16">
      <c r="N79" s="15"/>
    </row>
  </sheetData>
  <phoneticPr fontId="29" type="noConversion"/>
  <pageMargins left="0.75" right="0.75" top="0.57999999999999996" bottom="0.52" header="0.5" footer="0.5"/>
  <pageSetup scale="55" orientation="landscape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9">
    <tabColor rgb="FFFFFF66"/>
    <pageSetUpPr fitToPage="1"/>
  </sheetPr>
  <dimension ref="A1:N79"/>
  <sheetViews>
    <sheetView workbookViewId="0"/>
  </sheetViews>
  <sheetFormatPr baseColWidth="10" defaultColWidth="9.140625" defaultRowHeight="12.75"/>
  <cols>
    <col min="1" max="1" width="39.140625" bestFit="1" customWidth="1"/>
    <col min="2" max="2" width="10.42578125" customWidth="1"/>
    <col min="3" max="3" width="10.42578125" bestFit="1" customWidth="1"/>
    <col min="4" max="5" width="9.140625" customWidth="1"/>
    <col min="6" max="6" width="10.42578125" bestFit="1" customWidth="1"/>
    <col min="7" max="7" width="9.42578125" bestFit="1" customWidth="1"/>
    <col min="8" max="9" width="10.42578125" bestFit="1" customWidth="1"/>
    <col min="10" max="10" width="10" bestFit="1" customWidth="1"/>
    <col min="11" max="12" width="10.42578125" bestFit="1" customWidth="1"/>
    <col min="13" max="13" width="10" customWidth="1"/>
    <col min="14" max="14" width="11.42578125" style="8" bestFit="1" customWidth="1"/>
  </cols>
  <sheetData>
    <row r="1" spans="1:14" ht="15.75">
      <c r="A1" s="11" t="str">
        <f>'SPL 25 USD'!A1</f>
        <v>2025 Performance</v>
      </c>
    </row>
    <row r="2" spans="1:14" s="4" customFormat="1" ht="15.75">
      <c r="A2" s="11" t="s">
        <v>693</v>
      </c>
      <c r="B2" s="1"/>
      <c r="C2"/>
      <c r="D2"/>
      <c r="E2"/>
      <c r="F2"/>
      <c r="G2"/>
      <c r="H2"/>
      <c r="I2"/>
      <c r="J2"/>
      <c r="K2"/>
      <c r="L2"/>
      <c r="M2"/>
      <c r="N2" s="8"/>
    </row>
    <row r="3" spans="1:14" ht="15.75">
      <c r="A3" s="18" t="s">
        <v>373</v>
      </c>
      <c r="N3" s="9"/>
    </row>
    <row r="4" spans="1:14">
      <c r="B4" s="21">
        <v>2023</v>
      </c>
      <c r="C4" s="21">
        <f>B4</f>
        <v>2023</v>
      </c>
      <c r="D4" s="21">
        <f t="shared" ref="D4:N4" si="0">C4</f>
        <v>2023</v>
      </c>
      <c r="E4" s="21">
        <f t="shared" si="0"/>
        <v>2023</v>
      </c>
      <c r="F4" s="21">
        <f t="shared" si="0"/>
        <v>2023</v>
      </c>
      <c r="G4" s="21">
        <f t="shared" si="0"/>
        <v>2023</v>
      </c>
      <c r="H4" s="21">
        <f t="shared" si="0"/>
        <v>2023</v>
      </c>
      <c r="I4" s="21">
        <f t="shared" si="0"/>
        <v>2023</v>
      </c>
      <c r="J4" s="21">
        <f t="shared" si="0"/>
        <v>2023</v>
      </c>
      <c r="K4" s="21">
        <f t="shared" si="0"/>
        <v>2023</v>
      </c>
      <c r="L4" s="21">
        <f t="shared" si="0"/>
        <v>2023</v>
      </c>
      <c r="M4" s="21">
        <f t="shared" si="0"/>
        <v>2023</v>
      </c>
      <c r="N4" s="21">
        <f t="shared" si="0"/>
        <v>2023</v>
      </c>
    </row>
    <row r="5" spans="1:14" ht="15.75">
      <c r="A5" s="18" t="s">
        <v>44</v>
      </c>
      <c r="B5" s="21" t="s">
        <v>3</v>
      </c>
      <c r="C5" s="21" t="s">
        <v>4</v>
      </c>
      <c r="D5" s="21" t="s">
        <v>5</v>
      </c>
      <c r="E5" s="21" t="s">
        <v>6</v>
      </c>
      <c r="F5" s="21" t="s">
        <v>7</v>
      </c>
      <c r="G5" s="21" t="s">
        <v>8</v>
      </c>
      <c r="H5" s="21" t="s">
        <v>9</v>
      </c>
      <c r="I5" s="21" t="s">
        <v>10</v>
      </c>
      <c r="J5" s="21" t="s">
        <v>11</v>
      </c>
      <c r="K5" s="21" t="s">
        <v>12</v>
      </c>
      <c r="L5" s="21" t="s">
        <v>13</v>
      </c>
      <c r="M5" s="21" t="s">
        <v>14</v>
      </c>
      <c r="N5" s="21" t="s">
        <v>51</v>
      </c>
    </row>
    <row r="6" spans="1:14">
      <c r="A6" s="6" t="s">
        <v>376</v>
      </c>
    </row>
    <row r="7" spans="1:14">
      <c r="A7" s="757" t="s">
        <v>688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5">
        <f>SUM(B7:M7)</f>
        <v>0</v>
      </c>
    </row>
    <row r="8" spans="1:14">
      <c r="A8" s="757" t="s">
        <v>689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5">
        <f>SUM(B8:M8)</f>
        <v>0</v>
      </c>
    </row>
    <row r="9" spans="1:14">
      <c r="A9" s="757" t="s">
        <v>690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5">
        <f>SUM(B9:M9)</f>
        <v>0</v>
      </c>
    </row>
    <row r="10" spans="1:14" s="35" customFormat="1">
      <c r="A10" s="32" t="s">
        <v>380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15">
        <f>SUM(B10:M10)</f>
        <v>0</v>
      </c>
    </row>
    <row r="11" spans="1:14">
      <c r="A11" s="757" t="s">
        <v>59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15">
        <f>SUM(B11:M11)</f>
        <v>0</v>
      </c>
    </row>
    <row r="12" spans="1:14" s="1" customFormat="1" ht="13.5" thickBot="1">
      <c r="A12" s="6" t="s">
        <v>381</v>
      </c>
      <c r="B12" s="16">
        <f>SUM(B7:B11)</f>
        <v>0</v>
      </c>
      <c r="C12" s="16">
        <f t="shared" ref="C12:N12" si="1">SUM(C7:C11)</f>
        <v>0</v>
      </c>
      <c r="D12" s="16">
        <f t="shared" si="1"/>
        <v>0</v>
      </c>
      <c r="E12" s="16">
        <f t="shared" si="1"/>
        <v>0</v>
      </c>
      <c r="F12" s="16">
        <f t="shared" si="1"/>
        <v>0</v>
      </c>
      <c r="G12" s="16">
        <f t="shared" si="1"/>
        <v>0</v>
      </c>
      <c r="H12" s="16">
        <f t="shared" si="1"/>
        <v>0</v>
      </c>
      <c r="I12" s="16">
        <f t="shared" si="1"/>
        <v>0</v>
      </c>
      <c r="J12" s="16">
        <f t="shared" si="1"/>
        <v>0</v>
      </c>
      <c r="K12" s="16">
        <f t="shared" si="1"/>
        <v>0</v>
      </c>
      <c r="L12" s="16">
        <f t="shared" si="1"/>
        <v>0</v>
      </c>
      <c r="M12" s="16">
        <f t="shared" si="1"/>
        <v>0</v>
      </c>
      <c r="N12" s="16">
        <f t="shared" si="1"/>
        <v>0</v>
      </c>
    </row>
    <row r="13" spans="1:14" ht="13.5" thickTop="1">
      <c r="A13" s="757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15"/>
    </row>
    <row r="14" spans="1:14">
      <c r="A14" s="6" t="s">
        <v>382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15"/>
    </row>
    <row r="15" spans="1:14">
      <c r="A15" s="757" t="s">
        <v>266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5">
        <f>SUM(B15:M15)</f>
        <v>0</v>
      </c>
    </row>
    <row r="16" spans="1:14">
      <c r="A16" s="757" t="s">
        <v>268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5">
        <f t="shared" ref="N16:N46" si="2">SUM(B16:M16)</f>
        <v>0</v>
      </c>
    </row>
    <row r="17" spans="1:14">
      <c r="A17" s="757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5"/>
    </row>
    <row r="18" spans="1:14">
      <c r="A18" s="757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5"/>
    </row>
    <row r="19" spans="1:14">
      <c r="A19" s="757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5"/>
    </row>
    <row r="20" spans="1:14">
      <c r="A20" s="757" t="s">
        <v>385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5">
        <f t="shared" si="2"/>
        <v>0</v>
      </c>
    </row>
    <row r="21" spans="1:14">
      <c r="A21" s="757" t="s">
        <v>386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5">
        <f t="shared" si="2"/>
        <v>0</v>
      </c>
    </row>
    <row r="22" spans="1:14">
      <c r="A22" s="757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5"/>
    </row>
    <row r="23" spans="1:14">
      <c r="A23" s="757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5"/>
    </row>
    <row r="24" spans="1:14">
      <c r="A24" s="757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5"/>
    </row>
    <row r="25" spans="1:14" s="4" customFormat="1">
      <c r="A25" s="757" t="s">
        <v>390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5">
        <f t="shared" si="2"/>
        <v>0</v>
      </c>
    </row>
    <row r="26" spans="1:14" s="4" customFormat="1">
      <c r="A26" s="757" t="s">
        <v>391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5">
        <f t="shared" si="2"/>
        <v>0</v>
      </c>
    </row>
    <row r="27" spans="1:14" s="4" customFormat="1">
      <c r="A27" s="757" t="s">
        <v>392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5">
        <f t="shared" si="2"/>
        <v>0</v>
      </c>
    </row>
    <row r="28" spans="1:14" s="4" customFormat="1">
      <c r="A28" s="757" t="s">
        <v>501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5">
        <f t="shared" si="2"/>
        <v>0</v>
      </c>
    </row>
    <row r="29" spans="1:14" s="4" customFormat="1">
      <c r="A29" s="757" t="s">
        <v>393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5">
        <f t="shared" si="2"/>
        <v>0</v>
      </c>
    </row>
    <row r="30" spans="1:14" s="4" customFormat="1">
      <c r="A30" s="757" t="s">
        <v>394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5">
        <f t="shared" si="2"/>
        <v>0</v>
      </c>
    </row>
    <row r="31" spans="1:14" s="4" customFormat="1">
      <c r="A31" s="757" t="s">
        <v>307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5">
        <f t="shared" si="2"/>
        <v>0</v>
      </c>
    </row>
    <row r="32" spans="1:14" s="4" customFormat="1">
      <c r="A32" s="757" t="s">
        <v>395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5">
        <f t="shared" si="2"/>
        <v>0</v>
      </c>
    </row>
    <row r="33" spans="1:14" s="4" customFormat="1">
      <c r="A33" s="757" t="s">
        <v>396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5">
        <f t="shared" si="2"/>
        <v>0</v>
      </c>
    </row>
    <row r="34" spans="1:14" s="4" customFormat="1">
      <c r="A34" s="757" t="s">
        <v>290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5">
        <f t="shared" si="2"/>
        <v>0</v>
      </c>
    </row>
    <row r="35" spans="1:14" s="4" customFormat="1">
      <c r="A35" s="757" t="s">
        <v>297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5">
        <f t="shared" si="2"/>
        <v>0</v>
      </c>
    </row>
    <row r="36" spans="1:14" s="4" customFormat="1">
      <c r="A36" s="757" t="s">
        <v>299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5">
        <f t="shared" si="2"/>
        <v>0</v>
      </c>
    </row>
    <row r="37" spans="1:14" s="4" customFormat="1">
      <c r="A37" s="757" t="s">
        <v>691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5">
        <f t="shared" si="2"/>
        <v>0</v>
      </c>
    </row>
    <row r="38" spans="1:14" s="4" customFormat="1">
      <c r="A38" s="757" t="s">
        <v>593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5">
        <f t="shared" si="2"/>
        <v>0</v>
      </c>
    </row>
    <row r="39" spans="1:14" s="4" customFormat="1">
      <c r="A39" s="757" t="s">
        <v>399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5">
        <f t="shared" si="2"/>
        <v>0</v>
      </c>
    </row>
    <row r="40" spans="1:14" s="4" customFormat="1">
      <c r="A40" s="757" t="s">
        <v>400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5">
        <f t="shared" si="2"/>
        <v>0</v>
      </c>
    </row>
    <row r="41" spans="1:14" s="4" customFormat="1">
      <c r="A41" s="757" t="s">
        <v>692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5">
        <f t="shared" si="2"/>
        <v>0</v>
      </c>
    </row>
    <row r="42" spans="1:14" s="4" customFormat="1">
      <c r="A42" s="757" t="s">
        <v>66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5">
        <f t="shared" si="2"/>
        <v>0</v>
      </c>
    </row>
    <row r="43" spans="1:14" s="4" customFormat="1">
      <c r="A43" s="757" t="s">
        <v>401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5">
        <f t="shared" si="2"/>
        <v>0</v>
      </c>
    </row>
    <row r="44" spans="1:14" s="4" customFormat="1">
      <c r="A44" s="757" t="s">
        <v>402</v>
      </c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5">
        <f t="shared" si="2"/>
        <v>0</v>
      </c>
    </row>
    <row r="45" spans="1:14" s="4" customFormat="1">
      <c r="A45" s="757" t="s">
        <v>403</v>
      </c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5">
        <f t="shared" si="2"/>
        <v>0</v>
      </c>
    </row>
    <row r="46" spans="1:14" s="4" customFormat="1">
      <c r="A46" s="757" t="s">
        <v>404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5">
        <f t="shared" si="2"/>
        <v>0</v>
      </c>
    </row>
    <row r="47" spans="1:14" s="37" customFormat="1">
      <c r="A47" s="32" t="s">
        <v>684</v>
      </c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4">
        <f>SUM(B47:M47)</f>
        <v>0</v>
      </c>
    </row>
    <row r="48" spans="1:14" s="4" customFormat="1">
      <c r="A48" s="757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5"/>
    </row>
    <row r="49" spans="1:14" s="1" customFormat="1" ht="13.5" thickBot="1">
      <c r="A49" s="6" t="s">
        <v>407</v>
      </c>
      <c r="B49" s="16">
        <f>SUM(B15:B48)</f>
        <v>0</v>
      </c>
      <c r="C49" s="16">
        <f t="shared" ref="C49:N49" si="3">SUM(C15:C48)</f>
        <v>0</v>
      </c>
      <c r="D49" s="16">
        <f t="shared" si="3"/>
        <v>0</v>
      </c>
      <c r="E49" s="16">
        <f t="shared" si="3"/>
        <v>0</v>
      </c>
      <c r="F49" s="16">
        <f t="shared" si="3"/>
        <v>0</v>
      </c>
      <c r="G49" s="16">
        <f t="shared" si="3"/>
        <v>0</v>
      </c>
      <c r="H49" s="16">
        <f t="shared" si="3"/>
        <v>0</v>
      </c>
      <c r="I49" s="16">
        <f t="shared" si="3"/>
        <v>0</v>
      </c>
      <c r="J49" s="16">
        <f t="shared" si="3"/>
        <v>0</v>
      </c>
      <c r="K49" s="16">
        <f t="shared" si="3"/>
        <v>0</v>
      </c>
      <c r="L49" s="16">
        <f t="shared" si="3"/>
        <v>0</v>
      </c>
      <c r="M49" s="16">
        <f t="shared" si="3"/>
        <v>0</v>
      </c>
      <c r="N49" s="16">
        <f t="shared" si="3"/>
        <v>0</v>
      </c>
    </row>
    <row r="50" spans="1:14" s="1" customFormat="1" ht="13.5" thickTop="1">
      <c r="A50" s="6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</row>
    <row r="51" spans="1:14" s="1" customFormat="1">
      <c r="A51" s="6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</row>
    <row r="52" spans="1:14" ht="13.5" thickBot="1">
      <c r="A52" s="6" t="s">
        <v>410</v>
      </c>
      <c r="B52" s="46">
        <f>IF(B$12=0,0,B$12/DPL25Summary!B$13*DPL25Summary!B$72)</f>
        <v>0</v>
      </c>
      <c r="C52" s="46">
        <f>IF(C$12=0,0,C$12/DPL25Summary!D$13*DPL25Summary!D$72)</f>
        <v>0</v>
      </c>
      <c r="D52" s="46">
        <f>IF(D$12=0,0,D$12/DPL25Summary!F$13*DPL25Summary!F$72)</f>
        <v>0</v>
      </c>
      <c r="E52" s="46">
        <f>IF(E$12=0,0,E$12/DPL25Summary!H$13*DPL25Summary!H$72)</f>
        <v>0</v>
      </c>
      <c r="F52" s="46">
        <f>IF(F$12=0,0,F$12/DPL25Summary!J$13*DPL25Summary!J$72)</f>
        <v>0</v>
      </c>
      <c r="G52" s="46">
        <f>IF(G$12=0,0,G$12/DPL25Summary!L$13*DPL25Summary!L$72)</f>
        <v>0</v>
      </c>
      <c r="H52" s="46">
        <f>IF(H$12=0,0,H$12/DPL25Summary!N$13*DPL25Summary!N$72)</f>
        <v>0</v>
      </c>
      <c r="I52" s="46">
        <f>IF(I$12=0,0,I$12/DPL25Summary!P$13*DPL25Summary!P$72)</f>
        <v>0</v>
      </c>
      <c r="J52" s="46">
        <f>IF(J$12=0,0,J$12/DPL25Summary!R$13*DPL25Summary!R$72)</f>
        <v>0</v>
      </c>
      <c r="K52" s="46">
        <f>IF(K$12=0,0,K$12/DPL25Summary!T$13*DPL25Summary!T$72)</f>
        <v>0</v>
      </c>
      <c r="L52" s="46">
        <f>IF(L$12=0,0,L$12/DPL25Summary!V$13*DPL25Summary!V$72)</f>
        <v>0</v>
      </c>
      <c r="M52" s="46">
        <f>IF(M$12=0,0,M$12/DPL25Summary!X$13*DPL25Summary!X$72)</f>
        <v>0</v>
      </c>
      <c r="N52" s="46">
        <f>IF(N$12=0,0,N$12/DPL25Summary!Z$13*DPL25Summary!Z$72)</f>
        <v>0</v>
      </c>
    </row>
    <row r="53" spans="1:14" s="1" customFormat="1">
      <c r="A53" s="6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</row>
    <row r="54" spans="1:14" s="1" customFormat="1">
      <c r="A54" s="6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</row>
    <row r="55" spans="1:14" s="1" customFormat="1" ht="13.5" thickBot="1">
      <c r="A55" s="6" t="s">
        <v>432</v>
      </c>
      <c r="B55" s="26">
        <f>B12-B49-B52</f>
        <v>0</v>
      </c>
      <c r="C55" s="26">
        <f t="shared" ref="C55:N55" si="4">C12-C49-C52</f>
        <v>0</v>
      </c>
      <c r="D55" s="26">
        <f t="shared" si="4"/>
        <v>0</v>
      </c>
      <c r="E55" s="26">
        <f t="shared" si="4"/>
        <v>0</v>
      </c>
      <c r="F55" s="26">
        <f t="shared" si="4"/>
        <v>0</v>
      </c>
      <c r="G55" s="26">
        <f t="shared" si="4"/>
        <v>0</v>
      </c>
      <c r="H55" s="26">
        <f t="shared" si="4"/>
        <v>0</v>
      </c>
      <c r="I55" s="26">
        <f t="shared" si="4"/>
        <v>0</v>
      </c>
      <c r="J55" s="26">
        <f t="shared" si="4"/>
        <v>0</v>
      </c>
      <c r="K55" s="26">
        <f t="shared" si="4"/>
        <v>0</v>
      </c>
      <c r="L55" s="26">
        <f t="shared" si="4"/>
        <v>0</v>
      </c>
      <c r="M55" s="26">
        <f t="shared" si="4"/>
        <v>0</v>
      </c>
      <c r="N55" s="26">
        <f t="shared" si="4"/>
        <v>0</v>
      </c>
    </row>
    <row r="56" spans="1:14">
      <c r="A56" s="6" t="s">
        <v>433</v>
      </c>
      <c r="B56" s="13">
        <f>+IF(B55=0,0,B55/B12)</f>
        <v>0</v>
      </c>
      <c r="C56" s="13">
        <f t="shared" ref="C56:N56" si="5">+IF(C55=0,0,C55/C12)</f>
        <v>0</v>
      </c>
      <c r="D56" s="13">
        <f t="shared" si="5"/>
        <v>0</v>
      </c>
      <c r="E56" s="13">
        <f t="shared" si="5"/>
        <v>0</v>
      </c>
      <c r="F56" s="13">
        <f t="shared" si="5"/>
        <v>0</v>
      </c>
      <c r="G56" s="13">
        <f t="shared" si="5"/>
        <v>0</v>
      </c>
      <c r="H56" s="13">
        <f t="shared" si="5"/>
        <v>0</v>
      </c>
      <c r="I56" s="13">
        <f t="shared" si="5"/>
        <v>0</v>
      </c>
      <c r="J56" s="13">
        <f t="shared" si="5"/>
        <v>0</v>
      </c>
      <c r="K56" s="13">
        <f t="shared" si="5"/>
        <v>0</v>
      </c>
      <c r="L56" s="13">
        <f t="shared" si="5"/>
        <v>0</v>
      </c>
      <c r="M56" s="13">
        <f t="shared" si="5"/>
        <v>0</v>
      </c>
      <c r="N56" s="13">
        <f t="shared" si="5"/>
        <v>0</v>
      </c>
    </row>
    <row r="57" spans="1:14" s="1" customFormat="1">
      <c r="A57" s="6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</row>
    <row r="58" spans="1:14" s="1" customFormat="1">
      <c r="A58" s="6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</row>
    <row r="59" spans="1:14" s="1" customFormat="1">
      <c r="A59" s="6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</row>
    <row r="60" spans="1:14" s="1" customFormat="1">
      <c r="A60" s="6" t="s">
        <v>671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</row>
    <row r="61" spans="1:14" s="1" customFormat="1">
      <c r="A61" s="6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</row>
    <row r="62" spans="1:14" s="1" customFormat="1">
      <c r="A62" s="757" t="s">
        <v>672</v>
      </c>
      <c r="B62" s="39">
        <f>B$12-B$49</f>
        <v>0</v>
      </c>
      <c r="C62" s="39">
        <f t="shared" ref="C62:N62" si="6">C$12-C$49</f>
        <v>0</v>
      </c>
      <c r="D62" s="39">
        <f t="shared" si="6"/>
        <v>0</v>
      </c>
      <c r="E62" s="39">
        <f t="shared" si="6"/>
        <v>0</v>
      </c>
      <c r="F62" s="39">
        <f t="shared" si="6"/>
        <v>0</v>
      </c>
      <c r="G62" s="39">
        <f t="shared" si="6"/>
        <v>0</v>
      </c>
      <c r="H62" s="39">
        <f t="shared" si="6"/>
        <v>0</v>
      </c>
      <c r="I62" s="39">
        <f t="shared" si="6"/>
        <v>0</v>
      </c>
      <c r="J62" s="39">
        <f t="shared" si="6"/>
        <v>0</v>
      </c>
      <c r="K62" s="39">
        <f t="shared" si="6"/>
        <v>0</v>
      </c>
      <c r="L62" s="39">
        <f t="shared" si="6"/>
        <v>0</v>
      </c>
      <c r="M62" s="39">
        <f t="shared" si="6"/>
        <v>0</v>
      </c>
      <c r="N62" s="39">
        <f t="shared" si="6"/>
        <v>0</v>
      </c>
    </row>
    <row r="63" spans="1:14" s="1" customFormat="1">
      <c r="A63" s="757" t="s">
        <v>673</v>
      </c>
      <c r="B63" s="10">
        <f t="shared" ref="B63:N63" si="7">IF(B62=0,0,B62/B$12)</f>
        <v>0</v>
      </c>
      <c r="C63" s="10">
        <f t="shared" si="7"/>
        <v>0</v>
      </c>
      <c r="D63" s="10">
        <f t="shared" si="7"/>
        <v>0</v>
      </c>
      <c r="E63" s="10">
        <f t="shared" si="7"/>
        <v>0</v>
      </c>
      <c r="F63" s="10">
        <f t="shared" si="7"/>
        <v>0</v>
      </c>
      <c r="G63" s="10">
        <f t="shared" si="7"/>
        <v>0</v>
      </c>
      <c r="H63" s="10">
        <f t="shared" si="7"/>
        <v>0</v>
      </c>
      <c r="I63" s="10">
        <f t="shared" si="7"/>
        <v>0</v>
      </c>
      <c r="J63" s="10">
        <f t="shared" si="7"/>
        <v>0</v>
      </c>
      <c r="K63" s="10">
        <f t="shared" si="7"/>
        <v>0</v>
      </c>
      <c r="L63" s="10">
        <f t="shared" si="7"/>
        <v>0</v>
      </c>
      <c r="M63" s="10">
        <f t="shared" si="7"/>
        <v>0</v>
      </c>
      <c r="N63" s="10">
        <f t="shared" si="7"/>
        <v>0</v>
      </c>
    </row>
    <row r="64" spans="1:14" s="1" customFormat="1" ht="6" customHeight="1">
      <c r="A64" s="6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</row>
    <row r="65" spans="1:14" s="1" customFormat="1">
      <c r="A65" s="757" t="s">
        <v>674</v>
      </c>
      <c r="B65" s="39">
        <f>B7-SUM(B15:B42)-B46</f>
        <v>0</v>
      </c>
      <c r="C65" s="39">
        <f t="shared" ref="C65:N65" si="8">C7-SUM(C15:C42)-C46</f>
        <v>0</v>
      </c>
      <c r="D65" s="39">
        <f t="shared" si="8"/>
        <v>0</v>
      </c>
      <c r="E65" s="39">
        <f t="shared" si="8"/>
        <v>0</v>
      </c>
      <c r="F65" s="39">
        <f t="shared" si="8"/>
        <v>0</v>
      </c>
      <c r="G65" s="39">
        <f t="shared" si="8"/>
        <v>0</v>
      </c>
      <c r="H65" s="39">
        <f t="shared" si="8"/>
        <v>0</v>
      </c>
      <c r="I65" s="39">
        <f t="shared" si="8"/>
        <v>0</v>
      </c>
      <c r="J65" s="39">
        <f t="shared" si="8"/>
        <v>0</v>
      </c>
      <c r="K65" s="39">
        <f t="shared" si="8"/>
        <v>0</v>
      </c>
      <c r="L65" s="39">
        <f t="shared" si="8"/>
        <v>0</v>
      </c>
      <c r="M65" s="39">
        <f t="shared" si="8"/>
        <v>0</v>
      </c>
      <c r="N65" s="39">
        <f t="shared" si="8"/>
        <v>0</v>
      </c>
    </row>
    <row r="66" spans="1:14" s="1" customFormat="1">
      <c r="A66" s="757" t="s">
        <v>675</v>
      </c>
      <c r="B66" s="10">
        <f t="shared" ref="B66:N66" si="9">IF(B65=0,0,B65/B7)</f>
        <v>0</v>
      </c>
      <c r="C66" s="10">
        <f t="shared" si="9"/>
        <v>0</v>
      </c>
      <c r="D66" s="10">
        <f t="shared" si="9"/>
        <v>0</v>
      </c>
      <c r="E66" s="10">
        <f t="shared" si="9"/>
        <v>0</v>
      </c>
      <c r="F66" s="10">
        <f t="shared" si="9"/>
        <v>0</v>
      </c>
      <c r="G66" s="10">
        <f t="shared" si="9"/>
        <v>0</v>
      </c>
      <c r="H66" s="10">
        <f t="shared" si="9"/>
        <v>0</v>
      </c>
      <c r="I66" s="10">
        <f t="shared" si="9"/>
        <v>0</v>
      </c>
      <c r="J66" s="10">
        <f t="shared" si="9"/>
        <v>0</v>
      </c>
      <c r="K66" s="10">
        <f t="shared" si="9"/>
        <v>0</v>
      </c>
      <c r="L66" s="10">
        <f t="shared" si="9"/>
        <v>0</v>
      </c>
      <c r="M66" s="10">
        <f t="shared" si="9"/>
        <v>0</v>
      </c>
      <c r="N66" s="10">
        <f t="shared" si="9"/>
        <v>0</v>
      </c>
    </row>
    <row r="67" spans="1:14" s="1" customFormat="1" ht="6.2" customHeight="1">
      <c r="A67" s="757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</row>
    <row r="68" spans="1:14" s="1" customFormat="1">
      <c r="A68" s="757" t="s">
        <v>676</v>
      </c>
      <c r="B68" s="39">
        <f t="shared" ref="B68:N68" si="10">B8-B43-B44</f>
        <v>0</v>
      </c>
      <c r="C68" s="39">
        <f t="shared" si="10"/>
        <v>0</v>
      </c>
      <c r="D68" s="39">
        <f t="shared" si="10"/>
        <v>0</v>
      </c>
      <c r="E68" s="39">
        <f t="shared" si="10"/>
        <v>0</v>
      </c>
      <c r="F68" s="39">
        <f t="shared" si="10"/>
        <v>0</v>
      </c>
      <c r="G68" s="39">
        <f t="shared" si="10"/>
        <v>0</v>
      </c>
      <c r="H68" s="39">
        <f t="shared" si="10"/>
        <v>0</v>
      </c>
      <c r="I68" s="39">
        <f t="shared" si="10"/>
        <v>0</v>
      </c>
      <c r="J68" s="39">
        <f t="shared" si="10"/>
        <v>0</v>
      </c>
      <c r="K68" s="39">
        <f t="shared" si="10"/>
        <v>0</v>
      </c>
      <c r="L68" s="39">
        <f t="shared" si="10"/>
        <v>0</v>
      </c>
      <c r="M68" s="39">
        <f t="shared" si="10"/>
        <v>0</v>
      </c>
      <c r="N68" s="39">
        <f t="shared" si="10"/>
        <v>0</v>
      </c>
    </row>
    <row r="69" spans="1:14" s="1" customFormat="1">
      <c r="A69" s="757" t="s">
        <v>677</v>
      </c>
      <c r="B69" s="10">
        <f t="shared" ref="B69:N69" si="11">IF(B68=0,0,B68/B8)</f>
        <v>0</v>
      </c>
      <c r="C69" s="10">
        <f t="shared" si="11"/>
        <v>0</v>
      </c>
      <c r="D69" s="10">
        <f t="shared" si="11"/>
        <v>0</v>
      </c>
      <c r="E69" s="10">
        <f t="shared" si="11"/>
        <v>0</v>
      </c>
      <c r="F69" s="10">
        <f t="shared" si="11"/>
        <v>0</v>
      </c>
      <c r="G69" s="10">
        <f t="shared" si="11"/>
        <v>0</v>
      </c>
      <c r="H69" s="10">
        <f t="shared" si="11"/>
        <v>0</v>
      </c>
      <c r="I69" s="10">
        <f t="shared" si="11"/>
        <v>0</v>
      </c>
      <c r="J69" s="10">
        <f t="shared" si="11"/>
        <v>0</v>
      </c>
      <c r="K69" s="10">
        <f t="shared" si="11"/>
        <v>0</v>
      </c>
      <c r="L69" s="10">
        <f t="shared" si="11"/>
        <v>0</v>
      </c>
      <c r="M69" s="10">
        <f t="shared" si="11"/>
        <v>0</v>
      </c>
      <c r="N69" s="10">
        <f t="shared" si="11"/>
        <v>0</v>
      </c>
    </row>
    <row r="70" spans="1:14" s="1" customFormat="1" ht="6.2" customHeight="1">
      <c r="A70" s="757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</row>
    <row r="71" spans="1:14" s="1" customFormat="1">
      <c r="A71" s="757" t="s">
        <v>678</v>
      </c>
      <c r="B71" s="39">
        <f t="shared" ref="B71:N71" si="12">B9-B45</f>
        <v>0</v>
      </c>
      <c r="C71" s="39">
        <f t="shared" si="12"/>
        <v>0</v>
      </c>
      <c r="D71" s="39">
        <f t="shared" si="12"/>
        <v>0</v>
      </c>
      <c r="E71" s="39">
        <f t="shared" si="12"/>
        <v>0</v>
      </c>
      <c r="F71" s="39">
        <f t="shared" si="12"/>
        <v>0</v>
      </c>
      <c r="G71" s="39">
        <f t="shared" si="12"/>
        <v>0</v>
      </c>
      <c r="H71" s="39">
        <f t="shared" si="12"/>
        <v>0</v>
      </c>
      <c r="I71" s="39">
        <f t="shared" si="12"/>
        <v>0</v>
      </c>
      <c r="J71" s="39">
        <f t="shared" si="12"/>
        <v>0</v>
      </c>
      <c r="K71" s="39">
        <f t="shared" si="12"/>
        <v>0</v>
      </c>
      <c r="L71" s="39">
        <f t="shared" si="12"/>
        <v>0</v>
      </c>
      <c r="M71" s="39">
        <f t="shared" si="12"/>
        <v>0</v>
      </c>
      <c r="N71" s="39">
        <f t="shared" si="12"/>
        <v>0</v>
      </c>
    </row>
    <row r="72" spans="1:14" s="1" customFormat="1">
      <c r="A72" s="757" t="s">
        <v>679</v>
      </c>
      <c r="B72" s="10">
        <f t="shared" ref="B72:N72" si="13">IF(B71=0,0,B71/B9)</f>
        <v>0</v>
      </c>
      <c r="C72" s="10">
        <f t="shared" si="13"/>
        <v>0</v>
      </c>
      <c r="D72" s="10">
        <f t="shared" si="13"/>
        <v>0</v>
      </c>
      <c r="E72" s="10">
        <f t="shared" si="13"/>
        <v>0</v>
      </c>
      <c r="F72" s="10">
        <f t="shared" si="13"/>
        <v>0</v>
      </c>
      <c r="G72" s="10">
        <f t="shared" si="13"/>
        <v>0</v>
      </c>
      <c r="H72" s="10">
        <f t="shared" si="13"/>
        <v>0</v>
      </c>
      <c r="I72" s="10">
        <f t="shared" si="13"/>
        <v>0</v>
      </c>
      <c r="J72" s="10">
        <f t="shared" si="13"/>
        <v>0</v>
      </c>
      <c r="K72" s="10">
        <f t="shared" si="13"/>
        <v>0</v>
      </c>
      <c r="L72" s="10">
        <f t="shared" si="13"/>
        <v>0</v>
      </c>
      <c r="M72" s="10">
        <f t="shared" si="13"/>
        <v>0</v>
      </c>
      <c r="N72" s="10">
        <f t="shared" si="13"/>
        <v>0</v>
      </c>
    </row>
    <row r="73" spans="1:14" s="1" customFormat="1" ht="6.2" customHeight="1">
      <c r="A73" s="757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</row>
    <row r="75" spans="1:14">
      <c r="A75" t="s">
        <v>541</v>
      </c>
      <c r="B75" s="47">
        <f>B55+B46+B45</f>
        <v>0</v>
      </c>
      <c r="C75" s="47">
        <f t="shared" ref="C75:N75" si="14">C55+C46+C45</f>
        <v>0</v>
      </c>
      <c r="D75" s="47">
        <f t="shared" si="14"/>
        <v>0</v>
      </c>
      <c r="E75" s="47">
        <f t="shared" si="14"/>
        <v>0</v>
      </c>
      <c r="F75" s="47">
        <f t="shared" si="14"/>
        <v>0</v>
      </c>
      <c r="G75" s="47">
        <f t="shared" si="14"/>
        <v>0</v>
      </c>
      <c r="H75" s="47">
        <f t="shared" si="14"/>
        <v>0</v>
      </c>
      <c r="I75" s="47">
        <f t="shared" si="14"/>
        <v>0</v>
      </c>
      <c r="J75" s="47">
        <f t="shared" si="14"/>
        <v>0</v>
      </c>
      <c r="K75" s="47">
        <f t="shared" si="14"/>
        <v>0</v>
      </c>
      <c r="L75" s="47">
        <f t="shared" si="14"/>
        <v>0</v>
      </c>
      <c r="M75" s="47">
        <f t="shared" si="14"/>
        <v>0</v>
      </c>
      <c r="N75" s="47">
        <f t="shared" si="14"/>
        <v>0</v>
      </c>
    </row>
    <row r="76" spans="1:14" s="1" customFormat="1">
      <c r="A76" s="6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</row>
    <row r="77" spans="1:14">
      <c r="A77" s="757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</row>
    <row r="78" spans="1:14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7"/>
    </row>
    <row r="79" spans="1:14">
      <c r="N79" s="15"/>
    </row>
  </sheetData>
  <phoneticPr fontId="0" type="noConversion"/>
  <pageMargins left="0.75" right="0.75" top="0.57999999999999996" bottom="0.52" header="0.5" footer="0.5"/>
  <pageSetup scale="55" orientation="landscape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6">
    <tabColor theme="8" tint="0.39997558519241921"/>
  </sheetPr>
  <dimension ref="A1:AK169"/>
  <sheetViews>
    <sheetView workbookViewId="0"/>
  </sheetViews>
  <sheetFormatPr baseColWidth="10" defaultColWidth="9.140625" defaultRowHeight="12.75"/>
  <cols>
    <col min="1" max="1" width="39.140625" bestFit="1" customWidth="1"/>
    <col min="2" max="2" width="15.140625" customWidth="1"/>
    <col min="3" max="3" width="9.42578125" customWidth="1"/>
    <col min="4" max="4" width="14.42578125" customWidth="1"/>
    <col min="5" max="5" width="9.85546875" customWidth="1"/>
    <col min="6" max="6" width="13" customWidth="1"/>
    <col min="7" max="7" width="8.42578125" customWidth="1"/>
    <col min="8" max="8" width="16.42578125" customWidth="1"/>
    <col min="9" max="9" width="8.42578125" customWidth="1"/>
    <col min="10" max="10" width="15.42578125" customWidth="1"/>
    <col min="11" max="11" width="8.5703125" customWidth="1"/>
    <col min="12" max="12" width="15.42578125" customWidth="1"/>
    <col min="13" max="13" width="7.42578125" customWidth="1"/>
    <col min="14" max="14" width="14.85546875" customWidth="1"/>
    <col min="15" max="15" width="9.140625" customWidth="1"/>
    <col min="16" max="16" width="13.140625" customWidth="1"/>
    <col min="17" max="17" width="9.140625" customWidth="1"/>
    <col min="18" max="18" width="15.140625" customWidth="1"/>
    <col min="19" max="19" width="9.140625" customWidth="1"/>
    <col min="20" max="20" width="13.42578125" customWidth="1"/>
    <col min="21" max="21" width="10.85546875" customWidth="1"/>
    <col min="22" max="22" width="16.42578125" customWidth="1"/>
    <col min="23" max="23" width="8.140625" customWidth="1"/>
    <col min="24" max="24" width="13.140625" customWidth="1"/>
    <col min="25" max="25" width="7.140625" customWidth="1"/>
    <col min="26" max="27" width="16.42578125" customWidth="1"/>
    <col min="28" max="28" width="14.42578125" hidden="1" customWidth="1"/>
    <col min="29" max="29" width="14.42578125" customWidth="1"/>
    <col min="30" max="30" width="7.85546875" customWidth="1"/>
    <col min="31" max="31" width="16.42578125" style="8" customWidth="1"/>
    <col min="32" max="32" width="8.42578125" style="2" customWidth="1"/>
    <col min="33" max="33" width="19.85546875" style="30" customWidth="1"/>
    <col min="34" max="34" width="17.42578125" customWidth="1"/>
    <col min="35" max="35" width="11.42578125" customWidth="1"/>
    <col min="36" max="36" width="13.42578125" bestFit="1" customWidth="1"/>
  </cols>
  <sheetData>
    <row r="1" spans="1:34" ht="15.75">
      <c r="A1" s="11" t="str">
        <f>'SPL 25 USD'!A1</f>
        <v>2025 Performance</v>
      </c>
      <c r="B1" s="195">
        <f>+'FX Rates'!B2</f>
        <v>1</v>
      </c>
      <c r="C1" s="195"/>
      <c r="D1" s="195">
        <f>+'FX Rates'!C2</f>
        <v>1</v>
      </c>
      <c r="E1" s="195"/>
      <c r="F1" s="195">
        <f>+'FX Rates'!D2</f>
        <v>1</v>
      </c>
      <c r="G1" s="195"/>
      <c r="H1" s="1065"/>
      <c r="I1" s="1065"/>
      <c r="J1" s="195">
        <f>+'FX Rates'!E2</f>
        <v>1</v>
      </c>
      <c r="K1" s="195"/>
      <c r="L1" s="195">
        <f>+'FX Rates'!F2</f>
        <v>1</v>
      </c>
      <c r="M1" s="195"/>
      <c r="N1" s="195">
        <f>+'FX Rates'!G2</f>
        <v>1</v>
      </c>
      <c r="O1" s="195"/>
      <c r="P1" s="195"/>
      <c r="Q1" s="195"/>
      <c r="R1" s="195">
        <f>+'FX Rates'!H2</f>
        <v>1</v>
      </c>
      <c r="S1" s="195"/>
      <c r="T1" s="195">
        <f>+'FX Rates'!I2</f>
        <v>1</v>
      </c>
      <c r="U1" s="195"/>
      <c r="V1" s="195">
        <f>+'FX Rates'!J2</f>
        <v>1</v>
      </c>
      <c r="W1" s="195"/>
      <c r="X1" s="195"/>
      <c r="Y1" s="195"/>
      <c r="Z1" s="195">
        <f>+'FX Rates'!K2</f>
        <v>1</v>
      </c>
      <c r="AA1" s="195">
        <f>+'FX Rates'!L2</f>
        <v>1</v>
      </c>
      <c r="AB1" s="195">
        <f>+'FX Rates'!M2</f>
        <v>1</v>
      </c>
      <c r="AC1" s="195"/>
      <c r="AD1" s="195"/>
    </row>
    <row r="2" spans="1:34" s="4" customFormat="1" ht="15.75">
      <c r="A2" s="11" t="s">
        <v>0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 s="8"/>
      <c r="AF2" s="5"/>
      <c r="AG2" s="31"/>
    </row>
    <row r="3" spans="1:34" ht="15.75">
      <c r="A3" s="18" t="s">
        <v>589</v>
      </c>
      <c r="B3" s="168">
        <f ca="1">+B13/'FX Rates'!B2</f>
        <v>2728</v>
      </c>
      <c r="C3" s="168"/>
      <c r="D3" s="168">
        <f ca="1">+D13/'FX Rates'!C2</f>
        <v>2728</v>
      </c>
      <c r="E3" s="168"/>
      <c r="F3" s="168">
        <f ca="1">+F13/'FX Rates'!D2</f>
        <v>2728</v>
      </c>
      <c r="G3" s="168"/>
      <c r="H3" s="1064">
        <f ca="1">+B3+D3+F3</f>
        <v>8184</v>
      </c>
      <c r="I3" s="1064"/>
      <c r="J3" s="168">
        <f ca="1">+J13/'FX Rates'!E2</f>
        <v>2728</v>
      </c>
      <c r="K3" s="168"/>
      <c r="L3" s="168" t="e">
        <f>+L13/'FX Rates'!F2</f>
        <v>#REF!</v>
      </c>
      <c r="M3" s="168"/>
      <c r="N3" s="168" t="e">
        <f>+N13/'FX Rates'!G2</f>
        <v>#REF!</v>
      </c>
      <c r="O3" s="168"/>
      <c r="P3" s="1064" t="e">
        <f ca="1">+J3+L3+N3</f>
        <v>#REF!</v>
      </c>
      <c r="Q3" s="1064"/>
      <c r="R3" s="168" t="e">
        <f>+R13/'FX Rates'!H2</f>
        <v>#REF!</v>
      </c>
      <c r="S3" s="168"/>
      <c r="T3" s="168" t="e">
        <f>+T13/'FX Rates'!I2</f>
        <v>#REF!</v>
      </c>
      <c r="U3" s="168"/>
      <c r="V3" s="168" t="e">
        <f>+V13/'FX Rates'!J2</f>
        <v>#REF!</v>
      </c>
      <c r="W3" s="168"/>
      <c r="X3" s="1064" t="e">
        <f>+R3+T3+V3</f>
        <v>#REF!</v>
      </c>
      <c r="Y3" s="1064"/>
      <c r="Z3" s="168" t="e">
        <f>+Z13/'FX Rates'!K2</f>
        <v>#REF!</v>
      </c>
      <c r="AA3" s="168" t="e">
        <f>+AA13/'FX Rates'!L2</f>
        <v>#REF!</v>
      </c>
      <c r="AB3" s="168" t="e">
        <f>+AB13/'FX Rates'!M2</f>
        <v>#REF!</v>
      </c>
      <c r="AC3" s="1064" t="e">
        <f>+Z3+AA3+AB3</f>
        <v>#REF!</v>
      </c>
      <c r="AD3" s="1064"/>
      <c r="AE3" s="9"/>
    </row>
    <row r="4" spans="1:34" ht="24.75" customHeight="1">
      <c r="A4" s="1" t="s">
        <v>694</v>
      </c>
      <c r="B4" s="21">
        <v>2022</v>
      </c>
      <c r="C4" s="21"/>
      <c r="D4" s="21">
        <f>B4</f>
        <v>2022</v>
      </c>
      <c r="E4" s="21"/>
      <c r="F4" s="21">
        <f>D4</f>
        <v>2022</v>
      </c>
      <c r="G4" s="21"/>
      <c r="H4" s="1063" t="s">
        <v>695</v>
      </c>
      <c r="I4" s="1063"/>
      <c r="J4" s="21">
        <f>F4</f>
        <v>2022</v>
      </c>
      <c r="K4" s="21"/>
      <c r="L4" s="21">
        <f>J4</f>
        <v>2022</v>
      </c>
      <c r="M4" s="21"/>
      <c r="N4" s="21">
        <f>L4</f>
        <v>2022</v>
      </c>
      <c r="O4" s="21"/>
      <c r="P4" s="1063" t="s">
        <v>696</v>
      </c>
      <c r="Q4" s="1063"/>
      <c r="R4" s="21">
        <f>N4</f>
        <v>2022</v>
      </c>
      <c r="S4" s="21"/>
      <c r="T4" s="21">
        <f>R4</f>
        <v>2022</v>
      </c>
      <c r="U4" s="21"/>
      <c r="V4" s="21">
        <f>T4</f>
        <v>2022</v>
      </c>
      <c r="W4" s="21"/>
      <c r="X4" s="1063" t="s">
        <v>697</v>
      </c>
      <c r="Y4" s="1063"/>
      <c r="Z4" s="21">
        <f>V4</f>
        <v>2022</v>
      </c>
      <c r="AA4" s="21">
        <f>Z4</f>
        <v>2022</v>
      </c>
      <c r="AB4" s="21">
        <f>AA4</f>
        <v>2022</v>
      </c>
      <c r="AC4" s="1063" t="s">
        <v>698</v>
      </c>
      <c r="AD4" s="1063"/>
      <c r="AE4" s="21">
        <f>AB4</f>
        <v>2022</v>
      </c>
    </row>
    <row r="5" spans="1:34" ht="15.75">
      <c r="A5" s="161" t="s">
        <v>44</v>
      </c>
      <c r="B5" s="21" t="s">
        <v>3</v>
      </c>
      <c r="C5" s="21"/>
      <c r="D5" s="21" t="s">
        <v>4</v>
      </c>
      <c r="E5" s="21"/>
      <c r="F5" s="21" t="s">
        <v>5</v>
      </c>
      <c r="G5" s="21"/>
      <c r="H5" s="1063" t="s">
        <v>699</v>
      </c>
      <c r="I5" s="1063"/>
      <c r="J5" s="21" t="s">
        <v>6</v>
      </c>
      <c r="K5" s="21"/>
      <c r="L5" s="21" t="s">
        <v>7</v>
      </c>
      <c r="M5" s="21"/>
      <c r="N5" s="21" t="s">
        <v>8</v>
      </c>
      <c r="O5" s="21"/>
      <c r="P5" s="1063" t="s">
        <v>700</v>
      </c>
      <c r="Q5" s="1063"/>
      <c r="R5" s="21" t="s">
        <v>9</v>
      </c>
      <c r="S5" s="21"/>
      <c r="T5" s="21" t="s">
        <v>10</v>
      </c>
      <c r="U5" s="21"/>
      <c r="V5" s="21" t="s">
        <v>11</v>
      </c>
      <c r="W5" s="21"/>
      <c r="X5" s="1063" t="s">
        <v>701</v>
      </c>
      <c r="Y5" s="1063"/>
      <c r="Z5" s="21" t="s">
        <v>12</v>
      </c>
      <c r="AA5" s="21" t="s">
        <v>13</v>
      </c>
      <c r="AB5" s="21" t="s">
        <v>14</v>
      </c>
      <c r="AC5" s="1063" t="s">
        <v>702</v>
      </c>
      <c r="AD5" s="1063"/>
      <c r="AE5" s="21" t="s">
        <v>51</v>
      </c>
    </row>
    <row r="6" spans="1:34">
      <c r="A6" s="6" t="s">
        <v>376</v>
      </c>
      <c r="H6" s="187"/>
      <c r="I6" s="187"/>
      <c r="P6" s="187"/>
      <c r="Q6" s="187"/>
      <c r="X6" s="187"/>
      <c r="Y6" s="187"/>
      <c r="AC6" s="187"/>
      <c r="AD6" s="187"/>
      <c r="AF6"/>
      <c r="AG6"/>
    </row>
    <row r="7" spans="1:34">
      <c r="A7" s="757" t="s">
        <v>590</v>
      </c>
      <c r="B7" s="122">
        <f ca="1">'DPL25 MLS'!B7+DPL23Downhole!B7+DPL23Downhole!B8</f>
        <v>2728</v>
      </c>
      <c r="C7" s="907">
        <f ca="1">+B7/$B$13</f>
        <v>1</v>
      </c>
      <c r="D7" s="122">
        <f ca="1">'DPL25 MLS'!D7+DPL23Downhole!C7+DPL23Downhole!C8</f>
        <v>2728</v>
      </c>
      <c r="E7" s="907">
        <f ca="1">+D7/$D$13</f>
        <v>1</v>
      </c>
      <c r="F7" s="122">
        <f ca="1">'DPL25 MLS'!F7+DPL23Downhole!D7+DPL23Downhole!D8</f>
        <v>2728</v>
      </c>
      <c r="G7" s="907">
        <f ca="1">+F7/$F$13</f>
        <v>1</v>
      </c>
      <c r="H7" s="152">
        <f ca="1">+B7+D7+F7</f>
        <v>8184</v>
      </c>
      <c r="I7" s="952">
        <f ca="1">+H7/$H$13</f>
        <v>1</v>
      </c>
      <c r="J7" s="122">
        <f ca="1">'DPL25 MLS'!H7+DPL23Downhole!E7+DPL23Downhole!E8</f>
        <v>2728</v>
      </c>
      <c r="K7" s="907">
        <f ca="1">+J7/$J$13</f>
        <v>1</v>
      </c>
      <c r="L7" s="122" t="e">
        <f>'DPL25 MLS'!J7+DPL23Downhole!F7+DPL23Downhole!F8</f>
        <v>#REF!</v>
      </c>
      <c r="M7" s="302" t="e">
        <f>+L7/$L$13</f>
        <v>#REF!</v>
      </c>
      <c r="N7" s="122" t="e">
        <f>'DPL25 MLS'!L7+DPL23Downhole!G7+DPL23Downhole!G8</f>
        <v>#REF!</v>
      </c>
      <c r="O7" s="302" t="e">
        <f>+N7/$N$13</f>
        <v>#REF!</v>
      </c>
      <c r="P7" s="152" t="e">
        <f ca="1">+J7+L7+N7</f>
        <v>#REF!</v>
      </c>
      <c r="Q7" s="952" t="e">
        <f ca="1">+P7/$P$13</f>
        <v>#REF!</v>
      </c>
      <c r="R7" s="122" t="e">
        <f>'DPL25 MLS'!N7+DPL23Downhole!H7+DPL23Downhole!H8</f>
        <v>#REF!</v>
      </c>
      <c r="S7" s="302" t="e">
        <f>+R7/$R$13</f>
        <v>#REF!</v>
      </c>
      <c r="T7" s="122" t="e">
        <f>'DPL25 MLS'!P7+DPL23Downhole!I7+DPL23Downhole!I8</f>
        <v>#REF!</v>
      </c>
      <c r="U7" s="302" t="e">
        <f t="shared" ref="U7:U13" si="0">+T7/$T$13</f>
        <v>#REF!</v>
      </c>
      <c r="V7" s="122" t="e">
        <f>'DPL25 MLS'!R7+DPL23Downhole!J7+DPL23Downhole!J8</f>
        <v>#REF!</v>
      </c>
      <c r="W7" s="302" t="e">
        <f>+V7/$V$13</f>
        <v>#REF!</v>
      </c>
      <c r="X7" s="152" t="e">
        <f>+R7+T7+V7</f>
        <v>#REF!</v>
      </c>
      <c r="Y7" s="952" t="e">
        <f>+X7/$X$13</f>
        <v>#REF!</v>
      </c>
      <c r="Z7" s="122" t="e">
        <f>'DPL25 MLS'!T7+DPL23Downhole!K7+DPL23Downhole!K8</f>
        <v>#REF!</v>
      </c>
      <c r="AA7" s="122" t="e">
        <f>'DPL25 MLS'!V7+DPL23Downhole!L7+DPL23Downhole!L8</f>
        <v>#REF!</v>
      </c>
      <c r="AB7" s="122" t="e">
        <f>'DPL25 MLS'!X7+DPL23Downhole!M7+DPL23Downhole!M8</f>
        <v>#REF!</v>
      </c>
      <c r="AC7" s="152" t="e">
        <f>+Z7+AA7+AB7</f>
        <v>#REF!</v>
      </c>
      <c r="AD7" s="952" t="e">
        <f>+AC7/$X$13</f>
        <v>#REF!</v>
      </c>
      <c r="AE7" s="123" t="e">
        <f ca="1">+B7+D7+F7+J7+L7+N7+R7+T7+V7+Z7+AA7+AB7</f>
        <v>#REF!</v>
      </c>
      <c r="AF7" s="12" t="e">
        <f ca="1">+AE7/$AE$13</f>
        <v>#REF!</v>
      </c>
      <c r="AG7"/>
    </row>
    <row r="8" spans="1:34">
      <c r="A8" s="757" t="s">
        <v>591</v>
      </c>
      <c r="B8" s="122">
        <f>'DPL25 MLS'!B8+DPL23Downhole!B8+DPL23Downhole!B9</f>
        <v>0</v>
      </c>
      <c r="C8" s="14"/>
      <c r="D8" s="122">
        <f>'DPL25 MLS'!D8+DPL23Downhole!C8+DPL23Downhole!C9</f>
        <v>0</v>
      </c>
      <c r="E8" s="14"/>
      <c r="F8" s="122">
        <f>'DPL25 MLS'!F8</f>
        <v>0</v>
      </c>
      <c r="G8" s="14"/>
      <c r="H8" s="152">
        <f>+B8+D8+F8</f>
        <v>0</v>
      </c>
      <c r="I8" s="952">
        <f ca="1">+H8/$H$13</f>
        <v>0</v>
      </c>
      <c r="J8" s="122">
        <f>'DPL25 MLS'!H8</f>
        <v>0</v>
      </c>
      <c r="K8" s="14"/>
      <c r="L8" s="122">
        <f>'DPL25 MLS'!J8</f>
        <v>0</v>
      </c>
      <c r="M8" s="14"/>
      <c r="N8" s="122">
        <f>'DPL25 MLS'!L8</f>
        <v>0</v>
      </c>
      <c r="O8" s="14"/>
      <c r="P8" s="152">
        <f>+J8+L8+N8</f>
        <v>0</v>
      </c>
      <c r="Q8" s="952" t="e">
        <f ca="1">+P8/$P$13</f>
        <v>#REF!</v>
      </c>
      <c r="R8" s="122">
        <f>'DPL25 MLS'!N8</f>
        <v>0</v>
      </c>
      <c r="S8" s="122"/>
      <c r="T8" s="122">
        <f>'DPL25 MLS'!P8</f>
        <v>0</v>
      </c>
      <c r="U8" s="302" t="e">
        <f t="shared" si="0"/>
        <v>#REF!</v>
      </c>
      <c r="V8" s="122">
        <f>'DPL25 MLS'!R8</f>
        <v>0</v>
      </c>
      <c r="W8" s="14"/>
      <c r="X8" s="152">
        <f>+R8+T8+V8</f>
        <v>0</v>
      </c>
      <c r="Y8" s="952" t="e">
        <f>+X8/$X$13</f>
        <v>#REF!</v>
      </c>
      <c r="Z8" s="122">
        <f>'DPL25 MLS'!T8</f>
        <v>0</v>
      </c>
      <c r="AA8" s="122">
        <f>'DPL25 MLS'!V8</f>
        <v>0</v>
      </c>
      <c r="AB8" s="122">
        <f>'DPL25 MLS'!X8</f>
        <v>0</v>
      </c>
      <c r="AC8" s="152">
        <f>+Z8+AA8+AB8</f>
        <v>0</v>
      </c>
      <c r="AD8" s="952" t="e">
        <f>+AC8/$X$13</f>
        <v>#REF!</v>
      </c>
      <c r="AE8" s="123">
        <f>+B8+D8+F8+J8+L8+N8+R8+T8+V8+Z8+AA8+AB8</f>
        <v>0</v>
      </c>
      <c r="AF8" s="12" t="e">
        <f t="shared" ref="AF8:AF13" ca="1" si="1">+AE8/$AE$13</f>
        <v>#REF!</v>
      </c>
      <c r="AG8"/>
    </row>
    <row r="9" spans="1:34">
      <c r="A9" s="757" t="s">
        <v>378</v>
      </c>
      <c r="B9" s="122">
        <f>'DPL25 MLS'!B9</f>
        <v>0</v>
      </c>
      <c r="C9" s="909">
        <f ca="1">+B9/$B$13</f>
        <v>0</v>
      </c>
      <c r="D9" s="122">
        <f>'DPL25 MLS'!D9</f>
        <v>0</v>
      </c>
      <c r="E9" s="14"/>
      <c r="F9" s="122">
        <f>'DPL25 MLS'!F9</f>
        <v>0</v>
      </c>
      <c r="G9" s="14"/>
      <c r="H9" s="152">
        <f>+B9+D9+F9</f>
        <v>0</v>
      </c>
      <c r="I9" s="952">
        <f ca="1">+H9/$H$13</f>
        <v>0</v>
      </c>
      <c r="J9" s="122">
        <f>'DPL25 MLS'!H9</f>
        <v>0</v>
      </c>
      <c r="K9" s="14"/>
      <c r="L9" s="122">
        <f>'DPL25 MLS'!J9</f>
        <v>0</v>
      </c>
      <c r="M9" s="14"/>
      <c r="N9" s="122">
        <f>'DPL25 MLS'!L9</f>
        <v>0</v>
      </c>
      <c r="O9" s="14"/>
      <c r="P9" s="152">
        <f>+J9+L9+N9</f>
        <v>0</v>
      </c>
      <c r="Q9" s="952" t="e">
        <f ca="1">+P9/$P$13</f>
        <v>#REF!</v>
      </c>
      <c r="R9" s="122">
        <f>'DPL25 MLS'!N9</f>
        <v>0</v>
      </c>
      <c r="S9" s="122"/>
      <c r="T9" s="122">
        <f>'DPL25 MLS'!P9</f>
        <v>0</v>
      </c>
      <c r="U9" s="302" t="e">
        <f t="shared" si="0"/>
        <v>#REF!</v>
      </c>
      <c r="V9" s="122">
        <f>'DPL25 MLS'!R9</f>
        <v>0</v>
      </c>
      <c r="W9" s="14"/>
      <c r="X9" s="152">
        <f>+R9+T9+V9</f>
        <v>0</v>
      </c>
      <c r="Y9" s="952" t="e">
        <f>+X9/$X$13</f>
        <v>#REF!</v>
      </c>
      <c r="Z9" s="122">
        <f>'DPL25 MLS'!T9</f>
        <v>0</v>
      </c>
      <c r="AA9" s="122">
        <f>'DPL25 MLS'!V9</f>
        <v>0</v>
      </c>
      <c r="AB9" s="122">
        <f>'DPL25 MLS'!X9</f>
        <v>0</v>
      </c>
      <c r="AC9" s="152">
        <f>+Z9+AA9+AB9</f>
        <v>0</v>
      </c>
      <c r="AD9" s="952" t="e">
        <f>+AC9/$X$13</f>
        <v>#REF!</v>
      </c>
      <c r="AE9" s="123">
        <f>+B9+D9+F9+J9+L9+N9+R9+T9+V9+Z9+AA9+AB9</f>
        <v>0</v>
      </c>
      <c r="AF9" s="12" t="e">
        <f t="shared" ca="1" si="1"/>
        <v>#REF!</v>
      </c>
      <c r="AG9"/>
    </row>
    <row r="10" spans="1:34">
      <c r="A10" s="757" t="s">
        <v>592</v>
      </c>
      <c r="B10" s="122">
        <f>'DPL25 MLS'!B10+DPL23Downhole!B10+DPL23Downhole!B11</f>
        <v>0</v>
      </c>
      <c r="C10" s="14"/>
      <c r="D10" s="122">
        <f>'DPL25 MLS'!D10+DPL23Downhole!C10+DPL23Downhole!C11</f>
        <v>0</v>
      </c>
      <c r="E10" s="14"/>
      <c r="F10" s="122">
        <f>'DPL25 MLS'!F10+DPL23Downhole!D9</f>
        <v>0</v>
      </c>
      <c r="G10" s="14"/>
      <c r="H10" s="152">
        <f>+B10+D10+F10</f>
        <v>0</v>
      </c>
      <c r="I10" s="952">
        <f ca="1">+H10/$H$13</f>
        <v>0</v>
      </c>
      <c r="J10" s="122">
        <f>'DPL25 MLS'!H10+DPL23Downhole!E9</f>
        <v>0</v>
      </c>
      <c r="K10" s="14"/>
      <c r="L10" s="122">
        <f>'DPL25 MLS'!J10+DPL23Downhole!F9</f>
        <v>0</v>
      </c>
      <c r="M10" s="14"/>
      <c r="N10" s="122">
        <f>'DPL25 MLS'!L10+DPL23Downhole!G9</f>
        <v>0</v>
      </c>
      <c r="O10" s="14"/>
      <c r="P10" s="152">
        <f>+J10+L10+N10</f>
        <v>0</v>
      </c>
      <c r="Q10" s="952" t="e">
        <f ca="1">+P10/$P$13</f>
        <v>#REF!</v>
      </c>
      <c r="R10" s="122">
        <f>'DPL25 MLS'!N10+DPL23Downhole!H9</f>
        <v>0</v>
      </c>
      <c r="S10" s="122"/>
      <c r="T10" s="122">
        <f>'DPL25 MLS'!P10+DPL23Downhole!I9</f>
        <v>0</v>
      </c>
      <c r="U10" s="302" t="e">
        <f t="shared" si="0"/>
        <v>#REF!</v>
      </c>
      <c r="V10" s="122">
        <f>'DPL25 MLS'!R10+DPL23Downhole!J9</f>
        <v>0</v>
      </c>
      <c r="W10" s="14"/>
      <c r="X10" s="152">
        <f>+R10+T10+V10</f>
        <v>0</v>
      </c>
      <c r="Y10" s="952" t="e">
        <f>+X10/$X$13</f>
        <v>#REF!</v>
      </c>
      <c r="Z10" s="122">
        <f>'DPL25 MLS'!T10+DPL23Downhole!K9</f>
        <v>0</v>
      </c>
      <c r="AA10" s="122">
        <f>'DPL25 MLS'!V10+DPL23Downhole!L9</f>
        <v>0</v>
      </c>
      <c r="AB10" s="122">
        <f>'DPL25 MLS'!X10+DPL23Downhole!M9</f>
        <v>0</v>
      </c>
      <c r="AC10" s="152">
        <f>+Z10+AA10+AB10</f>
        <v>0</v>
      </c>
      <c r="AD10" s="952" t="e">
        <f>+AC10/$X$13</f>
        <v>#REF!</v>
      </c>
      <c r="AE10" s="123">
        <f>+B10+D10+F10+J10+L10+N10+R10+T10+V10+Z10+AA10+AB10</f>
        <v>0</v>
      </c>
      <c r="AF10" s="12" t="e">
        <f t="shared" ca="1" si="1"/>
        <v>#REF!</v>
      </c>
      <c r="AG10"/>
    </row>
    <row r="11" spans="1:34" s="35" customFormat="1">
      <c r="A11" s="32" t="s">
        <v>380</v>
      </c>
      <c r="B11" s="135">
        <f>'DPL25 MLS'!B11+DPL23Downhole!B10</f>
        <v>0</v>
      </c>
      <c r="C11" s="33"/>
      <c r="D11" s="135">
        <f>'DPL25 MLS'!D11+DPL23Downhole!C10</f>
        <v>0</v>
      </c>
      <c r="E11" s="33"/>
      <c r="F11" s="135">
        <f>'DPL25 MLS'!F11+DPL23Downhole!D10</f>
        <v>0</v>
      </c>
      <c r="G11" s="33"/>
      <c r="H11" s="152">
        <f>+B11+D11+F11</f>
        <v>0</v>
      </c>
      <c r="I11" s="952">
        <f ca="1">+H11/$H$13</f>
        <v>0</v>
      </c>
      <c r="J11" s="135">
        <f>'DPL25 MLS'!H11+DPL23Downhole!E10</f>
        <v>0</v>
      </c>
      <c r="K11" s="33"/>
      <c r="L11" s="135">
        <f>'DPL25 MLS'!J11+DPL23Downhole!F10</f>
        <v>0</v>
      </c>
      <c r="M11" s="33"/>
      <c r="N11" s="135">
        <f>'DPL25 MLS'!L11+DPL23Downhole!G10</f>
        <v>0</v>
      </c>
      <c r="O11" s="33"/>
      <c r="P11" s="152">
        <f>+J11+L11+N11</f>
        <v>0</v>
      </c>
      <c r="Q11" s="952" t="e">
        <f ca="1">+P11/$P$13</f>
        <v>#REF!</v>
      </c>
      <c r="R11" s="135">
        <f>'DPL25 MLS'!N11+DPL23Downhole!H10</f>
        <v>0</v>
      </c>
      <c r="S11" s="135"/>
      <c r="T11" s="135">
        <f>'DPL25 MLS'!P11+DPL23Downhole!I10</f>
        <v>0</v>
      </c>
      <c r="U11" s="302" t="e">
        <f t="shared" si="0"/>
        <v>#REF!</v>
      </c>
      <c r="V11" s="135">
        <f>'DPL25 MLS'!R11+DPL23Downhole!J10</f>
        <v>0</v>
      </c>
      <c r="W11" s="33"/>
      <c r="X11" s="152">
        <f>+R11+T11+V11</f>
        <v>0</v>
      </c>
      <c r="Y11" s="952" t="e">
        <f>+X11/$X$13</f>
        <v>#REF!</v>
      </c>
      <c r="Z11" s="135">
        <f>'DPL25 MLS'!T11+DPL23Downhole!K10</f>
        <v>0</v>
      </c>
      <c r="AA11" s="135">
        <f>'DPL25 MLS'!V11+DPL23Downhole!L10</f>
        <v>0</v>
      </c>
      <c r="AB11" s="135">
        <f>'DPL25 MLS'!X11+DPL23Downhole!M10</f>
        <v>0</v>
      </c>
      <c r="AC11" s="152">
        <f>+Z11+AA11+AB11</f>
        <v>0</v>
      </c>
      <c r="AD11" s="952" t="e">
        <f>+AC11/$X$13</f>
        <v>#REF!</v>
      </c>
      <c r="AE11" s="123">
        <f>+B11+D11+F11+J11+L11+N11+R11+T11+V11+Z11+AA11+AB11</f>
        <v>0</v>
      </c>
      <c r="AF11" s="12" t="e">
        <f t="shared" ca="1" si="1"/>
        <v>#REF!</v>
      </c>
    </row>
    <row r="12" spans="1:34">
      <c r="A12" s="757" t="s">
        <v>59</v>
      </c>
      <c r="B12" s="20"/>
      <c r="C12" s="20"/>
      <c r="D12" s="20"/>
      <c r="E12" s="20"/>
      <c r="F12" s="20"/>
      <c r="G12" s="20"/>
      <c r="H12" s="179"/>
      <c r="I12" s="179"/>
      <c r="J12" s="20"/>
      <c r="K12" s="20"/>
      <c r="L12" s="20"/>
      <c r="M12" s="20"/>
      <c r="N12" s="20"/>
      <c r="O12" s="20"/>
      <c r="P12" s="179"/>
      <c r="Q12" s="179"/>
      <c r="R12" s="20"/>
      <c r="S12" s="20"/>
      <c r="T12" s="20"/>
      <c r="U12" s="302" t="e">
        <f t="shared" si="0"/>
        <v>#REF!</v>
      </c>
      <c r="V12" s="20"/>
      <c r="W12" s="20"/>
      <c r="X12" s="179"/>
      <c r="Y12" s="179"/>
      <c r="Z12" s="20"/>
      <c r="AA12" s="20"/>
      <c r="AB12" s="20"/>
      <c r="AC12" s="179"/>
      <c r="AD12" s="179"/>
      <c r="AE12" s="15"/>
      <c r="AF12" s="12" t="e">
        <f t="shared" ca="1" si="1"/>
        <v>#REF!</v>
      </c>
      <c r="AG12"/>
    </row>
    <row r="13" spans="1:34" s="1" customFormat="1" ht="13.5" thickBot="1">
      <c r="A13" s="6" t="s">
        <v>381</v>
      </c>
      <c r="B13" s="38">
        <f ca="1">SUM(B7:B12)</f>
        <v>2728</v>
      </c>
      <c r="C13" s="907">
        <f ca="1">+B13/$B$13</f>
        <v>1</v>
      </c>
      <c r="D13" s="38">
        <f ca="1">SUM(D7:D12)</f>
        <v>2728</v>
      </c>
      <c r="E13" s="907">
        <f ca="1">+D13/$D$13</f>
        <v>1</v>
      </c>
      <c r="F13" s="38">
        <f ca="1">SUM(F7:F12)</f>
        <v>2728</v>
      </c>
      <c r="G13" s="907">
        <f ca="1">+F13/$F$13</f>
        <v>1</v>
      </c>
      <c r="H13" s="362">
        <f ca="1">+B13+D13+F13</f>
        <v>8184</v>
      </c>
      <c r="I13" s="363">
        <f ca="1">+H13/$H$13</f>
        <v>1</v>
      </c>
      <c r="J13" s="38">
        <f ca="1">SUM(J7:J12)</f>
        <v>2728</v>
      </c>
      <c r="K13" s="907">
        <f ca="1">+J13/$J$13</f>
        <v>1</v>
      </c>
      <c r="L13" s="38" t="e">
        <f>SUM(L7:L12)</f>
        <v>#REF!</v>
      </c>
      <c r="M13" s="302" t="e">
        <f>+L13/$L$13</f>
        <v>#REF!</v>
      </c>
      <c r="N13" s="38" t="e">
        <f>SUM(N7:N12)</f>
        <v>#REF!</v>
      </c>
      <c r="O13" s="302" t="e">
        <f>+N13/$N$13</f>
        <v>#REF!</v>
      </c>
      <c r="P13" s="362" t="e">
        <f ca="1">+J13+L13+N13</f>
        <v>#REF!</v>
      </c>
      <c r="Q13" s="363" t="e">
        <f ca="1">+P13/$H$13</f>
        <v>#REF!</v>
      </c>
      <c r="R13" s="38" t="e">
        <f>SUM(R7:R12)</f>
        <v>#REF!</v>
      </c>
      <c r="S13" s="302" t="e">
        <f>+R13/$R$13</f>
        <v>#REF!</v>
      </c>
      <c r="T13" s="38" t="e">
        <f>SUM(T7:T12)</f>
        <v>#REF!</v>
      </c>
      <c r="U13" s="302" t="e">
        <f t="shared" si="0"/>
        <v>#REF!</v>
      </c>
      <c r="V13" s="38" t="e">
        <f>SUM(V7:V12)</f>
        <v>#REF!</v>
      </c>
      <c r="W13" s="302" t="e">
        <f>+V13/$V$13</f>
        <v>#REF!</v>
      </c>
      <c r="X13" s="362" t="e">
        <f>+R13+T13+V13</f>
        <v>#REF!</v>
      </c>
      <c r="Y13" s="363" t="e">
        <f>+X13/$X$13</f>
        <v>#REF!</v>
      </c>
      <c r="Z13" s="38" t="e">
        <f>SUM(Z7:Z12)</f>
        <v>#REF!</v>
      </c>
      <c r="AA13" s="38" t="e">
        <f>SUM(AA7:AA12)</f>
        <v>#REF!</v>
      </c>
      <c r="AB13" s="38" t="e">
        <f>SUM(AB7:AB12)</f>
        <v>#REF!</v>
      </c>
      <c r="AC13" s="362" t="e">
        <f>+Z13+AA13+AB13</f>
        <v>#REF!</v>
      </c>
      <c r="AD13" s="363" t="e">
        <f>+AC13/$X$13</f>
        <v>#REF!</v>
      </c>
      <c r="AE13" s="16" t="e">
        <f ca="1">SUM(AE7:AE12)</f>
        <v>#REF!</v>
      </c>
      <c r="AF13" s="12" t="e">
        <f t="shared" ca="1" si="1"/>
        <v>#REF!</v>
      </c>
    </row>
    <row r="14" spans="1:34" ht="13.5" thickTop="1">
      <c r="A14" s="757"/>
      <c r="B14" s="20"/>
      <c r="C14" s="20"/>
      <c r="D14" s="20"/>
      <c r="E14" s="20"/>
      <c r="F14" s="20"/>
      <c r="G14" s="20"/>
      <c r="H14" s="179"/>
      <c r="I14" s="179"/>
      <c r="J14" s="20"/>
      <c r="K14" s="20"/>
      <c r="L14" s="20"/>
      <c r="M14" s="20"/>
      <c r="N14" s="20"/>
      <c r="O14" s="20"/>
      <c r="P14" s="179"/>
      <c r="Q14" s="179"/>
      <c r="R14" s="20"/>
      <c r="S14" s="20"/>
      <c r="T14" s="20"/>
      <c r="U14" s="20"/>
      <c r="V14" s="20"/>
      <c r="W14" s="20"/>
      <c r="X14" s="179"/>
      <c r="Y14" s="179"/>
      <c r="Z14" s="20"/>
      <c r="AA14" s="20"/>
      <c r="AB14" s="20"/>
      <c r="AC14" s="179"/>
      <c r="AD14" s="179"/>
      <c r="AE14" s="15"/>
      <c r="AF14" s="142"/>
      <c r="AG14"/>
    </row>
    <row r="15" spans="1:34">
      <c r="A15" s="6" t="s">
        <v>382</v>
      </c>
      <c r="B15" s="20"/>
      <c r="C15" s="20"/>
      <c r="D15" s="20"/>
      <c r="E15" s="20"/>
      <c r="F15" s="20"/>
      <c r="G15" s="20"/>
      <c r="H15" s="179"/>
      <c r="I15" s="179"/>
      <c r="J15" s="20"/>
      <c r="K15" s="20"/>
      <c r="L15" s="20"/>
      <c r="M15" s="20"/>
      <c r="N15" s="20"/>
      <c r="O15" s="20"/>
      <c r="P15" s="179"/>
      <c r="Q15" s="179"/>
      <c r="R15" s="20"/>
      <c r="S15" s="20"/>
      <c r="T15" s="20"/>
      <c r="U15" s="20"/>
      <c r="V15" s="20"/>
      <c r="W15" s="20"/>
      <c r="X15" s="179"/>
      <c r="Y15" s="179"/>
      <c r="Z15" s="20"/>
      <c r="AA15" s="20"/>
      <c r="AB15" s="20"/>
      <c r="AC15" s="179"/>
      <c r="AD15" s="179"/>
      <c r="AE15" s="15"/>
      <c r="AF15" s="142"/>
      <c r="AG15"/>
    </row>
    <row r="16" spans="1:34">
      <c r="A16" s="757" t="s">
        <v>266</v>
      </c>
      <c r="B16" s="122">
        <f>'DPL25 MLS'!B16+DPL23Downhole!B15</f>
        <v>0</v>
      </c>
      <c r="C16" s="909">
        <f ca="1">+B16/$B$13</f>
        <v>0</v>
      </c>
      <c r="D16" s="122">
        <f>'DPL25 MLS'!D16+DPL23Downhole!C15</f>
        <v>0</v>
      </c>
      <c r="E16" s="909">
        <f ca="1">+D16/$D$13</f>
        <v>0</v>
      </c>
      <c r="F16" s="122">
        <f>'DPL25 MLS'!F16+DPL23Downhole!D15</f>
        <v>0</v>
      </c>
      <c r="G16" s="909">
        <f ca="1">+F16/$F$13</f>
        <v>0</v>
      </c>
      <c r="H16" s="152">
        <f t="shared" ref="H16:H47" si="2">+B16+D16+F16</f>
        <v>0</v>
      </c>
      <c r="I16" s="950">
        <f ca="1">+H16/$H$13</f>
        <v>0</v>
      </c>
      <c r="J16" s="122">
        <f>'DPL25 MLS'!H16+DPL23Downhole!E15</f>
        <v>0</v>
      </c>
      <c r="K16" s="910">
        <f ca="1">+J16/$J$13</f>
        <v>0</v>
      </c>
      <c r="L16" s="122">
        <f>'DPL25 MLS'!J16+DPL23Downhole!F15</f>
        <v>0</v>
      </c>
      <c r="M16" s="301" t="e">
        <f>+L16/$L$13</f>
        <v>#REF!</v>
      </c>
      <c r="N16" s="122">
        <f>'DPL25 MLS'!L16+DPL23Downhole!G15</f>
        <v>0</v>
      </c>
      <c r="O16" s="302" t="e">
        <f t="shared" ref="O16:O49" si="3">+N16/$N$13</f>
        <v>#REF!</v>
      </c>
      <c r="P16" s="152">
        <f t="shared" ref="P16:P47" si="4">+J16+L16+N16</f>
        <v>0</v>
      </c>
      <c r="Q16" s="950" t="e">
        <f ca="1">+P16/$P$13</f>
        <v>#REF!</v>
      </c>
      <c r="R16" s="122">
        <f>'DPL25 MLS'!N16+DPL23Downhole!H15</f>
        <v>0</v>
      </c>
      <c r="S16" s="302" t="e">
        <f t="shared" ref="S16:S49" si="5">+R16/$R$13</f>
        <v>#REF!</v>
      </c>
      <c r="T16" s="122">
        <f>'DPL25 MLS'!P16+DPL23Downhole!I15</f>
        <v>0</v>
      </c>
      <c r="U16" s="301" t="e">
        <f t="shared" ref="U16:U49" si="6">+T16/$T$13</f>
        <v>#REF!</v>
      </c>
      <c r="V16" s="122">
        <f>'DPL25 MLS'!R16+DPL23Downhole!J15</f>
        <v>0</v>
      </c>
      <c r="W16" s="301" t="e">
        <f t="shared" ref="W16:W49" si="7">+V16/$V$13</f>
        <v>#REF!</v>
      </c>
      <c r="X16" s="152">
        <f t="shared" ref="X16:X47" si="8">+R16+T16+V16</f>
        <v>0</v>
      </c>
      <c r="Y16" s="950" t="e">
        <f>+X16/$X$13</f>
        <v>#REF!</v>
      </c>
      <c r="Z16" s="122">
        <f>'DPL25 MLS'!T16+DPL23Downhole!K15</f>
        <v>0</v>
      </c>
      <c r="AA16" s="122">
        <f>'DPL25 MLS'!V16+DPL23Downhole!L15</f>
        <v>0</v>
      </c>
      <c r="AB16" s="122">
        <f>'DPL25 MLS'!X16+DPL23Downhole!M15</f>
        <v>0</v>
      </c>
      <c r="AC16" s="152">
        <f t="shared" ref="AC16:AC47" si="9">+Z16+AA16+AB16</f>
        <v>0</v>
      </c>
      <c r="AD16" s="950" t="e">
        <f>+AC16/$X$13</f>
        <v>#REF!</v>
      </c>
      <c r="AE16" s="123">
        <f t="shared" ref="AE16:AE47" si="10">+B16+D16+F16+J16+L16+N16+R16+T16+V16+Z16+AA16+AB16</f>
        <v>0</v>
      </c>
      <c r="AF16" s="942" t="e">
        <f ca="1">+AE16/$AE$13</f>
        <v>#REF!</v>
      </c>
      <c r="AG16" s="149"/>
      <c r="AH16" s="149"/>
    </row>
    <row r="17" spans="1:34">
      <c r="A17" s="757" t="s">
        <v>268</v>
      </c>
      <c r="B17" s="122">
        <f>'DPL25 MLS'!B17+DPL23Downhole!B16</f>
        <v>0</v>
      </c>
      <c r="C17" s="909">
        <f t="shared" ref="C17:C47" ca="1" si="11">+B17/$B$13</f>
        <v>0</v>
      </c>
      <c r="D17" s="122">
        <f>'DPL25 MLS'!D17+DPL23Downhole!C16</f>
        <v>0</v>
      </c>
      <c r="E17" s="909">
        <f t="shared" ref="E17:E49" ca="1" si="12">+D17/$D$13</f>
        <v>0</v>
      </c>
      <c r="F17" s="122">
        <f>'DPL25 MLS'!F17+DPL23Downhole!D16</f>
        <v>0</v>
      </c>
      <c r="G17" s="909">
        <f t="shared" ref="G17:G49" ca="1" si="13">+F17/$F$13</f>
        <v>0</v>
      </c>
      <c r="H17" s="152">
        <f t="shared" si="2"/>
        <v>0</v>
      </c>
      <c r="I17" s="950">
        <f t="shared" ref="I17:I47" ca="1" si="14">+H17/$H$13</f>
        <v>0</v>
      </c>
      <c r="J17" s="122">
        <f>'DPL25 MLS'!H17+DPL23Downhole!E16</f>
        <v>0</v>
      </c>
      <c r="K17" s="910">
        <f t="shared" ref="K17:K47" ca="1" si="15">+J17/$J$13</f>
        <v>0</v>
      </c>
      <c r="L17" s="122">
        <f>'DPL25 MLS'!J17+DPL23Downhole!F16</f>
        <v>0</v>
      </c>
      <c r="M17" s="301" t="e">
        <f t="shared" ref="M17:M49" si="16">+L17/$L$13</f>
        <v>#REF!</v>
      </c>
      <c r="N17" s="122">
        <f>'DPL25 MLS'!L17+DPL23Downhole!G16</f>
        <v>0</v>
      </c>
      <c r="O17" s="302" t="e">
        <f t="shared" si="3"/>
        <v>#REF!</v>
      </c>
      <c r="P17" s="152">
        <f t="shared" si="4"/>
        <v>0</v>
      </c>
      <c r="Q17" s="950" t="e">
        <f t="shared" ref="Q17:Q47" ca="1" si="17">+P17/$P$13</f>
        <v>#REF!</v>
      </c>
      <c r="R17" s="122">
        <f>'DPL25 MLS'!N17+DPL23Downhole!H16</f>
        <v>0</v>
      </c>
      <c r="S17" s="302" t="e">
        <f t="shared" si="5"/>
        <v>#REF!</v>
      </c>
      <c r="T17" s="122">
        <f>'DPL25 MLS'!P17+DPL23Downhole!I16</f>
        <v>0</v>
      </c>
      <c r="U17" s="301" t="e">
        <f t="shared" si="6"/>
        <v>#REF!</v>
      </c>
      <c r="V17" s="122">
        <f>'DPL25 MLS'!R17+DPL23Downhole!J16</f>
        <v>0</v>
      </c>
      <c r="W17" s="301" t="e">
        <f t="shared" si="7"/>
        <v>#REF!</v>
      </c>
      <c r="X17" s="152">
        <f t="shared" si="8"/>
        <v>0</v>
      </c>
      <c r="Y17" s="950" t="e">
        <f t="shared" ref="Y17:Y47" si="18">+X17/$X$13</f>
        <v>#REF!</v>
      </c>
      <c r="Z17" s="122">
        <f>'DPL25 MLS'!T17+DPL23Downhole!K16</f>
        <v>0</v>
      </c>
      <c r="AA17" s="122">
        <f>'DPL25 MLS'!V17+DPL23Downhole!L16</f>
        <v>0</v>
      </c>
      <c r="AB17" s="122">
        <f>'DPL25 MLS'!X17+DPL23Downhole!M16</f>
        <v>0</v>
      </c>
      <c r="AC17" s="152">
        <f t="shared" si="9"/>
        <v>0</v>
      </c>
      <c r="AD17" s="950" t="e">
        <f t="shared" ref="AD17:AD47" si="19">+AC17/$X$13</f>
        <v>#REF!</v>
      </c>
      <c r="AE17" s="123">
        <f t="shared" si="10"/>
        <v>0</v>
      </c>
      <c r="AF17" s="942" t="e">
        <f t="shared" ref="AF17:AF80" ca="1" si="20">+AE17/$AE$13</f>
        <v>#REF!</v>
      </c>
      <c r="AG17" s="149"/>
      <c r="AH17" s="149"/>
    </row>
    <row r="18" spans="1:34">
      <c r="A18" s="933" t="s">
        <v>383</v>
      </c>
      <c r="B18" s="122">
        <f>'DPL25 MLS'!B18+DPL23Downhole!B20</f>
        <v>0</v>
      </c>
      <c r="C18" s="909">
        <f t="shared" ca="1" si="11"/>
        <v>0</v>
      </c>
      <c r="D18" s="122">
        <f>'DPL25 MLS'!D18+DPL23Downhole!C17</f>
        <v>0</v>
      </c>
      <c r="E18" s="909">
        <f t="shared" ca="1" si="12"/>
        <v>0</v>
      </c>
      <c r="F18" s="122">
        <f>'DPL25 MLS'!F18+DPL23Downhole!D17</f>
        <v>0</v>
      </c>
      <c r="G18" s="909">
        <f t="shared" ca="1" si="13"/>
        <v>0</v>
      </c>
      <c r="H18" s="152">
        <f t="shared" si="2"/>
        <v>0</v>
      </c>
      <c r="I18" s="950">
        <f t="shared" ca="1" si="14"/>
        <v>0</v>
      </c>
      <c r="J18" s="122">
        <f>'DPL25 MLS'!H18+DPL23Downhole!E17</f>
        <v>0</v>
      </c>
      <c r="K18" s="910">
        <f t="shared" ca="1" si="15"/>
        <v>0</v>
      </c>
      <c r="L18" s="122">
        <f>'DPL25 MLS'!J18+DPL23Downhole!F17</f>
        <v>0</v>
      </c>
      <c r="M18" s="301" t="e">
        <f t="shared" si="16"/>
        <v>#REF!</v>
      </c>
      <c r="N18" s="122">
        <f>'DPL25 MLS'!L18+DPL23Downhole!G17</f>
        <v>0</v>
      </c>
      <c r="O18" s="302" t="e">
        <f t="shared" si="3"/>
        <v>#REF!</v>
      </c>
      <c r="P18" s="152">
        <f t="shared" si="4"/>
        <v>0</v>
      </c>
      <c r="Q18" s="950" t="e">
        <f t="shared" ca="1" si="17"/>
        <v>#REF!</v>
      </c>
      <c r="R18" s="122">
        <f>'DPL25 MLS'!N18+DPL23Downhole!H17</f>
        <v>0</v>
      </c>
      <c r="S18" s="302" t="e">
        <f t="shared" si="5"/>
        <v>#REF!</v>
      </c>
      <c r="T18" s="122">
        <f>'DPL25 MLS'!P18+DPL23Downhole!I17</f>
        <v>0</v>
      </c>
      <c r="U18" s="301" t="e">
        <f t="shared" si="6"/>
        <v>#REF!</v>
      </c>
      <c r="V18" s="122">
        <f>'DPL25 MLS'!R18+DPL23Downhole!J17</f>
        <v>0</v>
      </c>
      <c r="W18" s="301" t="e">
        <f t="shared" si="7"/>
        <v>#REF!</v>
      </c>
      <c r="X18" s="152">
        <f t="shared" si="8"/>
        <v>0</v>
      </c>
      <c r="Y18" s="950" t="e">
        <f t="shared" si="18"/>
        <v>#REF!</v>
      </c>
      <c r="Z18" s="122">
        <f>'DPL25 MLS'!T18+DPL23Downhole!K17</f>
        <v>0</v>
      </c>
      <c r="AA18" s="122">
        <f>'DPL25 MLS'!V18+DPL23Downhole!L17</f>
        <v>0</v>
      </c>
      <c r="AB18" s="122">
        <f>'DPL25 MLS'!X18+DPL23Downhole!M17</f>
        <v>0</v>
      </c>
      <c r="AC18" s="152">
        <f t="shared" si="9"/>
        <v>0</v>
      </c>
      <c r="AD18" s="950" t="e">
        <f t="shared" si="19"/>
        <v>#REF!</v>
      </c>
      <c r="AE18" s="123">
        <f t="shared" si="10"/>
        <v>0</v>
      </c>
      <c r="AF18" s="942" t="e">
        <f t="shared" ca="1" si="20"/>
        <v>#REF!</v>
      </c>
      <c r="AG18" s="149"/>
      <c r="AH18" s="149"/>
    </row>
    <row r="19" spans="1:34">
      <c r="A19" s="757" t="s">
        <v>269</v>
      </c>
      <c r="B19" s="122">
        <f>'DPL25 MLS'!B19+DPL23Downhole!B21</f>
        <v>0</v>
      </c>
      <c r="C19" s="909">
        <f t="shared" ca="1" si="11"/>
        <v>0</v>
      </c>
      <c r="D19" s="122">
        <f>'DPL25 MLS'!D19+DPL23Downhole!C18</f>
        <v>0</v>
      </c>
      <c r="E19" s="909">
        <f t="shared" ca="1" si="12"/>
        <v>0</v>
      </c>
      <c r="F19" s="122">
        <f>'DPL25 MLS'!F19+DPL23Downhole!D18</f>
        <v>0</v>
      </c>
      <c r="G19" s="909">
        <f t="shared" ca="1" si="13"/>
        <v>0</v>
      </c>
      <c r="H19" s="152">
        <f t="shared" si="2"/>
        <v>0</v>
      </c>
      <c r="I19" s="950">
        <f t="shared" ca="1" si="14"/>
        <v>0</v>
      </c>
      <c r="J19" s="122">
        <f>'DPL25 MLS'!H19+DPL23Downhole!E18</f>
        <v>0</v>
      </c>
      <c r="K19" s="910">
        <f t="shared" ca="1" si="15"/>
        <v>0</v>
      </c>
      <c r="L19" s="122">
        <f>'DPL25 MLS'!J19+DPL23Downhole!F18</f>
        <v>0</v>
      </c>
      <c r="M19" s="301" t="e">
        <f t="shared" si="16"/>
        <v>#REF!</v>
      </c>
      <c r="N19" s="122">
        <f>'DPL25 MLS'!L19+DPL23Downhole!G18</f>
        <v>0</v>
      </c>
      <c r="O19" s="302" t="e">
        <f t="shared" si="3"/>
        <v>#REF!</v>
      </c>
      <c r="P19" s="152">
        <f t="shared" si="4"/>
        <v>0</v>
      </c>
      <c r="Q19" s="950" t="e">
        <f t="shared" ca="1" si="17"/>
        <v>#REF!</v>
      </c>
      <c r="R19" s="122">
        <f>'DPL25 MLS'!N19+DPL23Downhole!H18</f>
        <v>0</v>
      </c>
      <c r="S19" s="302" t="e">
        <f t="shared" si="5"/>
        <v>#REF!</v>
      </c>
      <c r="T19" s="122">
        <f>'DPL25 MLS'!P19+DPL23Downhole!I18</f>
        <v>0</v>
      </c>
      <c r="U19" s="301" t="e">
        <f t="shared" si="6"/>
        <v>#REF!</v>
      </c>
      <c r="V19" s="122">
        <f>'DPL25 MLS'!R19+DPL23Downhole!J18</f>
        <v>0</v>
      </c>
      <c r="W19" s="301" t="e">
        <f t="shared" si="7"/>
        <v>#REF!</v>
      </c>
      <c r="X19" s="152">
        <f t="shared" si="8"/>
        <v>0</v>
      </c>
      <c r="Y19" s="950" t="e">
        <f t="shared" si="18"/>
        <v>#REF!</v>
      </c>
      <c r="Z19" s="122">
        <f>'DPL25 MLS'!T19+DPL23Downhole!K18</f>
        <v>0</v>
      </c>
      <c r="AA19" s="122">
        <f>'DPL25 MLS'!V19+DPL23Downhole!L18</f>
        <v>0</v>
      </c>
      <c r="AB19" s="122">
        <f>'DPL25 MLS'!X19+DPL23Downhole!M18</f>
        <v>0</v>
      </c>
      <c r="AC19" s="152">
        <f t="shared" si="9"/>
        <v>0</v>
      </c>
      <c r="AD19" s="950" t="e">
        <f t="shared" si="19"/>
        <v>#REF!</v>
      </c>
      <c r="AE19" s="123">
        <f t="shared" si="10"/>
        <v>0</v>
      </c>
      <c r="AF19" s="942" t="e">
        <f t="shared" ca="1" si="20"/>
        <v>#REF!</v>
      </c>
      <c r="AG19" s="149"/>
      <c r="AH19" s="149"/>
    </row>
    <row r="20" spans="1:34">
      <c r="A20" s="757" t="s">
        <v>384</v>
      </c>
      <c r="B20" s="122">
        <f>'DPL25 MLS'!B20+DPL23Downhole!B25</f>
        <v>0</v>
      </c>
      <c r="C20" s="909">
        <f t="shared" ca="1" si="11"/>
        <v>0</v>
      </c>
      <c r="D20" s="122">
        <f>'DPL25 MLS'!D20+DPL23Downhole!C19</f>
        <v>0</v>
      </c>
      <c r="E20" s="909">
        <f t="shared" ca="1" si="12"/>
        <v>0</v>
      </c>
      <c r="F20" s="122">
        <f>'DPL25 MLS'!F20+DPL23Downhole!D19</f>
        <v>0</v>
      </c>
      <c r="G20" s="909">
        <f t="shared" ca="1" si="13"/>
        <v>0</v>
      </c>
      <c r="H20" s="152">
        <f t="shared" si="2"/>
        <v>0</v>
      </c>
      <c r="I20" s="950">
        <f t="shared" ca="1" si="14"/>
        <v>0</v>
      </c>
      <c r="J20" s="122">
        <f>'DPL25 MLS'!H20+DPL23Downhole!E19</f>
        <v>0</v>
      </c>
      <c r="K20" s="910">
        <f t="shared" ca="1" si="15"/>
        <v>0</v>
      </c>
      <c r="L20" s="122">
        <f>'DPL25 MLS'!J20+DPL23Downhole!F19</f>
        <v>0</v>
      </c>
      <c r="M20" s="301" t="e">
        <f t="shared" si="16"/>
        <v>#REF!</v>
      </c>
      <c r="N20" s="122">
        <f>'DPL25 MLS'!L20+DPL23Downhole!G19</f>
        <v>0</v>
      </c>
      <c r="O20" s="302" t="e">
        <f t="shared" si="3"/>
        <v>#REF!</v>
      </c>
      <c r="P20" s="152">
        <f t="shared" si="4"/>
        <v>0</v>
      </c>
      <c r="Q20" s="950" t="e">
        <f t="shared" ca="1" si="17"/>
        <v>#REF!</v>
      </c>
      <c r="R20" s="122">
        <f>'DPL25 MLS'!N20+DPL23Downhole!H19</f>
        <v>0</v>
      </c>
      <c r="S20" s="302" t="e">
        <f t="shared" si="5"/>
        <v>#REF!</v>
      </c>
      <c r="T20" s="122">
        <f>'DPL25 MLS'!P20+DPL23Downhole!I19</f>
        <v>0</v>
      </c>
      <c r="U20" s="301" t="e">
        <f t="shared" si="6"/>
        <v>#REF!</v>
      </c>
      <c r="V20" s="122">
        <f>'DPL25 MLS'!R20+DPL23Downhole!J19</f>
        <v>0</v>
      </c>
      <c r="W20" s="301" t="e">
        <f t="shared" si="7"/>
        <v>#REF!</v>
      </c>
      <c r="X20" s="152">
        <f t="shared" si="8"/>
        <v>0</v>
      </c>
      <c r="Y20" s="950" t="e">
        <f t="shared" si="18"/>
        <v>#REF!</v>
      </c>
      <c r="Z20" s="122">
        <f>'DPL25 MLS'!T20+DPL23Downhole!K19</f>
        <v>0</v>
      </c>
      <c r="AA20" s="122">
        <f>'DPL25 MLS'!V20+DPL23Downhole!L19</f>
        <v>0</v>
      </c>
      <c r="AB20" s="122">
        <f>'DPL25 MLS'!X20+DPL23Downhole!M19</f>
        <v>0</v>
      </c>
      <c r="AC20" s="152">
        <f t="shared" si="9"/>
        <v>0</v>
      </c>
      <c r="AD20" s="950" t="e">
        <f t="shared" si="19"/>
        <v>#REF!</v>
      </c>
      <c r="AE20" s="123">
        <f t="shared" si="10"/>
        <v>0</v>
      </c>
      <c r="AF20" s="942" t="e">
        <f t="shared" ca="1" si="20"/>
        <v>#REF!</v>
      </c>
      <c r="AG20" s="149"/>
      <c r="AH20" s="149"/>
    </row>
    <row r="21" spans="1:34">
      <c r="A21" s="757" t="s">
        <v>385</v>
      </c>
      <c r="B21" s="122">
        <f>'DPL25 MLS'!B21+DPL23Downhole!B20</f>
        <v>0</v>
      </c>
      <c r="C21" s="909">
        <f t="shared" ca="1" si="11"/>
        <v>0</v>
      </c>
      <c r="D21" s="122">
        <f>'DPL25 MLS'!D21+DPL23Downhole!C20</f>
        <v>0</v>
      </c>
      <c r="E21" s="909">
        <f t="shared" ca="1" si="12"/>
        <v>0</v>
      </c>
      <c r="F21" s="122">
        <f>'DPL25 MLS'!F21+DPL23Downhole!D20</f>
        <v>0</v>
      </c>
      <c r="G21" s="909">
        <f t="shared" ca="1" si="13"/>
        <v>0</v>
      </c>
      <c r="H21" s="152">
        <f t="shared" si="2"/>
        <v>0</v>
      </c>
      <c r="I21" s="950">
        <f t="shared" ca="1" si="14"/>
        <v>0</v>
      </c>
      <c r="J21" s="122">
        <f>'DPL25 MLS'!H21+DPL23Downhole!E20</f>
        <v>0</v>
      </c>
      <c r="K21" s="910">
        <f t="shared" ca="1" si="15"/>
        <v>0</v>
      </c>
      <c r="L21" s="122">
        <f>'DPL25 MLS'!J21+DPL23Downhole!F20</f>
        <v>0</v>
      </c>
      <c r="M21" s="301" t="e">
        <f t="shared" si="16"/>
        <v>#REF!</v>
      </c>
      <c r="N21" s="122">
        <f>'DPL25 MLS'!L21+DPL23Downhole!G20</f>
        <v>0</v>
      </c>
      <c r="O21" s="302" t="e">
        <f t="shared" si="3"/>
        <v>#REF!</v>
      </c>
      <c r="P21" s="152">
        <f t="shared" si="4"/>
        <v>0</v>
      </c>
      <c r="Q21" s="950" t="e">
        <f t="shared" ca="1" si="17"/>
        <v>#REF!</v>
      </c>
      <c r="R21" s="122">
        <f>'DPL25 MLS'!N21+DPL23Downhole!H20</f>
        <v>0</v>
      </c>
      <c r="S21" s="302" t="e">
        <f t="shared" si="5"/>
        <v>#REF!</v>
      </c>
      <c r="T21" s="122">
        <f>'DPL25 MLS'!P21+DPL23Downhole!I20</f>
        <v>0</v>
      </c>
      <c r="U21" s="301" t="e">
        <f t="shared" si="6"/>
        <v>#REF!</v>
      </c>
      <c r="V21" s="122">
        <f>'DPL25 MLS'!R21+DPL23Downhole!J20</f>
        <v>0</v>
      </c>
      <c r="W21" s="301" t="e">
        <f t="shared" si="7"/>
        <v>#REF!</v>
      </c>
      <c r="X21" s="152">
        <f t="shared" si="8"/>
        <v>0</v>
      </c>
      <c r="Y21" s="950" t="e">
        <f t="shared" si="18"/>
        <v>#REF!</v>
      </c>
      <c r="Z21" s="122">
        <f>'DPL25 MLS'!T21+DPL23Downhole!K20</f>
        <v>0</v>
      </c>
      <c r="AA21" s="122">
        <f>'DPL25 MLS'!V21+DPL23Downhole!L20</f>
        <v>0</v>
      </c>
      <c r="AB21" s="122">
        <f>'DPL25 MLS'!X21+DPL23Downhole!M20</f>
        <v>0</v>
      </c>
      <c r="AC21" s="152">
        <f t="shared" si="9"/>
        <v>0</v>
      </c>
      <c r="AD21" s="950" t="e">
        <f t="shared" si="19"/>
        <v>#REF!</v>
      </c>
      <c r="AE21" s="123">
        <f t="shared" si="10"/>
        <v>0</v>
      </c>
      <c r="AF21" s="942" t="e">
        <f t="shared" ca="1" si="20"/>
        <v>#REF!</v>
      </c>
      <c r="AG21" s="149"/>
      <c r="AH21" s="20"/>
    </row>
    <row r="22" spans="1:34">
      <c r="A22" s="757" t="s">
        <v>386</v>
      </c>
      <c r="B22" s="122">
        <f>'DPL25 MLS'!B22+DPL23Downhole!B21</f>
        <v>0</v>
      </c>
      <c r="C22" s="909">
        <f t="shared" ca="1" si="11"/>
        <v>0</v>
      </c>
      <c r="D22" s="122">
        <f>'DPL25 MLS'!D22+DPL23Downhole!C21</f>
        <v>0</v>
      </c>
      <c r="E22" s="909">
        <f t="shared" ca="1" si="12"/>
        <v>0</v>
      </c>
      <c r="F22" s="122">
        <f>'DPL25 MLS'!F22+DPL23Downhole!D21</f>
        <v>0</v>
      </c>
      <c r="G22" s="909">
        <f t="shared" ca="1" si="13"/>
        <v>0</v>
      </c>
      <c r="H22" s="152">
        <f t="shared" si="2"/>
        <v>0</v>
      </c>
      <c r="I22" s="950">
        <f t="shared" ca="1" si="14"/>
        <v>0</v>
      </c>
      <c r="J22" s="122">
        <f>'DPL25 MLS'!H22+DPL23Downhole!E21</f>
        <v>0</v>
      </c>
      <c r="K22" s="910">
        <f t="shared" ca="1" si="15"/>
        <v>0</v>
      </c>
      <c r="L22" s="122">
        <f>'DPL25 MLS'!J22+DPL23Downhole!F21</f>
        <v>0</v>
      </c>
      <c r="M22" s="301" t="e">
        <f t="shared" si="16"/>
        <v>#REF!</v>
      </c>
      <c r="N22" s="122">
        <f>'DPL25 MLS'!L22+DPL23Downhole!G21</f>
        <v>0</v>
      </c>
      <c r="O22" s="302" t="e">
        <f t="shared" si="3"/>
        <v>#REF!</v>
      </c>
      <c r="P22" s="152">
        <f t="shared" si="4"/>
        <v>0</v>
      </c>
      <c r="Q22" s="950" t="e">
        <f t="shared" ca="1" si="17"/>
        <v>#REF!</v>
      </c>
      <c r="R22" s="122">
        <f>'DPL25 MLS'!N22+DPL23Downhole!H21</f>
        <v>0</v>
      </c>
      <c r="S22" s="302" t="e">
        <f t="shared" si="5"/>
        <v>#REF!</v>
      </c>
      <c r="T22" s="122">
        <f>'DPL25 MLS'!P22+DPL23Downhole!I21</f>
        <v>0</v>
      </c>
      <c r="U22" s="301" t="e">
        <f t="shared" si="6"/>
        <v>#REF!</v>
      </c>
      <c r="V22" s="122">
        <f>'DPL25 MLS'!R22+DPL23Downhole!J21</f>
        <v>0</v>
      </c>
      <c r="W22" s="301" t="e">
        <f t="shared" si="7"/>
        <v>#REF!</v>
      </c>
      <c r="X22" s="152">
        <f t="shared" si="8"/>
        <v>0</v>
      </c>
      <c r="Y22" s="950" t="e">
        <f t="shared" si="18"/>
        <v>#REF!</v>
      </c>
      <c r="Z22" s="122">
        <f>'DPL25 MLS'!T22+DPL23Downhole!K21</f>
        <v>0</v>
      </c>
      <c r="AA22" s="122">
        <f>'DPL25 MLS'!V22+DPL23Downhole!L21</f>
        <v>0</v>
      </c>
      <c r="AB22" s="122">
        <f>'DPL25 MLS'!X22+DPL23Downhole!M21</f>
        <v>0</v>
      </c>
      <c r="AC22" s="152">
        <f t="shared" si="9"/>
        <v>0</v>
      </c>
      <c r="AD22" s="950" t="e">
        <f t="shared" si="19"/>
        <v>#REF!</v>
      </c>
      <c r="AE22" s="123">
        <f t="shared" si="10"/>
        <v>0</v>
      </c>
      <c r="AF22" s="942" t="e">
        <f t="shared" ca="1" si="20"/>
        <v>#REF!</v>
      </c>
      <c r="AG22" s="149"/>
      <c r="AH22" s="149"/>
    </row>
    <row r="23" spans="1:34">
      <c r="A23" s="757" t="s">
        <v>387</v>
      </c>
      <c r="B23" s="122">
        <f>'DPL25 MLS'!B23+DPL23Downhole!B28</f>
        <v>0</v>
      </c>
      <c r="C23" s="909">
        <f t="shared" ca="1" si="11"/>
        <v>0</v>
      </c>
      <c r="D23" s="122">
        <f>'DPL25 MLS'!D23+DPL23Downhole!C22</f>
        <v>0</v>
      </c>
      <c r="E23" s="909">
        <f t="shared" ca="1" si="12"/>
        <v>0</v>
      </c>
      <c r="F23" s="122">
        <f>'DPL25 MLS'!F23+DPL23Downhole!D22</f>
        <v>0</v>
      </c>
      <c r="G23" s="909">
        <f t="shared" ca="1" si="13"/>
        <v>0</v>
      </c>
      <c r="H23" s="152">
        <f t="shared" si="2"/>
        <v>0</v>
      </c>
      <c r="I23" s="950">
        <f t="shared" ca="1" si="14"/>
        <v>0</v>
      </c>
      <c r="J23" s="122">
        <f>'DPL25 MLS'!H23+DPL23Downhole!E22</f>
        <v>0</v>
      </c>
      <c r="K23" s="910">
        <f t="shared" ca="1" si="15"/>
        <v>0</v>
      </c>
      <c r="L23" s="122">
        <f>'DPL25 MLS'!J23+DPL23Downhole!F22</f>
        <v>0</v>
      </c>
      <c r="M23" s="301" t="e">
        <f t="shared" si="16"/>
        <v>#REF!</v>
      </c>
      <c r="N23" s="122">
        <f>'DPL25 MLS'!L23+DPL23Downhole!G22</f>
        <v>0</v>
      </c>
      <c r="O23" s="302" t="e">
        <f t="shared" si="3"/>
        <v>#REF!</v>
      </c>
      <c r="P23" s="152">
        <f t="shared" si="4"/>
        <v>0</v>
      </c>
      <c r="Q23" s="950" t="e">
        <f t="shared" ca="1" si="17"/>
        <v>#REF!</v>
      </c>
      <c r="R23" s="122">
        <f>'DPL25 MLS'!N23+DPL23Downhole!H22</f>
        <v>0</v>
      </c>
      <c r="S23" s="302" t="e">
        <f t="shared" si="5"/>
        <v>#REF!</v>
      </c>
      <c r="T23" s="122">
        <f>'DPL25 MLS'!P23+DPL23Downhole!I22</f>
        <v>0</v>
      </c>
      <c r="U23" s="301" t="e">
        <f t="shared" si="6"/>
        <v>#REF!</v>
      </c>
      <c r="V23" s="122">
        <f>'DPL25 MLS'!R23+DPL23Downhole!J22</f>
        <v>0</v>
      </c>
      <c r="W23" s="301" t="e">
        <f t="shared" si="7"/>
        <v>#REF!</v>
      </c>
      <c r="X23" s="152">
        <f t="shared" si="8"/>
        <v>0</v>
      </c>
      <c r="Y23" s="950" t="e">
        <f t="shared" si="18"/>
        <v>#REF!</v>
      </c>
      <c r="Z23" s="122">
        <f>'DPL25 MLS'!T23+DPL23Downhole!K22</f>
        <v>0</v>
      </c>
      <c r="AA23" s="122">
        <f>'DPL25 MLS'!V23+DPL23Downhole!L22</f>
        <v>0</v>
      </c>
      <c r="AB23" s="122">
        <f>'DPL25 MLS'!X23+DPL23Downhole!M22</f>
        <v>0</v>
      </c>
      <c r="AC23" s="152">
        <f t="shared" si="9"/>
        <v>0</v>
      </c>
      <c r="AD23" s="950" t="e">
        <f t="shared" si="19"/>
        <v>#REF!</v>
      </c>
      <c r="AE23" s="123">
        <f t="shared" si="10"/>
        <v>0</v>
      </c>
      <c r="AF23" s="942" t="e">
        <f t="shared" ca="1" si="20"/>
        <v>#REF!</v>
      </c>
      <c r="AG23" s="149"/>
      <c r="AH23" s="149"/>
    </row>
    <row r="24" spans="1:34">
      <c r="A24" s="757" t="s">
        <v>388</v>
      </c>
      <c r="B24" s="122">
        <f>'DPL25 MLS'!B24+DPL23Downhole!B29</f>
        <v>0</v>
      </c>
      <c r="C24" s="909">
        <f t="shared" ca="1" si="11"/>
        <v>0</v>
      </c>
      <c r="D24" s="122">
        <f>'DPL25 MLS'!D24+DPL23Downhole!C23</f>
        <v>0</v>
      </c>
      <c r="E24" s="909">
        <f t="shared" ca="1" si="12"/>
        <v>0</v>
      </c>
      <c r="F24" s="122">
        <f>'DPL25 MLS'!F24+DPL23Downhole!D23</f>
        <v>0</v>
      </c>
      <c r="G24" s="909">
        <f t="shared" ca="1" si="13"/>
        <v>0</v>
      </c>
      <c r="H24" s="152">
        <f t="shared" si="2"/>
        <v>0</v>
      </c>
      <c r="I24" s="950">
        <f t="shared" ca="1" si="14"/>
        <v>0</v>
      </c>
      <c r="J24" s="122">
        <f>'DPL25 MLS'!H24+DPL23Downhole!E23</f>
        <v>0</v>
      </c>
      <c r="K24" s="910">
        <f t="shared" ca="1" si="15"/>
        <v>0</v>
      </c>
      <c r="L24" s="122">
        <f>'DPL25 MLS'!J24+DPL23Downhole!F23</f>
        <v>0</v>
      </c>
      <c r="M24" s="301" t="e">
        <f t="shared" si="16"/>
        <v>#REF!</v>
      </c>
      <c r="N24" s="122">
        <f>'DPL25 MLS'!L24+DPL23Downhole!G23</f>
        <v>0</v>
      </c>
      <c r="O24" s="301" t="e">
        <f t="shared" si="3"/>
        <v>#REF!</v>
      </c>
      <c r="P24" s="152">
        <f t="shared" si="4"/>
        <v>0</v>
      </c>
      <c r="Q24" s="950" t="e">
        <f t="shared" ca="1" si="17"/>
        <v>#REF!</v>
      </c>
      <c r="R24" s="122">
        <f>'DPL25 MLS'!N24+DPL23Downhole!H23</f>
        <v>0</v>
      </c>
      <c r="S24" s="302" t="e">
        <f t="shared" si="5"/>
        <v>#REF!</v>
      </c>
      <c r="T24" s="122">
        <f>'DPL25 MLS'!P24+DPL23Downhole!I23</f>
        <v>0</v>
      </c>
      <c r="U24" s="301" t="e">
        <f t="shared" si="6"/>
        <v>#REF!</v>
      </c>
      <c r="V24" s="122">
        <f>'DPL25 MLS'!R24+DPL23Downhole!J23</f>
        <v>0</v>
      </c>
      <c r="W24" s="301" t="e">
        <f t="shared" si="7"/>
        <v>#REF!</v>
      </c>
      <c r="X24" s="152">
        <f t="shared" si="8"/>
        <v>0</v>
      </c>
      <c r="Y24" s="950" t="e">
        <f t="shared" si="18"/>
        <v>#REF!</v>
      </c>
      <c r="Z24" s="122">
        <f>'DPL25 MLS'!T24+DPL23Downhole!K23</f>
        <v>0</v>
      </c>
      <c r="AA24" s="122">
        <f>'DPL25 MLS'!V24+DPL23Downhole!L23</f>
        <v>0</v>
      </c>
      <c r="AB24" s="122">
        <f>'DPL25 MLS'!X24+DPL23Downhole!M23</f>
        <v>0</v>
      </c>
      <c r="AC24" s="152">
        <f t="shared" si="9"/>
        <v>0</v>
      </c>
      <c r="AD24" s="950" t="e">
        <f t="shared" si="19"/>
        <v>#REF!</v>
      </c>
      <c r="AE24" s="123">
        <f t="shared" si="10"/>
        <v>0</v>
      </c>
      <c r="AF24" s="942" t="e">
        <f t="shared" ca="1" si="20"/>
        <v>#REF!</v>
      </c>
      <c r="AG24" s="149"/>
      <c r="AH24" s="149"/>
    </row>
    <row r="25" spans="1:34">
      <c r="A25" s="757" t="s">
        <v>389</v>
      </c>
      <c r="B25" s="122">
        <f>'DPL25 MLS'!B25+DPL23Downhole!B30</f>
        <v>0</v>
      </c>
      <c r="C25" s="909">
        <f t="shared" ca="1" si="11"/>
        <v>0</v>
      </c>
      <c r="D25" s="122">
        <f>'DPL25 MLS'!D25+DPL23Downhole!C24</f>
        <v>0</v>
      </c>
      <c r="E25" s="909">
        <f t="shared" ca="1" si="12"/>
        <v>0</v>
      </c>
      <c r="F25" s="122">
        <f>'DPL25 MLS'!F25+DPL23Downhole!D24</f>
        <v>0</v>
      </c>
      <c r="G25" s="909">
        <f t="shared" ca="1" si="13"/>
        <v>0</v>
      </c>
      <c r="H25" s="152">
        <f t="shared" si="2"/>
        <v>0</v>
      </c>
      <c r="I25" s="950">
        <f t="shared" ca="1" si="14"/>
        <v>0</v>
      </c>
      <c r="J25" s="122">
        <f>'DPL25 MLS'!H25+DPL23Downhole!E24</f>
        <v>0</v>
      </c>
      <c r="K25" s="910">
        <f t="shared" ca="1" si="15"/>
        <v>0</v>
      </c>
      <c r="L25" s="122">
        <f>'DPL25 MLS'!J25+DPL23Downhole!F24</f>
        <v>0</v>
      </c>
      <c r="M25" s="301" t="e">
        <f t="shared" si="16"/>
        <v>#REF!</v>
      </c>
      <c r="N25" s="122">
        <f>'DPL25 MLS'!L25+DPL23Downhole!G24</f>
        <v>0</v>
      </c>
      <c r="O25" s="302" t="e">
        <f t="shared" si="3"/>
        <v>#REF!</v>
      </c>
      <c r="P25" s="152">
        <f t="shared" si="4"/>
        <v>0</v>
      </c>
      <c r="Q25" s="950" t="e">
        <f t="shared" ca="1" si="17"/>
        <v>#REF!</v>
      </c>
      <c r="R25" s="122">
        <f>'DPL25 MLS'!N25+DPL23Downhole!H24</f>
        <v>0</v>
      </c>
      <c r="S25" s="302" t="e">
        <f t="shared" si="5"/>
        <v>#REF!</v>
      </c>
      <c r="T25" s="122">
        <f>'DPL25 MLS'!P25+DPL23Downhole!I24</f>
        <v>0</v>
      </c>
      <c r="U25" s="301" t="e">
        <f t="shared" si="6"/>
        <v>#REF!</v>
      </c>
      <c r="V25" s="122">
        <f>'DPL25 MLS'!R25+DPL23Downhole!J24</f>
        <v>0</v>
      </c>
      <c r="W25" s="301" t="e">
        <f t="shared" si="7"/>
        <v>#REF!</v>
      </c>
      <c r="X25" s="152">
        <f t="shared" si="8"/>
        <v>0</v>
      </c>
      <c r="Y25" s="950" t="e">
        <f t="shared" si="18"/>
        <v>#REF!</v>
      </c>
      <c r="Z25" s="122">
        <f>'DPL25 MLS'!T25+DPL23Downhole!K24</f>
        <v>0</v>
      </c>
      <c r="AA25" s="122">
        <f>'DPL25 MLS'!V25+DPL23Downhole!L24</f>
        <v>0</v>
      </c>
      <c r="AB25" s="122">
        <f>'DPL25 MLS'!X25+DPL23Downhole!M24</f>
        <v>0</v>
      </c>
      <c r="AC25" s="152">
        <f t="shared" si="9"/>
        <v>0</v>
      </c>
      <c r="AD25" s="950" t="e">
        <f t="shared" si="19"/>
        <v>#REF!</v>
      </c>
      <c r="AE25" s="123">
        <f t="shared" si="10"/>
        <v>0</v>
      </c>
      <c r="AF25" s="942" t="e">
        <f t="shared" ca="1" si="20"/>
        <v>#REF!</v>
      </c>
      <c r="AG25" s="149"/>
      <c r="AH25" s="149"/>
    </row>
    <row r="26" spans="1:34" s="4" customFormat="1">
      <c r="A26" s="757" t="s">
        <v>390</v>
      </c>
      <c r="B26" s="122">
        <f>'DPL25 MLS'!B26+DPL23Downhole!B25</f>
        <v>30</v>
      </c>
      <c r="C26" s="909">
        <f t="shared" ca="1" si="11"/>
        <v>1.0999999999999999E-2</v>
      </c>
      <c r="D26" s="122">
        <f>'DPL25 MLS'!D26+DPL23Downhole!C25</f>
        <v>30</v>
      </c>
      <c r="E26" s="909">
        <f t="shared" ca="1" si="12"/>
        <v>1.0999999999999999E-2</v>
      </c>
      <c r="F26" s="122">
        <f>'DPL25 MLS'!F26+DPL23Downhole!D25</f>
        <v>30</v>
      </c>
      <c r="G26" s="909">
        <f t="shared" ca="1" si="13"/>
        <v>1.0999999999999999E-2</v>
      </c>
      <c r="H26" s="152">
        <f t="shared" si="2"/>
        <v>90</v>
      </c>
      <c r="I26" s="950">
        <f t="shared" ca="1" si="14"/>
        <v>1.0999999999999999E-2</v>
      </c>
      <c r="J26" s="122">
        <f>'DPL25 MLS'!H26+DPL23Downhole!E25</f>
        <v>12</v>
      </c>
      <c r="K26" s="910">
        <f t="shared" ca="1" si="15"/>
        <v>4.0000000000000001E-3</v>
      </c>
      <c r="L26" s="122">
        <f>'DPL25 MLS'!J26+DPL23Downhole!F25</f>
        <v>0</v>
      </c>
      <c r="M26" s="301" t="e">
        <f t="shared" si="16"/>
        <v>#REF!</v>
      </c>
      <c r="N26" s="122">
        <f>'DPL25 MLS'!L26+DPL23Downhole!G25</f>
        <v>0</v>
      </c>
      <c r="O26" s="302" t="e">
        <f t="shared" si="3"/>
        <v>#REF!</v>
      </c>
      <c r="P26" s="152">
        <f t="shared" si="4"/>
        <v>12</v>
      </c>
      <c r="Q26" s="950" t="e">
        <f t="shared" ca="1" si="17"/>
        <v>#REF!</v>
      </c>
      <c r="R26" s="122">
        <f>'DPL25 MLS'!N26+DPL23Downhole!H25</f>
        <v>0</v>
      </c>
      <c r="S26" s="302" t="e">
        <f t="shared" si="5"/>
        <v>#REF!</v>
      </c>
      <c r="T26" s="122">
        <f>'DPL25 MLS'!P26+DPL23Downhole!I25</f>
        <v>0</v>
      </c>
      <c r="U26" s="301" t="e">
        <f t="shared" si="6"/>
        <v>#REF!</v>
      </c>
      <c r="V26" s="122">
        <f>'DPL25 MLS'!R26+DPL23Downhole!J25</f>
        <v>0</v>
      </c>
      <c r="W26" s="301" t="e">
        <f t="shared" si="7"/>
        <v>#REF!</v>
      </c>
      <c r="X26" s="152">
        <f t="shared" si="8"/>
        <v>0</v>
      </c>
      <c r="Y26" s="950" t="e">
        <f t="shared" si="18"/>
        <v>#REF!</v>
      </c>
      <c r="Z26" s="122">
        <f>'DPL25 MLS'!T26+DPL23Downhole!K25</f>
        <v>0</v>
      </c>
      <c r="AA26" s="122">
        <f>'DPL25 MLS'!V26+DPL23Downhole!L25</f>
        <v>0</v>
      </c>
      <c r="AB26" s="122">
        <f>'DPL25 MLS'!X26+DPL23Downhole!M25</f>
        <v>0</v>
      </c>
      <c r="AC26" s="152">
        <f t="shared" si="9"/>
        <v>0</v>
      </c>
      <c r="AD26" s="950" t="e">
        <f t="shared" si="19"/>
        <v>#REF!</v>
      </c>
      <c r="AE26" s="123">
        <f t="shared" si="10"/>
        <v>102</v>
      </c>
      <c r="AF26" s="12" t="e">
        <f t="shared" ca="1" si="20"/>
        <v>#REF!</v>
      </c>
      <c r="AG26" s="150"/>
    </row>
    <row r="27" spans="1:34" s="4" customFormat="1">
      <c r="A27" s="757" t="s">
        <v>391</v>
      </c>
      <c r="B27" s="122">
        <f>'DPL25 MLS'!B27+DPL23Downhole!B26</f>
        <v>0</v>
      </c>
      <c r="C27" s="909">
        <f t="shared" ca="1" si="11"/>
        <v>0</v>
      </c>
      <c r="D27" s="122">
        <f>'DPL25 MLS'!D27+DPL23Downhole!C26</f>
        <v>0</v>
      </c>
      <c r="E27" s="909">
        <f t="shared" ca="1" si="12"/>
        <v>0</v>
      </c>
      <c r="F27" s="122">
        <f>'DPL25 MLS'!F27+DPL23Downhole!D26</f>
        <v>0</v>
      </c>
      <c r="G27" s="909">
        <f t="shared" ca="1" si="13"/>
        <v>0</v>
      </c>
      <c r="H27" s="152">
        <f t="shared" si="2"/>
        <v>0</v>
      </c>
      <c r="I27" s="950">
        <f t="shared" ca="1" si="14"/>
        <v>0</v>
      </c>
      <c r="J27" s="122">
        <f>'DPL25 MLS'!H27+DPL23Downhole!E26</f>
        <v>0</v>
      </c>
      <c r="K27" s="910">
        <f t="shared" ca="1" si="15"/>
        <v>0</v>
      </c>
      <c r="L27" s="122">
        <f>'DPL25 MLS'!J27+DPL23Downhole!F26</f>
        <v>0</v>
      </c>
      <c r="M27" s="301" t="e">
        <f t="shared" si="16"/>
        <v>#REF!</v>
      </c>
      <c r="N27" s="122">
        <f>'DPL25 MLS'!L27+DPL23Downhole!G26</f>
        <v>0</v>
      </c>
      <c r="O27" s="302" t="e">
        <f t="shared" si="3"/>
        <v>#REF!</v>
      </c>
      <c r="P27" s="152">
        <f t="shared" si="4"/>
        <v>0</v>
      </c>
      <c r="Q27" s="950" t="e">
        <f t="shared" ca="1" si="17"/>
        <v>#REF!</v>
      </c>
      <c r="R27" s="122">
        <f>'DPL25 MLS'!N27+DPL23Downhole!H26</f>
        <v>0</v>
      </c>
      <c r="S27" s="302" t="e">
        <f t="shared" si="5"/>
        <v>#REF!</v>
      </c>
      <c r="T27" s="122">
        <f>'DPL25 MLS'!P27+DPL23Downhole!I26</f>
        <v>0</v>
      </c>
      <c r="U27" s="301" t="e">
        <f t="shared" si="6"/>
        <v>#REF!</v>
      </c>
      <c r="V27" s="122">
        <f>'DPL25 MLS'!R27+DPL23Downhole!J26</f>
        <v>0</v>
      </c>
      <c r="W27" s="301" t="e">
        <f t="shared" si="7"/>
        <v>#REF!</v>
      </c>
      <c r="X27" s="152">
        <f t="shared" si="8"/>
        <v>0</v>
      </c>
      <c r="Y27" s="950" t="e">
        <f t="shared" si="18"/>
        <v>#REF!</v>
      </c>
      <c r="Z27" s="122">
        <f>'DPL25 MLS'!T27+DPL23Downhole!K26</f>
        <v>0</v>
      </c>
      <c r="AA27" s="122">
        <f>'DPL25 MLS'!V27+DPL23Downhole!L26</f>
        <v>0</v>
      </c>
      <c r="AB27" s="122">
        <f>'DPL25 MLS'!X27+DPL23Downhole!M26</f>
        <v>0</v>
      </c>
      <c r="AC27" s="152">
        <f t="shared" si="9"/>
        <v>0</v>
      </c>
      <c r="AD27" s="950" t="e">
        <f t="shared" si="19"/>
        <v>#REF!</v>
      </c>
      <c r="AE27" s="123">
        <f t="shared" si="10"/>
        <v>0</v>
      </c>
      <c r="AF27" s="12" t="e">
        <f t="shared" ca="1" si="20"/>
        <v>#REF!</v>
      </c>
      <c r="AG27" s="150"/>
      <c r="AH27" s="150"/>
    </row>
    <row r="28" spans="1:34" s="4" customFormat="1">
      <c r="A28" s="757" t="s">
        <v>392</v>
      </c>
      <c r="B28" s="122">
        <f>'DPL25 MLS'!B28+DPL23Downhole!B27</f>
        <v>0</v>
      </c>
      <c r="C28" s="909">
        <f t="shared" ca="1" si="11"/>
        <v>0</v>
      </c>
      <c r="D28" s="122">
        <f>'DPL25 MLS'!D28+DPL23Downhole!C27</f>
        <v>0</v>
      </c>
      <c r="E28" s="909">
        <f t="shared" ca="1" si="12"/>
        <v>0</v>
      </c>
      <c r="F28" s="122">
        <f>'DPL25 MLS'!F28+DPL23Downhole!D27</f>
        <v>0</v>
      </c>
      <c r="G28" s="909">
        <f t="shared" ca="1" si="13"/>
        <v>0</v>
      </c>
      <c r="H28" s="152">
        <f t="shared" si="2"/>
        <v>0</v>
      </c>
      <c r="I28" s="950">
        <f t="shared" ca="1" si="14"/>
        <v>0</v>
      </c>
      <c r="J28" s="122">
        <f>'DPL25 MLS'!H28+DPL23Downhole!E27</f>
        <v>0</v>
      </c>
      <c r="K28" s="910">
        <f t="shared" ca="1" si="15"/>
        <v>0</v>
      </c>
      <c r="L28" s="122">
        <f>'DPL25 MLS'!J28+DPL23Downhole!F27</f>
        <v>0</v>
      </c>
      <c r="M28" s="301" t="e">
        <f t="shared" si="16"/>
        <v>#REF!</v>
      </c>
      <c r="N28" s="122">
        <f>'DPL25 MLS'!L28+DPL23Downhole!G27</f>
        <v>0</v>
      </c>
      <c r="O28" s="302" t="e">
        <f t="shared" si="3"/>
        <v>#REF!</v>
      </c>
      <c r="P28" s="152">
        <f t="shared" si="4"/>
        <v>0</v>
      </c>
      <c r="Q28" s="950" t="e">
        <f t="shared" ca="1" si="17"/>
        <v>#REF!</v>
      </c>
      <c r="R28" s="122">
        <f>'DPL25 MLS'!N28+DPL23Downhole!H27</f>
        <v>0</v>
      </c>
      <c r="S28" s="302" t="e">
        <f t="shared" si="5"/>
        <v>#REF!</v>
      </c>
      <c r="T28" s="122">
        <f>'DPL25 MLS'!P28+DPL23Downhole!I27</f>
        <v>0</v>
      </c>
      <c r="U28" s="301" t="e">
        <f t="shared" si="6"/>
        <v>#REF!</v>
      </c>
      <c r="V28" s="122">
        <f>'DPL25 MLS'!R28+DPL23Downhole!J27</f>
        <v>0</v>
      </c>
      <c r="W28" s="301" t="e">
        <f t="shared" si="7"/>
        <v>#REF!</v>
      </c>
      <c r="X28" s="152">
        <f t="shared" si="8"/>
        <v>0</v>
      </c>
      <c r="Y28" s="950" t="e">
        <f t="shared" si="18"/>
        <v>#REF!</v>
      </c>
      <c r="Z28" s="122">
        <f>'DPL25 MLS'!T28+DPL23Downhole!K27</f>
        <v>0</v>
      </c>
      <c r="AA28" s="122">
        <f>'DPL25 MLS'!V28+DPL23Downhole!L27</f>
        <v>0</v>
      </c>
      <c r="AB28" s="122">
        <f>'DPL25 MLS'!X28+DPL23Downhole!M27</f>
        <v>0</v>
      </c>
      <c r="AC28" s="152">
        <f t="shared" si="9"/>
        <v>0</v>
      </c>
      <c r="AD28" s="950" t="e">
        <f t="shared" si="19"/>
        <v>#REF!</v>
      </c>
      <c r="AE28" s="123">
        <f t="shared" si="10"/>
        <v>0</v>
      </c>
      <c r="AF28" s="12" t="e">
        <f t="shared" ca="1" si="20"/>
        <v>#REF!</v>
      </c>
      <c r="AG28" s="150"/>
    </row>
    <row r="29" spans="1:34" s="4" customFormat="1">
      <c r="A29" s="757" t="s">
        <v>501</v>
      </c>
      <c r="B29" s="122">
        <f>'DPL25 MLS'!B29+DPL23Downhole!B28</f>
        <v>192</v>
      </c>
      <c r="C29" s="909">
        <f t="shared" ca="1" si="11"/>
        <v>7.0400000000000004E-2</v>
      </c>
      <c r="D29" s="122">
        <f>'DPL25 MLS'!D29+DPL23Downhole!C28</f>
        <v>0</v>
      </c>
      <c r="E29" s="909">
        <f t="shared" ca="1" si="12"/>
        <v>0</v>
      </c>
      <c r="F29" s="122">
        <f>'DPL25 MLS'!F29+DPL23Downhole!D28</f>
        <v>0</v>
      </c>
      <c r="G29" s="909">
        <f t="shared" ca="1" si="13"/>
        <v>0</v>
      </c>
      <c r="H29" s="152">
        <f t="shared" si="2"/>
        <v>192</v>
      </c>
      <c r="I29" s="950">
        <f t="shared" ca="1" si="14"/>
        <v>2.35E-2</v>
      </c>
      <c r="J29" s="122">
        <f>'DPL25 MLS'!H29+DPL23Downhole!E28</f>
        <v>192</v>
      </c>
      <c r="K29" s="910">
        <f t="shared" ca="1" si="15"/>
        <v>7.0000000000000007E-2</v>
      </c>
      <c r="L29" s="122">
        <f>'DPL25 MLS'!J29+DPL23Downhole!F28</f>
        <v>0</v>
      </c>
      <c r="M29" s="301" t="e">
        <f t="shared" si="16"/>
        <v>#REF!</v>
      </c>
      <c r="N29" s="122">
        <f>'DPL25 MLS'!L29+DPL23Downhole!G28</f>
        <v>0</v>
      </c>
      <c r="O29" s="302" t="e">
        <f t="shared" si="3"/>
        <v>#REF!</v>
      </c>
      <c r="P29" s="152">
        <f t="shared" si="4"/>
        <v>192</v>
      </c>
      <c r="Q29" s="950" t="e">
        <f t="shared" ca="1" si="17"/>
        <v>#REF!</v>
      </c>
      <c r="R29" s="122">
        <f>'DPL25 MLS'!N29+DPL23Downhole!H28</f>
        <v>0</v>
      </c>
      <c r="S29" s="302" t="e">
        <f t="shared" si="5"/>
        <v>#REF!</v>
      </c>
      <c r="T29" s="122">
        <f>'DPL25 MLS'!P29+DPL23Downhole!I28</f>
        <v>0</v>
      </c>
      <c r="U29" s="301" t="e">
        <f t="shared" si="6"/>
        <v>#REF!</v>
      </c>
      <c r="V29" s="122">
        <f>'DPL25 MLS'!R29+DPL23Downhole!J28</f>
        <v>0</v>
      </c>
      <c r="W29" s="301" t="e">
        <f t="shared" si="7"/>
        <v>#REF!</v>
      </c>
      <c r="X29" s="152">
        <f t="shared" si="8"/>
        <v>0</v>
      </c>
      <c r="Y29" s="950" t="e">
        <f t="shared" si="18"/>
        <v>#REF!</v>
      </c>
      <c r="Z29" s="122">
        <f>'DPL25 MLS'!T29+DPL23Downhole!K28</f>
        <v>0</v>
      </c>
      <c r="AA29" s="122">
        <f>'DPL25 MLS'!V29+DPL23Downhole!L28</f>
        <v>0</v>
      </c>
      <c r="AB29" s="122">
        <f>'DPL25 MLS'!X29+DPL23Downhole!M28</f>
        <v>0</v>
      </c>
      <c r="AC29" s="152">
        <f t="shared" si="9"/>
        <v>0</v>
      </c>
      <c r="AD29" s="950" t="e">
        <f t="shared" si="19"/>
        <v>#REF!</v>
      </c>
      <c r="AE29" s="123">
        <f t="shared" si="10"/>
        <v>384</v>
      </c>
      <c r="AF29" s="12" t="e">
        <f t="shared" ca="1" si="20"/>
        <v>#REF!</v>
      </c>
      <c r="AG29" s="150"/>
    </row>
    <row r="30" spans="1:34" s="4" customFormat="1">
      <c r="A30" s="757" t="s">
        <v>393</v>
      </c>
      <c r="B30" s="122">
        <f>'DPL25 MLS'!B30+DPL23Downhole!B29</f>
        <v>0</v>
      </c>
      <c r="C30" s="909">
        <f t="shared" ca="1" si="11"/>
        <v>0</v>
      </c>
      <c r="D30" s="122">
        <f>'DPL25 MLS'!D30+DPL23Downhole!C29</f>
        <v>0</v>
      </c>
      <c r="E30" s="909">
        <f t="shared" ca="1" si="12"/>
        <v>0</v>
      </c>
      <c r="F30" s="122">
        <f>'DPL25 MLS'!F30+DPL23Downhole!D29</f>
        <v>0</v>
      </c>
      <c r="G30" s="909">
        <f t="shared" ca="1" si="13"/>
        <v>0</v>
      </c>
      <c r="H30" s="152">
        <f t="shared" si="2"/>
        <v>0</v>
      </c>
      <c r="I30" s="950">
        <f t="shared" ca="1" si="14"/>
        <v>0</v>
      </c>
      <c r="J30" s="122">
        <f>'DPL25 MLS'!H30+DPL23Downhole!E29</f>
        <v>0</v>
      </c>
      <c r="K30" s="910">
        <f t="shared" ca="1" si="15"/>
        <v>0</v>
      </c>
      <c r="L30" s="122">
        <f>'DPL25 MLS'!J30+DPL23Downhole!F29</f>
        <v>0</v>
      </c>
      <c r="M30" s="301" t="e">
        <f t="shared" si="16"/>
        <v>#REF!</v>
      </c>
      <c r="N30" s="122">
        <f>'DPL25 MLS'!L30+DPL23Downhole!G29</f>
        <v>0</v>
      </c>
      <c r="O30" s="302" t="e">
        <f t="shared" si="3"/>
        <v>#REF!</v>
      </c>
      <c r="P30" s="152">
        <f t="shared" si="4"/>
        <v>0</v>
      </c>
      <c r="Q30" s="950" t="e">
        <f t="shared" ca="1" si="17"/>
        <v>#REF!</v>
      </c>
      <c r="R30" s="122">
        <f>'DPL25 MLS'!N30+DPL23Downhole!H29</f>
        <v>0</v>
      </c>
      <c r="S30" s="302" t="e">
        <f t="shared" si="5"/>
        <v>#REF!</v>
      </c>
      <c r="T30" s="122">
        <f>'DPL25 MLS'!P30+DPL23Downhole!I29</f>
        <v>0</v>
      </c>
      <c r="U30" s="301" t="e">
        <f t="shared" si="6"/>
        <v>#REF!</v>
      </c>
      <c r="V30" s="122">
        <f>'DPL25 MLS'!R30+DPL23Downhole!J29</f>
        <v>0</v>
      </c>
      <c r="W30" s="301" t="e">
        <f t="shared" si="7"/>
        <v>#REF!</v>
      </c>
      <c r="X30" s="152">
        <f t="shared" si="8"/>
        <v>0</v>
      </c>
      <c r="Y30" s="950" t="e">
        <f t="shared" si="18"/>
        <v>#REF!</v>
      </c>
      <c r="Z30" s="122">
        <f>'DPL25 MLS'!T30+DPL23Downhole!K29</f>
        <v>0</v>
      </c>
      <c r="AA30" s="122">
        <f>'DPL25 MLS'!V30+DPL23Downhole!L29</f>
        <v>0</v>
      </c>
      <c r="AB30" s="122">
        <f>'DPL25 MLS'!X30+DPL23Downhole!M29</f>
        <v>0</v>
      </c>
      <c r="AC30" s="152">
        <f t="shared" si="9"/>
        <v>0</v>
      </c>
      <c r="AD30" s="950" t="e">
        <f t="shared" si="19"/>
        <v>#REF!</v>
      </c>
      <c r="AE30" s="123">
        <f t="shared" si="10"/>
        <v>0</v>
      </c>
      <c r="AF30" s="12" t="e">
        <f t="shared" ca="1" si="20"/>
        <v>#REF!</v>
      </c>
      <c r="AG30" s="150"/>
    </row>
    <row r="31" spans="1:34" s="4" customFormat="1">
      <c r="A31" s="757" t="s">
        <v>394</v>
      </c>
      <c r="B31" s="122">
        <f>'DPL25 MLS'!B31+DPL23Downhole!B30</f>
        <v>67</v>
      </c>
      <c r="C31" s="909">
        <f t="shared" ca="1" si="11"/>
        <v>2.46E-2</v>
      </c>
      <c r="D31" s="122">
        <f>'DPL25 MLS'!D31+DPL23Downhole!C30</f>
        <v>67</v>
      </c>
      <c r="E31" s="909">
        <f t="shared" ca="1" si="12"/>
        <v>2.46E-2</v>
      </c>
      <c r="F31" s="122">
        <f>'DPL25 MLS'!F31+DPL23Downhole!D30</f>
        <v>67</v>
      </c>
      <c r="G31" s="909">
        <f t="shared" ca="1" si="13"/>
        <v>2.46E-2</v>
      </c>
      <c r="H31" s="152">
        <f t="shared" si="2"/>
        <v>201</v>
      </c>
      <c r="I31" s="950">
        <f t="shared" ca="1" si="14"/>
        <v>2.46E-2</v>
      </c>
      <c r="J31" s="122">
        <f>'DPL25 MLS'!H31+DPL23Downhole!E30</f>
        <v>67</v>
      </c>
      <c r="K31" s="910">
        <f t="shared" ca="1" si="15"/>
        <v>2.5000000000000001E-2</v>
      </c>
      <c r="L31" s="122">
        <f>'DPL25 MLS'!J31+DPL23Downhole!F30</f>
        <v>0</v>
      </c>
      <c r="M31" s="301" t="e">
        <f t="shared" si="16"/>
        <v>#REF!</v>
      </c>
      <c r="N31" s="122">
        <f>'DPL25 MLS'!L31+DPL23Downhole!G30</f>
        <v>0</v>
      </c>
      <c r="O31" s="302" t="e">
        <f t="shared" si="3"/>
        <v>#REF!</v>
      </c>
      <c r="P31" s="152">
        <f t="shared" si="4"/>
        <v>67</v>
      </c>
      <c r="Q31" s="950" t="e">
        <f t="shared" ca="1" si="17"/>
        <v>#REF!</v>
      </c>
      <c r="R31" s="122">
        <f>'DPL25 MLS'!N31+DPL23Downhole!H30</f>
        <v>0</v>
      </c>
      <c r="S31" s="302" t="e">
        <f t="shared" si="5"/>
        <v>#REF!</v>
      </c>
      <c r="T31" s="122">
        <f>'DPL25 MLS'!P31+DPL23Downhole!I30</f>
        <v>0</v>
      </c>
      <c r="U31" s="301" t="e">
        <f t="shared" si="6"/>
        <v>#REF!</v>
      </c>
      <c r="V31" s="122">
        <f>'DPL25 MLS'!R31+DPL23Downhole!J30</f>
        <v>0</v>
      </c>
      <c r="W31" s="301" t="e">
        <f t="shared" si="7"/>
        <v>#REF!</v>
      </c>
      <c r="X31" s="152">
        <f t="shared" si="8"/>
        <v>0</v>
      </c>
      <c r="Y31" s="950" t="e">
        <f t="shared" si="18"/>
        <v>#REF!</v>
      </c>
      <c r="Z31" s="122">
        <f>'DPL25 MLS'!T31+DPL23Downhole!K30</f>
        <v>0</v>
      </c>
      <c r="AA31" s="122">
        <f>'DPL25 MLS'!V31+DPL23Downhole!L30</f>
        <v>0</v>
      </c>
      <c r="AB31" s="122">
        <f>'DPL25 MLS'!X31+DPL23Downhole!M30</f>
        <v>0</v>
      </c>
      <c r="AC31" s="152">
        <f t="shared" si="9"/>
        <v>0</v>
      </c>
      <c r="AD31" s="950" t="e">
        <f t="shared" si="19"/>
        <v>#REF!</v>
      </c>
      <c r="AE31" s="123">
        <f t="shared" si="10"/>
        <v>268</v>
      </c>
      <c r="AF31" s="12" t="e">
        <f ca="1">+AE31/$AE$13</f>
        <v>#REF!</v>
      </c>
      <c r="AG31" s="150"/>
      <c r="AH31" s="150"/>
    </row>
    <row r="32" spans="1:34" s="4" customFormat="1">
      <c r="A32" s="757" t="s">
        <v>307</v>
      </c>
      <c r="B32" s="122">
        <f ca="1">'DPL25 MLS'!B32+DPL23Downhole!B31</f>
        <v>122</v>
      </c>
      <c r="C32" s="909">
        <f t="shared" ca="1" si="11"/>
        <v>4.4699999999999997E-2</v>
      </c>
      <c r="D32" s="122">
        <f ca="1">'DPL25 MLS'!D32+DPL23Downhole!C31</f>
        <v>0</v>
      </c>
      <c r="E32" s="909">
        <f t="shared" ca="1" si="12"/>
        <v>0</v>
      </c>
      <c r="F32" s="122">
        <f ca="1">'DPL25 MLS'!F32+DPL23Downhole!D31</f>
        <v>0</v>
      </c>
      <c r="G32" s="909">
        <f t="shared" ca="1" si="13"/>
        <v>0</v>
      </c>
      <c r="H32" s="152">
        <f t="shared" ca="1" si="2"/>
        <v>122</v>
      </c>
      <c r="I32" s="950">
        <f t="shared" ca="1" si="14"/>
        <v>1.49E-2</v>
      </c>
      <c r="J32" s="122">
        <f ca="1">'DPL25 MLS'!H32+DPL23Downhole!E31</f>
        <v>122</v>
      </c>
      <c r="K32" s="910">
        <f t="shared" ca="1" si="15"/>
        <v>4.4999999999999998E-2</v>
      </c>
      <c r="L32" s="122">
        <f>'DPL25 MLS'!J32+DPL23Downhole!F31</f>
        <v>0</v>
      </c>
      <c r="M32" s="301" t="e">
        <f t="shared" si="16"/>
        <v>#REF!</v>
      </c>
      <c r="N32" s="122">
        <f>'DPL25 MLS'!L32+DPL23Downhole!G31</f>
        <v>0</v>
      </c>
      <c r="O32" s="302" t="e">
        <f t="shared" si="3"/>
        <v>#REF!</v>
      </c>
      <c r="P32" s="152">
        <f t="shared" ca="1" si="4"/>
        <v>122</v>
      </c>
      <c r="Q32" s="950" t="e">
        <f t="shared" ca="1" si="17"/>
        <v>#REF!</v>
      </c>
      <c r="R32" s="122">
        <f>'DPL25 MLS'!N32+DPL23Downhole!H31</f>
        <v>0</v>
      </c>
      <c r="S32" s="302" t="e">
        <f t="shared" si="5"/>
        <v>#REF!</v>
      </c>
      <c r="T32" s="122">
        <f>'DPL25 MLS'!P32+DPL23Downhole!I31</f>
        <v>0</v>
      </c>
      <c r="U32" s="301" t="e">
        <f t="shared" si="6"/>
        <v>#REF!</v>
      </c>
      <c r="V32" s="122">
        <f>'DPL25 MLS'!R32+DPL23Downhole!J31</f>
        <v>0</v>
      </c>
      <c r="W32" s="301" t="e">
        <f t="shared" si="7"/>
        <v>#REF!</v>
      </c>
      <c r="X32" s="152">
        <f t="shared" si="8"/>
        <v>0</v>
      </c>
      <c r="Y32" s="950" t="e">
        <f t="shared" si="18"/>
        <v>#REF!</v>
      </c>
      <c r="Z32" s="122">
        <f>'DPL25 MLS'!T32+DPL23Downhole!K31</f>
        <v>0</v>
      </c>
      <c r="AA32" s="122">
        <f>'DPL25 MLS'!V32+DPL23Downhole!L31</f>
        <v>0</v>
      </c>
      <c r="AB32" s="122">
        <f>'DPL25 MLS'!X32+DPL23Downhole!M31</f>
        <v>0</v>
      </c>
      <c r="AC32" s="152">
        <f t="shared" si="9"/>
        <v>0</v>
      </c>
      <c r="AD32" s="950" t="e">
        <f t="shared" si="19"/>
        <v>#REF!</v>
      </c>
      <c r="AE32" s="123">
        <f t="shared" ca="1" si="10"/>
        <v>244</v>
      </c>
      <c r="AF32" s="12" t="e">
        <f t="shared" ca="1" si="20"/>
        <v>#REF!</v>
      </c>
      <c r="AG32" s="150"/>
    </row>
    <row r="33" spans="1:33" s="4" customFormat="1">
      <c r="A33" s="757" t="s">
        <v>395</v>
      </c>
      <c r="B33" s="122">
        <f>'DPL25 MLS'!B33+DPL23Downhole!B32</f>
        <v>0</v>
      </c>
      <c r="C33" s="909">
        <f t="shared" ca="1" si="11"/>
        <v>0</v>
      </c>
      <c r="D33" s="122">
        <f>'DPL25 MLS'!D33+DPL23Downhole!C32</f>
        <v>0</v>
      </c>
      <c r="E33" s="909">
        <f t="shared" ca="1" si="12"/>
        <v>0</v>
      </c>
      <c r="F33" s="122">
        <f>'DPL25 MLS'!F33+DPL23Downhole!D32</f>
        <v>0</v>
      </c>
      <c r="G33" s="909">
        <f t="shared" ca="1" si="13"/>
        <v>0</v>
      </c>
      <c r="H33" s="152">
        <f t="shared" si="2"/>
        <v>0</v>
      </c>
      <c r="I33" s="950">
        <f t="shared" ca="1" si="14"/>
        <v>0</v>
      </c>
      <c r="J33" s="122">
        <f>'DPL25 MLS'!H33+DPL23Downhole!E32</f>
        <v>0</v>
      </c>
      <c r="K33" s="910">
        <f t="shared" ca="1" si="15"/>
        <v>0</v>
      </c>
      <c r="L33" s="122">
        <f>'DPL25 MLS'!J33+DPL23Downhole!F32</f>
        <v>0</v>
      </c>
      <c r="M33" s="301" t="e">
        <f t="shared" si="16"/>
        <v>#REF!</v>
      </c>
      <c r="N33" s="122">
        <f>'DPL25 MLS'!L33+DPL23Downhole!G32</f>
        <v>0</v>
      </c>
      <c r="O33" s="302" t="e">
        <f t="shared" si="3"/>
        <v>#REF!</v>
      </c>
      <c r="P33" s="152">
        <f t="shared" si="4"/>
        <v>0</v>
      </c>
      <c r="Q33" s="950" t="e">
        <f t="shared" ca="1" si="17"/>
        <v>#REF!</v>
      </c>
      <c r="R33" s="122">
        <f>'DPL25 MLS'!N33+DPL23Downhole!H32</f>
        <v>0</v>
      </c>
      <c r="S33" s="302" t="e">
        <f t="shared" si="5"/>
        <v>#REF!</v>
      </c>
      <c r="T33" s="122">
        <f>'DPL25 MLS'!P33+DPL23Downhole!I32</f>
        <v>0</v>
      </c>
      <c r="U33" s="301" t="e">
        <f t="shared" si="6"/>
        <v>#REF!</v>
      </c>
      <c r="V33" s="122">
        <f>'DPL25 MLS'!R33+DPL23Downhole!J32</f>
        <v>0</v>
      </c>
      <c r="W33" s="301" t="e">
        <f t="shared" si="7"/>
        <v>#REF!</v>
      </c>
      <c r="X33" s="152">
        <f t="shared" si="8"/>
        <v>0</v>
      </c>
      <c r="Y33" s="950" t="e">
        <f t="shared" si="18"/>
        <v>#REF!</v>
      </c>
      <c r="Z33" s="122">
        <f>'DPL25 MLS'!T33+DPL23Downhole!K32</f>
        <v>0</v>
      </c>
      <c r="AA33" s="122">
        <f>'DPL25 MLS'!V33+DPL23Downhole!L32</f>
        <v>0</v>
      </c>
      <c r="AB33" s="122">
        <f>'DPL25 MLS'!X33+DPL23Downhole!M32</f>
        <v>0</v>
      </c>
      <c r="AC33" s="152">
        <f t="shared" si="9"/>
        <v>0</v>
      </c>
      <c r="AD33" s="950" t="e">
        <f t="shared" si="19"/>
        <v>#REF!</v>
      </c>
      <c r="AE33" s="123">
        <f t="shared" si="10"/>
        <v>0</v>
      </c>
      <c r="AF33" s="12" t="e">
        <f t="shared" ca="1" si="20"/>
        <v>#REF!</v>
      </c>
      <c r="AG33" s="150"/>
    </row>
    <row r="34" spans="1:33" s="4" customFormat="1">
      <c r="A34" s="757" t="s">
        <v>396</v>
      </c>
      <c r="B34" s="122">
        <f>'DPL25 MLS'!B34+DPL23Downhole!B33</f>
        <v>0</v>
      </c>
      <c r="C34" s="909">
        <f t="shared" ca="1" si="11"/>
        <v>0</v>
      </c>
      <c r="D34" s="122">
        <f>'DPL25 MLS'!D34+DPL23Downhole!C33</f>
        <v>0</v>
      </c>
      <c r="E34" s="909">
        <f t="shared" ca="1" si="12"/>
        <v>0</v>
      </c>
      <c r="F34" s="122">
        <f>'DPL25 MLS'!F34+DPL23Downhole!D33</f>
        <v>0</v>
      </c>
      <c r="G34" s="909">
        <f t="shared" ca="1" si="13"/>
        <v>0</v>
      </c>
      <c r="H34" s="152">
        <f t="shared" si="2"/>
        <v>0</v>
      </c>
      <c r="I34" s="950">
        <f t="shared" ca="1" si="14"/>
        <v>0</v>
      </c>
      <c r="J34" s="122">
        <f>'DPL25 MLS'!H34+DPL23Downhole!E33</f>
        <v>0</v>
      </c>
      <c r="K34" s="910">
        <f t="shared" ca="1" si="15"/>
        <v>0</v>
      </c>
      <c r="L34" s="122">
        <f>'DPL25 MLS'!J34+DPL23Downhole!F33</f>
        <v>0</v>
      </c>
      <c r="M34" s="301" t="e">
        <f t="shared" si="16"/>
        <v>#REF!</v>
      </c>
      <c r="N34" s="122">
        <f>'DPL25 MLS'!L34+DPL23Downhole!G33</f>
        <v>0</v>
      </c>
      <c r="O34" s="301" t="e">
        <f t="shared" si="3"/>
        <v>#REF!</v>
      </c>
      <c r="P34" s="152">
        <f t="shared" si="4"/>
        <v>0</v>
      </c>
      <c r="Q34" s="950" t="e">
        <f t="shared" ca="1" si="17"/>
        <v>#REF!</v>
      </c>
      <c r="R34" s="122">
        <f>'DPL25 MLS'!N34+DPL23Downhole!H33</f>
        <v>0</v>
      </c>
      <c r="S34" s="302" t="e">
        <f t="shared" si="5"/>
        <v>#REF!</v>
      </c>
      <c r="T34" s="122">
        <f>'DPL25 MLS'!P34+DPL23Downhole!I33</f>
        <v>0</v>
      </c>
      <c r="U34" s="301" t="e">
        <f t="shared" si="6"/>
        <v>#REF!</v>
      </c>
      <c r="V34" s="122">
        <f>'DPL25 MLS'!R34+DPL23Downhole!J33</f>
        <v>0</v>
      </c>
      <c r="W34" s="301" t="e">
        <f t="shared" si="7"/>
        <v>#REF!</v>
      </c>
      <c r="X34" s="152">
        <f t="shared" si="8"/>
        <v>0</v>
      </c>
      <c r="Y34" s="950" t="e">
        <f t="shared" si="18"/>
        <v>#REF!</v>
      </c>
      <c r="Z34" s="122">
        <f>'DPL25 MLS'!T34+DPL23Downhole!K33</f>
        <v>0</v>
      </c>
      <c r="AA34" s="122">
        <f>'DPL25 MLS'!V34+DPL23Downhole!L33</f>
        <v>0</v>
      </c>
      <c r="AB34" s="122">
        <f>'DPL25 MLS'!X34+DPL23Downhole!M33</f>
        <v>0</v>
      </c>
      <c r="AC34" s="152">
        <f t="shared" si="9"/>
        <v>0</v>
      </c>
      <c r="AD34" s="950" t="e">
        <f t="shared" si="19"/>
        <v>#REF!</v>
      </c>
      <c r="AE34" s="123">
        <f t="shared" si="10"/>
        <v>0</v>
      </c>
      <c r="AF34" s="12" t="e">
        <f t="shared" ca="1" si="20"/>
        <v>#REF!</v>
      </c>
      <c r="AG34" s="150"/>
    </row>
    <row r="35" spans="1:33" s="4" customFormat="1">
      <c r="A35" s="757" t="s">
        <v>290</v>
      </c>
      <c r="B35" s="122">
        <f>'DPL25 MLS'!B35+DPL23Downhole!B34</f>
        <v>0</v>
      </c>
      <c r="C35" s="909">
        <f t="shared" ca="1" si="11"/>
        <v>0</v>
      </c>
      <c r="D35" s="122">
        <f>'DPL25 MLS'!D35+DPL23Downhole!C34</f>
        <v>0</v>
      </c>
      <c r="E35" s="909">
        <f t="shared" ca="1" si="12"/>
        <v>0</v>
      </c>
      <c r="F35" s="122">
        <f>'DPL25 MLS'!F35+DPL23Downhole!D34</f>
        <v>0</v>
      </c>
      <c r="G35" s="909">
        <f t="shared" ca="1" si="13"/>
        <v>0</v>
      </c>
      <c r="H35" s="152">
        <f t="shared" si="2"/>
        <v>0</v>
      </c>
      <c r="I35" s="950">
        <f t="shared" ca="1" si="14"/>
        <v>0</v>
      </c>
      <c r="J35" s="122">
        <f>'DPL25 MLS'!H35+DPL23Downhole!E34</f>
        <v>1463</v>
      </c>
      <c r="K35" s="910">
        <f t="shared" ca="1" si="15"/>
        <v>0.53600000000000003</v>
      </c>
      <c r="L35" s="122">
        <f>'DPL25 MLS'!J35+DPL23Downhole!F34</f>
        <v>0</v>
      </c>
      <c r="M35" s="301" t="e">
        <f t="shared" si="16"/>
        <v>#REF!</v>
      </c>
      <c r="N35" s="122">
        <f>'DPL25 MLS'!L35+DPL23Downhole!G34</f>
        <v>0</v>
      </c>
      <c r="O35" s="302" t="e">
        <f t="shared" si="3"/>
        <v>#REF!</v>
      </c>
      <c r="P35" s="152">
        <f t="shared" si="4"/>
        <v>1463</v>
      </c>
      <c r="Q35" s="950" t="e">
        <f t="shared" ca="1" si="17"/>
        <v>#REF!</v>
      </c>
      <c r="R35" s="122">
        <f>'DPL25 MLS'!N35+DPL23Downhole!H34</f>
        <v>0</v>
      </c>
      <c r="S35" s="302" t="e">
        <f t="shared" si="5"/>
        <v>#REF!</v>
      </c>
      <c r="T35" s="122">
        <f>'DPL25 MLS'!P35+DPL23Downhole!I34</f>
        <v>0</v>
      </c>
      <c r="U35" s="301" t="e">
        <f t="shared" si="6"/>
        <v>#REF!</v>
      </c>
      <c r="V35" s="122">
        <f>'DPL25 MLS'!R35+DPL23Downhole!J34</f>
        <v>0</v>
      </c>
      <c r="W35" s="301" t="e">
        <f t="shared" si="7"/>
        <v>#REF!</v>
      </c>
      <c r="X35" s="152">
        <f t="shared" si="8"/>
        <v>0</v>
      </c>
      <c r="Y35" s="950" t="e">
        <f t="shared" si="18"/>
        <v>#REF!</v>
      </c>
      <c r="Z35" s="122">
        <f>'DPL25 MLS'!T35+DPL23Downhole!K34</f>
        <v>0</v>
      </c>
      <c r="AA35" s="122">
        <f>'DPL25 MLS'!V35+DPL23Downhole!L34</f>
        <v>0</v>
      </c>
      <c r="AB35" s="122">
        <f>'DPL25 MLS'!X35+DPL23Downhole!M34</f>
        <v>0</v>
      </c>
      <c r="AC35" s="152">
        <f t="shared" si="9"/>
        <v>0</v>
      </c>
      <c r="AD35" s="950" t="e">
        <f t="shared" si="19"/>
        <v>#REF!</v>
      </c>
      <c r="AE35" s="123">
        <f t="shared" si="10"/>
        <v>1463</v>
      </c>
      <c r="AF35" s="12" t="e">
        <f t="shared" ca="1" si="20"/>
        <v>#REF!</v>
      </c>
      <c r="AG35" s="150"/>
    </row>
    <row r="36" spans="1:33" s="4" customFormat="1">
      <c r="A36" s="757" t="s">
        <v>297</v>
      </c>
      <c r="B36" s="122">
        <f>'DPL25 MLS'!B36+DPL23Downhole!B35</f>
        <v>0</v>
      </c>
      <c r="C36" s="909">
        <f t="shared" ca="1" si="11"/>
        <v>0</v>
      </c>
      <c r="D36" s="122">
        <f>'DPL25 MLS'!D36+DPL23Downhole!C35</f>
        <v>0</v>
      </c>
      <c r="E36" s="909">
        <f t="shared" ca="1" si="12"/>
        <v>0</v>
      </c>
      <c r="F36" s="122">
        <f>'DPL25 MLS'!F36+DPL23Downhole!D35</f>
        <v>0</v>
      </c>
      <c r="G36" s="909">
        <f t="shared" ca="1" si="13"/>
        <v>0</v>
      </c>
      <c r="H36" s="152">
        <f t="shared" si="2"/>
        <v>0</v>
      </c>
      <c r="I36" s="950">
        <f t="shared" ca="1" si="14"/>
        <v>0</v>
      </c>
      <c r="J36" s="122">
        <f>'DPL25 MLS'!H36+DPL23Downhole!E35</f>
        <v>0</v>
      </c>
      <c r="K36" s="910">
        <f t="shared" ca="1" si="15"/>
        <v>0</v>
      </c>
      <c r="L36" s="122">
        <f>'DPL25 MLS'!J36+DPL23Downhole!F35</f>
        <v>0</v>
      </c>
      <c r="M36" s="301" t="e">
        <f t="shared" si="16"/>
        <v>#REF!</v>
      </c>
      <c r="N36" s="122">
        <f>'DPL25 MLS'!L36+DPL23Downhole!G35</f>
        <v>0</v>
      </c>
      <c r="O36" s="302" t="e">
        <f t="shared" si="3"/>
        <v>#REF!</v>
      </c>
      <c r="P36" s="152">
        <f t="shared" si="4"/>
        <v>0</v>
      </c>
      <c r="Q36" s="950" t="e">
        <f t="shared" ca="1" si="17"/>
        <v>#REF!</v>
      </c>
      <c r="R36" s="122">
        <f>'DPL25 MLS'!N36+DPL23Downhole!H35</f>
        <v>0</v>
      </c>
      <c r="S36" s="302" t="e">
        <f t="shared" si="5"/>
        <v>#REF!</v>
      </c>
      <c r="T36" s="122">
        <f>'DPL25 MLS'!P36+DPL23Downhole!I35</f>
        <v>0</v>
      </c>
      <c r="U36" s="301" t="e">
        <f t="shared" si="6"/>
        <v>#REF!</v>
      </c>
      <c r="V36" s="122">
        <f>'DPL25 MLS'!R36+DPL23Downhole!J35</f>
        <v>0</v>
      </c>
      <c r="W36" s="301" t="e">
        <f t="shared" si="7"/>
        <v>#REF!</v>
      </c>
      <c r="X36" s="152">
        <f t="shared" si="8"/>
        <v>0</v>
      </c>
      <c r="Y36" s="950" t="e">
        <f t="shared" si="18"/>
        <v>#REF!</v>
      </c>
      <c r="Z36" s="122">
        <f>'DPL25 MLS'!T36+DPL23Downhole!K35</f>
        <v>0</v>
      </c>
      <c r="AA36" s="122">
        <f>'DPL25 MLS'!V36+DPL23Downhole!L35</f>
        <v>0</v>
      </c>
      <c r="AB36" s="122">
        <f>'DPL25 MLS'!X36+DPL23Downhole!M35</f>
        <v>0</v>
      </c>
      <c r="AC36" s="152">
        <f t="shared" si="9"/>
        <v>0</v>
      </c>
      <c r="AD36" s="950" t="e">
        <f t="shared" si="19"/>
        <v>#REF!</v>
      </c>
      <c r="AE36" s="123">
        <f t="shared" si="10"/>
        <v>0</v>
      </c>
      <c r="AF36" s="12" t="e">
        <f t="shared" ca="1" si="20"/>
        <v>#REF!</v>
      </c>
      <c r="AG36" s="150"/>
    </row>
    <row r="37" spans="1:33" s="4" customFormat="1">
      <c r="A37" s="757" t="s">
        <v>299</v>
      </c>
      <c r="B37" s="122">
        <f>'DPL25 MLS'!B37+DPL23Downhole!B36</f>
        <v>0</v>
      </c>
      <c r="C37" s="909">
        <f t="shared" ca="1" si="11"/>
        <v>0</v>
      </c>
      <c r="D37" s="122">
        <f>'DPL25 MLS'!D37+DPL23Downhole!C36</f>
        <v>0</v>
      </c>
      <c r="E37" s="909">
        <f t="shared" ca="1" si="12"/>
        <v>0</v>
      </c>
      <c r="F37" s="122">
        <f>'DPL25 MLS'!F37+DPL23Downhole!D36</f>
        <v>0</v>
      </c>
      <c r="G37" s="909">
        <f t="shared" ca="1" si="13"/>
        <v>0</v>
      </c>
      <c r="H37" s="152">
        <f t="shared" si="2"/>
        <v>0</v>
      </c>
      <c r="I37" s="950">
        <f t="shared" ca="1" si="14"/>
        <v>0</v>
      </c>
      <c r="J37" s="122">
        <f>'DPL25 MLS'!H37+DPL23Downhole!E36</f>
        <v>0</v>
      </c>
      <c r="K37" s="910">
        <f t="shared" ca="1" si="15"/>
        <v>0</v>
      </c>
      <c r="L37" s="122">
        <f>'DPL25 MLS'!J37+DPL23Downhole!F36</f>
        <v>0</v>
      </c>
      <c r="M37" s="301" t="e">
        <f t="shared" si="16"/>
        <v>#REF!</v>
      </c>
      <c r="N37" s="122">
        <f>'DPL25 MLS'!L37+DPL23Downhole!G36</f>
        <v>0</v>
      </c>
      <c r="O37" s="302" t="e">
        <f t="shared" si="3"/>
        <v>#REF!</v>
      </c>
      <c r="P37" s="152">
        <f t="shared" si="4"/>
        <v>0</v>
      </c>
      <c r="Q37" s="950" t="e">
        <f t="shared" ca="1" si="17"/>
        <v>#REF!</v>
      </c>
      <c r="R37" s="122">
        <f>'DPL25 MLS'!N37+DPL23Downhole!H36</f>
        <v>0</v>
      </c>
      <c r="S37" s="302" t="e">
        <f t="shared" si="5"/>
        <v>#REF!</v>
      </c>
      <c r="T37" s="122">
        <f>'DPL25 MLS'!P37+DPL23Downhole!I36</f>
        <v>0</v>
      </c>
      <c r="U37" s="301" t="e">
        <f t="shared" si="6"/>
        <v>#REF!</v>
      </c>
      <c r="V37" s="122">
        <f>'DPL25 MLS'!R37+DPL23Downhole!J36</f>
        <v>0</v>
      </c>
      <c r="W37" s="301" t="e">
        <f t="shared" si="7"/>
        <v>#REF!</v>
      </c>
      <c r="X37" s="152">
        <f t="shared" si="8"/>
        <v>0</v>
      </c>
      <c r="Y37" s="950" t="e">
        <f t="shared" si="18"/>
        <v>#REF!</v>
      </c>
      <c r="Z37" s="122">
        <f>'DPL25 MLS'!T37+DPL23Downhole!K36</f>
        <v>0</v>
      </c>
      <c r="AA37" s="122">
        <f>'DPL25 MLS'!V37+DPL23Downhole!L36</f>
        <v>0</v>
      </c>
      <c r="AB37" s="122">
        <f>'DPL25 MLS'!X37+DPL23Downhole!M36</f>
        <v>0</v>
      </c>
      <c r="AC37" s="152">
        <f t="shared" si="9"/>
        <v>0</v>
      </c>
      <c r="AD37" s="950" t="e">
        <f t="shared" si="19"/>
        <v>#REF!</v>
      </c>
      <c r="AE37" s="123">
        <f t="shared" si="10"/>
        <v>0</v>
      </c>
      <c r="AF37" s="12" t="e">
        <f t="shared" ca="1" si="20"/>
        <v>#REF!</v>
      </c>
      <c r="AG37" s="150"/>
    </row>
    <row r="38" spans="1:33" s="4" customFormat="1">
      <c r="A38" s="757" t="s">
        <v>397</v>
      </c>
      <c r="B38" s="122">
        <f>'DPL25 MLS'!B38+DPL23Downhole!B37</f>
        <v>0</v>
      </c>
      <c r="C38" s="909">
        <f t="shared" ca="1" si="11"/>
        <v>0</v>
      </c>
      <c r="D38" s="122">
        <f>'DPL25 MLS'!D38+DPL23Downhole!C37</f>
        <v>0</v>
      </c>
      <c r="E38" s="909">
        <f t="shared" ca="1" si="12"/>
        <v>0</v>
      </c>
      <c r="F38" s="122">
        <f>'DPL25 MLS'!F38+DPL23Downhole!D37</f>
        <v>0</v>
      </c>
      <c r="G38" s="909">
        <f t="shared" ca="1" si="13"/>
        <v>0</v>
      </c>
      <c r="H38" s="152">
        <f t="shared" si="2"/>
        <v>0</v>
      </c>
      <c r="I38" s="950">
        <f t="shared" ca="1" si="14"/>
        <v>0</v>
      </c>
      <c r="J38" s="122">
        <f>'DPL25 MLS'!H38+DPL23Downhole!E37</f>
        <v>0</v>
      </c>
      <c r="K38" s="910">
        <f t="shared" ca="1" si="15"/>
        <v>0</v>
      </c>
      <c r="L38" s="122">
        <f>'DPL25 MLS'!J38+DPL23Downhole!F37</f>
        <v>0</v>
      </c>
      <c r="M38" s="301" t="e">
        <f t="shared" si="16"/>
        <v>#REF!</v>
      </c>
      <c r="N38" s="122">
        <f>'DPL25 MLS'!L38+DPL23Downhole!G37</f>
        <v>0</v>
      </c>
      <c r="O38" s="302" t="e">
        <f t="shared" si="3"/>
        <v>#REF!</v>
      </c>
      <c r="P38" s="152">
        <f t="shared" si="4"/>
        <v>0</v>
      </c>
      <c r="Q38" s="950" t="e">
        <f t="shared" ca="1" si="17"/>
        <v>#REF!</v>
      </c>
      <c r="R38" s="122">
        <f>'DPL25 MLS'!N38+DPL23Downhole!H37</f>
        <v>0</v>
      </c>
      <c r="S38" s="302" t="e">
        <f t="shared" si="5"/>
        <v>#REF!</v>
      </c>
      <c r="T38" s="122">
        <f>'DPL25 MLS'!P38+DPL23Downhole!I37</f>
        <v>0</v>
      </c>
      <c r="U38" s="301" t="e">
        <f t="shared" si="6"/>
        <v>#REF!</v>
      </c>
      <c r="V38" s="122">
        <f>'DPL25 MLS'!R38+DPL23Downhole!J37</f>
        <v>0</v>
      </c>
      <c r="W38" s="301" t="e">
        <f t="shared" si="7"/>
        <v>#REF!</v>
      </c>
      <c r="X38" s="152">
        <f t="shared" si="8"/>
        <v>0</v>
      </c>
      <c r="Y38" s="950" t="e">
        <f t="shared" si="18"/>
        <v>#REF!</v>
      </c>
      <c r="Z38" s="122">
        <f>'DPL25 MLS'!T38+DPL23Downhole!K37</f>
        <v>0</v>
      </c>
      <c r="AA38" s="122">
        <f>'DPL25 MLS'!V38+DPL23Downhole!L37</f>
        <v>0</v>
      </c>
      <c r="AB38" s="122">
        <f>'DPL25 MLS'!X38+DPL23Downhole!M37</f>
        <v>0</v>
      </c>
      <c r="AC38" s="152">
        <f t="shared" si="9"/>
        <v>0</v>
      </c>
      <c r="AD38" s="950" t="e">
        <f t="shared" si="19"/>
        <v>#REF!</v>
      </c>
      <c r="AE38" s="123">
        <f t="shared" si="10"/>
        <v>0</v>
      </c>
      <c r="AF38" s="12" t="e">
        <f t="shared" ca="1" si="20"/>
        <v>#REF!</v>
      </c>
      <c r="AG38" s="150"/>
    </row>
    <row r="39" spans="1:33" s="4" customFormat="1">
      <c r="A39" s="757" t="s">
        <v>593</v>
      </c>
      <c r="B39" s="122">
        <f>'DPL25 MLS'!B39+DPL23Downhole!B38</f>
        <v>0</v>
      </c>
      <c r="C39" s="909">
        <f t="shared" ca="1" si="11"/>
        <v>0</v>
      </c>
      <c r="D39" s="122">
        <f>'DPL25 MLS'!D39+DPL23Downhole!C38</f>
        <v>0</v>
      </c>
      <c r="E39" s="909">
        <f t="shared" ca="1" si="12"/>
        <v>0</v>
      </c>
      <c r="F39" s="122">
        <f>'DPL25 MLS'!F39+DPL23Downhole!D38</f>
        <v>0</v>
      </c>
      <c r="G39" s="909">
        <f t="shared" ca="1" si="13"/>
        <v>0</v>
      </c>
      <c r="H39" s="152">
        <f t="shared" si="2"/>
        <v>0</v>
      </c>
      <c r="I39" s="950">
        <f t="shared" ca="1" si="14"/>
        <v>0</v>
      </c>
      <c r="J39" s="122">
        <f>'DPL25 MLS'!H39+DPL23Downhole!E38</f>
        <v>0</v>
      </c>
      <c r="K39" s="910">
        <f t="shared" ca="1" si="15"/>
        <v>0</v>
      </c>
      <c r="L39" s="122">
        <f>'DPL25 MLS'!J39+DPL23Downhole!F38</f>
        <v>0</v>
      </c>
      <c r="M39" s="301" t="e">
        <f t="shared" si="16"/>
        <v>#REF!</v>
      </c>
      <c r="N39" s="122">
        <f>'DPL25 MLS'!L39+DPL23Downhole!G38</f>
        <v>0</v>
      </c>
      <c r="O39" s="302" t="e">
        <f t="shared" si="3"/>
        <v>#REF!</v>
      </c>
      <c r="P39" s="152">
        <f t="shared" si="4"/>
        <v>0</v>
      </c>
      <c r="Q39" s="950" t="e">
        <f t="shared" ca="1" si="17"/>
        <v>#REF!</v>
      </c>
      <c r="R39" s="122">
        <f>'DPL25 MLS'!N39+DPL23Downhole!H38</f>
        <v>0</v>
      </c>
      <c r="S39" s="302" t="e">
        <f t="shared" si="5"/>
        <v>#REF!</v>
      </c>
      <c r="T39" s="122">
        <f>'DPL25 MLS'!P39+DPL23Downhole!I38</f>
        <v>0</v>
      </c>
      <c r="U39" s="301" t="e">
        <f t="shared" si="6"/>
        <v>#REF!</v>
      </c>
      <c r="V39" s="122">
        <f>'DPL25 MLS'!R39+DPL23Downhole!J38</f>
        <v>0</v>
      </c>
      <c r="W39" s="301" t="e">
        <f t="shared" si="7"/>
        <v>#REF!</v>
      </c>
      <c r="X39" s="152">
        <f t="shared" si="8"/>
        <v>0</v>
      </c>
      <c r="Y39" s="950" t="e">
        <f t="shared" si="18"/>
        <v>#REF!</v>
      </c>
      <c r="Z39" s="122">
        <f>'DPL25 MLS'!T39+DPL23Downhole!K38</f>
        <v>0</v>
      </c>
      <c r="AA39" s="122">
        <f>'DPL25 MLS'!V39+DPL23Downhole!L38</f>
        <v>0</v>
      </c>
      <c r="AB39" s="122">
        <f>'DPL25 MLS'!X39+DPL23Downhole!M38</f>
        <v>0</v>
      </c>
      <c r="AC39" s="152">
        <f t="shared" si="9"/>
        <v>0</v>
      </c>
      <c r="AD39" s="950" t="e">
        <f t="shared" si="19"/>
        <v>#REF!</v>
      </c>
      <c r="AE39" s="123">
        <f t="shared" si="10"/>
        <v>0</v>
      </c>
      <c r="AF39" s="12" t="e">
        <f t="shared" ca="1" si="20"/>
        <v>#REF!</v>
      </c>
      <c r="AG39" s="150"/>
    </row>
    <row r="40" spans="1:33" s="4" customFormat="1">
      <c r="A40" s="757" t="s">
        <v>399</v>
      </c>
      <c r="B40" s="122">
        <f>'DPL25 MLS'!B40+DPL23Downhole!B39</f>
        <v>0</v>
      </c>
      <c r="C40" s="909">
        <f t="shared" ca="1" si="11"/>
        <v>0</v>
      </c>
      <c r="D40" s="122">
        <f>'DPL25 MLS'!D40+DPL23Downhole!C39</f>
        <v>0</v>
      </c>
      <c r="E40" s="909">
        <f t="shared" ca="1" si="12"/>
        <v>0</v>
      </c>
      <c r="F40" s="122">
        <f>'DPL25 MLS'!F40+DPL23Downhole!D39</f>
        <v>0</v>
      </c>
      <c r="G40" s="909">
        <f t="shared" ca="1" si="13"/>
        <v>0</v>
      </c>
      <c r="H40" s="152">
        <f t="shared" si="2"/>
        <v>0</v>
      </c>
      <c r="I40" s="950">
        <f t="shared" ca="1" si="14"/>
        <v>0</v>
      </c>
      <c r="J40" s="122">
        <f>'DPL25 MLS'!H40+DPL23Downhole!E39</f>
        <v>0</v>
      </c>
      <c r="K40" s="910">
        <f t="shared" ca="1" si="15"/>
        <v>0</v>
      </c>
      <c r="L40" s="122">
        <f>'DPL25 MLS'!J40+DPL23Downhole!F39</f>
        <v>0</v>
      </c>
      <c r="M40" s="301" t="e">
        <f t="shared" si="16"/>
        <v>#REF!</v>
      </c>
      <c r="N40" s="122">
        <f>'DPL25 MLS'!L40+DPL23Downhole!G39</f>
        <v>0</v>
      </c>
      <c r="O40" s="302" t="e">
        <f t="shared" si="3"/>
        <v>#REF!</v>
      </c>
      <c r="P40" s="152">
        <f t="shared" si="4"/>
        <v>0</v>
      </c>
      <c r="Q40" s="950" t="e">
        <f t="shared" ca="1" si="17"/>
        <v>#REF!</v>
      </c>
      <c r="R40" s="122">
        <f>'DPL25 MLS'!N40+DPL23Downhole!H39</f>
        <v>0</v>
      </c>
      <c r="S40" s="302" t="e">
        <f t="shared" si="5"/>
        <v>#REF!</v>
      </c>
      <c r="T40" s="122">
        <f>'DPL25 MLS'!P40+DPL23Downhole!I39</f>
        <v>0</v>
      </c>
      <c r="U40" s="301" t="e">
        <f t="shared" si="6"/>
        <v>#REF!</v>
      </c>
      <c r="V40" s="122">
        <f>'DPL25 MLS'!R40+DPL23Downhole!J39</f>
        <v>0</v>
      </c>
      <c r="W40" s="301" t="e">
        <f t="shared" si="7"/>
        <v>#REF!</v>
      </c>
      <c r="X40" s="152">
        <f t="shared" si="8"/>
        <v>0</v>
      </c>
      <c r="Y40" s="950" t="e">
        <f t="shared" si="18"/>
        <v>#REF!</v>
      </c>
      <c r="Z40" s="122">
        <f>'DPL25 MLS'!T40+DPL23Downhole!K39</f>
        <v>0</v>
      </c>
      <c r="AA40" s="122">
        <f>'DPL25 MLS'!V40+DPL23Downhole!L39</f>
        <v>0</v>
      </c>
      <c r="AB40" s="122">
        <f>'DPL25 MLS'!X40+DPL23Downhole!M39</f>
        <v>0</v>
      </c>
      <c r="AC40" s="152">
        <f t="shared" si="9"/>
        <v>0</v>
      </c>
      <c r="AD40" s="950" t="e">
        <f t="shared" si="19"/>
        <v>#REF!</v>
      </c>
      <c r="AE40" s="123">
        <f t="shared" si="10"/>
        <v>0</v>
      </c>
      <c r="AF40" s="12" t="e">
        <f t="shared" ca="1" si="20"/>
        <v>#REF!</v>
      </c>
      <c r="AG40" s="150"/>
    </row>
    <row r="41" spans="1:33" s="4" customFormat="1">
      <c r="A41" s="757" t="s">
        <v>400</v>
      </c>
      <c r="B41" s="122">
        <f>'DPL25 MLS'!B41+DPL23Downhole!B40</f>
        <v>0</v>
      </c>
      <c r="C41" s="909">
        <f t="shared" ca="1" si="11"/>
        <v>0</v>
      </c>
      <c r="D41" s="122">
        <f>'DPL25 MLS'!D41+DPL23Downhole!C40</f>
        <v>0</v>
      </c>
      <c r="E41" s="909">
        <f t="shared" ca="1" si="12"/>
        <v>0</v>
      </c>
      <c r="F41" s="122">
        <f>'DPL25 MLS'!F41+DPL23Downhole!D40</f>
        <v>0</v>
      </c>
      <c r="G41" s="909">
        <f t="shared" ca="1" si="13"/>
        <v>0</v>
      </c>
      <c r="H41" s="152">
        <f t="shared" si="2"/>
        <v>0</v>
      </c>
      <c r="I41" s="950">
        <f t="shared" ca="1" si="14"/>
        <v>0</v>
      </c>
      <c r="J41" s="122">
        <f>'DPL25 MLS'!H41+DPL23Downhole!E40</f>
        <v>0</v>
      </c>
      <c r="K41" s="910">
        <f t="shared" ca="1" si="15"/>
        <v>0</v>
      </c>
      <c r="L41" s="122">
        <f>'DPL25 MLS'!J41+DPL23Downhole!F40</f>
        <v>0</v>
      </c>
      <c r="M41" s="301" t="e">
        <f t="shared" si="16"/>
        <v>#REF!</v>
      </c>
      <c r="N41" s="122">
        <f>'DPL25 MLS'!L41+DPL23Downhole!G40</f>
        <v>0</v>
      </c>
      <c r="O41" s="302" t="e">
        <f t="shared" si="3"/>
        <v>#REF!</v>
      </c>
      <c r="P41" s="152">
        <f t="shared" si="4"/>
        <v>0</v>
      </c>
      <c r="Q41" s="950" t="e">
        <f t="shared" ca="1" si="17"/>
        <v>#REF!</v>
      </c>
      <c r="R41" s="122">
        <f>'DPL25 MLS'!N41+DPL23Downhole!H40</f>
        <v>0</v>
      </c>
      <c r="S41" s="302" t="e">
        <f t="shared" si="5"/>
        <v>#REF!</v>
      </c>
      <c r="T41" s="122">
        <f>'DPL25 MLS'!P41+DPL23Downhole!I40</f>
        <v>0</v>
      </c>
      <c r="U41" s="301" t="e">
        <f t="shared" si="6"/>
        <v>#REF!</v>
      </c>
      <c r="V41" s="122">
        <f>'DPL25 MLS'!R41+DPL23Downhole!J40</f>
        <v>0</v>
      </c>
      <c r="W41" s="301" t="e">
        <f t="shared" si="7"/>
        <v>#REF!</v>
      </c>
      <c r="X41" s="152">
        <f t="shared" si="8"/>
        <v>0</v>
      </c>
      <c r="Y41" s="950" t="e">
        <f t="shared" si="18"/>
        <v>#REF!</v>
      </c>
      <c r="Z41" s="122">
        <f>'DPL25 MLS'!T41+DPL23Downhole!K40</f>
        <v>0</v>
      </c>
      <c r="AA41" s="122">
        <f>'DPL25 MLS'!V41+DPL23Downhole!L40</f>
        <v>0</v>
      </c>
      <c r="AB41" s="122">
        <f>'DPL25 MLS'!X41+DPL23Downhole!M40</f>
        <v>0</v>
      </c>
      <c r="AC41" s="152">
        <f t="shared" si="9"/>
        <v>0</v>
      </c>
      <c r="AD41" s="950" t="e">
        <f t="shared" si="19"/>
        <v>#REF!</v>
      </c>
      <c r="AE41" s="123">
        <f t="shared" si="10"/>
        <v>0</v>
      </c>
      <c r="AF41" s="12" t="e">
        <f t="shared" ca="1" si="20"/>
        <v>#REF!</v>
      </c>
      <c r="AG41" s="150"/>
    </row>
    <row r="42" spans="1:33" s="4" customFormat="1">
      <c r="A42" s="757" t="s">
        <v>66</v>
      </c>
      <c r="B42" s="122">
        <f>'DPL25 MLS'!B42+DPL23Downhole!B42</f>
        <v>0</v>
      </c>
      <c r="C42" s="909">
        <f t="shared" ca="1" si="11"/>
        <v>0</v>
      </c>
      <c r="D42" s="122">
        <f>'DPL25 MLS'!D42+DPL23Downhole!C41</f>
        <v>0</v>
      </c>
      <c r="E42" s="909">
        <f t="shared" ca="1" si="12"/>
        <v>0</v>
      </c>
      <c r="F42" s="122">
        <f>'DPL25 MLS'!F42+DPL23Downhole!D41</f>
        <v>0</v>
      </c>
      <c r="G42" s="909">
        <f t="shared" ca="1" si="13"/>
        <v>0</v>
      </c>
      <c r="H42" s="152">
        <f t="shared" si="2"/>
        <v>0</v>
      </c>
      <c r="I42" s="950">
        <f t="shared" ca="1" si="14"/>
        <v>0</v>
      </c>
      <c r="J42" s="122">
        <f>'DPL25 MLS'!H42+DPL23Downhole!E41</f>
        <v>0</v>
      </c>
      <c r="K42" s="910">
        <f t="shared" ca="1" si="15"/>
        <v>0</v>
      </c>
      <c r="L42" s="122">
        <f>'DPL25 MLS'!J42+DPL23Downhole!F42</f>
        <v>0</v>
      </c>
      <c r="M42" s="301" t="e">
        <f t="shared" si="16"/>
        <v>#REF!</v>
      </c>
      <c r="N42" s="122">
        <f>'DPL25 MLS'!L42+DPL23Downhole!G42</f>
        <v>0</v>
      </c>
      <c r="O42" s="302" t="e">
        <f t="shared" si="3"/>
        <v>#REF!</v>
      </c>
      <c r="P42" s="152">
        <f t="shared" si="4"/>
        <v>0</v>
      </c>
      <c r="Q42" s="950" t="e">
        <f t="shared" ca="1" si="17"/>
        <v>#REF!</v>
      </c>
      <c r="R42" s="122">
        <f>'DPL25 MLS'!N42+DPL23Downhole!H42</f>
        <v>0</v>
      </c>
      <c r="S42" s="302" t="e">
        <f t="shared" si="5"/>
        <v>#REF!</v>
      </c>
      <c r="T42" s="122">
        <f>'DPL25 MLS'!P42+DPL23Downhole!I41</f>
        <v>0</v>
      </c>
      <c r="U42" s="301" t="e">
        <f t="shared" si="6"/>
        <v>#REF!</v>
      </c>
      <c r="V42" s="122">
        <f>'DPL25 MLS'!R42+DPL23Downhole!J41</f>
        <v>0</v>
      </c>
      <c r="W42" s="301" t="e">
        <f t="shared" si="7"/>
        <v>#REF!</v>
      </c>
      <c r="X42" s="152">
        <f t="shared" si="8"/>
        <v>0</v>
      </c>
      <c r="Y42" s="950" t="e">
        <f t="shared" si="18"/>
        <v>#REF!</v>
      </c>
      <c r="Z42" s="122">
        <f>'DPL25 MLS'!T42+DPL23Downhole!K41</f>
        <v>0</v>
      </c>
      <c r="AA42" s="122">
        <f>'DPL25 MLS'!V42+DPL23Downhole!L41</f>
        <v>0</v>
      </c>
      <c r="AB42" s="122">
        <f>'DPL25 MLS'!X42+DPL23Downhole!M41</f>
        <v>0</v>
      </c>
      <c r="AC42" s="152">
        <f t="shared" si="9"/>
        <v>0</v>
      </c>
      <c r="AD42" s="950" t="e">
        <f t="shared" si="19"/>
        <v>#REF!</v>
      </c>
      <c r="AE42" s="123">
        <f t="shared" si="10"/>
        <v>0</v>
      </c>
      <c r="AF42" s="12" t="e">
        <f t="shared" ca="1" si="20"/>
        <v>#REF!</v>
      </c>
      <c r="AG42" s="150"/>
    </row>
    <row r="43" spans="1:33" s="4" customFormat="1">
      <c r="A43" s="757" t="s">
        <v>401</v>
      </c>
      <c r="B43" s="122">
        <f>'DPL25 MLS'!B43+DPL23Downhole!B43</f>
        <v>0</v>
      </c>
      <c r="C43" s="909">
        <f t="shared" ca="1" si="11"/>
        <v>0</v>
      </c>
      <c r="D43" s="122">
        <f>'DPL25 MLS'!D43+DPL23Downhole!C42</f>
        <v>0</v>
      </c>
      <c r="E43" s="909">
        <f t="shared" ca="1" si="12"/>
        <v>0</v>
      </c>
      <c r="F43" s="122">
        <f>'DPL25 MLS'!F43+DPL23Downhole!D42</f>
        <v>0</v>
      </c>
      <c r="G43" s="909">
        <f t="shared" ca="1" si="13"/>
        <v>0</v>
      </c>
      <c r="H43" s="152">
        <f t="shared" si="2"/>
        <v>0</v>
      </c>
      <c r="I43" s="950">
        <f t="shared" ca="1" si="14"/>
        <v>0</v>
      </c>
      <c r="J43" s="122">
        <f>'DPL25 MLS'!H43+DPL23Downhole!E42</f>
        <v>0</v>
      </c>
      <c r="K43" s="910">
        <f t="shared" ca="1" si="15"/>
        <v>0</v>
      </c>
      <c r="L43" s="122">
        <f>'DPL25 MLS'!J43+DPL23Downhole!F43</f>
        <v>0</v>
      </c>
      <c r="M43" s="301" t="e">
        <f t="shared" si="16"/>
        <v>#REF!</v>
      </c>
      <c r="N43" s="122">
        <f>'DPL25 MLS'!L43+DPL23Downhole!G43</f>
        <v>0</v>
      </c>
      <c r="O43" s="302" t="e">
        <f t="shared" si="3"/>
        <v>#REF!</v>
      </c>
      <c r="P43" s="152">
        <f t="shared" si="4"/>
        <v>0</v>
      </c>
      <c r="Q43" s="950" t="e">
        <f t="shared" ca="1" si="17"/>
        <v>#REF!</v>
      </c>
      <c r="R43" s="122">
        <f>'DPL25 MLS'!N43+DPL23Downhole!H43</f>
        <v>0</v>
      </c>
      <c r="S43" s="302" t="e">
        <f t="shared" si="5"/>
        <v>#REF!</v>
      </c>
      <c r="T43" s="122">
        <f>'DPL25 MLS'!P43+DPL23Downhole!I42</f>
        <v>0</v>
      </c>
      <c r="U43" s="301" t="e">
        <f t="shared" si="6"/>
        <v>#REF!</v>
      </c>
      <c r="V43" s="122">
        <f>'DPL25 MLS'!R43+DPL23Downhole!J42</f>
        <v>0</v>
      </c>
      <c r="W43" s="301" t="e">
        <f t="shared" si="7"/>
        <v>#REF!</v>
      </c>
      <c r="X43" s="152">
        <f t="shared" si="8"/>
        <v>0</v>
      </c>
      <c r="Y43" s="950" t="e">
        <f t="shared" si="18"/>
        <v>#REF!</v>
      </c>
      <c r="Z43" s="122">
        <f>'DPL25 MLS'!T43+DPL23Downhole!K42</f>
        <v>0</v>
      </c>
      <c r="AA43" s="122">
        <f>'DPL25 MLS'!V43+DPL23Downhole!L42</f>
        <v>0</v>
      </c>
      <c r="AB43" s="122">
        <f>'DPL25 MLS'!X43+DPL23Downhole!M42</f>
        <v>0</v>
      </c>
      <c r="AC43" s="152">
        <f t="shared" si="9"/>
        <v>0</v>
      </c>
      <c r="AD43" s="950" t="e">
        <f t="shared" si="19"/>
        <v>#REF!</v>
      </c>
      <c r="AE43" s="123">
        <f t="shared" si="10"/>
        <v>0</v>
      </c>
      <c r="AF43" s="12" t="e">
        <f t="shared" ca="1" si="20"/>
        <v>#REF!</v>
      </c>
      <c r="AG43" s="150"/>
    </row>
    <row r="44" spans="1:33" s="4" customFormat="1">
      <c r="A44" s="757" t="s">
        <v>402</v>
      </c>
      <c r="B44" s="122">
        <f>'DPL25 MLS'!B44+DPL23Downhole!B44</f>
        <v>0</v>
      </c>
      <c r="C44" s="909">
        <f t="shared" ca="1" si="11"/>
        <v>0</v>
      </c>
      <c r="D44" s="122">
        <f>'DPL25 MLS'!D45+DPL23Downhole!C43</f>
        <v>0</v>
      </c>
      <c r="E44" s="909">
        <f t="shared" ca="1" si="12"/>
        <v>0</v>
      </c>
      <c r="F44" s="122">
        <f>'DPL25 MLS'!F44+DPL23Downhole!D43</f>
        <v>0</v>
      </c>
      <c r="G44" s="909">
        <f t="shared" ca="1" si="13"/>
        <v>0</v>
      </c>
      <c r="H44" s="152">
        <f t="shared" si="2"/>
        <v>0</v>
      </c>
      <c r="I44" s="950">
        <f t="shared" ca="1" si="14"/>
        <v>0</v>
      </c>
      <c r="J44" s="122">
        <f>'DPL25 MLS'!H44+DPL23Downhole!E43</f>
        <v>0</v>
      </c>
      <c r="K44" s="910">
        <f t="shared" ca="1" si="15"/>
        <v>0</v>
      </c>
      <c r="L44" s="122">
        <f>'DPL25 MLS'!J44+DPL23Downhole!F44</f>
        <v>0</v>
      </c>
      <c r="M44" s="301" t="e">
        <f t="shared" si="16"/>
        <v>#REF!</v>
      </c>
      <c r="N44" s="122">
        <f>'DPL25 MLS'!L44+DPL23Downhole!G44</f>
        <v>0</v>
      </c>
      <c r="O44" s="302" t="e">
        <f t="shared" si="3"/>
        <v>#REF!</v>
      </c>
      <c r="P44" s="152">
        <f t="shared" si="4"/>
        <v>0</v>
      </c>
      <c r="Q44" s="950" t="e">
        <f t="shared" ca="1" si="17"/>
        <v>#REF!</v>
      </c>
      <c r="R44" s="122">
        <f>'DPL25 MLS'!N44+DPL23Downhole!H44</f>
        <v>0</v>
      </c>
      <c r="S44" s="302" t="e">
        <f t="shared" si="5"/>
        <v>#REF!</v>
      </c>
      <c r="T44" s="122">
        <f>'DPL25 MLS'!P44+DPL23Downhole!I43</f>
        <v>0</v>
      </c>
      <c r="U44" s="301" t="e">
        <f t="shared" si="6"/>
        <v>#REF!</v>
      </c>
      <c r="V44" s="122">
        <f>'DPL25 MLS'!R44+DPL23Downhole!J43</f>
        <v>0</v>
      </c>
      <c r="W44" s="301" t="e">
        <f t="shared" si="7"/>
        <v>#REF!</v>
      </c>
      <c r="X44" s="152">
        <f t="shared" si="8"/>
        <v>0</v>
      </c>
      <c r="Y44" s="950" t="e">
        <f t="shared" si="18"/>
        <v>#REF!</v>
      </c>
      <c r="Z44" s="122">
        <f>'DPL25 MLS'!T44+DPL23Downhole!K43</f>
        <v>0</v>
      </c>
      <c r="AA44" s="122">
        <f>'DPL25 MLS'!V44+DPL23Downhole!L43</f>
        <v>0</v>
      </c>
      <c r="AB44" s="122">
        <f>'DPL25 MLS'!X44+DPL23Downhole!M43</f>
        <v>0</v>
      </c>
      <c r="AC44" s="152">
        <f t="shared" si="9"/>
        <v>0</v>
      </c>
      <c r="AD44" s="950" t="e">
        <f t="shared" si="19"/>
        <v>#REF!</v>
      </c>
      <c r="AE44" s="123">
        <f t="shared" si="10"/>
        <v>0</v>
      </c>
      <c r="AF44" s="12" t="e">
        <f t="shared" ca="1" si="20"/>
        <v>#REF!</v>
      </c>
      <c r="AG44" s="150"/>
    </row>
    <row r="45" spans="1:33" s="4" customFormat="1">
      <c r="A45" s="757" t="s">
        <v>403</v>
      </c>
      <c r="B45" s="122">
        <f>'DPL25 MLS'!B45+DPL23Downhole!B45</f>
        <v>0</v>
      </c>
      <c r="C45" s="909">
        <f t="shared" ca="1" si="11"/>
        <v>0</v>
      </c>
      <c r="D45" s="122">
        <f>'DPL25 MLS'!D45+DPL23Downhole!C45</f>
        <v>0</v>
      </c>
      <c r="E45" s="909">
        <f t="shared" ca="1" si="12"/>
        <v>0</v>
      </c>
      <c r="F45" s="122">
        <f>'DPL25 MLS'!F45+DPL23Downhole!D44</f>
        <v>0</v>
      </c>
      <c r="G45" s="909">
        <f t="shared" ca="1" si="13"/>
        <v>0</v>
      </c>
      <c r="H45" s="152">
        <f t="shared" si="2"/>
        <v>0</v>
      </c>
      <c r="I45" s="950">
        <f t="shared" ca="1" si="14"/>
        <v>0</v>
      </c>
      <c r="J45" s="122">
        <f>'DPL25 MLS'!H45+DPL23Downhole!E44</f>
        <v>0</v>
      </c>
      <c r="K45" s="910">
        <f t="shared" ca="1" si="15"/>
        <v>0</v>
      </c>
      <c r="L45" s="122">
        <f>'DPL25 MLS'!J45+DPL23Downhole!F45</f>
        <v>0</v>
      </c>
      <c r="M45" s="301" t="e">
        <f t="shared" si="16"/>
        <v>#REF!</v>
      </c>
      <c r="N45" s="122">
        <f>'DPL25 MLS'!L45+DPL23Downhole!G45</f>
        <v>0</v>
      </c>
      <c r="O45" s="302" t="e">
        <f t="shared" si="3"/>
        <v>#REF!</v>
      </c>
      <c r="P45" s="152">
        <f t="shared" si="4"/>
        <v>0</v>
      </c>
      <c r="Q45" s="950" t="e">
        <f t="shared" ca="1" si="17"/>
        <v>#REF!</v>
      </c>
      <c r="R45" s="122">
        <f>'DPL25 MLS'!N45+DPL23Downhole!H45</f>
        <v>0</v>
      </c>
      <c r="S45" s="302" t="e">
        <f t="shared" si="5"/>
        <v>#REF!</v>
      </c>
      <c r="T45" s="122">
        <f>'DPL25 MLS'!P45+DPL23Downhole!I44</f>
        <v>0</v>
      </c>
      <c r="U45" s="301" t="e">
        <f t="shared" si="6"/>
        <v>#REF!</v>
      </c>
      <c r="V45" s="122">
        <f>'DPL25 MLS'!R45+DPL23Downhole!J44</f>
        <v>0</v>
      </c>
      <c r="W45" s="301" t="e">
        <f t="shared" si="7"/>
        <v>#REF!</v>
      </c>
      <c r="X45" s="152">
        <f t="shared" si="8"/>
        <v>0</v>
      </c>
      <c r="Y45" s="950" t="e">
        <f t="shared" si="18"/>
        <v>#REF!</v>
      </c>
      <c r="Z45" s="122">
        <f>'DPL25 MLS'!T45+DPL23Downhole!K44</f>
        <v>0</v>
      </c>
      <c r="AA45" s="122">
        <f>'DPL25 MLS'!V45+DPL23Downhole!L44</f>
        <v>0</v>
      </c>
      <c r="AB45" s="122">
        <f>'DPL25 MLS'!X45+DPL23Downhole!M44</f>
        <v>0</v>
      </c>
      <c r="AC45" s="152">
        <f t="shared" si="9"/>
        <v>0</v>
      </c>
      <c r="AD45" s="950" t="e">
        <f t="shared" si="19"/>
        <v>#REF!</v>
      </c>
      <c r="AE45" s="123">
        <f t="shared" si="10"/>
        <v>0</v>
      </c>
      <c r="AF45" s="12" t="e">
        <f t="shared" ca="1" si="20"/>
        <v>#REF!</v>
      </c>
      <c r="AG45" s="150"/>
    </row>
    <row r="46" spans="1:33" s="4" customFormat="1">
      <c r="A46" s="757" t="s">
        <v>404</v>
      </c>
      <c r="B46" s="122">
        <f>'DPL25 MLS'!B46+DPL23Downhole!B46</f>
        <v>0</v>
      </c>
      <c r="C46" s="909">
        <f t="shared" ca="1" si="11"/>
        <v>0</v>
      </c>
      <c r="D46" s="122">
        <f>'DPL25 MLS'!D46+DPL23Downhole!C45</f>
        <v>0</v>
      </c>
      <c r="E46" s="909">
        <f t="shared" ca="1" si="12"/>
        <v>0</v>
      </c>
      <c r="F46" s="122">
        <f>'DPL25 MLS'!F46+DPL23Downhole!D45</f>
        <v>0</v>
      </c>
      <c r="G46" s="909">
        <f t="shared" ca="1" si="13"/>
        <v>0</v>
      </c>
      <c r="H46" s="152">
        <f t="shared" si="2"/>
        <v>0</v>
      </c>
      <c r="I46" s="950">
        <f t="shared" ca="1" si="14"/>
        <v>0</v>
      </c>
      <c r="J46" s="122">
        <f>'DPL25 MLS'!H46+DPL23Downhole!E45</f>
        <v>0</v>
      </c>
      <c r="K46" s="910">
        <f t="shared" ca="1" si="15"/>
        <v>0</v>
      </c>
      <c r="L46" s="122">
        <f>'DPL25 MLS'!J46+DPL23Downhole!F46</f>
        <v>0</v>
      </c>
      <c r="M46" s="301" t="e">
        <f t="shared" si="16"/>
        <v>#REF!</v>
      </c>
      <c r="N46" s="122">
        <f>'DPL25 MLS'!L46+DPL23Downhole!G46</f>
        <v>0</v>
      </c>
      <c r="O46" s="302" t="e">
        <f t="shared" si="3"/>
        <v>#REF!</v>
      </c>
      <c r="P46" s="152">
        <f t="shared" si="4"/>
        <v>0</v>
      </c>
      <c r="Q46" s="950" t="e">
        <f t="shared" ca="1" si="17"/>
        <v>#REF!</v>
      </c>
      <c r="R46" s="122">
        <f>'DPL25 MLS'!N46+DPL23Downhole!H46</f>
        <v>0</v>
      </c>
      <c r="S46" s="302" t="e">
        <f t="shared" si="5"/>
        <v>#REF!</v>
      </c>
      <c r="T46" s="122">
        <f>'DPL25 MLS'!P46+DPL23Downhole!I45</f>
        <v>0</v>
      </c>
      <c r="U46" s="301" t="e">
        <f t="shared" si="6"/>
        <v>#REF!</v>
      </c>
      <c r="V46" s="122">
        <f>'DPL25 MLS'!R46+DPL23Downhole!J45</f>
        <v>0</v>
      </c>
      <c r="W46" s="301" t="e">
        <f t="shared" si="7"/>
        <v>#REF!</v>
      </c>
      <c r="X46" s="152">
        <f t="shared" si="8"/>
        <v>0</v>
      </c>
      <c r="Y46" s="950" t="e">
        <f t="shared" si="18"/>
        <v>#REF!</v>
      </c>
      <c r="Z46" s="122">
        <f>'DPL25 MLS'!T46+DPL23Downhole!K45</f>
        <v>0</v>
      </c>
      <c r="AA46" s="122">
        <f>'DPL25 MLS'!V46+DPL23Downhole!L45</f>
        <v>0</v>
      </c>
      <c r="AB46" s="122">
        <f>'DPL25 MLS'!X46+DPL23Downhole!M45</f>
        <v>0</v>
      </c>
      <c r="AC46" s="152">
        <f t="shared" si="9"/>
        <v>0</v>
      </c>
      <c r="AD46" s="950" t="e">
        <f t="shared" si="19"/>
        <v>#REF!</v>
      </c>
      <c r="AE46" s="123">
        <f t="shared" si="10"/>
        <v>0</v>
      </c>
      <c r="AF46" s="12" t="e">
        <f t="shared" ca="1" si="20"/>
        <v>#REF!</v>
      </c>
      <c r="AG46" s="150"/>
    </row>
    <row r="47" spans="1:33" s="37" customFormat="1">
      <c r="A47" s="32" t="s">
        <v>684</v>
      </c>
      <c r="B47" s="122">
        <f ca="1">'DPL25 MLS'!B47+DPL23Downhole!B47</f>
        <v>64</v>
      </c>
      <c r="C47" s="909">
        <f t="shared" ca="1" si="11"/>
        <v>2.35E-2</v>
      </c>
      <c r="D47" s="122">
        <f ca="1">'DPL25 MLS'!D47+DPL23Downhole!C46</f>
        <v>29</v>
      </c>
      <c r="E47" s="909">
        <f t="shared" ca="1" si="12"/>
        <v>1.06E-2</v>
      </c>
      <c r="F47" s="122">
        <f ca="1">'DPL25 MLS'!F47+DPL23Downhole!D46</f>
        <v>29</v>
      </c>
      <c r="G47" s="909">
        <f t="shared" ca="1" si="13"/>
        <v>1.06E-2</v>
      </c>
      <c r="H47" s="152">
        <f t="shared" ca="1" si="2"/>
        <v>122</v>
      </c>
      <c r="I47" s="950">
        <f t="shared" ca="1" si="14"/>
        <v>1.49E-2</v>
      </c>
      <c r="J47" s="122">
        <f ca="1">'DPL25 MLS'!H47+DPL23Downhole!E46</f>
        <v>204</v>
      </c>
      <c r="K47" s="910">
        <f t="shared" ca="1" si="15"/>
        <v>7.4999999999999997E-2</v>
      </c>
      <c r="L47" s="122">
        <f>'DPL25 MLS'!J47+DPL23Downhole!F47</f>
        <v>0</v>
      </c>
      <c r="M47" s="301" t="e">
        <f t="shared" si="16"/>
        <v>#REF!</v>
      </c>
      <c r="N47" s="122">
        <f>'DPL25 MLS'!L47+DPL23Downhole!G47</f>
        <v>0</v>
      </c>
      <c r="O47" s="301" t="e">
        <f t="shared" si="3"/>
        <v>#REF!</v>
      </c>
      <c r="P47" s="152">
        <f t="shared" ca="1" si="4"/>
        <v>204</v>
      </c>
      <c r="Q47" s="950" t="e">
        <f t="shared" ca="1" si="17"/>
        <v>#REF!</v>
      </c>
      <c r="R47" s="122">
        <f>'DPL25 MLS'!N47+DPL23Downhole!H47</f>
        <v>0</v>
      </c>
      <c r="S47" s="302" t="e">
        <f t="shared" si="5"/>
        <v>#REF!</v>
      </c>
      <c r="T47" s="122">
        <f>'DPL25 MLS'!P47+DPL23Downhole!I47</f>
        <v>0</v>
      </c>
      <c r="U47" s="301" t="e">
        <f t="shared" si="6"/>
        <v>#REF!</v>
      </c>
      <c r="V47" s="122">
        <f>'DPL25 MLS'!R47+DPL23Downhole!J46</f>
        <v>0</v>
      </c>
      <c r="W47" s="301" t="e">
        <f t="shared" si="7"/>
        <v>#REF!</v>
      </c>
      <c r="X47" s="152">
        <f t="shared" si="8"/>
        <v>0</v>
      </c>
      <c r="Y47" s="950" t="e">
        <f t="shared" si="18"/>
        <v>#REF!</v>
      </c>
      <c r="Z47" s="122">
        <f>'DPL25 MLS'!T47+DPL23Downhole!K46</f>
        <v>0</v>
      </c>
      <c r="AA47" s="122">
        <f>'DPL25 MLS'!V47+DPL23Downhole!L46</f>
        <v>0</v>
      </c>
      <c r="AB47" s="122">
        <f>'DPL25 MLS'!X47+DPL23Downhole!M46</f>
        <v>0</v>
      </c>
      <c r="AC47" s="152">
        <f t="shared" si="9"/>
        <v>0</v>
      </c>
      <c r="AD47" s="950" t="e">
        <f t="shared" si="19"/>
        <v>#REF!</v>
      </c>
      <c r="AE47" s="123">
        <f t="shared" ca="1" si="10"/>
        <v>326</v>
      </c>
      <c r="AF47" s="12" t="e">
        <f t="shared" ca="1" si="20"/>
        <v>#REF!</v>
      </c>
      <c r="AG47" s="151"/>
    </row>
    <row r="48" spans="1:33" s="4" customFormat="1">
      <c r="A48" s="757"/>
      <c r="B48" s="14"/>
      <c r="C48" s="14"/>
      <c r="D48" s="14"/>
      <c r="E48" s="909">
        <f t="shared" ca="1" si="12"/>
        <v>0</v>
      </c>
      <c r="F48" s="14"/>
      <c r="G48" s="909">
        <f t="shared" ca="1" si="13"/>
        <v>0</v>
      </c>
      <c r="H48" s="950"/>
      <c r="I48" s="950"/>
      <c r="J48" s="14"/>
      <c r="K48" s="14"/>
      <c r="L48" s="14"/>
      <c r="M48" s="301" t="e">
        <f t="shared" si="16"/>
        <v>#REF!</v>
      </c>
      <c r="N48" s="14"/>
      <c r="O48" s="302" t="e">
        <f t="shared" si="3"/>
        <v>#REF!</v>
      </c>
      <c r="P48" s="950"/>
      <c r="Q48" s="950"/>
      <c r="R48" s="14"/>
      <c r="S48" s="302" t="e">
        <f t="shared" si="5"/>
        <v>#REF!</v>
      </c>
      <c r="T48" s="14"/>
      <c r="U48" s="301" t="e">
        <f t="shared" si="6"/>
        <v>#REF!</v>
      </c>
      <c r="V48" s="14"/>
      <c r="W48" s="302" t="e">
        <f t="shared" si="7"/>
        <v>#REF!</v>
      </c>
      <c r="X48" s="950"/>
      <c r="Y48" s="950"/>
      <c r="Z48" s="14"/>
      <c r="AA48" s="14"/>
      <c r="AB48" s="14"/>
      <c r="AC48" s="950"/>
      <c r="AD48" s="950"/>
      <c r="AE48" s="15"/>
      <c r="AF48" s="12" t="e">
        <f t="shared" ca="1" si="20"/>
        <v>#REF!</v>
      </c>
    </row>
    <row r="49" spans="1:37" s="1" customFormat="1" ht="13.5" thickBot="1">
      <c r="A49" s="6" t="s">
        <v>407</v>
      </c>
      <c r="B49" s="16">
        <f ca="1">SUM(B16:B48)</f>
        <v>475</v>
      </c>
      <c r="C49" s="909">
        <f ca="1">+B49/$B$13</f>
        <v>0.1741</v>
      </c>
      <c r="D49" s="16">
        <f ca="1">SUM(D16:D48)</f>
        <v>126</v>
      </c>
      <c r="E49" s="909">
        <f t="shared" ca="1" si="12"/>
        <v>4.6199999999999998E-2</v>
      </c>
      <c r="F49" s="16">
        <f ca="1">SUM(F16:F48)</f>
        <v>126</v>
      </c>
      <c r="G49" s="909">
        <f t="shared" ca="1" si="13"/>
        <v>4.6199999999999998E-2</v>
      </c>
      <c r="H49" s="362">
        <f ca="1">+B49+D49+F49</f>
        <v>727</v>
      </c>
      <c r="I49" s="368">
        <f ca="1">+H49/$H$13</f>
        <v>8.8800000000000004E-2</v>
      </c>
      <c r="J49" s="16">
        <f ca="1">SUM(J16:J48)</f>
        <v>2060</v>
      </c>
      <c r="K49" s="907">
        <f ca="1">+J49/$J$13</f>
        <v>0.76</v>
      </c>
      <c r="L49" s="16">
        <f>SUM(L16:L48)</f>
        <v>0</v>
      </c>
      <c r="M49" s="301" t="e">
        <f t="shared" si="16"/>
        <v>#REF!</v>
      </c>
      <c r="N49" s="16">
        <f>SUM(N16:N48)</f>
        <v>0</v>
      </c>
      <c r="O49" s="302" t="e">
        <f t="shared" si="3"/>
        <v>#REF!</v>
      </c>
      <c r="P49" s="362">
        <f ca="1">+J49+L49+N49</f>
        <v>2060</v>
      </c>
      <c r="Q49" s="368" t="e">
        <f ca="1">+P49/$P$13</f>
        <v>#REF!</v>
      </c>
      <c r="R49" s="16">
        <f>SUM(R16:R48)</f>
        <v>0</v>
      </c>
      <c r="S49" s="302" t="e">
        <f t="shared" si="5"/>
        <v>#REF!</v>
      </c>
      <c r="T49" s="16">
        <f>SUM(T16:T48)</f>
        <v>0</v>
      </c>
      <c r="U49" s="301" t="e">
        <f t="shared" si="6"/>
        <v>#REF!</v>
      </c>
      <c r="V49" s="16">
        <f>SUM(V16:V48)</f>
        <v>0</v>
      </c>
      <c r="W49" s="302" t="e">
        <f t="shared" si="7"/>
        <v>#REF!</v>
      </c>
      <c r="X49" s="362">
        <f>+R49+T49+V49</f>
        <v>0</v>
      </c>
      <c r="Y49" s="368" t="e">
        <f>+X49/$X$13</f>
        <v>#REF!</v>
      </c>
      <c r="Z49" s="16">
        <f>SUM(Z16:Z48)</f>
        <v>0</v>
      </c>
      <c r="AA49" s="16">
        <f>SUM(AA16:AA48)</f>
        <v>0</v>
      </c>
      <c r="AB49" s="16">
        <f>SUM(AB16:AB48)</f>
        <v>0</v>
      </c>
      <c r="AC49" s="362">
        <f>+Z49+AA49+AB49</f>
        <v>0</v>
      </c>
      <c r="AD49" s="368" t="e">
        <f>+AC49/$X$13</f>
        <v>#REF!</v>
      </c>
      <c r="AE49" s="16">
        <f ca="1">SUM(AE16:AE48)</f>
        <v>2787</v>
      </c>
      <c r="AF49" s="12" t="e">
        <f t="shared" ca="1" si="20"/>
        <v>#REF!</v>
      </c>
      <c r="AG49" s="156"/>
      <c r="AH49" s="156"/>
    </row>
    <row r="50" spans="1:37" ht="13.5" thickTop="1">
      <c r="A50" s="118" t="s">
        <v>408</v>
      </c>
      <c r="B50" s="156">
        <f ca="1">+B13-B49</f>
        <v>2253</v>
      </c>
      <c r="C50" s="156"/>
      <c r="D50" s="156">
        <f ca="1">+D13-D49</f>
        <v>2602</v>
      </c>
      <c r="E50" s="156"/>
      <c r="F50" s="156">
        <f ca="1">+F13-F49</f>
        <v>2602</v>
      </c>
      <c r="G50" s="156"/>
      <c r="H50" s="218">
        <f ca="1">+H13-H49</f>
        <v>7457</v>
      </c>
      <c r="I50" s="218"/>
      <c r="J50" s="156">
        <f ca="1">+J13-J49</f>
        <v>668</v>
      </c>
      <c r="K50" s="156"/>
      <c r="L50" s="156" t="e">
        <f>+L13-L49</f>
        <v>#REF!</v>
      </c>
      <c r="M50" s="156"/>
      <c r="N50" s="156" t="e">
        <f>+N13-N49</f>
        <v>#REF!</v>
      </c>
      <c r="O50" s="156"/>
      <c r="P50" s="218" t="e">
        <f ca="1">+P13-P49</f>
        <v>#REF!</v>
      </c>
      <c r="Q50" s="218"/>
      <c r="R50" s="156" t="e">
        <f>+R13-R49</f>
        <v>#REF!</v>
      </c>
      <c r="S50" s="156"/>
      <c r="T50" s="156" t="e">
        <f>+T13-T49</f>
        <v>#REF!</v>
      </c>
      <c r="U50" s="156"/>
      <c r="V50" s="156" t="e">
        <f>+V13-V49</f>
        <v>#REF!</v>
      </c>
      <c r="W50" s="156"/>
      <c r="X50" s="218" t="e">
        <f>+X13-X49</f>
        <v>#REF!</v>
      </c>
      <c r="Y50" s="218"/>
      <c r="Z50" s="156" t="e">
        <f>+Z13-Z49</f>
        <v>#REF!</v>
      </c>
      <c r="AA50" s="156" t="e">
        <f>+AA13-AA49</f>
        <v>#REF!</v>
      </c>
      <c r="AB50" s="156" t="e">
        <f>+AB13-AB49</f>
        <v>#REF!</v>
      </c>
      <c r="AC50" s="218" t="e">
        <f>+AC13-AC49</f>
        <v>#REF!</v>
      </c>
      <c r="AD50" s="218"/>
      <c r="AE50" s="156" t="e">
        <f ca="1">+AE13-AE49</f>
        <v>#REF!</v>
      </c>
      <c r="AF50" s="12" t="e">
        <f t="shared" ca="1" si="20"/>
        <v>#REF!</v>
      </c>
      <c r="AG50" s="12"/>
    </row>
    <row r="51" spans="1:37">
      <c r="A51" s="6" t="s">
        <v>409</v>
      </c>
      <c r="B51" s="191">
        <f ca="1">+B50/B13</f>
        <v>0.83</v>
      </c>
      <c r="C51" s="249"/>
      <c r="D51" s="191">
        <f ca="1">+D50/D13</f>
        <v>0.95</v>
      </c>
      <c r="E51" s="249"/>
      <c r="F51" s="191">
        <f ca="1">+F50/F13</f>
        <v>0.95</v>
      </c>
      <c r="G51" s="249"/>
      <c r="H51" s="363">
        <f ca="1">+H50/H13</f>
        <v>0.91</v>
      </c>
      <c r="I51" s="363"/>
      <c r="J51" s="191">
        <f ca="1">+J50/J13</f>
        <v>0.24</v>
      </c>
      <c r="K51" s="249"/>
      <c r="L51" s="191" t="e">
        <f>+L50/L13</f>
        <v>#REF!</v>
      </c>
      <c r="M51" s="249"/>
      <c r="N51" s="191" t="e">
        <f>+N50/N13</f>
        <v>#REF!</v>
      </c>
      <c r="O51" s="249"/>
      <c r="P51" s="363" t="e">
        <f ca="1">+P50/P13</f>
        <v>#REF!</v>
      </c>
      <c r="Q51" s="363"/>
      <c r="R51" s="191" t="e">
        <f>+R50/R13</f>
        <v>#REF!</v>
      </c>
      <c r="S51" s="191"/>
      <c r="T51" s="191" t="e">
        <f>+T50/T13</f>
        <v>#REF!</v>
      </c>
      <c r="U51" s="191"/>
      <c r="V51" s="191" t="e">
        <f>+V50/V13</f>
        <v>#REF!</v>
      </c>
      <c r="W51" s="249"/>
      <c r="X51" s="363" t="e">
        <f>+X50/X13</f>
        <v>#REF!</v>
      </c>
      <c r="Y51" s="363"/>
      <c r="Z51" s="191" t="e">
        <f>+Z50/Z13</f>
        <v>#REF!</v>
      </c>
      <c r="AA51" s="191" t="e">
        <f>+AA50/AA13</f>
        <v>#REF!</v>
      </c>
      <c r="AB51" s="191" t="e">
        <f>+AB50/AB13</f>
        <v>#REF!</v>
      </c>
      <c r="AC51" s="363" t="e">
        <f>+AC50/AC13</f>
        <v>#REF!</v>
      </c>
      <c r="AD51" s="363"/>
      <c r="AE51" s="191" t="e">
        <f ca="1">+AE50/AE13</f>
        <v>#REF!</v>
      </c>
      <c r="AF51" s="12" t="e">
        <f t="shared" ca="1" si="20"/>
        <v>#REF!</v>
      </c>
      <c r="AG51" s="12"/>
    </row>
    <row r="52" spans="1:37">
      <c r="A52" s="6" t="s">
        <v>594</v>
      </c>
      <c r="B52" s="20"/>
      <c r="C52" s="20"/>
      <c r="D52" s="20"/>
      <c r="E52" s="20"/>
      <c r="F52" s="20"/>
      <c r="G52" s="20"/>
      <c r="H52" s="179"/>
      <c r="I52" s="179"/>
      <c r="J52" s="20"/>
      <c r="K52" s="20"/>
      <c r="L52" s="20"/>
      <c r="M52" s="20"/>
      <c r="N52" s="20"/>
      <c r="O52" s="20"/>
      <c r="P52" s="179"/>
      <c r="Q52" s="179"/>
      <c r="R52" s="20"/>
      <c r="S52" s="20"/>
      <c r="T52" s="20"/>
      <c r="U52" s="20"/>
      <c r="V52" s="20"/>
      <c r="W52" s="20"/>
      <c r="X52" s="179"/>
      <c r="Y52" s="179"/>
      <c r="Z52" s="20"/>
      <c r="AA52" s="20"/>
      <c r="AB52" s="28"/>
      <c r="AC52" s="179"/>
      <c r="AD52" s="179"/>
      <c r="AE52" s="15">
        <f>SUM(B52:AB52)</f>
        <v>0</v>
      </c>
      <c r="AF52" s="12" t="e">
        <f t="shared" ca="1" si="20"/>
        <v>#REF!</v>
      </c>
      <c r="AG52" s="12"/>
    </row>
    <row r="53" spans="1:37">
      <c r="A53" s="757" t="s">
        <v>595</v>
      </c>
      <c r="B53" s="14">
        <f>+DPL25Summary!B53</f>
        <v>0</v>
      </c>
      <c r="C53" s="909">
        <f t="shared" ref="C53:E72" ca="1" si="21">+B53/$B$13</f>
        <v>0</v>
      </c>
      <c r="D53" s="14">
        <f>+DPL25Summary!D53</f>
        <v>0</v>
      </c>
      <c r="E53" s="909">
        <f t="shared" ca="1" si="21"/>
        <v>0</v>
      </c>
      <c r="F53" s="14">
        <f>+DPL25Summary!F53</f>
        <v>0</v>
      </c>
      <c r="G53" s="909">
        <f t="shared" ref="G53:G72" ca="1" si="22">+F53/$F$13</f>
        <v>0</v>
      </c>
      <c r="H53" s="152">
        <f>+B53+D53+F53</f>
        <v>0</v>
      </c>
      <c r="I53" s="950">
        <f ca="1">+H53/$H$13</f>
        <v>0</v>
      </c>
      <c r="J53" s="14">
        <f>+DPL25Summary!H53</f>
        <v>0</v>
      </c>
      <c r="K53" s="909">
        <f t="shared" ref="K53:O72" ca="1" si="23">+J53/$B$13</f>
        <v>0</v>
      </c>
      <c r="L53" s="14">
        <f>+DPL25Summary!J53</f>
        <v>0</v>
      </c>
      <c r="M53" s="909">
        <f t="shared" ca="1" si="23"/>
        <v>0</v>
      </c>
      <c r="N53" s="14">
        <f>+DPL25Summary!L53</f>
        <v>0</v>
      </c>
      <c r="O53" s="909">
        <f t="shared" ca="1" si="23"/>
        <v>0</v>
      </c>
      <c r="P53" s="152">
        <f>+J53+L53+N53</f>
        <v>0</v>
      </c>
      <c r="Q53" s="950" t="e">
        <f ca="1">+P53/$P$13</f>
        <v>#REF!</v>
      </c>
      <c r="R53" s="14">
        <f>+DPL25Summary!N53</f>
        <v>0</v>
      </c>
      <c r="S53" s="909">
        <f t="shared" ref="S53:S72" ca="1" si="24">+R53/$B$13</f>
        <v>0</v>
      </c>
      <c r="T53" s="14">
        <f>+DPL25Summary!P53</f>
        <v>0</v>
      </c>
      <c r="U53" s="301" t="e">
        <f t="shared" ref="U53:U71" si="25">+T53/$T$13</f>
        <v>#REF!</v>
      </c>
      <c r="V53" s="14">
        <f>+DPL25Summary!R53</f>
        <v>0</v>
      </c>
      <c r="W53" s="301" t="e">
        <f>+V53/$V$13</f>
        <v>#REF!</v>
      </c>
      <c r="X53" s="152">
        <f>+R53+T53+V53</f>
        <v>0</v>
      </c>
      <c r="Y53" s="950" t="e">
        <f>+X53/$X$13</f>
        <v>#REF!</v>
      </c>
      <c r="Z53" s="14"/>
      <c r="AA53" s="14"/>
      <c r="AB53" s="14"/>
      <c r="AC53" s="152">
        <f t="shared" ref="AC53:AC70" si="26">+Z53+AA53+AB53</f>
        <v>0</v>
      </c>
      <c r="AD53" s="950" t="e">
        <f>+AC53/$X$13</f>
        <v>#REF!</v>
      </c>
      <c r="AE53" s="15">
        <f>+B53+D53+F53+J53+L53+N53+R53+T53+V53+Z53+AA53+AB53</f>
        <v>0</v>
      </c>
      <c r="AF53" s="12" t="e">
        <f t="shared" ca="1" si="20"/>
        <v>#REF!</v>
      </c>
      <c r="AG53" s="223"/>
      <c r="AJ53" s="142"/>
      <c r="AK53" s="142"/>
    </row>
    <row r="54" spans="1:37">
      <c r="A54" s="757" t="s">
        <v>596</v>
      </c>
      <c r="B54" s="14">
        <f>+DPL25Summary!B54</f>
        <v>0</v>
      </c>
      <c r="C54" s="909">
        <f t="shared" ca="1" si="21"/>
        <v>0</v>
      </c>
      <c r="D54" s="14">
        <f>+DPL25Summary!D54</f>
        <v>0</v>
      </c>
      <c r="E54" s="909">
        <f t="shared" ca="1" si="21"/>
        <v>0</v>
      </c>
      <c r="F54" s="14">
        <f>+DPL25Summary!F54</f>
        <v>0</v>
      </c>
      <c r="G54" s="909">
        <f t="shared" ca="1" si="22"/>
        <v>0</v>
      </c>
      <c r="H54" s="152">
        <f t="shared" ref="H54:H70" si="27">+B54+D54+F54</f>
        <v>0</v>
      </c>
      <c r="I54" s="950">
        <f t="shared" ref="I54:I70" ca="1" si="28">+H54/$H$13</f>
        <v>0</v>
      </c>
      <c r="J54" s="14">
        <f>+DPL25Summary!H54</f>
        <v>0</v>
      </c>
      <c r="K54" s="909">
        <f t="shared" ca="1" si="23"/>
        <v>0</v>
      </c>
      <c r="L54" s="14">
        <f>+DPL25Summary!J54</f>
        <v>0</v>
      </c>
      <c r="M54" s="909">
        <f t="shared" ca="1" si="23"/>
        <v>0</v>
      </c>
      <c r="N54" s="14">
        <f>+DPL25Summary!L54</f>
        <v>0</v>
      </c>
      <c r="O54" s="909">
        <f t="shared" ca="1" si="23"/>
        <v>0</v>
      </c>
      <c r="P54" s="152">
        <f t="shared" ref="P54:P70" si="29">+J54+L54+N54</f>
        <v>0</v>
      </c>
      <c r="Q54" s="950" t="e">
        <f t="shared" ref="Q54:Q70" ca="1" si="30">+P54/$P$13</f>
        <v>#REF!</v>
      </c>
      <c r="R54" s="14">
        <f>+DPL25Summary!N54</f>
        <v>0</v>
      </c>
      <c r="S54" s="909">
        <f t="shared" ca="1" si="24"/>
        <v>0</v>
      </c>
      <c r="T54" s="14">
        <f>+DPL25Summary!P54</f>
        <v>0</v>
      </c>
      <c r="U54" s="301" t="e">
        <f t="shared" si="25"/>
        <v>#REF!</v>
      </c>
      <c r="V54" s="14">
        <f>+DPL25Summary!R54</f>
        <v>0</v>
      </c>
      <c r="W54" s="301" t="e">
        <f t="shared" ref="W54:W72" si="31">+V54/$V$13</f>
        <v>#REF!</v>
      </c>
      <c r="X54" s="152">
        <f t="shared" ref="X54:X70" si="32">+R54+T54+V54</f>
        <v>0</v>
      </c>
      <c r="Y54" s="950" t="e">
        <f t="shared" ref="Y54:Y70" si="33">+X54/$X$13</f>
        <v>#REF!</v>
      </c>
      <c r="Z54" s="14"/>
      <c r="AA54" s="14"/>
      <c r="AB54" s="14"/>
      <c r="AC54" s="152">
        <f t="shared" si="26"/>
        <v>0</v>
      </c>
      <c r="AD54" s="950" t="e">
        <f t="shared" ref="AD54:AD70" si="34">+AC54/$X$13</f>
        <v>#REF!</v>
      </c>
      <c r="AE54" s="15">
        <f t="shared" ref="AE54:AE70" si="35">+B54+D54+F54+J54+L54+N54+R54+T54+V54+Z54+AA54+AB54</f>
        <v>0</v>
      </c>
      <c r="AF54" s="12" t="e">
        <f t="shared" ca="1" si="20"/>
        <v>#REF!</v>
      </c>
      <c r="AG54" s="223"/>
      <c r="AH54" s="149"/>
      <c r="AJ54" s="142"/>
      <c r="AK54" s="142"/>
    </row>
    <row r="55" spans="1:37" s="4" customFormat="1">
      <c r="A55" s="757" t="s">
        <v>597</v>
      </c>
      <c r="B55" s="14">
        <f>+DPL25Summary!B55</f>
        <v>0</v>
      </c>
      <c r="C55" s="909">
        <f t="shared" ca="1" si="21"/>
        <v>0</v>
      </c>
      <c r="D55" s="14">
        <f>+DPL25Summary!D55</f>
        <v>0</v>
      </c>
      <c r="E55" s="909">
        <f t="shared" ca="1" si="21"/>
        <v>0</v>
      </c>
      <c r="F55" s="14">
        <f>+DPL25Summary!F55</f>
        <v>0</v>
      </c>
      <c r="G55" s="909">
        <f t="shared" ca="1" si="22"/>
        <v>0</v>
      </c>
      <c r="H55" s="152">
        <f t="shared" si="27"/>
        <v>0</v>
      </c>
      <c r="I55" s="950">
        <f t="shared" ca="1" si="28"/>
        <v>0</v>
      </c>
      <c r="J55" s="14">
        <f>+DPL25Summary!H55</f>
        <v>0</v>
      </c>
      <c r="K55" s="909">
        <f t="shared" ca="1" si="23"/>
        <v>0</v>
      </c>
      <c r="L55" s="14">
        <f>+DPL25Summary!J55</f>
        <v>0</v>
      </c>
      <c r="M55" s="909">
        <f t="shared" ca="1" si="23"/>
        <v>0</v>
      </c>
      <c r="N55" s="14">
        <f>+DPL25Summary!L55</f>
        <v>0</v>
      </c>
      <c r="O55" s="909">
        <f t="shared" ca="1" si="23"/>
        <v>0</v>
      </c>
      <c r="P55" s="152">
        <f t="shared" si="29"/>
        <v>0</v>
      </c>
      <c r="Q55" s="950" t="e">
        <f t="shared" ca="1" si="30"/>
        <v>#REF!</v>
      </c>
      <c r="R55" s="14">
        <f>+DPL25Summary!N55</f>
        <v>0</v>
      </c>
      <c r="S55" s="909">
        <f t="shared" ca="1" si="24"/>
        <v>0</v>
      </c>
      <c r="T55" s="14">
        <f>+DPL25Summary!P55</f>
        <v>0</v>
      </c>
      <c r="U55" s="301" t="e">
        <f t="shared" si="25"/>
        <v>#REF!</v>
      </c>
      <c r="V55" s="14">
        <f>+DPL25Summary!R55</f>
        <v>0</v>
      </c>
      <c r="W55" s="301" t="e">
        <f t="shared" si="31"/>
        <v>#REF!</v>
      </c>
      <c r="X55" s="152">
        <f t="shared" si="32"/>
        <v>0</v>
      </c>
      <c r="Y55" s="950" t="e">
        <f t="shared" si="33"/>
        <v>#REF!</v>
      </c>
      <c r="Z55" s="17"/>
      <c r="AA55" s="17"/>
      <c r="AB55" s="14"/>
      <c r="AC55" s="152">
        <f t="shared" si="26"/>
        <v>0</v>
      </c>
      <c r="AD55" s="950" t="e">
        <f t="shared" si="34"/>
        <v>#REF!</v>
      </c>
      <c r="AE55" s="15">
        <f t="shared" si="35"/>
        <v>0</v>
      </c>
      <c r="AF55" s="12" t="e">
        <f t="shared" ca="1" si="20"/>
        <v>#REF!</v>
      </c>
      <c r="AG55" s="149"/>
      <c r="AJ55" s="142"/>
      <c r="AK55" s="142"/>
    </row>
    <row r="56" spans="1:37" s="4" customFormat="1">
      <c r="A56" s="757" t="s">
        <v>598</v>
      </c>
      <c r="B56" s="14">
        <f>+DPL25Summary!B56</f>
        <v>1000</v>
      </c>
      <c r="C56" s="909">
        <f t="shared" ca="1" si="21"/>
        <v>0.36659999999999998</v>
      </c>
      <c r="D56" s="14">
        <f>+DPL25Summary!D56</f>
        <v>1000</v>
      </c>
      <c r="E56" s="909">
        <f t="shared" ca="1" si="21"/>
        <v>0.36659999999999998</v>
      </c>
      <c r="F56" s="14">
        <f>+DPL25Summary!F56</f>
        <v>1000</v>
      </c>
      <c r="G56" s="909">
        <f t="shared" ca="1" si="22"/>
        <v>0.36659999999999998</v>
      </c>
      <c r="H56" s="152">
        <f t="shared" si="27"/>
        <v>3000</v>
      </c>
      <c r="I56" s="950">
        <f t="shared" ca="1" si="28"/>
        <v>0.36659999999999998</v>
      </c>
      <c r="J56" s="14">
        <f>+DPL25Summary!H56</f>
        <v>1000</v>
      </c>
      <c r="K56" s="909">
        <f t="shared" ca="1" si="23"/>
        <v>0.36659999999999998</v>
      </c>
      <c r="L56" s="14">
        <f>+DPL25Summary!J56</f>
        <v>1000</v>
      </c>
      <c r="M56" s="909">
        <f t="shared" ca="1" si="23"/>
        <v>0.36659999999999998</v>
      </c>
      <c r="N56" s="14">
        <f>+DPL25Summary!L56</f>
        <v>1000</v>
      </c>
      <c r="O56" s="909">
        <f t="shared" ca="1" si="23"/>
        <v>0.36659999999999998</v>
      </c>
      <c r="P56" s="152">
        <f t="shared" si="29"/>
        <v>3000</v>
      </c>
      <c r="Q56" s="950" t="e">
        <f t="shared" ca="1" si="30"/>
        <v>#REF!</v>
      </c>
      <c r="R56" s="14">
        <f>+DPL25Summary!N56</f>
        <v>1000</v>
      </c>
      <c r="S56" s="909">
        <f t="shared" ca="1" si="24"/>
        <v>0.36659999999999998</v>
      </c>
      <c r="T56" s="14">
        <f>+DPL25Summary!P56</f>
        <v>1000</v>
      </c>
      <c r="U56" s="301" t="e">
        <f t="shared" si="25"/>
        <v>#REF!</v>
      </c>
      <c r="V56" s="14">
        <f>+DPL25Summary!R56</f>
        <v>1000</v>
      </c>
      <c r="W56" s="301" t="e">
        <f t="shared" si="31"/>
        <v>#REF!</v>
      </c>
      <c r="X56" s="152">
        <f t="shared" si="32"/>
        <v>3000</v>
      </c>
      <c r="Y56" s="950" t="e">
        <f t="shared" si="33"/>
        <v>#REF!</v>
      </c>
      <c r="Z56" s="17"/>
      <c r="AA56" s="201"/>
      <c r="AB56" s="14"/>
      <c r="AC56" s="152">
        <f t="shared" si="26"/>
        <v>0</v>
      </c>
      <c r="AD56" s="950" t="e">
        <f t="shared" si="34"/>
        <v>#REF!</v>
      </c>
      <c r="AE56" s="15">
        <f t="shared" si="35"/>
        <v>9000</v>
      </c>
      <c r="AF56" s="12" t="e">
        <f t="shared" ca="1" si="20"/>
        <v>#REF!</v>
      </c>
      <c r="AG56" s="149"/>
      <c r="AH56" s="914"/>
      <c r="AJ56" s="142"/>
      <c r="AK56" s="142"/>
    </row>
    <row r="57" spans="1:37" s="4" customFormat="1">
      <c r="A57" s="757" t="s">
        <v>599</v>
      </c>
      <c r="B57" s="14">
        <f>+DPL25Summary!B57</f>
        <v>0</v>
      </c>
      <c r="C57" s="909">
        <f t="shared" ca="1" si="21"/>
        <v>0</v>
      </c>
      <c r="D57" s="14">
        <f>+DPL25Summary!D57</f>
        <v>0</v>
      </c>
      <c r="E57" s="909">
        <f t="shared" ca="1" si="21"/>
        <v>0</v>
      </c>
      <c r="F57" s="14">
        <f>+DPL25Summary!F57</f>
        <v>0</v>
      </c>
      <c r="G57" s="909">
        <f t="shared" ca="1" si="22"/>
        <v>0</v>
      </c>
      <c r="H57" s="152">
        <f t="shared" si="27"/>
        <v>0</v>
      </c>
      <c r="I57" s="950">
        <f t="shared" ca="1" si="28"/>
        <v>0</v>
      </c>
      <c r="J57" s="14">
        <f>+DPL25Summary!H57</f>
        <v>0</v>
      </c>
      <c r="K57" s="909">
        <f t="shared" ca="1" si="23"/>
        <v>0</v>
      </c>
      <c r="L57" s="14">
        <f>+DPL25Summary!J57</f>
        <v>0</v>
      </c>
      <c r="M57" s="909">
        <f t="shared" ca="1" si="23"/>
        <v>0</v>
      </c>
      <c r="N57" s="14">
        <f>+DPL25Summary!L57</f>
        <v>0</v>
      </c>
      <c r="O57" s="909">
        <f t="shared" ca="1" si="23"/>
        <v>0</v>
      </c>
      <c r="P57" s="152">
        <f t="shared" si="29"/>
        <v>0</v>
      </c>
      <c r="Q57" s="950" t="e">
        <f t="shared" ca="1" si="30"/>
        <v>#REF!</v>
      </c>
      <c r="R57" s="14">
        <f>+DPL25Summary!N57</f>
        <v>0</v>
      </c>
      <c r="S57" s="909">
        <f t="shared" ca="1" si="24"/>
        <v>0</v>
      </c>
      <c r="T57" s="14">
        <f>+DPL25Summary!P57</f>
        <v>0</v>
      </c>
      <c r="U57" s="301" t="e">
        <f t="shared" si="25"/>
        <v>#REF!</v>
      </c>
      <c r="V57" s="14">
        <f>+DPL25Summary!R57</f>
        <v>0</v>
      </c>
      <c r="W57" s="301" t="e">
        <f t="shared" si="31"/>
        <v>#REF!</v>
      </c>
      <c r="X57" s="152">
        <f t="shared" si="32"/>
        <v>0</v>
      </c>
      <c r="Y57" s="950" t="e">
        <f t="shared" si="33"/>
        <v>#REF!</v>
      </c>
      <c r="Z57" s="17"/>
      <c r="AA57" s="17"/>
      <c r="AB57" s="17"/>
      <c r="AC57" s="152">
        <f t="shared" si="26"/>
        <v>0</v>
      </c>
      <c r="AD57" s="950" t="e">
        <f t="shared" si="34"/>
        <v>#REF!</v>
      </c>
      <c r="AE57" s="15">
        <f t="shared" si="35"/>
        <v>0</v>
      </c>
      <c r="AF57" s="12" t="e">
        <f t="shared" ca="1" si="20"/>
        <v>#REF!</v>
      </c>
      <c r="AG57" s="149"/>
      <c r="AH57" s="914"/>
      <c r="AI57" s="150"/>
      <c r="AJ57" s="142"/>
      <c r="AK57" s="142"/>
    </row>
    <row r="58" spans="1:37" s="4" customFormat="1">
      <c r="A58" s="757" t="s">
        <v>600</v>
      </c>
      <c r="B58" s="14">
        <f>+DPL25Summary!B58</f>
        <v>50</v>
      </c>
      <c r="C58" s="909">
        <f t="shared" ca="1" si="21"/>
        <v>1.83E-2</v>
      </c>
      <c r="D58" s="14">
        <f>+DPL25Summary!D58</f>
        <v>50</v>
      </c>
      <c r="E58" s="909">
        <f t="shared" ca="1" si="21"/>
        <v>1.83E-2</v>
      </c>
      <c r="F58" s="14">
        <f>+DPL25Summary!F58</f>
        <v>50</v>
      </c>
      <c r="G58" s="909">
        <f t="shared" ca="1" si="22"/>
        <v>1.83E-2</v>
      </c>
      <c r="H58" s="152">
        <f t="shared" si="27"/>
        <v>150</v>
      </c>
      <c r="I58" s="950">
        <f t="shared" ca="1" si="28"/>
        <v>1.83E-2</v>
      </c>
      <c r="J58" s="14">
        <f>+DPL25Summary!H58</f>
        <v>50</v>
      </c>
      <c r="K58" s="909">
        <f t="shared" ca="1" si="23"/>
        <v>1.83E-2</v>
      </c>
      <c r="L58" s="14">
        <f>+DPL25Summary!J58</f>
        <v>50</v>
      </c>
      <c r="M58" s="909">
        <f t="shared" ca="1" si="23"/>
        <v>1.83E-2</v>
      </c>
      <c r="N58" s="14">
        <f>+DPL25Summary!L58</f>
        <v>50</v>
      </c>
      <c r="O58" s="909">
        <f t="shared" ca="1" si="23"/>
        <v>1.83E-2</v>
      </c>
      <c r="P58" s="152">
        <f t="shared" si="29"/>
        <v>150</v>
      </c>
      <c r="Q58" s="950" t="e">
        <f t="shared" ca="1" si="30"/>
        <v>#REF!</v>
      </c>
      <c r="R58" s="14">
        <f>+DPL25Summary!N58</f>
        <v>50</v>
      </c>
      <c r="S58" s="909">
        <f t="shared" ca="1" si="24"/>
        <v>1.83E-2</v>
      </c>
      <c r="T58" s="14">
        <f>+DPL25Summary!P58</f>
        <v>50</v>
      </c>
      <c r="U58" s="301" t="e">
        <f t="shared" si="25"/>
        <v>#REF!</v>
      </c>
      <c r="V58" s="14">
        <f>+DPL25Summary!R58</f>
        <v>50</v>
      </c>
      <c r="W58" s="301" t="e">
        <f t="shared" si="31"/>
        <v>#REF!</v>
      </c>
      <c r="X58" s="152">
        <f t="shared" si="32"/>
        <v>150</v>
      </c>
      <c r="Y58" s="950" t="e">
        <f t="shared" si="33"/>
        <v>#REF!</v>
      </c>
      <c r="Z58" s="17"/>
      <c r="AA58" s="17"/>
      <c r="AB58" s="17"/>
      <c r="AC58" s="152">
        <f t="shared" si="26"/>
        <v>0</v>
      </c>
      <c r="AD58" s="950" t="e">
        <f t="shared" si="34"/>
        <v>#REF!</v>
      </c>
      <c r="AE58" s="15">
        <f t="shared" si="35"/>
        <v>450</v>
      </c>
      <c r="AF58" s="12" t="e">
        <f t="shared" ca="1" si="20"/>
        <v>#REF!</v>
      </c>
      <c r="AG58" s="149"/>
      <c r="AJ58" s="142"/>
      <c r="AK58" s="142"/>
    </row>
    <row r="59" spans="1:37" s="4" customFormat="1">
      <c r="A59" s="932" t="s">
        <v>601</v>
      </c>
      <c r="B59" s="14">
        <f>+DPL25Summary!B59</f>
        <v>0</v>
      </c>
      <c r="C59" s="909">
        <f t="shared" ca="1" si="21"/>
        <v>0</v>
      </c>
      <c r="D59" s="14">
        <f>+DPL25Summary!D59</f>
        <v>0</v>
      </c>
      <c r="E59" s="909">
        <f t="shared" ca="1" si="21"/>
        <v>0</v>
      </c>
      <c r="F59" s="14">
        <f>+DPL25Summary!F59</f>
        <v>0</v>
      </c>
      <c r="G59" s="909">
        <f t="shared" ca="1" si="22"/>
        <v>0</v>
      </c>
      <c r="H59" s="152">
        <f t="shared" si="27"/>
        <v>0</v>
      </c>
      <c r="I59" s="950">
        <f t="shared" ca="1" si="28"/>
        <v>0</v>
      </c>
      <c r="J59" s="14">
        <f>+DPL25Summary!H59</f>
        <v>0</v>
      </c>
      <c r="K59" s="909">
        <f t="shared" ca="1" si="23"/>
        <v>0</v>
      </c>
      <c r="L59" s="14">
        <f>+DPL25Summary!J59</f>
        <v>0</v>
      </c>
      <c r="M59" s="909">
        <f t="shared" ca="1" si="23"/>
        <v>0</v>
      </c>
      <c r="N59" s="14">
        <f>+DPL25Summary!L59</f>
        <v>0</v>
      </c>
      <c r="O59" s="909">
        <f t="shared" ca="1" si="23"/>
        <v>0</v>
      </c>
      <c r="P59" s="152">
        <f t="shared" si="29"/>
        <v>0</v>
      </c>
      <c r="Q59" s="950" t="e">
        <f t="shared" ca="1" si="30"/>
        <v>#REF!</v>
      </c>
      <c r="R59" s="14">
        <f>+DPL25Summary!N59</f>
        <v>0</v>
      </c>
      <c r="S59" s="909">
        <f t="shared" ca="1" si="24"/>
        <v>0</v>
      </c>
      <c r="T59" s="14">
        <f>+DPL25Summary!P59</f>
        <v>0</v>
      </c>
      <c r="U59" s="301" t="e">
        <f t="shared" si="25"/>
        <v>#REF!</v>
      </c>
      <c r="V59" s="14">
        <f>+DPL25Summary!R59</f>
        <v>0</v>
      </c>
      <c r="W59" s="301" t="e">
        <f t="shared" si="31"/>
        <v>#REF!</v>
      </c>
      <c r="X59" s="152">
        <f t="shared" si="32"/>
        <v>0</v>
      </c>
      <c r="Y59" s="950" t="e">
        <f t="shared" si="33"/>
        <v>#REF!</v>
      </c>
      <c r="Z59" s="17"/>
      <c r="AA59" s="17"/>
      <c r="AB59" s="14"/>
      <c r="AC59" s="152">
        <f t="shared" si="26"/>
        <v>0</v>
      </c>
      <c r="AD59" s="950" t="e">
        <f t="shared" si="34"/>
        <v>#REF!</v>
      </c>
      <c r="AE59" s="15">
        <f t="shared" si="35"/>
        <v>0</v>
      </c>
      <c r="AF59" s="12" t="e">
        <f t="shared" ca="1" si="20"/>
        <v>#REF!</v>
      </c>
      <c r="AG59" s="149"/>
      <c r="AJ59" s="142"/>
      <c r="AK59" s="142"/>
    </row>
    <row r="60" spans="1:37" s="4" customFormat="1">
      <c r="A60" s="932" t="s">
        <v>602</v>
      </c>
      <c r="B60" s="14">
        <f>+DPL25Summary!B60</f>
        <v>0</v>
      </c>
      <c r="C60" s="909">
        <f t="shared" ca="1" si="21"/>
        <v>0</v>
      </c>
      <c r="D60" s="14">
        <f>+DPL25Summary!D60</f>
        <v>0</v>
      </c>
      <c r="E60" s="909">
        <f t="shared" ca="1" si="21"/>
        <v>0</v>
      </c>
      <c r="F60" s="14">
        <f>+DPL25Summary!F60</f>
        <v>0</v>
      </c>
      <c r="G60" s="909">
        <f t="shared" ca="1" si="22"/>
        <v>0</v>
      </c>
      <c r="H60" s="152">
        <f t="shared" si="27"/>
        <v>0</v>
      </c>
      <c r="I60" s="950">
        <f t="shared" ca="1" si="28"/>
        <v>0</v>
      </c>
      <c r="J60" s="14">
        <f>+DPL25Summary!H60</f>
        <v>0</v>
      </c>
      <c r="K60" s="909">
        <f t="shared" ca="1" si="23"/>
        <v>0</v>
      </c>
      <c r="L60" s="14">
        <f>+DPL25Summary!J60</f>
        <v>0</v>
      </c>
      <c r="M60" s="909">
        <f t="shared" ca="1" si="23"/>
        <v>0</v>
      </c>
      <c r="N60" s="14">
        <f>+DPL25Summary!L60</f>
        <v>0</v>
      </c>
      <c r="O60" s="909">
        <f t="shared" ca="1" si="23"/>
        <v>0</v>
      </c>
      <c r="P60" s="152">
        <f t="shared" si="29"/>
        <v>0</v>
      </c>
      <c r="Q60" s="950" t="e">
        <f t="shared" ca="1" si="30"/>
        <v>#REF!</v>
      </c>
      <c r="R60" s="14">
        <f>+DPL25Summary!N60</f>
        <v>0</v>
      </c>
      <c r="S60" s="909">
        <f t="shared" ca="1" si="24"/>
        <v>0</v>
      </c>
      <c r="T60" s="14">
        <f>+DPL25Summary!P60</f>
        <v>0</v>
      </c>
      <c r="U60" s="301" t="e">
        <f t="shared" si="25"/>
        <v>#REF!</v>
      </c>
      <c r="V60" s="14">
        <f>+DPL25Summary!R60</f>
        <v>0</v>
      </c>
      <c r="W60" s="301" t="e">
        <f t="shared" si="31"/>
        <v>#REF!</v>
      </c>
      <c r="X60" s="152">
        <f t="shared" si="32"/>
        <v>0</v>
      </c>
      <c r="Y60" s="950" t="e">
        <f t="shared" si="33"/>
        <v>#REF!</v>
      </c>
      <c r="Z60" s="375"/>
      <c r="AA60" s="17"/>
      <c r="AB60" s="17"/>
      <c r="AC60" s="152">
        <f t="shared" si="26"/>
        <v>0</v>
      </c>
      <c r="AD60" s="950" t="e">
        <f t="shared" si="34"/>
        <v>#REF!</v>
      </c>
      <c r="AE60" s="15">
        <f t="shared" si="35"/>
        <v>0</v>
      </c>
      <c r="AF60" s="12" t="e">
        <f t="shared" ca="1" si="20"/>
        <v>#REF!</v>
      </c>
      <c r="AG60" s="223"/>
      <c r="AJ60" s="142"/>
      <c r="AK60" s="142"/>
    </row>
    <row r="61" spans="1:37" s="4" customFormat="1">
      <c r="A61" s="932" t="s">
        <v>603</v>
      </c>
      <c r="B61" s="14">
        <f>+DPL25Summary!B61</f>
        <v>0</v>
      </c>
      <c r="C61" s="909">
        <f t="shared" ca="1" si="21"/>
        <v>0</v>
      </c>
      <c r="D61" s="14">
        <f>+DPL25Summary!D61</f>
        <v>0</v>
      </c>
      <c r="E61" s="909">
        <f t="shared" ca="1" si="21"/>
        <v>0</v>
      </c>
      <c r="F61" s="14">
        <f>+DPL25Summary!F61</f>
        <v>0</v>
      </c>
      <c r="G61" s="909">
        <f t="shared" ca="1" si="22"/>
        <v>0</v>
      </c>
      <c r="H61" s="152">
        <f t="shared" si="27"/>
        <v>0</v>
      </c>
      <c r="I61" s="950">
        <f t="shared" ca="1" si="28"/>
        <v>0</v>
      </c>
      <c r="J61" s="14">
        <f>+DPL25Summary!H61</f>
        <v>0</v>
      </c>
      <c r="K61" s="909">
        <f t="shared" ca="1" si="23"/>
        <v>0</v>
      </c>
      <c r="L61" s="14">
        <f>+DPL25Summary!J61</f>
        <v>0</v>
      </c>
      <c r="M61" s="909">
        <f t="shared" ca="1" si="23"/>
        <v>0</v>
      </c>
      <c r="N61" s="14">
        <f>+DPL25Summary!L61</f>
        <v>0</v>
      </c>
      <c r="O61" s="909">
        <f t="shared" ca="1" si="23"/>
        <v>0</v>
      </c>
      <c r="P61" s="152">
        <f t="shared" si="29"/>
        <v>0</v>
      </c>
      <c r="Q61" s="950" t="e">
        <f t="shared" ca="1" si="30"/>
        <v>#REF!</v>
      </c>
      <c r="R61" s="14">
        <f>+DPL25Summary!N61</f>
        <v>0</v>
      </c>
      <c r="S61" s="909">
        <f t="shared" ca="1" si="24"/>
        <v>0</v>
      </c>
      <c r="T61" s="14">
        <f>+DPL25Summary!P61</f>
        <v>0</v>
      </c>
      <c r="U61" s="301" t="e">
        <f t="shared" si="25"/>
        <v>#REF!</v>
      </c>
      <c r="V61" s="14">
        <f>+DPL25Summary!R61</f>
        <v>0</v>
      </c>
      <c r="W61" s="301" t="e">
        <f t="shared" si="31"/>
        <v>#REF!</v>
      </c>
      <c r="X61" s="152">
        <f t="shared" si="32"/>
        <v>0</v>
      </c>
      <c r="Y61" s="950" t="e">
        <f t="shared" si="33"/>
        <v>#REF!</v>
      </c>
      <c r="Z61" s="17"/>
      <c r="AA61" s="17"/>
      <c r="AB61" s="14"/>
      <c r="AC61" s="152">
        <f t="shared" si="26"/>
        <v>0</v>
      </c>
      <c r="AD61" s="950" t="e">
        <f t="shared" si="34"/>
        <v>#REF!</v>
      </c>
      <c r="AE61" s="15">
        <f t="shared" si="35"/>
        <v>0</v>
      </c>
      <c r="AF61" s="12" t="e">
        <f t="shared" ca="1" si="20"/>
        <v>#REF!</v>
      </c>
      <c r="AG61" s="149"/>
      <c r="AJ61" s="142"/>
      <c r="AK61" s="142"/>
    </row>
    <row r="62" spans="1:37" s="4" customFormat="1">
      <c r="A62" s="932" t="s">
        <v>604</v>
      </c>
      <c r="B62" s="14">
        <f>+DPL25Summary!B62</f>
        <v>0</v>
      </c>
      <c r="C62" s="909">
        <f t="shared" ca="1" si="21"/>
        <v>0</v>
      </c>
      <c r="D62" s="14">
        <f>+DPL25Summary!D62</f>
        <v>0</v>
      </c>
      <c r="E62" s="909">
        <f t="shared" ca="1" si="21"/>
        <v>0</v>
      </c>
      <c r="F62" s="14">
        <f>+DPL25Summary!F62</f>
        <v>0</v>
      </c>
      <c r="G62" s="909">
        <f t="shared" ca="1" si="22"/>
        <v>0</v>
      </c>
      <c r="H62" s="152">
        <f t="shared" si="27"/>
        <v>0</v>
      </c>
      <c r="I62" s="950">
        <f t="shared" ca="1" si="28"/>
        <v>0</v>
      </c>
      <c r="J62" s="14">
        <f>+DPL25Summary!H62</f>
        <v>0</v>
      </c>
      <c r="K62" s="909">
        <f t="shared" ca="1" si="23"/>
        <v>0</v>
      </c>
      <c r="L62" s="14">
        <f>+DPL25Summary!J62</f>
        <v>0</v>
      </c>
      <c r="M62" s="909">
        <f t="shared" ca="1" si="23"/>
        <v>0</v>
      </c>
      <c r="N62" s="14">
        <f>+DPL25Summary!L62</f>
        <v>0</v>
      </c>
      <c r="O62" s="909">
        <f t="shared" ca="1" si="23"/>
        <v>0</v>
      </c>
      <c r="P62" s="152">
        <f t="shared" si="29"/>
        <v>0</v>
      </c>
      <c r="Q62" s="950" t="e">
        <f t="shared" ca="1" si="30"/>
        <v>#REF!</v>
      </c>
      <c r="R62" s="14">
        <f>+DPL25Summary!N62</f>
        <v>0</v>
      </c>
      <c r="S62" s="909">
        <f t="shared" ca="1" si="24"/>
        <v>0</v>
      </c>
      <c r="T62" s="14">
        <f>+DPL25Summary!P62</f>
        <v>0</v>
      </c>
      <c r="U62" s="301" t="e">
        <f t="shared" si="25"/>
        <v>#REF!</v>
      </c>
      <c r="V62" s="14">
        <f>+DPL25Summary!R62</f>
        <v>0</v>
      </c>
      <c r="W62" s="301" t="e">
        <f t="shared" si="31"/>
        <v>#REF!</v>
      </c>
      <c r="X62" s="152">
        <f t="shared" si="32"/>
        <v>0</v>
      </c>
      <c r="Y62" s="950" t="e">
        <f t="shared" si="33"/>
        <v>#REF!</v>
      </c>
      <c r="Z62" s="17"/>
      <c r="AA62" s="17"/>
      <c r="AB62" s="14"/>
      <c r="AC62" s="152">
        <f t="shared" si="26"/>
        <v>0</v>
      </c>
      <c r="AD62" s="950" t="e">
        <f t="shared" si="34"/>
        <v>#REF!</v>
      </c>
      <c r="AE62" s="15">
        <f t="shared" si="35"/>
        <v>0</v>
      </c>
      <c r="AF62" s="12" t="e">
        <f t="shared" ca="1" si="20"/>
        <v>#REF!</v>
      </c>
      <c r="AG62" s="149"/>
      <c r="AJ62" s="142"/>
      <c r="AK62" s="142"/>
    </row>
    <row r="63" spans="1:37" s="4" customFormat="1">
      <c r="A63" s="757" t="s">
        <v>605</v>
      </c>
      <c r="B63" s="14">
        <f>+DPL25Summary!B63</f>
        <v>0</v>
      </c>
      <c r="C63" s="909">
        <f t="shared" ca="1" si="21"/>
        <v>0</v>
      </c>
      <c r="D63" s="14">
        <f>+DPL25Summary!D63</f>
        <v>0</v>
      </c>
      <c r="E63" s="909">
        <f t="shared" ca="1" si="21"/>
        <v>0</v>
      </c>
      <c r="F63" s="14">
        <f>+DPL25Summary!F63</f>
        <v>0</v>
      </c>
      <c r="G63" s="909">
        <f t="shared" ca="1" si="22"/>
        <v>0</v>
      </c>
      <c r="H63" s="152">
        <f t="shared" si="27"/>
        <v>0</v>
      </c>
      <c r="I63" s="950">
        <f t="shared" ca="1" si="28"/>
        <v>0</v>
      </c>
      <c r="J63" s="14">
        <f>+DPL25Summary!H63</f>
        <v>0</v>
      </c>
      <c r="K63" s="909">
        <f t="shared" ca="1" si="23"/>
        <v>0</v>
      </c>
      <c r="L63" s="14">
        <f>+DPL25Summary!J63</f>
        <v>0</v>
      </c>
      <c r="M63" s="909">
        <f t="shared" ca="1" si="23"/>
        <v>0</v>
      </c>
      <c r="N63" s="14">
        <f>+DPL25Summary!L63</f>
        <v>0</v>
      </c>
      <c r="O63" s="909">
        <f t="shared" ca="1" si="23"/>
        <v>0</v>
      </c>
      <c r="P63" s="152">
        <f t="shared" si="29"/>
        <v>0</v>
      </c>
      <c r="Q63" s="950" t="e">
        <f t="shared" ca="1" si="30"/>
        <v>#REF!</v>
      </c>
      <c r="R63" s="14">
        <f>+DPL25Summary!N63</f>
        <v>0</v>
      </c>
      <c r="S63" s="909">
        <f t="shared" ca="1" si="24"/>
        <v>0</v>
      </c>
      <c r="T63" s="14">
        <f>+DPL25Summary!P63</f>
        <v>0</v>
      </c>
      <c r="U63" s="301" t="e">
        <f t="shared" si="25"/>
        <v>#REF!</v>
      </c>
      <c r="V63" s="14">
        <f>+DPL25Summary!R63</f>
        <v>0</v>
      </c>
      <c r="W63" s="301" t="e">
        <f t="shared" si="31"/>
        <v>#REF!</v>
      </c>
      <c r="X63" s="152">
        <f t="shared" si="32"/>
        <v>0</v>
      </c>
      <c r="Y63" s="950" t="e">
        <f t="shared" si="33"/>
        <v>#REF!</v>
      </c>
      <c r="Z63" s="17"/>
      <c r="AA63" s="17"/>
      <c r="AB63" s="14"/>
      <c r="AC63" s="152">
        <f t="shared" si="26"/>
        <v>0</v>
      </c>
      <c r="AD63" s="950" t="e">
        <f t="shared" si="34"/>
        <v>#REF!</v>
      </c>
      <c r="AE63" s="15">
        <f t="shared" si="35"/>
        <v>0</v>
      </c>
      <c r="AF63" s="12" t="e">
        <f t="shared" ca="1" si="20"/>
        <v>#REF!</v>
      </c>
      <c r="AG63" s="149"/>
      <c r="AJ63" s="142"/>
      <c r="AK63" s="142"/>
    </row>
    <row r="64" spans="1:37" s="4" customFormat="1">
      <c r="A64" s="932" t="s">
        <v>606</v>
      </c>
      <c r="B64" s="14">
        <f>+DPL25Summary!B64</f>
        <v>0</v>
      </c>
      <c r="C64" s="909">
        <f t="shared" ca="1" si="21"/>
        <v>0</v>
      </c>
      <c r="D64" s="14">
        <f>+DPL25Summary!D64</f>
        <v>0</v>
      </c>
      <c r="E64" s="909">
        <f t="shared" ca="1" si="21"/>
        <v>0</v>
      </c>
      <c r="F64" s="14">
        <f>+DPL25Summary!F64</f>
        <v>0</v>
      </c>
      <c r="G64" s="909">
        <f t="shared" ca="1" si="22"/>
        <v>0</v>
      </c>
      <c r="H64" s="152">
        <f t="shared" si="27"/>
        <v>0</v>
      </c>
      <c r="I64" s="950">
        <f t="shared" ca="1" si="28"/>
        <v>0</v>
      </c>
      <c r="J64" s="14">
        <f>+DPL25Summary!H64</f>
        <v>0</v>
      </c>
      <c r="K64" s="909">
        <f t="shared" ca="1" si="23"/>
        <v>0</v>
      </c>
      <c r="L64" s="14">
        <f>+DPL25Summary!J64</f>
        <v>0</v>
      </c>
      <c r="M64" s="909">
        <f t="shared" ca="1" si="23"/>
        <v>0</v>
      </c>
      <c r="N64" s="14">
        <f>+DPL25Summary!L64</f>
        <v>0</v>
      </c>
      <c r="O64" s="909">
        <f t="shared" ca="1" si="23"/>
        <v>0</v>
      </c>
      <c r="P64" s="152">
        <f t="shared" si="29"/>
        <v>0</v>
      </c>
      <c r="Q64" s="950" t="e">
        <f t="shared" ca="1" si="30"/>
        <v>#REF!</v>
      </c>
      <c r="R64" s="14">
        <f>+DPL25Summary!N64</f>
        <v>0</v>
      </c>
      <c r="S64" s="909">
        <f t="shared" ca="1" si="24"/>
        <v>0</v>
      </c>
      <c r="T64" s="14">
        <f>+DPL25Summary!P64</f>
        <v>0</v>
      </c>
      <c r="U64" s="301" t="e">
        <f t="shared" si="25"/>
        <v>#REF!</v>
      </c>
      <c r="V64" s="14">
        <f>+DPL25Summary!R64</f>
        <v>0</v>
      </c>
      <c r="W64" s="301" t="e">
        <f t="shared" si="31"/>
        <v>#REF!</v>
      </c>
      <c r="X64" s="152">
        <f t="shared" si="32"/>
        <v>0</v>
      </c>
      <c r="Y64" s="950" t="e">
        <f t="shared" si="33"/>
        <v>#REF!</v>
      </c>
      <c r="Z64" s="152"/>
      <c r="AA64" s="375"/>
      <c r="AB64" s="14"/>
      <c r="AC64" s="152">
        <f t="shared" si="26"/>
        <v>0</v>
      </c>
      <c r="AD64" s="950" t="e">
        <f t="shared" si="34"/>
        <v>#REF!</v>
      </c>
      <c r="AE64" s="15">
        <f t="shared" si="35"/>
        <v>0</v>
      </c>
      <c r="AF64" s="12" t="e">
        <f t="shared" ca="1" si="20"/>
        <v>#REF!</v>
      </c>
      <c r="AG64" s="149"/>
      <c r="AJ64" s="142"/>
      <c r="AK64" s="142"/>
    </row>
    <row r="65" spans="1:37" s="4" customFormat="1">
      <c r="A65" s="198" t="s">
        <v>607</v>
      </c>
      <c r="B65" s="14">
        <f>+DPL25Summary!B65</f>
        <v>0</v>
      </c>
      <c r="C65" s="909">
        <f t="shared" ca="1" si="21"/>
        <v>0</v>
      </c>
      <c r="D65" s="14">
        <f>+DPL25Summary!D65</f>
        <v>0</v>
      </c>
      <c r="E65" s="909">
        <f t="shared" ca="1" si="21"/>
        <v>0</v>
      </c>
      <c r="F65" s="14">
        <f>+DPL25Summary!F65</f>
        <v>0</v>
      </c>
      <c r="G65" s="909">
        <f t="shared" ca="1" si="22"/>
        <v>0</v>
      </c>
      <c r="H65" s="152">
        <f t="shared" si="27"/>
        <v>0</v>
      </c>
      <c r="I65" s="950">
        <f t="shared" ca="1" si="28"/>
        <v>0</v>
      </c>
      <c r="J65" s="14">
        <f>+DPL25Summary!H65</f>
        <v>0</v>
      </c>
      <c r="K65" s="909">
        <f t="shared" ca="1" si="23"/>
        <v>0</v>
      </c>
      <c r="L65" s="14">
        <f>+DPL25Summary!J65</f>
        <v>0</v>
      </c>
      <c r="M65" s="909">
        <f t="shared" ca="1" si="23"/>
        <v>0</v>
      </c>
      <c r="N65" s="14">
        <f>+DPL25Summary!L65</f>
        <v>0</v>
      </c>
      <c r="O65" s="909">
        <f t="shared" ca="1" si="23"/>
        <v>0</v>
      </c>
      <c r="P65" s="152">
        <f t="shared" si="29"/>
        <v>0</v>
      </c>
      <c r="Q65" s="950" t="e">
        <f t="shared" ca="1" si="30"/>
        <v>#REF!</v>
      </c>
      <c r="R65" s="14">
        <f>+DPL25Summary!N65</f>
        <v>0</v>
      </c>
      <c r="S65" s="909">
        <f t="shared" ca="1" si="24"/>
        <v>0</v>
      </c>
      <c r="T65" s="14">
        <f>+DPL25Summary!P65</f>
        <v>0</v>
      </c>
      <c r="U65" s="301" t="e">
        <f t="shared" si="25"/>
        <v>#REF!</v>
      </c>
      <c r="V65" s="14">
        <f>+DPL25Summary!R65</f>
        <v>0</v>
      </c>
      <c r="W65" s="301" t="e">
        <f t="shared" si="31"/>
        <v>#REF!</v>
      </c>
      <c r="X65" s="152">
        <f t="shared" si="32"/>
        <v>0</v>
      </c>
      <c r="Y65" s="950" t="e">
        <f t="shared" si="33"/>
        <v>#REF!</v>
      </c>
      <c r="Z65" s="14"/>
      <c r="AA65" s="17"/>
      <c r="AB65" s="14"/>
      <c r="AC65" s="152">
        <f t="shared" si="26"/>
        <v>0</v>
      </c>
      <c r="AD65" s="950" t="e">
        <f t="shared" si="34"/>
        <v>#REF!</v>
      </c>
      <c r="AE65" s="15">
        <f t="shared" si="35"/>
        <v>0</v>
      </c>
      <c r="AF65" s="12" t="e">
        <f t="shared" ca="1" si="20"/>
        <v>#REF!</v>
      </c>
      <c r="AG65" s="149"/>
      <c r="AH65" s="14"/>
      <c r="AJ65" s="142"/>
      <c r="AK65" s="142"/>
    </row>
    <row r="66" spans="1:37" s="4" customFormat="1">
      <c r="A66" s="757" t="s">
        <v>608</v>
      </c>
      <c r="B66" s="14">
        <f>+DPL25Summary!B66</f>
        <v>0</v>
      </c>
      <c r="C66" s="909">
        <f t="shared" ca="1" si="21"/>
        <v>0</v>
      </c>
      <c r="D66" s="14">
        <f>+DPL25Summary!D66</f>
        <v>0</v>
      </c>
      <c r="E66" s="909">
        <f t="shared" ca="1" si="21"/>
        <v>0</v>
      </c>
      <c r="F66" s="14">
        <f>+DPL25Summary!F66</f>
        <v>0</v>
      </c>
      <c r="G66" s="909">
        <f t="shared" ca="1" si="22"/>
        <v>0</v>
      </c>
      <c r="H66" s="152">
        <f t="shared" si="27"/>
        <v>0</v>
      </c>
      <c r="I66" s="950">
        <f t="shared" ca="1" si="28"/>
        <v>0</v>
      </c>
      <c r="J66" s="14">
        <f>+DPL25Summary!H66</f>
        <v>0</v>
      </c>
      <c r="K66" s="909">
        <f t="shared" ca="1" si="23"/>
        <v>0</v>
      </c>
      <c r="L66" s="14">
        <f>+DPL25Summary!J66</f>
        <v>0</v>
      </c>
      <c r="M66" s="909">
        <f t="shared" ca="1" si="23"/>
        <v>0</v>
      </c>
      <c r="N66" s="14">
        <f>+DPL25Summary!L66</f>
        <v>0</v>
      </c>
      <c r="O66" s="909">
        <f t="shared" ca="1" si="23"/>
        <v>0</v>
      </c>
      <c r="P66" s="152">
        <f t="shared" si="29"/>
        <v>0</v>
      </c>
      <c r="Q66" s="950" t="e">
        <f t="shared" ca="1" si="30"/>
        <v>#REF!</v>
      </c>
      <c r="R66" s="14">
        <f>+DPL25Summary!N66</f>
        <v>0</v>
      </c>
      <c r="S66" s="909">
        <f t="shared" ca="1" si="24"/>
        <v>0</v>
      </c>
      <c r="T66" s="14">
        <f>+DPL25Summary!P66</f>
        <v>0</v>
      </c>
      <c r="U66" s="301" t="e">
        <f t="shared" si="25"/>
        <v>#REF!</v>
      </c>
      <c r="V66" s="14">
        <f>+DPL25Summary!R66</f>
        <v>0</v>
      </c>
      <c r="W66" s="301" t="e">
        <f t="shared" si="31"/>
        <v>#REF!</v>
      </c>
      <c r="X66" s="152">
        <f t="shared" si="32"/>
        <v>0</v>
      </c>
      <c r="Y66" s="950" t="e">
        <f t="shared" si="33"/>
        <v>#REF!</v>
      </c>
      <c r="Z66" s="17"/>
      <c r="AA66" s="17"/>
      <c r="AB66" s="14"/>
      <c r="AC66" s="152">
        <f t="shared" si="26"/>
        <v>0</v>
      </c>
      <c r="AD66" s="950" t="e">
        <f t="shared" si="34"/>
        <v>#REF!</v>
      </c>
      <c r="AE66" s="15">
        <f t="shared" si="35"/>
        <v>0</v>
      </c>
      <c r="AF66" s="12" t="e">
        <f t="shared" ca="1" si="20"/>
        <v>#REF!</v>
      </c>
      <c r="AG66" s="149"/>
      <c r="AH66" s="14"/>
      <c r="AJ66" s="142"/>
      <c r="AK66" s="142"/>
    </row>
    <row r="67" spans="1:37" s="4" customFormat="1">
      <c r="A67" t="s">
        <v>609</v>
      </c>
      <c r="B67" s="14">
        <f>+DPL25Summary!B67</f>
        <v>0</v>
      </c>
      <c r="C67" s="909">
        <f t="shared" ca="1" si="21"/>
        <v>0</v>
      </c>
      <c r="D67" s="14">
        <f>+DPL25Summary!D67</f>
        <v>0</v>
      </c>
      <c r="E67" s="909">
        <f t="shared" ca="1" si="21"/>
        <v>0</v>
      </c>
      <c r="F67" s="14">
        <f>+DPL25Summary!F67</f>
        <v>0</v>
      </c>
      <c r="G67" s="909">
        <f t="shared" ca="1" si="22"/>
        <v>0</v>
      </c>
      <c r="H67" s="152">
        <f t="shared" si="27"/>
        <v>0</v>
      </c>
      <c r="I67" s="950">
        <f t="shared" ca="1" si="28"/>
        <v>0</v>
      </c>
      <c r="J67" s="14">
        <f>+DPL25Summary!H67</f>
        <v>0</v>
      </c>
      <c r="K67" s="909">
        <f t="shared" ca="1" si="23"/>
        <v>0</v>
      </c>
      <c r="L67" s="14">
        <f>+DPL25Summary!J67</f>
        <v>0</v>
      </c>
      <c r="M67" s="909">
        <f t="shared" ca="1" si="23"/>
        <v>0</v>
      </c>
      <c r="N67" s="14">
        <f>+DPL25Summary!L67</f>
        <v>0</v>
      </c>
      <c r="O67" s="909">
        <f t="shared" ca="1" si="23"/>
        <v>0</v>
      </c>
      <c r="P67" s="152">
        <f t="shared" si="29"/>
        <v>0</v>
      </c>
      <c r="Q67" s="950" t="e">
        <f t="shared" ca="1" si="30"/>
        <v>#REF!</v>
      </c>
      <c r="R67" s="14">
        <f>+DPL25Summary!N67</f>
        <v>0</v>
      </c>
      <c r="S67" s="909">
        <f t="shared" ca="1" si="24"/>
        <v>0</v>
      </c>
      <c r="T67" s="14">
        <f>+DPL25Summary!P67</f>
        <v>0</v>
      </c>
      <c r="U67" s="301" t="e">
        <f t="shared" si="25"/>
        <v>#REF!</v>
      </c>
      <c r="V67" s="14">
        <f>+DPL25Summary!R67</f>
        <v>0</v>
      </c>
      <c r="W67" s="301" t="e">
        <f t="shared" si="31"/>
        <v>#REF!</v>
      </c>
      <c r="X67" s="152">
        <f t="shared" si="32"/>
        <v>0</v>
      </c>
      <c r="Y67" s="950" t="e">
        <f t="shared" si="33"/>
        <v>#REF!</v>
      </c>
      <c r="Z67" s="17"/>
      <c r="AA67" s="17"/>
      <c r="AB67" s="14"/>
      <c r="AC67" s="152">
        <f t="shared" si="26"/>
        <v>0</v>
      </c>
      <c r="AD67" s="950" t="e">
        <f t="shared" si="34"/>
        <v>#REF!</v>
      </c>
      <c r="AE67" s="15">
        <f t="shared" si="35"/>
        <v>0</v>
      </c>
      <c r="AF67" s="12" t="e">
        <f t="shared" ca="1" si="20"/>
        <v>#REF!</v>
      </c>
      <c r="AG67" s="149"/>
      <c r="AH67" s="14"/>
      <c r="AJ67" s="142"/>
      <c r="AK67" s="142"/>
    </row>
    <row r="68" spans="1:37" s="4" customFormat="1">
      <c r="A68" s="198" t="s">
        <v>610</v>
      </c>
      <c r="B68" s="14">
        <f>+DPL25Summary!B68</f>
        <v>0</v>
      </c>
      <c r="C68" s="909">
        <f t="shared" ca="1" si="21"/>
        <v>0</v>
      </c>
      <c r="D68" s="14">
        <f>+DPL25Summary!D68</f>
        <v>0</v>
      </c>
      <c r="E68" s="909">
        <f t="shared" ca="1" si="21"/>
        <v>0</v>
      </c>
      <c r="F68" s="14">
        <f>+DPL25Summary!F68</f>
        <v>0</v>
      </c>
      <c r="G68" s="909">
        <f t="shared" ca="1" si="22"/>
        <v>0</v>
      </c>
      <c r="H68" s="152">
        <f t="shared" si="27"/>
        <v>0</v>
      </c>
      <c r="I68" s="950">
        <f t="shared" ca="1" si="28"/>
        <v>0</v>
      </c>
      <c r="J68" s="14">
        <f>+DPL25Summary!H68</f>
        <v>0</v>
      </c>
      <c r="K68" s="909">
        <f t="shared" ca="1" si="23"/>
        <v>0</v>
      </c>
      <c r="L68" s="14">
        <f>+DPL25Summary!J68</f>
        <v>0</v>
      </c>
      <c r="M68" s="909">
        <f t="shared" ca="1" si="23"/>
        <v>0</v>
      </c>
      <c r="N68" s="14">
        <f>+DPL25Summary!L68</f>
        <v>0</v>
      </c>
      <c r="O68" s="909">
        <f t="shared" ca="1" si="23"/>
        <v>0</v>
      </c>
      <c r="P68" s="152">
        <f t="shared" si="29"/>
        <v>0</v>
      </c>
      <c r="Q68" s="950" t="e">
        <f t="shared" ca="1" si="30"/>
        <v>#REF!</v>
      </c>
      <c r="R68" s="14">
        <f>+DPL25Summary!N68</f>
        <v>0</v>
      </c>
      <c r="S68" s="909">
        <f t="shared" ca="1" si="24"/>
        <v>0</v>
      </c>
      <c r="T68" s="14">
        <f>+DPL25Summary!P68</f>
        <v>0</v>
      </c>
      <c r="U68" s="301" t="e">
        <f t="shared" si="25"/>
        <v>#REF!</v>
      </c>
      <c r="V68" s="14">
        <f>+DPL25Summary!R68</f>
        <v>0</v>
      </c>
      <c r="W68" s="301" t="e">
        <f t="shared" si="31"/>
        <v>#REF!</v>
      </c>
      <c r="X68" s="152">
        <f t="shared" si="32"/>
        <v>0</v>
      </c>
      <c r="Y68" s="950" t="e">
        <f t="shared" si="33"/>
        <v>#REF!</v>
      </c>
      <c r="Z68" s="17"/>
      <c r="AA68" s="17"/>
      <c r="AB68" s="14"/>
      <c r="AC68" s="152">
        <f t="shared" si="26"/>
        <v>0</v>
      </c>
      <c r="AD68" s="950" t="e">
        <f t="shared" si="34"/>
        <v>#REF!</v>
      </c>
      <c r="AE68" s="15">
        <f t="shared" si="35"/>
        <v>0</v>
      </c>
      <c r="AF68" s="12" t="e">
        <f t="shared" ca="1" si="20"/>
        <v>#REF!</v>
      </c>
      <c r="AG68" s="149"/>
      <c r="AH68" s="14"/>
      <c r="AJ68" s="142"/>
      <c r="AK68" s="142"/>
    </row>
    <row r="69" spans="1:37" s="4" customFormat="1">
      <c r="A69" s="757" t="s">
        <v>611</v>
      </c>
      <c r="B69" s="14">
        <f>+DPL25Summary!B69</f>
        <v>0</v>
      </c>
      <c r="C69" s="909">
        <f t="shared" ca="1" si="21"/>
        <v>0</v>
      </c>
      <c r="D69" s="14">
        <f>+DPL25Summary!D69</f>
        <v>0</v>
      </c>
      <c r="E69" s="909">
        <f t="shared" ca="1" si="21"/>
        <v>0</v>
      </c>
      <c r="F69" s="14">
        <f>+DPL25Summary!F69</f>
        <v>0</v>
      </c>
      <c r="G69" s="909">
        <f t="shared" ca="1" si="22"/>
        <v>0</v>
      </c>
      <c r="H69" s="152">
        <f t="shared" si="27"/>
        <v>0</v>
      </c>
      <c r="I69" s="950">
        <f t="shared" ca="1" si="28"/>
        <v>0</v>
      </c>
      <c r="J69" s="14">
        <f>+DPL25Summary!H69</f>
        <v>0</v>
      </c>
      <c r="K69" s="909">
        <f t="shared" ca="1" si="23"/>
        <v>0</v>
      </c>
      <c r="L69" s="14">
        <f>+DPL25Summary!J69</f>
        <v>0</v>
      </c>
      <c r="M69" s="909">
        <f t="shared" ca="1" si="23"/>
        <v>0</v>
      </c>
      <c r="N69" s="14">
        <f>+DPL25Summary!L69</f>
        <v>0</v>
      </c>
      <c r="O69" s="909">
        <f t="shared" ca="1" si="23"/>
        <v>0</v>
      </c>
      <c r="P69" s="152">
        <f t="shared" si="29"/>
        <v>0</v>
      </c>
      <c r="Q69" s="950" t="e">
        <f t="shared" ca="1" si="30"/>
        <v>#REF!</v>
      </c>
      <c r="R69" s="14">
        <f>+DPL25Summary!N69</f>
        <v>0</v>
      </c>
      <c r="S69" s="909">
        <f t="shared" ca="1" si="24"/>
        <v>0</v>
      </c>
      <c r="T69" s="14">
        <f>+DPL25Summary!P69</f>
        <v>0</v>
      </c>
      <c r="U69" s="301" t="e">
        <f t="shared" si="25"/>
        <v>#REF!</v>
      </c>
      <c r="V69" s="14">
        <f>+DPL25Summary!R69</f>
        <v>0</v>
      </c>
      <c r="W69" s="301" t="e">
        <f t="shared" si="31"/>
        <v>#REF!</v>
      </c>
      <c r="X69" s="152">
        <f t="shared" si="32"/>
        <v>0</v>
      </c>
      <c r="Y69" s="950" t="e">
        <f t="shared" si="33"/>
        <v>#REF!</v>
      </c>
      <c r="Z69" s="17"/>
      <c r="AA69" s="17"/>
      <c r="AB69" s="14"/>
      <c r="AC69" s="152">
        <f t="shared" si="26"/>
        <v>0</v>
      </c>
      <c r="AD69" s="950" t="e">
        <f t="shared" si="34"/>
        <v>#REF!</v>
      </c>
      <c r="AE69" s="15">
        <f t="shared" si="35"/>
        <v>0</v>
      </c>
      <c r="AF69" s="12" t="e">
        <f t="shared" ca="1" si="20"/>
        <v>#REF!</v>
      </c>
      <c r="AG69" s="149"/>
      <c r="AH69" s="14"/>
      <c r="AJ69" s="142"/>
      <c r="AK69" s="142"/>
    </row>
    <row r="70" spans="1:37" s="4" customFormat="1">
      <c r="A70" s="933" t="s">
        <v>612</v>
      </c>
      <c r="B70" s="14">
        <f>+DPL25Summary!B70</f>
        <v>0</v>
      </c>
      <c r="C70" s="909">
        <f t="shared" ca="1" si="21"/>
        <v>0</v>
      </c>
      <c r="D70" s="14">
        <f>+DPL25Summary!D70</f>
        <v>0</v>
      </c>
      <c r="E70" s="909">
        <f t="shared" ca="1" si="21"/>
        <v>0</v>
      </c>
      <c r="F70" s="14">
        <f>+DPL25Summary!F70</f>
        <v>0</v>
      </c>
      <c r="G70" s="909">
        <f t="shared" ca="1" si="22"/>
        <v>0</v>
      </c>
      <c r="H70" s="152">
        <f t="shared" si="27"/>
        <v>0</v>
      </c>
      <c r="I70" s="950">
        <f t="shared" ca="1" si="28"/>
        <v>0</v>
      </c>
      <c r="J70" s="14">
        <f>+DPL25Summary!H70</f>
        <v>0</v>
      </c>
      <c r="K70" s="909">
        <f t="shared" ca="1" si="23"/>
        <v>0</v>
      </c>
      <c r="L70" s="14">
        <f>+DPL25Summary!J70</f>
        <v>0</v>
      </c>
      <c r="M70" s="909">
        <f t="shared" ca="1" si="23"/>
        <v>0</v>
      </c>
      <c r="N70" s="14">
        <f>+DPL25Summary!L70</f>
        <v>0</v>
      </c>
      <c r="O70" s="909">
        <f t="shared" ca="1" si="23"/>
        <v>0</v>
      </c>
      <c r="P70" s="152">
        <f t="shared" si="29"/>
        <v>0</v>
      </c>
      <c r="Q70" s="950" t="e">
        <f t="shared" ca="1" si="30"/>
        <v>#REF!</v>
      </c>
      <c r="R70" s="14">
        <f>+DPL25Summary!N70</f>
        <v>0</v>
      </c>
      <c r="S70" s="909">
        <f t="shared" ca="1" si="24"/>
        <v>0</v>
      </c>
      <c r="T70" s="14">
        <f>+DPL25Summary!P70</f>
        <v>0</v>
      </c>
      <c r="U70" s="301" t="e">
        <f t="shared" si="25"/>
        <v>#REF!</v>
      </c>
      <c r="V70" s="14">
        <f>+DPL25Summary!R70</f>
        <v>0</v>
      </c>
      <c r="W70" s="301" t="e">
        <f t="shared" si="31"/>
        <v>#REF!</v>
      </c>
      <c r="X70" s="152">
        <f t="shared" si="32"/>
        <v>0</v>
      </c>
      <c r="Y70" s="950" t="e">
        <f t="shared" si="33"/>
        <v>#REF!</v>
      </c>
      <c r="Z70" s="17"/>
      <c r="AA70" s="400"/>
      <c r="AB70" s="14"/>
      <c r="AC70" s="152">
        <f t="shared" si="26"/>
        <v>0</v>
      </c>
      <c r="AD70" s="950" t="e">
        <f t="shared" si="34"/>
        <v>#REF!</v>
      </c>
      <c r="AE70" s="15">
        <f t="shared" si="35"/>
        <v>0</v>
      </c>
      <c r="AF70" s="12" t="e">
        <f t="shared" ca="1" si="20"/>
        <v>#REF!</v>
      </c>
      <c r="AG70" s="149"/>
      <c r="AH70" s="14"/>
      <c r="AJ70" s="142"/>
      <c r="AK70" s="142"/>
    </row>
    <row r="71" spans="1:37">
      <c r="A71" s="757"/>
      <c r="B71" s="14"/>
      <c r="C71" s="909">
        <f t="shared" ca="1" si="21"/>
        <v>0</v>
      </c>
      <c r="D71" s="14"/>
      <c r="E71" s="909">
        <f t="shared" ca="1" si="21"/>
        <v>0</v>
      </c>
      <c r="F71" s="14"/>
      <c r="G71" s="909">
        <f t="shared" ca="1" si="22"/>
        <v>0</v>
      </c>
      <c r="H71" s="950"/>
      <c r="I71" s="950"/>
      <c r="J71" s="14">
        <f>+DPL25Summary!H71</f>
        <v>0</v>
      </c>
      <c r="K71" s="909">
        <f t="shared" ca="1" si="23"/>
        <v>0</v>
      </c>
      <c r="L71" s="14">
        <f>+DPL25Summary!J71</f>
        <v>0</v>
      </c>
      <c r="M71" s="909">
        <f t="shared" ca="1" si="23"/>
        <v>0</v>
      </c>
      <c r="N71" s="14">
        <f>+DPL25Summary!L71</f>
        <v>0</v>
      </c>
      <c r="O71" s="909">
        <f t="shared" ca="1" si="23"/>
        <v>0</v>
      </c>
      <c r="P71" s="950"/>
      <c r="Q71" s="950"/>
      <c r="R71" s="14">
        <f>+DPL25Summary!N71</f>
        <v>0</v>
      </c>
      <c r="S71" s="909">
        <f t="shared" ca="1" si="24"/>
        <v>0</v>
      </c>
      <c r="T71" s="14">
        <f>+DPL25Summary!P71</f>
        <v>0</v>
      </c>
      <c r="U71" s="301" t="e">
        <f t="shared" si="25"/>
        <v>#REF!</v>
      </c>
      <c r="V71" s="14">
        <f>+DPL25Summary!R71</f>
        <v>0</v>
      </c>
      <c r="W71" s="301" t="e">
        <f t="shared" si="31"/>
        <v>#REF!</v>
      </c>
      <c r="X71" s="950"/>
      <c r="Y71" s="950"/>
      <c r="Z71" s="14"/>
      <c r="AA71" s="14"/>
      <c r="AB71" s="14"/>
      <c r="AC71" s="950"/>
      <c r="AD71" s="950"/>
      <c r="AE71" s="15"/>
      <c r="AF71" s="12" t="e">
        <f t="shared" ca="1" si="20"/>
        <v>#REF!</v>
      </c>
      <c r="AG71" s="149"/>
      <c r="AH71" s="14"/>
      <c r="AJ71" s="142"/>
      <c r="AK71" s="142"/>
    </row>
    <row r="72" spans="1:37" ht="13.5" thickBot="1">
      <c r="A72" s="6" t="s">
        <v>613</v>
      </c>
      <c r="B72" s="38">
        <f>SUM(B53:B71)</f>
        <v>1050</v>
      </c>
      <c r="C72" s="909">
        <f t="shared" ca="1" si="21"/>
        <v>0.38490000000000002</v>
      </c>
      <c r="D72" s="38">
        <f>SUM(D53:D71)</f>
        <v>1050</v>
      </c>
      <c r="E72" s="909">
        <f t="shared" ca="1" si="21"/>
        <v>0.38490000000000002</v>
      </c>
      <c r="F72" s="38">
        <f>SUM(F53:F71)</f>
        <v>1050</v>
      </c>
      <c r="G72" s="909">
        <f t="shared" ca="1" si="22"/>
        <v>0.38490000000000002</v>
      </c>
      <c r="H72" s="203">
        <f>SUM(H53:H71)</f>
        <v>3150</v>
      </c>
      <c r="I72" s="368">
        <f ca="1">+H72/$H$13</f>
        <v>0.38490000000000002</v>
      </c>
      <c r="J72" s="38">
        <f>SUM(J53:J71)</f>
        <v>1050</v>
      </c>
      <c r="K72" s="909">
        <f t="shared" ca="1" si="23"/>
        <v>0.38490000000000002</v>
      </c>
      <c r="L72" s="38">
        <f>+SUM(L53:L70)</f>
        <v>1050</v>
      </c>
      <c r="M72" s="909">
        <f t="shared" ca="1" si="23"/>
        <v>0.38490000000000002</v>
      </c>
      <c r="N72" s="38">
        <f>+SUM(N53:N70)</f>
        <v>1050</v>
      </c>
      <c r="O72" s="909">
        <f t="shared" ca="1" si="23"/>
        <v>0.38490000000000002</v>
      </c>
      <c r="P72" s="203">
        <f>SUM(P53:P71)</f>
        <v>3150</v>
      </c>
      <c r="Q72" s="368" t="e">
        <f ca="1">+P72/$P$13</f>
        <v>#REF!</v>
      </c>
      <c r="R72" s="38">
        <f>+SUM(R53:R70)</f>
        <v>1050</v>
      </c>
      <c r="S72" s="909">
        <f t="shared" ca="1" si="24"/>
        <v>0.38490000000000002</v>
      </c>
      <c r="T72" s="38">
        <f>SUM(T53:T71)</f>
        <v>1050</v>
      </c>
      <c r="U72" s="301" t="e">
        <f>+T72/$T$13</f>
        <v>#REF!</v>
      </c>
      <c r="V72" s="38">
        <f>SUM(V53:V71)</f>
        <v>1050</v>
      </c>
      <c r="W72" s="301" t="e">
        <f t="shared" si="31"/>
        <v>#REF!</v>
      </c>
      <c r="X72" s="203">
        <f>SUM(X53:X71)</f>
        <v>3150</v>
      </c>
      <c r="Y72" s="368" t="e">
        <f>+X72/$X$13</f>
        <v>#REF!</v>
      </c>
      <c r="Z72" s="38">
        <f>SUM(Z53:Z71)</f>
        <v>0</v>
      </c>
      <c r="AA72" s="38">
        <f>SUM(AA53:AA71)</f>
        <v>0</v>
      </c>
      <c r="AB72" s="38">
        <f>SUM(AB53:AB71)</f>
        <v>0</v>
      </c>
      <c r="AC72" s="203">
        <f>SUM(AC53:AC71)</f>
        <v>0</v>
      </c>
      <c r="AD72" s="368" t="e">
        <f>+AC72/$X$13</f>
        <v>#REF!</v>
      </c>
      <c r="AE72" s="16">
        <f>SUM(AE52:AE71)</f>
        <v>9450</v>
      </c>
      <c r="AF72" s="12" t="e">
        <f t="shared" ca="1" si="20"/>
        <v>#REF!</v>
      </c>
      <c r="AG72" s="16"/>
      <c r="AH72" s="14"/>
      <c r="AI72" s="20"/>
      <c r="AJ72" s="142"/>
      <c r="AK72" s="142"/>
    </row>
    <row r="73" spans="1:37" ht="13.5" thickTop="1">
      <c r="A73" s="6"/>
      <c r="B73" s="14"/>
      <c r="C73" s="14"/>
      <c r="D73" s="14"/>
      <c r="E73" s="14"/>
      <c r="F73" s="14"/>
      <c r="G73" s="14"/>
      <c r="H73" s="152"/>
      <c r="I73" s="152"/>
      <c r="J73" s="14"/>
      <c r="K73" s="14"/>
      <c r="L73" s="14"/>
      <c r="M73" s="14"/>
      <c r="N73" s="14"/>
      <c r="O73" s="14"/>
      <c r="P73" s="152"/>
      <c r="Q73" s="152"/>
      <c r="R73" s="14"/>
      <c r="S73" s="14"/>
      <c r="T73" s="14"/>
      <c r="U73" s="14"/>
      <c r="V73" s="14"/>
      <c r="W73" s="14"/>
      <c r="X73" s="152"/>
      <c r="Y73" s="152"/>
      <c r="Z73" s="14"/>
      <c r="AA73" s="14"/>
      <c r="AB73" s="14"/>
      <c r="AC73" s="152"/>
      <c r="AD73" s="152"/>
      <c r="AE73" s="15"/>
      <c r="AF73" s="12" t="e">
        <f t="shared" ca="1" si="20"/>
        <v>#REF!</v>
      </c>
      <c r="AG73" s="14"/>
      <c r="AH73" s="14"/>
    </row>
    <row r="74" spans="1:37">
      <c r="A74" s="757"/>
      <c r="B74" s="13"/>
      <c r="C74" s="250"/>
      <c r="D74" s="13"/>
      <c r="E74" s="250"/>
      <c r="F74" s="13"/>
      <c r="G74" s="250"/>
      <c r="H74" s="373"/>
      <c r="I74" s="373"/>
      <c r="J74" s="13"/>
      <c r="K74" s="250"/>
      <c r="L74" s="196"/>
      <c r="M74" s="300"/>
      <c r="N74" s="196"/>
      <c r="O74" s="300"/>
      <c r="P74" s="373"/>
      <c r="Q74" s="373"/>
      <c r="R74" s="196"/>
      <c r="S74" s="196"/>
      <c r="T74" s="196" t="e">
        <f>+T50-T72</f>
        <v>#REF!</v>
      </c>
      <c r="U74" s="196"/>
      <c r="V74" s="196"/>
      <c r="W74" s="300"/>
      <c r="X74" s="373"/>
      <c r="Y74" s="373"/>
      <c r="Z74" s="196"/>
      <c r="AA74" s="196"/>
      <c r="AB74" s="197"/>
      <c r="AC74" s="373"/>
      <c r="AD74" s="373"/>
      <c r="AE74" s="196" t="e">
        <f ca="1">+AE50-AE72</f>
        <v>#REF!</v>
      </c>
      <c r="AF74" s="12" t="e">
        <f t="shared" ca="1" si="20"/>
        <v>#REF!</v>
      </c>
      <c r="AG74" s="14"/>
      <c r="AH74" s="14"/>
    </row>
    <row r="75" spans="1:37">
      <c r="A75" s="6" t="s">
        <v>411</v>
      </c>
      <c r="B75" s="2"/>
      <c r="C75" s="2"/>
      <c r="D75" s="2"/>
      <c r="E75" s="2"/>
      <c r="F75" s="2"/>
      <c r="G75" s="2"/>
      <c r="H75" s="374"/>
      <c r="I75" s="374"/>
      <c r="J75" s="2"/>
      <c r="K75" s="2"/>
      <c r="L75" s="2"/>
      <c r="M75" s="2"/>
      <c r="N75" s="2"/>
      <c r="O75" s="2"/>
      <c r="P75" s="374"/>
      <c r="Q75" s="374"/>
      <c r="R75" s="2"/>
      <c r="S75" s="2"/>
      <c r="T75" s="2"/>
      <c r="U75" s="2"/>
      <c r="V75" s="2"/>
      <c r="W75" s="2"/>
      <c r="X75" s="374"/>
      <c r="Y75" s="374"/>
      <c r="Z75" s="2"/>
      <c r="AA75" s="2"/>
      <c r="AB75" s="14"/>
      <c r="AC75" s="374"/>
      <c r="AD75" s="374"/>
      <c r="AE75" s="7"/>
      <c r="AF75" s="12" t="e">
        <f t="shared" ca="1" si="20"/>
        <v>#REF!</v>
      </c>
      <c r="AG75" s="14"/>
      <c r="AH75" s="14"/>
    </row>
    <row r="76" spans="1:37" s="4" customFormat="1">
      <c r="A76" s="757" t="s">
        <v>614</v>
      </c>
      <c r="B76" s="17">
        <f>+DPL25Summary!B76</f>
        <v>0</v>
      </c>
      <c r="C76" s="909">
        <f t="shared" ref="C76:E83" ca="1" si="36">+B76/$B$13</f>
        <v>0</v>
      </c>
      <c r="D76" s="17">
        <f>+DPL25Summary!D76</f>
        <v>0</v>
      </c>
      <c r="E76" s="909">
        <f t="shared" ca="1" si="36"/>
        <v>0</v>
      </c>
      <c r="F76" s="17">
        <f>+DPL25Summary!F76</f>
        <v>0</v>
      </c>
      <c r="G76" s="909">
        <f t="shared" ref="G76:G83" ca="1" si="37">+F76/$F$13</f>
        <v>0</v>
      </c>
      <c r="H76" s="375">
        <f>+B76+D76+F76</f>
        <v>0</v>
      </c>
      <c r="I76" s="950">
        <f ca="1">+H76/$H$13</f>
        <v>0</v>
      </c>
      <c r="J76" s="17">
        <f>+DPL25Summary!H76</f>
        <v>0</v>
      </c>
      <c r="K76" s="909">
        <f t="shared" ref="K76:K83" ca="1" si="38">+J76/$B$13</f>
        <v>0</v>
      </c>
      <c r="L76" s="17">
        <f>+DPL25Summary!J76</f>
        <v>0</v>
      </c>
      <c r="M76" s="909">
        <f t="shared" ref="M76:M83" ca="1" si="39">+L76/$B$13</f>
        <v>0</v>
      </c>
      <c r="N76" s="17">
        <f>+DPL25Summary!L76</f>
        <v>0</v>
      </c>
      <c r="O76" s="909">
        <f t="shared" ref="O76:O83" ca="1" si="40">+N76/$B$13</f>
        <v>0</v>
      </c>
      <c r="P76" s="375">
        <f>+J76+L76+N76</f>
        <v>0</v>
      </c>
      <c r="Q76" s="950" t="e">
        <f ca="1">+P76/$P$13</f>
        <v>#REF!</v>
      </c>
      <c r="R76" s="17">
        <f>+DPL25Summary!N76</f>
        <v>0</v>
      </c>
      <c r="S76" s="909">
        <f t="shared" ref="S76:S83" ca="1" si="41">+R76/$B$13</f>
        <v>0</v>
      </c>
      <c r="T76" s="17">
        <f>+DPL25Summary!P76</f>
        <v>0</v>
      </c>
      <c r="U76" s="301" t="e">
        <f t="shared" ref="U76:U82" si="42">+T76/$T$13</f>
        <v>#REF!</v>
      </c>
      <c r="V76" s="17">
        <f>+DPL25Summary!R76</f>
        <v>0</v>
      </c>
      <c r="W76" s="301" t="e">
        <f t="shared" ref="W76:W83" si="43">+V76/$V$13</f>
        <v>#REF!</v>
      </c>
      <c r="X76" s="375">
        <f>+R76+T76+V76</f>
        <v>0</v>
      </c>
      <c r="Y76" s="950" t="e">
        <f>+X76/$X$13</f>
        <v>#REF!</v>
      </c>
      <c r="Z76" s="17"/>
      <c r="AA76" s="17"/>
      <c r="AB76" s="14"/>
      <c r="AC76" s="152">
        <f t="shared" ref="AC76:AC82" si="44">+Z76+AA76+AB76</f>
        <v>0</v>
      </c>
      <c r="AD76" s="950" t="e">
        <f>+AC76/$X$13</f>
        <v>#REF!</v>
      </c>
      <c r="AE76" s="15">
        <f t="shared" ref="AE76:AE83" si="45">+B76+D76+F76+J76+L76+N76+R76+T76+V76+Z76+AA76+AB76</f>
        <v>0</v>
      </c>
      <c r="AF76" s="12" t="e">
        <f t="shared" ca="1" si="20"/>
        <v>#REF!</v>
      </c>
      <c r="AG76" s="14"/>
      <c r="AH76" s="14"/>
    </row>
    <row r="77" spans="1:37" s="4" customFormat="1">
      <c r="A77" s="757" t="s">
        <v>615</v>
      </c>
      <c r="B77" s="17">
        <f>+DPL25Summary!B77</f>
        <v>0</v>
      </c>
      <c r="C77" s="909">
        <f t="shared" ca="1" si="36"/>
        <v>0</v>
      </c>
      <c r="D77" s="17">
        <f>+DPL25Summary!D77</f>
        <v>0</v>
      </c>
      <c r="E77" s="909">
        <f t="shared" ca="1" si="36"/>
        <v>0</v>
      </c>
      <c r="F77" s="17">
        <f>+DPL25Summary!F77</f>
        <v>0</v>
      </c>
      <c r="G77" s="909">
        <f t="shared" ca="1" si="37"/>
        <v>0</v>
      </c>
      <c r="H77" s="375">
        <f t="shared" ref="H77:H82" si="46">+B77+D77+F77</f>
        <v>0</v>
      </c>
      <c r="I77" s="950">
        <f t="shared" ref="I77:I82" ca="1" si="47">+H77/$H$13</f>
        <v>0</v>
      </c>
      <c r="J77" s="17">
        <f>+DPL25Summary!H77</f>
        <v>0</v>
      </c>
      <c r="K77" s="909">
        <f t="shared" ca="1" si="38"/>
        <v>0</v>
      </c>
      <c r="L77" s="17">
        <f>+DPL25Summary!J77</f>
        <v>0</v>
      </c>
      <c r="M77" s="909">
        <f t="shared" ca="1" si="39"/>
        <v>0</v>
      </c>
      <c r="N77" s="17">
        <f>+DPL25Summary!L77</f>
        <v>0</v>
      </c>
      <c r="O77" s="909">
        <f t="shared" ca="1" si="40"/>
        <v>0</v>
      </c>
      <c r="P77" s="375">
        <f t="shared" ref="P77:P82" si="48">+J77+L77+N77</f>
        <v>0</v>
      </c>
      <c r="Q77" s="950" t="e">
        <f t="shared" ref="Q77:Q82" ca="1" si="49">+P77/$P$13</f>
        <v>#REF!</v>
      </c>
      <c r="R77" s="17">
        <f>+DPL25Summary!N77</f>
        <v>0</v>
      </c>
      <c r="S77" s="909">
        <f t="shared" ca="1" si="41"/>
        <v>0</v>
      </c>
      <c r="T77" s="17">
        <f>+DPL25Summary!P77</f>
        <v>0</v>
      </c>
      <c r="U77" s="301" t="e">
        <f t="shared" si="42"/>
        <v>#REF!</v>
      </c>
      <c r="V77" s="17">
        <f>+DPL25Summary!R77</f>
        <v>0</v>
      </c>
      <c r="W77" s="301" t="e">
        <f t="shared" si="43"/>
        <v>#REF!</v>
      </c>
      <c r="X77" s="375">
        <f t="shared" ref="X77:X82" si="50">+R77+T77+V77</f>
        <v>0</v>
      </c>
      <c r="Y77" s="950" t="e">
        <f t="shared" ref="Y77:Y82" si="51">+X77/$X$13</f>
        <v>#REF!</v>
      </c>
      <c r="Z77" s="17"/>
      <c r="AA77" s="17"/>
      <c r="AB77" s="14"/>
      <c r="AC77" s="152">
        <f t="shared" si="44"/>
        <v>0</v>
      </c>
      <c r="AD77" s="950" t="e">
        <f t="shared" ref="AD77:AD82" si="52">+AC77/$X$13</f>
        <v>#REF!</v>
      </c>
      <c r="AE77" s="15">
        <f t="shared" si="45"/>
        <v>0</v>
      </c>
      <c r="AF77" s="12" t="e">
        <f t="shared" ca="1" si="20"/>
        <v>#REF!</v>
      </c>
      <c r="AG77" s="14"/>
      <c r="AH77" s="14"/>
    </row>
    <row r="78" spans="1:37" s="4" customFormat="1">
      <c r="A78" s="757" t="s">
        <v>72</v>
      </c>
      <c r="B78" s="17">
        <f>+DPL25Summary!B78</f>
        <v>0</v>
      </c>
      <c r="C78" s="909">
        <f t="shared" ca="1" si="36"/>
        <v>0</v>
      </c>
      <c r="D78" s="17">
        <f>+DPL25Summary!D78</f>
        <v>0</v>
      </c>
      <c r="E78" s="909">
        <f t="shared" ca="1" si="36"/>
        <v>0</v>
      </c>
      <c r="F78" s="17">
        <f>+DPL25Summary!F78</f>
        <v>0</v>
      </c>
      <c r="G78" s="909">
        <f t="shared" ca="1" si="37"/>
        <v>0</v>
      </c>
      <c r="H78" s="375">
        <f t="shared" si="46"/>
        <v>0</v>
      </c>
      <c r="I78" s="950">
        <f t="shared" ca="1" si="47"/>
        <v>0</v>
      </c>
      <c r="J78" s="17">
        <f>+DPL25Summary!H78</f>
        <v>0</v>
      </c>
      <c r="K78" s="909">
        <f t="shared" ca="1" si="38"/>
        <v>0</v>
      </c>
      <c r="L78" s="17">
        <f>+DPL25Summary!J78</f>
        <v>0</v>
      </c>
      <c r="M78" s="909">
        <f t="shared" ca="1" si="39"/>
        <v>0</v>
      </c>
      <c r="N78" s="17">
        <f>+DPL25Summary!L78</f>
        <v>0</v>
      </c>
      <c r="O78" s="909">
        <f t="shared" ca="1" si="40"/>
        <v>0</v>
      </c>
      <c r="P78" s="375">
        <f t="shared" si="48"/>
        <v>0</v>
      </c>
      <c r="Q78" s="950" t="e">
        <f t="shared" ca="1" si="49"/>
        <v>#REF!</v>
      </c>
      <c r="R78" s="17">
        <f>+DPL25Summary!N78</f>
        <v>0</v>
      </c>
      <c r="S78" s="909">
        <f t="shared" ca="1" si="41"/>
        <v>0</v>
      </c>
      <c r="T78" s="17">
        <f>+DPL25Summary!P78</f>
        <v>0</v>
      </c>
      <c r="U78" s="301" t="e">
        <f t="shared" si="42"/>
        <v>#REF!</v>
      </c>
      <c r="V78" s="17">
        <f>+DPL25Summary!R78</f>
        <v>0</v>
      </c>
      <c r="W78" s="301" t="e">
        <f t="shared" si="43"/>
        <v>#REF!</v>
      </c>
      <c r="X78" s="375">
        <f t="shared" si="50"/>
        <v>0</v>
      </c>
      <c r="Y78" s="950" t="e">
        <f t="shared" si="51"/>
        <v>#REF!</v>
      </c>
      <c r="Z78" s="17"/>
      <c r="AA78" s="17"/>
      <c r="AB78" s="14"/>
      <c r="AC78" s="152">
        <f t="shared" si="44"/>
        <v>0</v>
      </c>
      <c r="AD78" s="950" t="e">
        <f t="shared" si="52"/>
        <v>#REF!</v>
      </c>
      <c r="AE78" s="15">
        <f t="shared" si="45"/>
        <v>0</v>
      </c>
      <c r="AF78" s="12" t="e">
        <f t="shared" ca="1" si="20"/>
        <v>#REF!</v>
      </c>
      <c r="AG78" s="14"/>
      <c r="AH78" s="14"/>
    </row>
    <row r="79" spans="1:37" s="4" customFormat="1">
      <c r="A79" s="757" t="s">
        <v>616</v>
      </c>
      <c r="B79" s="17">
        <f>+DPL25Summary!B79</f>
        <v>0</v>
      </c>
      <c r="C79" s="909">
        <f t="shared" ca="1" si="36"/>
        <v>0</v>
      </c>
      <c r="D79" s="17">
        <f>+DPL25Summary!D79</f>
        <v>0</v>
      </c>
      <c r="E79" s="909">
        <f t="shared" ca="1" si="36"/>
        <v>0</v>
      </c>
      <c r="F79" s="17">
        <f>+DPL25Summary!F79</f>
        <v>0</v>
      </c>
      <c r="G79" s="909">
        <f t="shared" ca="1" si="37"/>
        <v>0</v>
      </c>
      <c r="H79" s="375">
        <f t="shared" si="46"/>
        <v>0</v>
      </c>
      <c r="I79" s="950">
        <f t="shared" ca="1" si="47"/>
        <v>0</v>
      </c>
      <c r="J79" s="17">
        <f>+DPL25Summary!H79</f>
        <v>0</v>
      </c>
      <c r="K79" s="909">
        <f t="shared" ca="1" si="38"/>
        <v>0</v>
      </c>
      <c r="L79" s="17">
        <f>+DPL25Summary!J79</f>
        <v>0</v>
      </c>
      <c r="M79" s="909">
        <f t="shared" ca="1" si="39"/>
        <v>0</v>
      </c>
      <c r="N79" s="17">
        <f>+DPL25Summary!L79</f>
        <v>0</v>
      </c>
      <c r="O79" s="909">
        <f t="shared" ca="1" si="40"/>
        <v>0</v>
      </c>
      <c r="P79" s="375">
        <f t="shared" si="48"/>
        <v>0</v>
      </c>
      <c r="Q79" s="950" t="e">
        <f t="shared" ca="1" si="49"/>
        <v>#REF!</v>
      </c>
      <c r="R79" s="17">
        <f>+DPL25Summary!N79</f>
        <v>0</v>
      </c>
      <c r="S79" s="909">
        <f t="shared" ca="1" si="41"/>
        <v>0</v>
      </c>
      <c r="T79" s="17">
        <f>+DPL25Summary!P79</f>
        <v>0</v>
      </c>
      <c r="U79" s="301" t="e">
        <f t="shared" si="42"/>
        <v>#REF!</v>
      </c>
      <c r="V79" s="17">
        <f>+DPL25Summary!R79</f>
        <v>0</v>
      </c>
      <c r="W79" s="301" t="e">
        <f t="shared" si="43"/>
        <v>#REF!</v>
      </c>
      <c r="X79" s="375">
        <f t="shared" si="50"/>
        <v>0</v>
      </c>
      <c r="Y79" s="950" t="e">
        <f t="shared" si="51"/>
        <v>#REF!</v>
      </c>
      <c r="Z79" s="17"/>
      <c r="AA79" s="201"/>
      <c r="AB79" s="14"/>
      <c r="AC79" s="152">
        <f t="shared" si="44"/>
        <v>0</v>
      </c>
      <c r="AD79" s="950" t="e">
        <f t="shared" si="52"/>
        <v>#REF!</v>
      </c>
      <c r="AE79" s="15">
        <f t="shared" si="45"/>
        <v>0</v>
      </c>
      <c r="AF79" s="12" t="e">
        <f t="shared" ca="1" si="20"/>
        <v>#REF!</v>
      </c>
      <c r="AG79" s="14"/>
      <c r="AH79" s="14"/>
    </row>
    <row r="80" spans="1:37" s="4" customFormat="1">
      <c r="A80" s="757" t="s">
        <v>617</v>
      </c>
      <c r="B80" s="17">
        <f>+DPL25Summary!B80</f>
        <v>0</v>
      </c>
      <c r="C80" s="909">
        <f t="shared" ca="1" si="36"/>
        <v>0</v>
      </c>
      <c r="D80" s="17">
        <f>+DPL25Summary!D80</f>
        <v>0</v>
      </c>
      <c r="E80" s="909">
        <f t="shared" ca="1" si="36"/>
        <v>0</v>
      </c>
      <c r="F80" s="17">
        <f>+DPL25Summary!F80</f>
        <v>0</v>
      </c>
      <c r="G80" s="909">
        <f t="shared" ca="1" si="37"/>
        <v>0</v>
      </c>
      <c r="H80" s="375">
        <f t="shared" si="46"/>
        <v>0</v>
      </c>
      <c r="I80" s="950">
        <f t="shared" ca="1" si="47"/>
        <v>0</v>
      </c>
      <c r="J80" s="17">
        <f>+DPL25Summary!H80</f>
        <v>0</v>
      </c>
      <c r="K80" s="909">
        <f t="shared" ca="1" si="38"/>
        <v>0</v>
      </c>
      <c r="L80" s="17">
        <f>+DPL25Summary!J80</f>
        <v>0</v>
      </c>
      <c r="M80" s="909">
        <f t="shared" ca="1" si="39"/>
        <v>0</v>
      </c>
      <c r="N80" s="17">
        <f>+DPL25Summary!L80</f>
        <v>0</v>
      </c>
      <c r="O80" s="909">
        <f t="shared" ca="1" si="40"/>
        <v>0</v>
      </c>
      <c r="P80" s="375">
        <f t="shared" si="48"/>
        <v>0</v>
      </c>
      <c r="Q80" s="950" t="e">
        <f t="shared" ca="1" si="49"/>
        <v>#REF!</v>
      </c>
      <c r="R80" s="17">
        <f>+DPL25Summary!N80</f>
        <v>0</v>
      </c>
      <c r="S80" s="909">
        <f t="shared" ca="1" si="41"/>
        <v>0</v>
      </c>
      <c r="T80" s="17">
        <f>+DPL25Summary!P80</f>
        <v>0</v>
      </c>
      <c r="U80" s="301" t="e">
        <f t="shared" si="42"/>
        <v>#REF!</v>
      </c>
      <c r="V80" s="17">
        <f>+DPL25Summary!R80</f>
        <v>0</v>
      </c>
      <c r="W80" s="301" t="e">
        <f t="shared" si="43"/>
        <v>#REF!</v>
      </c>
      <c r="X80" s="375">
        <f t="shared" si="50"/>
        <v>0</v>
      </c>
      <c r="Y80" s="950" t="e">
        <f t="shared" si="51"/>
        <v>#REF!</v>
      </c>
      <c r="Z80" s="17"/>
      <c r="AA80" s="17"/>
      <c r="AB80" s="14"/>
      <c r="AC80" s="152">
        <f t="shared" si="44"/>
        <v>0</v>
      </c>
      <c r="AD80" s="950" t="e">
        <f t="shared" si="52"/>
        <v>#REF!</v>
      </c>
      <c r="AE80" s="15">
        <f t="shared" si="45"/>
        <v>0</v>
      </c>
      <c r="AF80" s="12" t="e">
        <f t="shared" ca="1" si="20"/>
        <v>#REF!</v>
      </c>
      <c r="AG80" s="17">
        <f>-280143-6855424</f>
        <v>-7135567</v>
      </c>
      <c r="AH80" s="14"/>
    </row>
    <row r="81" spans="1:36" s="4" customFormat="1">
      <c r="A81" s="757" t="s">
        <v>685</v>
      </c>
      <c r="B81" s="17">
        <f ca="1">+DPL25Summary!B81</f>
        <v>1134</v>
      </c>
      <c r="C81" s="909">
        <f t="shared" ca="1" si="36"/>
        <v>0.41570000000000001</v>
      </c>
      <c r="D81" s="17">
        <f ca="1">+DPL25Summary!D81</f>
        <v>1112</v>
      </c>
      <c r="E81" s="909">
        <f t="shared" ca="1" si="36"/>
        <v>0.40760000000000002</v>
      </c>
      <c r="F81" s="17">
        <f ca="1">+DPL25Summary!F81</f>
        <v>1112</v>
      </c>
      <c r="G81" s="909">
        <f t="shared" ca="1" si="37"/>
        <v>0.40760000000000002</v>
      </c>
      <c r="H81" s="375">
        <f t="shared" ca="1" si="46"/>
        <v>3358</v>
      </c>
      <c r="I81" s="950">
        <f t="shared" ca="1" si="47"/>
        <v>0.4103</v>
      </c>
      <c r="J81" s="17">
        <f ca="1">+DPL25Summary!H81</f>
        <v>302</v>
      </c>
      <c r="K81" s="909">
        <f t="shared" ca="1" si="38"/>
        <v>0.11070000000000001</v>
      </c>
      <c r="L81" s="17" t="e">
        <f>+DPL25Summary!J81</f>
        <v>#REF!</v>
      </c>
      <c r="M81" s="909" t="e">
        <f t="shared" ca="1" si="39"/>
        <v>#REF!</v>
      </c>
      <c r="N81" s="17" t="e">
        <f>+DPL25Summary!L81</f>
        <v>#REF!</v>
      </c>
      <c r="O81" s="909" t="e">
        <f t="shared" ca="1" si="40"/>
        <v>#REF!</v>
      </c>
      <c r="P81" s="375" t="e">
        <f t="shared" ca="1" si="48"/>
        <v>#REF!</v>
      </c>
      <c r="Q81" s="950" t="e">
        <f t="shared" ca="1" si="49"/>
        <v>#REF!</v>
      </c>
      <c r="R81" s="17" t="e">
        <f>+DPL25Summary!N81</f>
        <v>#REF!</v>
      </c>
      <c r="S81" s="909" t="e">
        <f t="shared" ca="1" si="41"/>
        <v>#REF!</v>
      </c>
      <c r="T81" s="17" t="e">
        <f>+DPL25Summary!P81</f>
        <v>#REF!</v>
      </c>
      <c r="U81" s="301" t="e">
        <f t="shared" si="42"/>
        <v>#REF!</v>
      </c>
      <c r="V81" s="17" t="e">
        <f>+DPL25Summary!R81</f>
        <v>#REF!</v>
      </c>
      <c r="W81" s="301" t="e">
        <f t="shared" si="43"/>
        <v>#REF!</v>
      </c>
      <c r="X81" s="375" t="e">
        <f t="shared" si="50"/>
        <v>#REF!</v>
      </c>
      <c r="Y81" s="950" t="e">
        <f t="shared" si="51"/>
        <v>#REF!</v>
      </c>
      <c r="Z81" s="17"/>
      <c r="AA81" s="17"/>
      <c r="AB81" s="14"/>
      <c r="AC81" s="152">
        <f t="shared" si="44"/>
        <v>0</v>
      </c>
      <c r="AD81" s="950" t="e">
        <f t="shared" si="52"/>
        <v>#REF!</v>
      </c>
      <c r="AE81" s="15" t="e">
        <f t="shared" ca="1" si="45"/>
        <v>#REF!</v>
      </c>
      <c r="AF81" s="12" t="e">
        <f t="shared" ref="AF81:AF89" ca="1" si="53">+AE81/$AE$13</f>
        <v>#REF!</v>
      </c>
      <c r="AG81" s="14"/>
      <c r="AH81" s="14"/>
    </row>
    <row r="82" spans="1:36">
      <c r="A82" s="757" t="s">
        <v>75</v>
      </c>
      <c r="B82" s="17">
        <f>+DPL25Summary!B82</f>
        <v>0</v>
      </c>
      <c r="C82" s="909">
        <f t="shared" ca="1" si="36"/>
        <v>0</v>
      </c>
      <c r="D82" s="17">
        <f>+DPL25Summary!D82</f>
        <v>0</v>
      </c>
      <c r="E82" s="909">
        <f t="shared" ca="1" si="36"/>
        <v>0</v>
      </c>
      <c r="F82" s="17">
        <f>+DPL25Summary!F82</f>
        <v>0</v>
      </c>
      <c r="G82" s="909">
        <f t="shared" ca="1" si="37"/>
        <v>0</v>
      </c>
      <c r="H82" s="375">
        <f t="shared" si="46"/>
        <v>0</v>
      </c>
      <c r="I82" s="950">
        <f t="shared" ca="1" si="47"/>
        <v>0</v>
      </c>
      <c r="J82" s="17">
        <f>+DPL25Summary!H82</f>
        <v>0</v>
      </c>
      <c r="K82" s="909">
        <f t="shared" ca="1" si="38"/>
        <v>0</v>
      </c>
      <c r="L82" s="17">
        <f>+DPL25Summary!J82</f>
        <v>0</v>
      </c>
      <c r="M82" s="909">
        <f t="shared" ca="1" si="39"/>
        <v>0</v>
      </c>
      <c r="N82" s="17">
        <f>+DPL25Summary!L82</f>
        <v>0</v>
      </c>
      <c r="O82" s="909">
        <f t="shared" ca="1" si="40"/>
        <v>0</v>
      </c>
      <c r="P82" s="375">
        <f t="shared" si="48"/>
        <v>0</v>
      </c>
      <c r="Q82" s="950" t="e">
        <f t="shared" ca="1" si="49"/>
        <v>#REF!</v>
      </c>
      <c r="R82" s="17">
        <f>+DPL25Summary!N82</f>
        <v>0</v>
      </c>
      <c r="S82" s="909">
        <f t="shared" ca="1" si="41"/>
        <v>0</v>
      </c>
      <c r="T82" s="17">
        <f>+DPL25Summary!P82</f>
        <v>0</v>
      </c>
      <c r="U82" s="301" t="e">
        <f t="shared" si="42"/>
        <v>#REF!</v>
      </c>
      <c r="V82" s="17">
        <f>+DPL25Summary!R82</f>
        <v>0</v>
      </c>
      <c r="W82" s="301" t="e">
        <f t="shared" si="43"/>
        <v>#REF!</v>
      </c>
      <c r="X82" s="375">
        <f t="shared" si="50"/>
        <v>0</v>
      </c>
      <c r="Y82" s="950" t="e">
        <f t="shared" si="51"/>
        <v>#REF!</v>
      </c>
      <c r="Z82" s="17"/>
      <c r="AA82" s="17"/>
      <c r="AB82" s="14"/>
      <c r="AC82" s="152">
        <f t="shared" si="44"/>
        <v>0</v>
      </c>
      <c r="AD82" s="950" t="e">
        <f t="shared" si="52"/>
        <v>#REF!</v>
      </c>
      <c r="AE82" s="15">
        <f t="shared" si="45"/>
        <v>0</v>
      </c>
      <c r="AF82" s="12" t="e">
        <f t="shared" ca="1" si="53"/>
        <v>#REF!</v>
      </c>
      <c r="AG82" s="14"/>
      <c r="AH82" s="14"/>
      <c r="AJ82" s="168"/>
    </row>
    <row r="83" spans="1:36" ht="13.5" thickBot="1">
      <c r="A83" s="6" t="s">
        <v>412</v>
      </c>
      <c r="B83" s="38">
        <f ca="1">SUM(B76:B82)</f>
        <v>1134</v>
      </c>
      <c r="C83" s="909">
        <f t="shared" ca="1" si="36"/>
        <v>0.41570000000000001</v>
      </c>
      <c r="D83" s="38">
        <f ca="1">SUM(D76:D82)</f>
        <v>1112</v>
      </c>
      <c r="E83" s="909">
        <f t="shared" ca="1" si="36"/>
        <v>0.40760000000000002</v>
      </c>
      <c r="F83" s="38">
        <f ca="1">SUM(F76:F82)</f>
        <v>1112</v>
      </c>
      <c r="G83" s="909">
        <f t="shared" ca="1" si="37"/>
        <v>0.40760000000000002</v>
      </c>
      <c r="H83" s="203">
        <f ca="1">SUM(H76:H82)</f>
        <v>3358</v>
      </c>
      <c r="I83" s="368">
        <f ca="1">+H83/$H$13</f>
        <v>0.4103</v>
      </c>
      <c r="J83" s="38">
        <f ca="1">SUM(J76:J82)</f>
        <v>302</v>
      </c>
      <c r="K83" s="909">
        <f t="shared" ca="1" si="38"/>
        <v>0.11070000000000001</v>
      </c>
      <c r="L83" s="38" t="e">
        <f>SUM(L76:L82)</f>
        <v>#REF!</v>
      </c>
      <c r="M83" s="909" t="e">
        <f t="shared" ca="1" si="39"/>
        <v>#REF!</v>
      </c>
      <c r="N83" s="38" t="e">
        <f>SUM(N76:N82)</f>
        <v>#REF!</v>
      </c>
      <c r="O83" s="909" t="e">
        <f t="shared" ca="1" si="40"/>
        <v>#REF!</v>
      </c>
      <c r="P83" s="203" t="e">
        <f ca="1">SUM(P76:P82)</f>
        <v>#REF!</v>
      </c>
      <c r="Q83" s="368" t="e">
        <f ca="1">+P83/$P$13</f>
        <v>#REF!</v>
      </c>
      <c r="R83" s="38" t="e">
        <f>SUM(R76:R82)</f>
        <v>#REF!</v>
      </c>
      <c r="S83" s="909" t="e">
        <f t="shared" ca="1" si="41"/>
        <v>#REF!</v>
      </c>
      <c r="T83" s="38" t="e">
        <f>SUM(T76:T82)</f>
        <v>#REF!</v>
      </c>
      <c r="U83" s="301" t="e">
        <f>+T83/$T$13</f>
        <v>#REF!</v>
      </c>
      <c r="V83" s="38" t="e">
        <f>SUM(V76:V82)</f>
        <v>#REF!</v>
      </c>
      <c r="W83" s="301" t="e">
        <f t="shared" si="43"/>
        <v>#REF!</v>
      </c>
      <c r="X83" s="203" t="e">
        <f>SUM(X76:X82)</f>
        <v>#REF!</v>
      </c>
      <c r="Y83" s="368" t="e">
        <f>+X83/$X$13</f>
        <v>#REF!</v>
      </c>
      <c r="Z83" s="38">
        <f>SUM(Z76:Z82)</f>
        <v>0</v>
      </c>
      <c r="AA83" s="38">
        <f>SUM(AA76:AA82)</f>
        <v>0</v>
      </c>
      <c r="AB83" s="38">
        <f>SUM(AB76:AB82)</f>
        <v>0</v>
      </c>
      <c r="AC83" s="203">
        <f>SUM(AC76:AC82)</f>
        <v>0</v>
      </c>
      <c r="AD83" s="368" t="e">
        <f>+AC83/$X$13</f>
        <v>#REF!</v>
      </c>
      <c r="AE83" s="38" t="e">
        <f t="shared" ca="1" si="45"/>
        <v>#REF!</v>
      </c>
      <c r="AF83" s="12" t="e">
        <f t="shared" ca="1" si="53"/>
        <v>#REF!</v>
      </c>
      <c r="AG83" s="14"/>
      <c r="AH83" s="14"/>
    </row>
    <row r="84" spans="1:36" ht="13.5" thickTop="1">
      <c r="A84" s="757"/>
      <c r="B84" s="14"/>
      <c r="C84" s="14"/>
      <c r="D84" s="14"/>
      <c r="E84" s="14"/>
      <c r="F84" s="14"/>
      <c r="G84" s="14"/>
      <c r="H84" s="152"/>
      <c r="I84" s="152"/>
      <c r="J84" s="14"/>
      <c r="K84" s="14"/>
      <c r="L84" s="14"/>
      <c r="M84" s="14"/>
      <c r="N84" s="14"/>
      <c r="O84" s="14"/>
      <c r="P84" s="152"/>
      <c r="Q84" s="152"/>
      <c r="R84" s="14"/>
      <c r="S84" s="14"/>
      <c r="T84" s="14"/>
      <c r="U84" s="14"/>
      <c r="V84" s="14"/>
      <c r="W84" s="14"/>
      <c r="X84" s="152"/>
      <c r="Y84" s="152"/>
      <c r="Z84" s="14"/>
      <c r="AA84" s="14"/>
      <c r="AB84" s="14"/>
      <c r="AC84" s="152"/>
      <c r="AD84" s="152"/>
      <c r="AE84" s="15"/>
      <c r="AF84" s="12" t="e">
        <f t="shared" ca="1" si="53"/>
        <v>#REF!</v>
      </c>
      <c r="AG84" s="14"/>
      <c r="AH84" s="14"/>
    </row>
    <row r="85" spans="1:36">
      <c r="A85" s="6" t="s">
        <v>413</v>
      </c>
      <c r="B85" s="14">
        <f ca="1">+B13-B49-B72-B83</f>
        <v>69</v>
      </c>
      <c r="C85" s="301">
        <f ca="1">+B85/$B$13</f>
        <v>2.5000000000000001E-2</v>
      </c>
      <c r="D85" s="14">
        <f ca="1">+D13-D49-D72-D83</f>
        <v>440</v>
      </c>
      <c r="E85" s="301">
        <f ca="1">+D85/$D$13</f>
        <v>0.161</v>
      </c>
      <c r="F85" s="14">
        <f ca="1">+F13-F49-F72-F83</f>
        <v>440</v>
      </c>
      <c r="G85" s="301">
        <f ca="1">+F85/$F$13</f>
        <v>0.161</v>
      </c>
      <c r="H85" s="152">
        <f ca="1">+B85+D85+F85</f>
        <v>949</v>
      </c>
      <c r="I85" s="377">
        <f ca="1">+H85/$H$13</f>
        <v>0.11600000000000001</v>
      </c>
      <c r="J85" s="14">
        <f ca="1">+J13-J49-J72-J83</f>
        <v>-684</v>
      </c>
      <c r="K85" s="301">
        <f ca="1">+J85/$J$13</f>
        <v>-0.251</v>
      </c>
      <c r="L85" s="14" t="e">
        <f>+L13-L49-L72-L83</f>
        <v>#REF!</v>
      </c>
      <c r="M85" s="301" t="e">
        <f>+L85/$L$13</f>
        <v>#REF!</v>
      </c>
      <c r="N85" s="14" t="e">
        <f>+N13-N49-N72-N83</f>
        <v>#REF!</v>
      </c>
      <c r="O85" s="302" t="e">
        <f>+N85/$N$13</f>
        <v>#REF!</v>
      </c>
      <c r="P85" s="152" t="e">
        <f ca="1">+J85+L85+N85</f>
        <v>#REF!</v>
      </c>
      <c r="Q85" s="378" t="e">
        <f ca="1">+P85/$P$13</f>
        <v>#REF!</v>
      </c>
      <c r="R85" s="14" t="e">
        <f>+R13-R49-R72-R83</f>
        <v>#REF!</v>
      </c>
      <c r="S85" s="301" t="e">
        <f>+R85/$R$13</f>
        <v>#REF!</v>
      </c>
      <c r="T85" s="14" t="e">
        <f>+T13-T49-T72-T83</f>
        <v>#REF!</v>
      </c>
      <c r="U85" s="301" t="e">
        <f>+T85/$T$13</f>
        <v>#REF!</v>
      </c>
      <c r="V85" s="14" t="e">
        <f>+V13-V49-V72-V83</f>
        <v>#REF!</v>
      </c>
      <c r="W85" s="301" t="e">
        <f>+V85/$V$13</f>
        <v>#REF!</v>
      </c>
      <c r="X85" s="152" t="e">
        <f>+R85+T85+V85</f>
        <v>#REF!</v>
      </c>
      <c r="Y85" s="378" t="e">
        <f>+X85/$X$13</f>
        <v>#REF!</v>
      </c>
      <c r="Z85" s="14" t="e">
        <f>+Z13-Z49-Z72-Z83</f>
        <v>#REF!</v>
      </c>
      <c r="AA85" s="14" t="e">
        <f>+AA13-AA49-AA72-AA83</f>
        <v>#REF!</v>
      </c>
      <c r="AB85" s="14"/>
      <c r="AC85" s="152" t="e">
        <f>+Z85+AA85+AB85</f>
        <v>#REF!</v>
      </c>
      <c r="AD85" s="378" t="e">
        <f>+AC85/$X$13</f>
        <v>#REF!</v>
      </c>
      <c r="AE85" s="14" t="e">
        <f ca="1">+AE13-AE49-AE72-AE83</f>
        <v>#REF!</v>
      </c>
      <c r="AF85" s="12" t="e">
        <f t="shared" ca="1" si="53"/>
        <v>#REF!</v>
      </c>
      <c r="AG85" s="14"/>
      <c r="AH85" s="14"/>
    </row>
    <row r="86" spans="1:36">
      <c r="A86" s="757"/>
      <c r="B86" s="14"/>
      <c r="C86" s="14"/>
      <c r="D86" s="14"/>
      <c r="E86" s="14"/>
      <c r="F86" s="14"/>
      <c r="G86" s="14"/>
      <c r="H86" s="152"/>
      <c r="I86" s="152"/>
      <c r="J86" s="14"/>
      <c r="K86" s="14"/>
      <c r="L86" s="14"/>
      <c r="M86" s="14"/>
      <c r="N86" s="14"/>
      <c r="O86" s="302" t="e">
        <f>+N86/$N$13</f>
        <v>#REF!</v>
      </c>
      <c r="P86" s="152"/>
      <c r="Q86" s="152"/>
      <c r="R86" s="14"/>
      <c r="S86" s="301" t="e">
        <f>+R86/$R$13</f>
        <v>#REF!</v>
      </c>
      <c r="T86" s="14"/>
      <c r="U86" s="301" t="e">
        <f>+T86/$T$13</f>
        <v>#REF!</v>
      </c>
      <c r="V86" s="14"/>
      <c r="W86" s="301" t="e">
        <f>+V86/$V$13</f>
        <v>#REF!</v>
      </c>
      <c r="X86" s="152"/>
      <c r="Y86" s="152"/>
      <c r="Z86" s="14"/>
      <c r="AA86" s="14"/>
      <c r="AB86" s="14"/>
      <c r="AC86" s="152"/>
      <c r="AD86" s="152"/>
      <c r="AE86" s="15"/>
      <c r="AF86" s="12"/>
      <c r="AG86" s="14"/>
      <c r="AH86" s="14"/>
    </row>
    <row r="87" spans="1:36" s="4" customFormat="1">
      <c r="A87" s="6" t="s">
        <v>415</v>
      </c>
      <c r="B87" s="155">
        <f>+DPL25Summary!B87</f>
        <v>0</v>
      </c>
      <c r="C87" s="909">
        <f ca="1">+B87/$B$13</f>
        <v>0</v>
      </c>
      <c r="D87" s="155">
        <f>+DPL25Summary!D87</f>
        <v>0</v>
      </c>
      <c r="E87" s="302" t="e">
        <f>+D87/$N$13</f>
        <v>#REF!</v>
      </c>
      <c r="F87" s="155">
        <f>+DPL25Summary!F87</f>
        <v>0</v>
      </c>
      <c r="G87" s="909">
        <f ca="1">+F87/$F$13</f>
        <v>0</v>
      </c>
      <c r="H87" s="155">
        <f>+B87+D87+F87</f>
        <v>0</v>
      </c>
      <c r="I87" s="950">
        <f ca="1">+H87/$H$13</f>
        <v>0</v>
      </c>
      <c r="J87" s="155">
        <f>+DPL25Summary!H87</f>
        <v>0</v>
      </c>
      <c r="K87" s="302" t="e">
        <f>+J87/$N$13</f>
        <v>#REF!</v>
      </c>
      <c r="L87" s="155">
        <f>+DPL25Summary!J87</f>
        <v>0</v>
      </c>
      <c r="M87" s="302" t="e">
        <f>+L87/$N$13</f>
        <v>#REF!</v>
      </c>
      <c r="N87" s="155">
        <f>+DPL25Summary!L87</f>
        <v>0</v>
      </c>
      <c r="O87" s="302" t="e">
        <f>+N87/$N$13</f>
        <v>#REF!</v>
      </c>
      <c r="P87" s="155">
        <f>+J87+L87+N87</f>
        <v>0</v>
      </c>
      <c r="Q87" s="950" t="e">
        <f ca="1">+P87/$P$13</f>
        <v>#REF!</v>
      </c>
      <c r="R87" s="155">
        <f>+DPL25Summary!N87</f>
        <v>0</v>
      </c>
      <c r="S87" s="302" t="e">
        <f>+R87/$N$13</f>
        <v>#REF!</v>
      </c>
      <c r="T87" s="155">
        <f>+DPL25Summary!P87</f>
        <v>0</v>
      </c>
      <c r="U87" s="301"/>
      <c r="V87" s="155">
        <f>+DPL25Summary!R87</f>
        <v>0</v>
      </c>
      <c r="W87" s="301" t="e">
        <f>+V87/$V$13</f>
        <v>#REF!</v>
      </c>
      <c r="X87" s="155">
        <f>+R87+T87+V87</f>
        <v>0</v>
      </c>
      <c r="Y87" s="950" t="e">
        <f>+X87/$X$13</f>
        <v>#REF!</v>
      </c>
      <c r="Z87" s="155"/>
      <c r="AA87" s="155"/>
      <c r="AB87" s="155"/>
      <c r="AC87" s="152">
        <f>+Z87+AA87+AB87</f>
        <v>0</v>
      </c>
      <c r="AD87" s="950" t="e">
        <f>+AC87/$X$13</f>
        <v>#REF!</v>
      </c>
      <c r="AE87" s="15">
        <f>+B87+D87+F87+J87+L87+N87+R87+T87+V87+Z87+AA87+AB87</f>
        <v>0</v>
      </c>
      <c r="AF87" s="12" t="e">
        <f t="shared" ca="1" si="53"/>
        <v>#REF!</v>
      </c>
      <c r="AG87" s="960" t="e">
        <f ca="1">+AE87/AE85</f>
        <v>#REF!</v>
      </c>
      <c r="AH87" s="14">
        <f>+AH83-AH84</f>
        <v>0</v>
      </c>
      <c r="AI87" s="144"/>
    </row>
    <row r="88" spans="1:36">
      <c r="A88" s="757" t="s">
        <v>59</v>
      </c>
      <c r="B88" s="20"/>
      <c r="C88" s="20"/>
      <c r="D88" s="20"/>
      <c r="E88" s="909">
        <f ca="1">+D88/$D$13</f>
        <v>0</v>
      </c>
      <c r="F88" s="20"/>
      <c r="G88" s="20"/>
      <c r="H88" s="179"/>
      <c r="I88" s="179"/>
      <c r="J88" s="20"/>
      <c r="K88" s="20"/>
      <c r="L88" s="20"/>
      <c r="M88" s="20"/>
      <c r="N88" s="20"/>
      <c r="O88" s="302" t="e">
        <f>+N88/$N$13</f>
        <v>#REF!</v>
      </c>
      <c r="P88" s="179"/>
      <c r="Q88" s="179"/>
      <c r="R88" s="20"/>
      <c r="S88" s="301" t="e">
        <f>+R88/$R$13</f>
        <v>#REF!</v>
      </c>
      <c r="T88" s="20"/>
      <c r="U88" s="301" t="e">
        <f>+T88/$T$13</f>
        <v>#REF!</v>
      </c>
      <c r="V88" s="20"/>
      <c r="W88" s="301" t="e">
        <f>+V88/$V$13</f>
        <v>#REF!</v>
      </c>
      <c r="X88" s="179"/>
      <c r="Y88" s="179"/>
      <c r="Z88" s="20"/>
      <c r="AA88" s="20"/>
      <c r="AB88" s="20"/>
      <c r="AC88" s="179"/>
      <c r="AD88" s="179"/>
      <c r="AE88" s="15"/>
      <c r="AF88" s="12" t="e">
        <f t="shared" ca="1" si="53"/>
        <v>#REF!</v>
      </c>
      <c r="AG88" s="14"/>
      <c r="AH88" s="14"/>
    </row>
    <row r="89" spans="1:36" s="1" customFormat="1" ht="13.5" thickBot="1">
      <c r="A89" s="6" t="s">
        <v>416</v>
      </c>
      <c r="B89" s="26">
        <f ca="1">B13-B49-B72-B83-B87</f>
        <v>69</v>
      </c>
      <c r="C89" s="909">
        <f ca="1">+B89/$B$13</f>
        <v>2.53E-2</v>
      </c>
      <c r="D89" s="26">
        <f ca="1">D13-D49-D72-D83-D87</f>
        <v>440</v>
      </c>
      <c r="E89" s="909">
        <f ca="1">+D89/$D$13</f>
        <v>0.1613</v>
      </c>
      <c r="F89" s="26">
        <f ca="1">F13-F49-F72-F83-F87</f>
        <v>440</v>
      </c>
      <c r="G89" s="909">
        <f ca="1">+F89/$F$13</f>
        <v>0.1613</v>
      </c>
      <c r="H89" s="364">
        <f ca="1">H13-H49-H72-H83-H87</f>
        <v>949</v>
      </c>
      <c r="I89" s="950">
        <f ca="1">+H89/$H$13</f>
        <v>0.11600000000000001</v>
      </c>
      <c r="J89" s="26">
        <f ca="1">J13-J49-J72-J83-J87</f>
        <v>-684</v>
      </c>
      <c r="K89" s="907">
        <f ca="1">+J89/$J$13</f>
        <v>-0.25</v>
      </c>
      <c r="L89" s="26" t="e">
        <f>L13-L49-L72-L83-L87</f>
        <v>#REF!</v>
      </c>
      <c r="M89" s="301" t="e">
        <f>+L89/$L$13</f>
        <v>#REF!</v>
      </c>
      <c r="N89" s="26" t="e">
        <f>N13-N49-N72-N83-N87</f>
        <v>#REF!</v>
      </c>
      <c r="O89" s="302" t="e">
        <f>+N89/$N$13</f>
        <v>#REF!</v>
      </c>
      <c r="P89" s="364" t="e">
        <f ca="1">P13-P49-P72-P83-P87</f>
        <v>#REF!</v>
      </c>
      <c r="Q89" s="950" t="e">
        <f ca="1">+P89/$P$13</f>
        <v>#REF!</v>
      </c>
      <c r="R89" s="26" t="e">
        <f>R13-R49-R72-R83-R87</f>
        <v>#REF!</v>
      </c>
      <c r="S89" s="301" t="e">
        <f>+R89/$R$13</f>
        <v>#REF!</v>
      </c>
      <c r="T89" s="26" t="e">
        <f>T13-T49-T72-T83-T87</f>
        <v>#REF!</v>
      </c>
      <c r="U89" s="301" t="e">
        <f>+T89/$T$13</f>
        <v>#REF!</v>
      </c>
      <c r="V89" s="26" t="e">
        <f>V13-V49-V72-V83-V87</f>
        <v>#REF!</v>
      </c>
      <c r="W89" s="301" t="e">
        <f>+V89/$V$13</f>
        <v>#REF!</v>
      </c>
      <c r="X89" s="364" t="e">
        <f>X13-X49-X72-X83-X87</f>
        <v>#REF!</v>
      </c>
      <c r="Y89" s="950" t="e">
        <f>+X89/$X$13</f>
        <v>#REF!</v>
      </c>
      <c r="Z89" s="26" t="e">
        <f>Z13-Z49-Z72-Z83-Z87</f>
        <v>#REF!</v>
      </c>
      <c r="AA89" s="26" t="e">
        <f>AA13-AA49-AA72-AA83-AA87</f>
        <v>#REF!</v>
      </c>
      <c r="AB89" s="26" t="e">
        <f>AB13-AB49-AB72-AB83-AB87</f>
        <v>#REF!</v>
      </c>
      <c r="AC89" s="364" t="e">
        <f>AC13-AC49-AC72-AC83-AC87</f>
        <v>#REF!</v>
      </c>
      <c r="AD89" s="950" t="e">
        <f>+AC89/$X$13</f>
        <v>#REF!</v>
      </c>
      <c r="AE89" s="26" t="e">
        <f ca="1">AE13-AE49-AE72-AE83-AE87</f>
        <v>#REF!</v>
      </c>
      <c r="AF89" s="12" t="e">
        <f t="shared" ca="1" si="53"/>
        <v>#REF!</v>
      </c>
      <c r="AG89" s="14">
        <v>2413930739</v>
      </c>
      <c r="AH89" s="152" t="e">
        <f ca="1">+AG89-AE89</f>
        <v>#REF!</v>
      </c>
    </row>
    <row r="90" spans="1:36">
      <c r="A90" s="757"/>
      <c r="B90" s="2"/>
      <c r="C90" s="2"/>
      <c r="D90" s="2"/>
      <c r="E90" s="2"/>
      <c r="F90" s="2"/>
      <c r="G90" s="2"/>
      <c r="H90" s="374"/>
      <c r="I90" s="374"/>
      <c r="J90" s="2"/>
      <c r="K90" s="2"/>
      <c r="L90" s="2"/>
      <c r="M90" s="2"/>
      <c r="N90" s="2"/>
      <c r="O90" s="2"/>
      <c r="P90" s="374"/>
      <c r="Q90" s="374"/>
      <c r="R90" s="2"/>
      <c r="S90" s="2"/>
      <c r="T90" s="2"/>
      <c r="U90" s="2"/>
      <c r="V90" s="2"/>
      <c r="W90" s="2"/>
      <c r="X90" s="374"/>
      <c r="Y90" s="374"/>
      <c r="Z90" s="2"/>
      <c r="AA90" s="2"/>
      <c r="AB90" s="2"/>
      <c r="AC90" s="374"/>
      <c r="AD90" s="374"/>
      <c r="AE90" s="7"/>
      <c r="AG90" s="14"/>
      <c r="AH90" s="14"/>
    </row>
    <row r="91" spans="1:36">
      <c r="A91" s="6" t="s">
        <v>417</v>
      </c>
      <c r="B91" s="12">
        <f ca="1">+B89/B13</f>
        <v>2.53E-2</v>
      </c>
      <c r="C91" s="251"/>
      <c r="D91" s="12">
        <f ca="1">+D89/D13</f>
        <v>0.1613</v>
      </c>
      <c r="E91" s="251"/>
      <c r="F91" s="12">
        <f ca="1">+F89/F13</f>
        <v>0.1613</v>
      </c>
      <c r="G91" s="251"/>
      <c r="H91" s="953">
        <f ca="1">+H89/H13</f>
        <v>0.11600000000000001</v>
      </c>
      <c r="I91" s="953"/>
      <c r="J91" s="12">
        <f ca="1">+J89/J13</f>
        <v>-0.25069999999999998</v>
      </c>
      <c r="K91" s="251"/>
      <c r="L91" s="12" t="e">
        <f>+L89/L13</f>
        <v>#REF!</v>
      </c>
      <c r="M91" s="251"/>
      <c r="N91" s="12" t="e">
        <f>+N89/N13</f>
        <v>#REF!</v>
      </c>
      <c r="O91" s="251"/>
      <c r="P91" s="953" t="e">
        <f ca="1">+P89/P13</f>
        <v>#REF!</v>
      </c>
      <c r="Q91" s="953"/>
      <c r="R91" s="12" t="e">
        <f>+R89/R13</f>
        <v>#REF!</v>
      </c>
      <c r="S91" s="12"/>
      <c r="T91" s="12" t="e">
        <f>+T89/T13</f>
        <v>#REF!</v>
      </c>
      <c r="U91" s="12"/>
      <c r="V91" s="12" t="e">
        <f>+V89/V13</f>
        <v>#REF!</v>
      </c>
      <c r="W91" s="251"/>
      <c r="X91" s="953" t="e">
        <f>+X89/X13</f>
        <v>#REF!</v>
      </c>
      <c r="Y91" s="953"/>
      <c r="Z91" s="12" t="e">
        <f>+Z89/Z13</f>
        <v>#REF!</v>
      </c>
      <c r="AA91" s="12" t="e">
        <f>+AA89/AA13</f>
        <v>#REF!</v>
      </c>
      <c r="AB91" s="12" t="e">
        <f>+AB89/AB13</f>
        <v>#REF!</v>
      </c>
      <c r="AC91" s="953" t="e">
        <f>+AC89/AC13</f>
        <v>#REF!</v>
      </c>
      <c r="AD91" s="953"/>
      <c r="AE91" s="142" t="e">
        <f ca="1">+AE89/AE13</f>
        <v>#REF!</v>
      </c>
      <c r="AG91" s="145"/>
      <c r="AH91" s="493"/>
    </row>
    <row r="92" spans="1:36" s="48" customFormat="1">
      <c r="A92" s="138" t="s">
        <v>541</v>
      </c>
      <c r="B92" s="139">
        <f ca="1">B89+B87+B78+B69+B46+B45+B70+B81</f>
        <v>1203</v>
      </c>
      <c r="C92" s="139"/>
      <c r="D92" s="139">
        <f ca="1">D89+D87+D78+D69+D46+D45+D70+D81</f>
        <v>1552</v>
      </c>
      <c r="E92" s="139"/>
      <c r="F92" s="139">
        <f ca="1">F89+F87+F78+F69+F46+F45+F70+F81</f>
        <v>1552</v>
      </c>
      <c r="G92" s="139"/>
      <c r="H92" s="365">
        <f ca="1">H89+H87+H78+H69+H46+H45+H70+H81</f>
        <v>4307</v>
      </c>
      <c r="I92" s="577"/>
      <c r="J92" s="139">
        <f ca="1">J89+J87+J78+J69+J46+J45+J70+J81</f>
        <v>-382</v>
      </c>
      <c r="K92" s="139"/>
      <c r="L92" s="139" t="e">
        <f>L89+L87+L78+L69+L46+L45+L70+L81</f>
        <v>#REF!</v>
      </c>
      <c r="M92" s="139"/>
      <c r="N92" s="139" t="e">
        <f>N89+N87+N78+N69+N46+N45+N70+N81</f>
        <v>#REF!</v>
      </c>
      <c r="O92" s="139"/>
      <c r="P92" s="365" t="e">
        <f ca="1">P89+P87+P78+P69+P46+P45+P70+P81</f>
        <v>#REF!</v>
      </c>
      <c r="Q92" s="577"/>
      <c r="R92" s="139" t="e">
        <f>R89+R87+R78+R69+R46+R45+R70+R81</f>
        <v>#REF!</v>
      </c>
      <c r="S92" s="139"/>
      <c r="T92" s="139" t="e">
        <f>T89+T87+T78+T69+T46+T45+T70+T81</f>
        <v>#REF!</v>
      </c>
      <c r="U92" s="139"/>
      <c r="V92" s="139" t="e">
        <f>V89+V87+V78+V69+V46+V45+V70+V81</f>
        <v>#REF!</v>
      </c>
      <c r="W92" s="139"/>
      <c r="X92" s="365" t="e">
        <f>X89+X87+X78+X69+X46+X45+X70+X81</f>
        <v>#REF!</v>
      </c>
      <c r="Y92" s="577"/>
      <c r="Z92" s="139" t="e">
        <f>Z89+Z87+Z78+Z69+Z46+Z45+Z70+Z81</f>
        <v>#REF!</v>
      </c>
      <c r="AA92" s="139" t="e">
        <f>AA89+AA87+AA78+AA69+AA46+AA45+AA70+AA81</f>
        <v>#REF!</v>
      </c>
      <c r="AB92" s="139" t="e">
        <f>AB89+AB87+AB78+AB69+AB46+AB45+AB70+AB81</f>
        <v>#REF!</v>
      </c>
      <c r="AC92" s="365" t="e">
        <f>AC89+AC87+AC78+AC69+AC46+AC45+AC70+AC81</f>
        <v>#REF!</v>
      </c>
      <c r="AD92" s="577"/>
      <c r="AE92" s="139" t="e">
        <f ca="1">AE89+AE87+AE78+AE69+AE46+AE45+AE70+AE81</f>
        <v>#REF!</v>
      </c>
      <c r="AF92" s="140"/>
      <c r="AG92" s="961">
        <v>637626000</v>
      </c>
      <c r="AH92" s="138"/>
      <c r="AI92" s="138"/>
      <c r="AJ92" s="138"/>
    </row>
    <row r="93" spans="1:36">
      <c r="H93" s="187"/>
      <c r="I93" s="187"/>
      <c r="P93" s="187"/>
      <c r="Q93" s="187"/>
      <c r="X93" s="187"/>
      <c r="Y93" s="187"/>
      <c r="AC93" s="187"/>
      <c r="AD93" s="187"/>
      <c r="AG93" s="146">
        <f>+AG92-AE87</f>
        <v>637626000</v>
      </c>
    </row>
    <row r="94" spans="1:36">
      <c r="B94" s="12">
        <f ca="1">(B89+B87)/B13</f>
        <v>2.53E-2</v>
      </c>
      <c r="C94" s="251"/>
      <c r="D94" s="12">
        <f ca="1">(D89+D87)/D13</f>
        <v>0.1613</v>
      </c>
      <c r="E94" s="251"/>
      <c r="F94" s="12">
        <f ca="1">(F89+F87)/F13</f>
        <v>0.1613</v>
      </c>
      <c r="G94" s="251"/>
      <c r="H94" s="953">
        <f ca="1">(H89+H87)/H13</f>
        <v>0.11600000000000001</v>
      </c>
      <c r="I94" s="953"/>
      <c r="J94" s="12">
        <f ca="1">(J89+J87)/J13</f>
        <v>-0.25069999999999998</v>
      </c>
      <c r="K94" s="251"/>
      <c r="L94" s="12" t="e">
        <f>(L89+L87)/L13</f>
        <v>#REF!</v>
      </c>
      <c r="M94" s="251"/>
      <c r="N94" s="12" t="e">
        <f>(N89+N87)/N13</f>
        <v>#REF!</v>
      </c>
      <c r="O94" s="251"/>
      <c r="P94" s="953" t="e">
        <f ca="1">(P89+P87)/P13</f>
        <v>#REF!</v>
      </c>
      <c r="Q94" s="953"/>
      <c r="R94" s="12" t="e">
        <f>(R89+R87)/R13</f>
        <v>#REF!</v>
      </c>
      <c r="S94" s="12"/>
      <c r="T94" s="12" t="e">
        <f>(T89+T87)/T13</f>
        <v>#REF!</v>
      </c>
      <c r="U94" s="12"/>
      <c r="V94" s="12" t="e">
        <f>(V89+V87)/V13</f>
        <v>#REF!</v>
      </c>
      <c r="W94" s="251"/>
      <c r="X94" s="953" t="e">
        <f>(X89+X87)/X13</f>
        <v>#REF!</v>
      </c>
      <c r="Y94" s="953"/>
      <c r="Z94" s="12" t="e">
        <f>(Z89+Z87)/Z13</f>
        <v>#REF!</v>
      </c>
      <c r="AA94" s="12" t="e">
        <f>(AA89+AA87)/AA13</f>
        <v>#REF!</v>
      </c>
      <c r="AB94" s="12" t="e">
        <f>(AB89+AB87)/AB13</f>
        <v>#REF!</v>
      </c>
      <c r="AC94" s="953" t="e">
        <f>(AC89+AC87)/AC13</f>
        <v>#REF!</v>
      </c>
      <c r="AD94" s="953"/>
      <c r="AE94" s="142" t="e">
        <f ca="1">(AE89+AE87)/AE13</f>
        <v>#REF!</v>
      </c>
      <c r="AG94" s="146"/>
    </row>
    <row r="95" spans="1:36">
      <c r="H95" s="187"/>
      <c r="I95" s="187"/>
      <c r="P95" s="187"/>
      <c r="Q95" s="187"/>
      <c r="X95" s="187"/>
      <c r="Y95" s="187"/>
      <c r="AC95" s="187"/>
      <c r="AD95" s="187"/>
      <c r="AG95" s="147"/>
    </row>
    <row r="96" spans="1:36">
      <c r="B96" s="20">
        <f ca="1">+B89+B87</f>
        <v>69</v>
      </c>
      <c r="C96" s="20"/>
      <c r="D96" s="20">
        <f ca="1">+D89+D87</f>
        <v>440</v>
      </c>
      <c r="E96" s="20"/>
      <c r="F96" s="20">
        <f ca="1">+F89+F87</f>
        <v>440</v>
      </c>
      <c r="G96" s="20"/>
      <c r="H96" s="179">
        <f ca="1">+H89+H87</f>
        <v>949</v>
      </c>
      <c r="I96" s="179"/>
      <c r="J96" s="20">
        <f ca="1">+J89+J87</f>
        <v>-684</v>
      </c>
      <c r="K96" s="20"/>
      <c r="L96" s="20" t="e">
        <f>+L89+L87</f>
        <v>#REF!</v>
      </c>
      <c r="M96" s="20"/>
      <c r="N96" s="20" t="e">
        <f>+N89+N87</f>
        <v>#REF!</v>
      </c>
      <c r="O96" s="20"/>
      <c r="P96" s="179" t="e">
        <f ca="1">+P89+P87</f>
        <v>#REF!</v>
      </c>
      <c r="Q96" s="179"/>
      <c r="R96" s="20" t="e">
        <f>+R89+R87</f>
        <v>#REF!</v>
      </c>
      <c r="S96" s="20"/>
      <c r="T96" s="20" t="e">
        <f>+T89+T87</f>
        <v>#REF!</v>
      </c>
      <c r="U96" s="20"/>
      <c r="V96" s="20" t="e">
        <f>+V89+V87</f>
        <v>#REF!</v>
      </c>
      <c r="W96" s="20"/>
      <c r="X96" s="179" t="e">
        <f>+X89+X87</f>
        <v>#REF!</v>
      </c>
      <c r="Y96" s="179"/>
      <c r="Z96" s="20" t="e">
        <f>+Z89+Z87</f>
        <v>#REF!</v>
      </c>
      <c r="AA96" s="20" t="e">
        <f>+AA89+AA87</f>
        <v>#REF!</v>
      </c>
      <c r="AB96" s="20" t="e">
        <f>+AB89+AB87</f>
        <v>#REF!</v>
      </c>
      <c r="AC96" s="179" t="e">
        <f>+AC89+AC87</f>
        <v>#REF!</v>
      </c>
      <c r="AD96" s="179"/>
      <c r="AE96" s="179" t="e">
        <f ca="1">+AE89+AE87</f>
        <v>#REF!</v>
      </c>
      <c r="AG96" s="146"/>
    </row>
    <row r="97" spans="1:33">
      <c r="A97" s="1"/>
      <c r="B97" s="20"/>
      <c r="C97" s="20"/>
      <c r="D97" s="20"/>
      <c r="E97" s="20"/>
      <c r="F97" s="20"/>
      <c r="G97" s="20"/>
      <c r="H97" s="179"/>
      <c r="I97" s="179"/>
      <c r="J97" s="20"/>
      <c r="K97" s="20"/>
      <c r="L97" s="20"/>
      <c r="M97" s="20"/>
      <c r="N97" s="20"/>
      <c r="O97" s="20"/>
      <c r="P97" s="179"/>
      <c r="Q97" s="179"/>
      <c r="R97" s="20"/>
      <c r="S97" s="20"/>
      <c r="X97" s="179"/>
      <c r="Y97" s="179"/>
      <c r="Z97" s="20"/>
      <c r="AC97" s="179"/>
      <c r="AD97" s="179"/>
      <c r="AE97" s="15"/>
      <c r="AG97" s="146"/>
    </row>
    <row r="98" spans="1:33">
      <c r="A98" s="1"/>
      <c r="B98" s="175"/>
      <c r="C98" s="175"/>
      <c r="D98" s="21"/>
      <c r="E98" s="21"/>
      <c r="F98" s="21"/>
      <c r="G98" s="21"/>
      <c r="H98" s="204"/>
      <c r="I98" s="204"/>
      <c r="J98" s="175"/>
      <c r="K98" s="175"/>
      <c r="L98" s="21"/>
      <c r="M98" s="21"/>
      <c r="N98" s="21"/>
      <c r="O98" s="21"/>
      <c r="P98" s="204"/>
      <c r="Q98" s="204"/>
      <c r="R98" s="21"/>
      <c r="S98" s="21"/>
      <c r="T98" s="21"/>
      <c r="U98" s="21"/>
      <c r="V98" s="21"/>
      <c r="W98" s="21"/>
      <c r="X98" s="204"/>
      <c r="Y98" s="204"/>
      <c r="Z98" s="21"/>
      <c r="AA98" s="154"/>
      <c r="AB98" s="190"/>
      <c r="AC98" s="204"/>
      <c r="AD98" s="204"/>
      <c r="AE98" s="177"/>
      <c r="AF98" s="21"/>
      <c r="AG98" s="149"/>
    </row>
    <row r="99" spans="1:33">
      <c r="A99" s="1"/>
      <c r="B99" s="175"/>
      <c r="C99" s="175"/>
      <c r="D99" s="21"/>
      <c r="E99" s="21"/>
      <c r="F99" s="21"/>
      <c r="G99" s="21"/>
      <c r="H99" s="204"/>
      <c r="I99" s="204"/>
      <c r="J99" s="21"/>
      <c r="K99" s="21"/>
      <c r="L99" s="21"/>
      <c r="M99" s="21"/>
      <c r="N99" s="21"/>
      <c r="O99" s="21"/>
      <c r="P99" s="204"/>
      <c r="Q99" s="204"/>
      <c r="R99" s="21"/>
      <c r="S99" s="21"/>
      <c r="T99" s="21"/>
      <c r="U99" s="21"/>
      <c r="V99" s="21"/>
      <c r="W99" s="21"/>
      <c r="X99" s="204"/>
      <c r="Y99" s="204"/>
      <c r="Z99" s="21"/>
      <c r="AA99" s="1"/>
      <c r="AB99" s="21"/>
      <c r="AC99" s="204"/>
      <c r="AD99" s="204"/>
      <c r="AE99" s="177"/>
      <c r="AF99" s="21"/>
      <c r="AG99" s="168"/>
    </row>
    <row r="100" spans="1:33">
      <c r="A100" s="21" t="s">
        <v>54</v>
      </c>
      <c r="B100" s="21" t="s">
        <v>3</v>
      </c>
      <c r="C100" s="21"/>
      <c r="D100" s="21" t="s">
        <v>4</v>
      </c>
      <c r="E100" s="21"/>
      <c r="F100" s="21" t="s">
        <v>5</v>
      </c>
      <c r="G100" s="21"/>
      <c r="H100" s="1063" t="str">
        <f>+H5</f>
        <v>Q 1</v>
      </c>
      <c r="I100" s="1063"/>
      <c r="J100" s="21" t="s">
        <v>6</v>
      </c>
      <c r="K100" s="21"/>
      <c r="L100" s="21" t="s">
        <v>7</v>
      </c>
      <c r="M100" s="21"/>
      <c r="N100" s="21" t="s">
        <v>8</v>
      </c>
      <c r="O100" s="21"/>
      <c r="P100" s="1063" t="str">
        <f>+P5</f>
        <v>Q 2</v>
      </c>
      <c r="Q100" s="1063"/>
      <c r="R100" s="21" t="s">
        <v>9</v>
      </c>
      <c r="S100" s="21"/>
      <c r="T100" s="21" t="s">
        <v>10</v>
      </c>
      <c r="U100" s="21"/>
      <c r="V100" s="21" t="s">
        <v>11</v>
      </c>
      <c r="W100" s="21"/>
      <c r="X100" s="1063" t="str">
        <f>+X5</f>
        <v>Q 3</v>
      </c>
      <c r="Y100" s="1063"/>
      <c r="Z100" s="21" t="s">
        <v>12</v>
      </c>
      <c r="AA100" s="21" t="s">
        <v>13</v>
      </c>
      <c r="AB100" s="21" t="s">
        <v>14</v>
      </c>
      <c r="AC100" s="1063" t="str">
        <f>+AC5</f>
        <v>Q 4</v>
      </c>
      <c r="AD100" s="1063"/>
      <c r="AE100" s="21" t="s">
        <v>51</v>
      </c>
      <c r="AF100" s="21"/>
      <c r="AG100" s="168"/>
    </row>
    <row r="101" spans="1:33">
      <c r="A101" s="379" t="s">
        <v>424</v>
      </c>
      <c r="B101" s="381">
        <f>+B16+B17+B18+B19+B20+B21+B22+B23+B24+B25+B26+B37</f>
        <v>30</v>
      </c>
      <c r="C101" s="382">
        <f ca="1">+B101/B$13</f>
        <v>0.01</v>
      </c>
      <c r="D101" s="381">
        <f>+D16+D17+D18+D19+D20+D21+D22+D23+D24+D25+D26+D37</f>
        <v>30</v>
      </c>
      <c r="E101" s="382">
        <f ca="1">+D101/D$13</f>
        <v>0.01</v>
      </c>
      <c r="F101" s="381">
        <f>+F16+F17+F18+F19+F20+F21+F22+F23+F24+F25+F26+F37</f>
        <v>30</v>
      </c>
      <c r="G101" s="382">
        <f t="shared" ref="G101:G106" ca="1" si="54">+F101/F$13</f>
        <v>0.01</v>
      </c>
      <c r="H101" s="388">
        <f>+B101+D101+F101</f>
        <v>90</v>
      </c>
      <c r="I101" s="962">
        <f t="shared" ref="I101:I106" ca="1" si="55">+H101/H$13</f>
        <v>0.01</v>
      </c>
      <c r="J101" s="381">
        <f>+J16+J17+J18+J19+J20+J21+J22+J23+J24+J25+J26+J37</f>
        <v>12</v>
      </c>
      <c r="K101" s="382">
        <f t="shared" ref="K101:K106" ca="1" si="56">+J101/J$13</f>
        <v>0</v>
      </c>
      <c r="L101" s="381">
        <f>+L16+L17+L18+L19+L20+L21+L22+L23+L24+L25+L26+L37</f>
        <v>0</v>
      </c>
      <c r="M101" s="382" t="e">
        <f t="shared" ref="M101:M106" si="57">+L101/L$13</f>
        <v>#REF!</v>
      </c>
      <c r="N101" s="381">
        <f>+N16+N17+N18+N19+N20+N21+N22+N23+N24+N25+N26+N37</f>
        <v>0</v>
      </c>
      <c r="O101" s="382" t="e">
        <f t="shared" ref="O101:O106" si="58">+N101/N$13</f>
        <v>#REF!</v>
      </c>
      <c r="P101" s="388">
        <f>+J101+L101+N101</f>
        <v>12</v>
      </c>
      <c r="Q101" s="962" t="e">
        <f t="shared" ref="Q101:Q106" ca="1" si="59">+P101/P$13</f>
        <v>#REF!</v>
      </c>
      <c r="R101" s="381">
        <f>+R16+R17+R18+R19+R20+R21+R22+R23+R24+R25+R26+R37</f>
        <v>0</v>
      </c>
      <c r="S101" s="382" t="e">
        <f t="shared" ref="S101:S106" si="60">+R101/R$13</f>
        <v>#REF!</v>
      </c>
      <c r="T101" s="381">
        <f>+T16+T17+T18+T19+T20+T21+T22+T23+T24+T25+T26+T37</f>
        <v>0</v>
      </c>
      <c r="U101" s="382" t="e">
        <f t="shared" ref="U101:U106" si="61">+T101/T$13</f>
        <v>#REF!</v>
      </c>
      <c r="V101" s="381">
        <f>+V16+V17+V18+V19+V20+V21+V22+V23+V24+V25+V26+V37</f>
        <v>0</v>
      </c>
      <c r="W101" s="382" t="e">
        <f t="shared" ref="W101:W106" si="62">+V101/V$13</f>
        <v>#REF!</v>
      </c>
      <c r="X101" s="388">
        <f>+R101+T101+V101</f>
        <v>0</v>
      </c>
      <c r="Y101" s="962" t="e">
        <f t="shared" ref="Y101:Y106" si="63">+X101/X$13</f>
        <v>#REF!</v>
      </c>
      <c r="Z101" s="20">
        <f>+Z16+Z17+Z18+Z19+Z20+Z21+Z22+Z23+Z24+Z25+Z26+Z37</f>
        <v>0</v>
      </c>
      <c r="AA101" s="20">
        <f>+AA16+AA17+AA18+AA19+AA20+AA21+AA22+AA23+AA24+AA25+AA26+AA37</f>
        <v>0</v>
      </c>
      <c r="AB101" s="20">
        <f>+AB16+AB17+AB18+AB19+AB20+AB21+AB22+AB23+AB24+AB25+AB26+AB37</f>
        <v>0</v>
      </c>
      <c r="AC101" s="388" t="e">
        <f>+W101+Y101+AA101</f>
        <v>#REF!</v>
      </c>
      <c r="AD101" s="962" t="e">
        <f t="shared" ref="AD101:AD106" si="64">+AC101/AC$13</f>
        <v>#REF!</v>
      </c>
      <c r="AE101" s="20">
        <f>+AE16+AE17+AE18+AE19+AE20+AE21+AE22+AE23+AE24+AE25+AE26+AE37</f>
        <v>102</v>
      </c>
      <c r="AF101" s="21"/>
    </row>
    <row r="102" spans="1:33">
      <c r="A102" s="379" t="s">
        <v>425</v>
      </c>
      <c r="B102" s="381">
        <f ca="1">+B29+B30+B31+B32+B33+B35+B36+B28</f>
        <v>381</v>
      </c>
      <c r="C102" s="382">
        <f t="shared" ref="C102:E106" ca="1" si="65">+B102/B$13</f>
        <v>0.14000000000000001</v>
      </c>
      <c r="D102" s="381">
        <f ca="1">+D29+D30+D31+D32+D33+D35+D36+D28</f>
        <v>67</v>
      </c>
      <c r="E102" s="382">
        <f t="shared" ca="1" si="65"/>
        <v>0.02</v>
      </c>
      <c r="F102" s="381">
        <f ca="1">+F29+F30+F31+F32+F33+F35+F36+F28</f>
        <v>67</v>
      </c>
      <c r="G102" s="382">
        <f t="shared" ca="1" si="54"/>
        <v>0.02</v>
      </c>
      <c r="H102" s="388">
        <f ca="1">+B102+D102+F102</f>
        <v>515</v>
      </c>
      <c r="I102" s="962">
        <f t="shared" ca="1" si="55"/>
        <v>0.06</v>
      </c>
      <c r="J102" s="381">
        <f ca="1">+J29+J30+J31+J32+J33+J35+J36+J28</f>
        <v>1844</v>
      </c>
      <c r="K102" s="382">
        <f t="shared" ca="1" si="56"/>
        <v>0.68</v>
      </c>
      <c r="L102" s="381">
        <f>+L29+L30+L31+L32+L33+L35+L36+L28</f>
        <v>0</v>
      </c>
      <c r="M102" s="382" t="e">
        <f t="shared" si="57"/>
        <v>#REF!</v>
      </c>
      <c r="N102" s="381">
        <f>+N29+N30+N31+N32+N33+N35+N36+N28</f>
        <v>0</v>
      </c>
      <c r="O102" s="382" t="e">
        <f t="shared" si="58"/>
        <v>#REF!</v>
      </c>
      <c r="P102" s="388">
        <f ca="1">+J102+L102+N102</f>
        <v>1844</v>
      </c>
      <c r="Q102" s="962" t="e">
        <f t="shared" ca="1" si="59"/>
        <v>#REF!</v>
      </c>
      <c r="R102" s="381">
        <f>+R29+R30+R31+R32+R33+R35+R36+R28</f>
        <v>0</v>
      </c>
      <c r="S102" s="382" t="e">
        <f t="shared" si="60"/>
        <v>#REF!</v>
      </c>
      <c r="T102" s="381">
        <f>+T29+T30+T31+T32+T33+T35+T36+T28</f>
        <v>0</v>
      </c>
      <c r="U102" s="382" t="e">
        <f t="shared" si="61"/>
        <v>#REF!</v>
      </c>
      <c r="V102" s="381">
        <f>+V29+V30+V31+V32+V33+V35+V36+V28</f>
        <v>0</v>
      </c>
      <c r="W102" s="382" t="e">
        <f t="shared" si="62"/>
        <v>#REF!</v>
      </c>
      <c r="X102" s="388">
        <f>+R102+T102+V102</f>
        <v>0</v>
      </c>
      <c r="Y102" s="962" t="e">
        <f t="shared" si="63"/>
        <v>#REF!</v>
      </c>
      <c r="Z102" s="20">
        <f>+Z29+Z30+Z31+Z32+Z33+Z35+Z36+Z28</f>
        <v>0</v>
      </c>
      <c r="AA102" s="20">
        <f>+AA29+AA30+AA31+AA32+AA33+AA35+AA36+AA28</f>
        <v>0</v>
      </c>
      <c r="AB102" s="20">
        <f>+AB29+AB30+AB31+AB32+AB33+AB35+AB36+AB28</f>
        <v>0</v>
      </c>
      <c r="AC102" s="388" t="e">
        <f>+W102+Y102+AA102</f>
        <v>#REF!</v>
      </c>
      <c r="AD102" s="962" t="e">
        <f t="shared" si="64"/>
        <v>#REF!</v>
      </c>
      <c r="AE102" s="20">
        <f ca="1">+AE29+AE30+AE31+AE32+AE33+AE35+AE36+AE28</f>
        <v>2359</v>
      </c>
      <c r="AF102" s="21"/>
    </row>
    <row r="103" spans="1:33">
      <c r="A103" s="379" t="s">
        <v>426</v>
      </c>
      <c r="B103" s="381">
        <f>+B34+B38+B42</f>
        <v>0</v>
      </c>
      <c r="C103" s="382">
        <f t="shared" ca="1" si="65"/>
        <v>0</v>
      </c>
      <c r="D103" s="381">
        <f>+D34+D38+D42</f>
        <v>0</v>
      </c>
      <c r="E103" s="382">
        <f t="shared" ca="1" si="65"/>
        <v>0</v>
      </c>
      <c r="F103" s="381">
        <f>+F34+F38+F42</f>
        <v>0</v>
      </c>
      <c r="G103" s="382">
        <f t="shared" ca="1" si="54"/>
        <v>0</v>
      </c>
      <c r="H103" s="388">
        <f>+B103+D103+F103</f>
        <v>0</v>
      </c>
      <c r="I103" s="962">
        <f t="shared" ca="1" si="55"/>
        <v>0</v>
      </c>
      <c r="J103" s="381">
        <f>+J34+J38+J42</f>
        <v>0</v>
      </c>
      <c r="K103" s="382">
        <f t="shared" ca="1" si="56"/>
        <v>0</v>
      </c>
      <c r="L103" s="381">
        <f>+L34+L38+L42</f>
        <v>0</v>
      </c>
      <c r="M103" s="382" t="e">
        <f t="shared" si="57"/>
        <v>#REF!</v>
      </c>
      <c r="N103" s="381">
        <f>+N34+N38+N42</f>
        <v>0</v>
      </c>
      <c r="O103" s="382" t="e">
        <f t="shared" si="58"/>
        <v>#REF!</v>
      </c>
      <c r="P103" s="388">
        <f>+J103+L103+N103</f>
        <v>0</v>
      </c>
      <c r="Q103" s="962" t="e">
        <f t="shared" ca="1" si="59"/>
        <v>#REF!</v>
      </c>
      <c r="R103" s="381">
        <f>+R34+R38+R42</f>
        <v>0</v>
      </c>
      <c r="S103" s="382" t="e">
        <f t="shared" si="60"/>
        <v>#REF!</v>
      </c>
      <c r="T103" s="381">
        <f>+T34+T38+T42</f>
        <v>0</v>
      </c>
      <c r="U103" s="382" t="e">
        <f t="shared" si="61"/>
        <v>#REF!</v>
      </c>
      <c r="V103" s="381">
        <f>+V34+V38+V42</f>
        <v>0</v>
      </c>
      <c r="W103" s="382" t="e">
        <f t="shared" si="62"/>
        <v>#REF!</v>
      </c>
      <c r="X103" s="388">
        <f>+R103+T103+V103</f>
        <v>0</v>
      </c>
      <c r="Y103" s="962" t="e">
        <f t="shared" si="63"/>
        <v>#REF!</v>
      </c>
      <c r="Z103" s="20">
        <f>+Z34+Z38+Z42</f>
        <v>0</v>
      </c>
      <c r="AA103" s="20">
        <f>+AA34+AA38+AA42</f>
        <v>0</v>
      </c>
      <c r="AB103" s="20">
        <f>+AB34+AB38+AB42</f>
        <v>0</v>
      </c>
      <c r="AC103" s="388" t="e">
        <f>+W103+Y103+AA103</f>
        <v>#REF!</v>
      </c>
      <c r="AD103" s="962" t="e">
        <f t="shared" si="64"/>
        <v>#REF!</v>
      </c>
      <c r="AE103" s="20">
        <f>+AE34+AE38+AE42</f>
        <v>0</v>
      </c>
      <c r="AF103" s="21"/>
      <c r="AG103" s="145"/>
    </row>
    <row r="104" spans="1:33">
      <c r="A104" s="379" t="s">
        <v>427</v>
      </c>
      <c r="B104" s="381">
        <f>+B46</f>
        <v>0</v>
      </c>
      <c r="C104" s="382">
        <f t="shared" ca="1" si="65"/>
        <v>0</v>
      </c>
      <c r="D104" s="381">
        <f>+D46</f>
        <v>0</v>
      </c>
      <c r="E104" s="382">
        <f t="shared" ca="1" si="65"/>
        <v>0</v>
      </c>
      <c r="F104" s="381">
        <f>+F46</f>
        <v>0</v>
      </c>
      <c r="G104" s="382">
        <f t="shared" ca="1" si="54"/>
        <v>0</v>
      </c>
      <c r="H104" s="388">
        <f>+B104+D104+F104</f>
        <v>0</v>
      </c>
      <c r="I104" s="962">
        <f t="shared" ca="1" si="55"/>
        <v>0</v>
      </c>
      <c r="J104" s="381">
        <f>+J46</f>
        <v>0</v>
      </c>
      <c r="K104" s="382">
        <f t="shared" ca="1" si="56"/>
        <v>0</v>
      </c>
      <c r="L104" s="381">
        <f>+L46</f>
        <v>0</v>
      </c>
      <c r="M104" s="382" t="e">
        <f t="shared" si="57"/>
        <v>#REF!</v>
      </c>
      <c r="N104" s="381">
        <f>+N46</f>
        <v>0</v>
      </c>
      <c r="O104" s="382" t="e">
        <f t="shared" si="58"/>
        <v>#REF!</v>
      </c>
      <c r="P104" s="388">
        <f>+J104+L104+N104</f>
        <v>0</v>
      </c>
      <c r="Q104" s="962" t="e">
        <f t="shared" ca="1" si="59"/>
        <v>#REF!</v>
      </c>
      <c r="R104" s="381">
        <f>+R46</f>
        <v>0</v>
      </c>
      <c r="S104" s="382" t="e">
        <f t="shared" si="60"/>
        <v>#REF!</v>
      </c>
      <c r="T104" s="381">
        <f>+T46</f>
        <v>0</v>
      </c>
      <c r="U104" s="382" t="e">
        <f t="shared" si="61"/>
        <v>#REF!</v>
      </c>
      <c r="V104" s="381">
        <f>+V46</f>
        <v>0</v>
      </c>
      <c r="W104" s="382" t="e">
        <f t="shared" si="62"/>
        <v>#REF!</v>
      </c>
      <c r="X104" s="388">
        <f>+R104+T104+V104</f>
        <v>0</v>
      </c>
      <c r="Y104" s="962" t="e">
        <f t="shared" si="63"/>
        <v>#REF!</v>
      </c>
      <c r="Z104" s="20">
        <f>+Z46</f>
        <v>0</v>
      </c>
      <c r="AA104" s="20">
        <f>+AA46</f>
        <v>0</v>
      </c>
      <c r="AB104" s="20">
        <f>+AB46</f>
        <v>0</v>
      </c>
      <c r="AC104" s="388" t="e">
        <f>+W104+Y104+AA104</f>
        <v>#REF!</v>
      </c>
      <c r="AD104" s="962" t="e">
        <f t="shared" si="64"/>
        <v>#REF!</v>
      </c>
      <c r="AE104" s="20">
        <f>+AE46</f>
        <v>0</v>
      </c>
      <c r="AF104" s="21"/>
      <c r="AG104" s="12"/>
    </row>
    <row r="105" spans="1:33">
      <c r="A105" s="1" t="s">
        <v>428</v>
      </c>
      <c r="B105" s="381">
        <f>+B44+B43</f>
        <v>0</v>
      </c>
      <c r="C105" s="382">
        <f t="shared" ca="1" si="65"/>
        <v>0</v>
      </c>
      <c r="D105" s="381">
        <f>+D44+D43</f>
        <v>0</v>
      </c>
      <c r="E105" s="382">
        <f t="shared" ca="1" si="65"/>
        <v>0</v>
      </c>
      <c r="F105" s="381">
        <f>+F44+F43</f>
        <v>0</v>
      </c>
      <c r="G105" s="382">
        <f t="shared" ca="1" si="54"/>
        <v>0</v>
      </c>
      <c r="H105" s="388">
        <f>+B105+D105+F105</f>
        <v>0</v>
      </c>
      <c r="I105" s="962">
        <f t="shared" ca="1" si="55"/>
        <v>0</v>
      </c>
      <c r="J105" s="381">
        <f>+J44+J43</f>
        <v>0</v>
      </c>
      <c r="K105" s="382">
        <f t="shared" ca="1" si="56"/>
        <v>0</v>
      </c>
      <c r="L105" s="381">
        <f>+L44+L43</f>
        <v>0</v>
      </c>
      <c r="M105" s="382" t="e">
        <f t="shared" si="57"/>
        <v>#REF!</v>
      </c>
      <c r="N105" s="381">
        <f>+N44+N43</f>
        <v>0</v>
      </c>
      <c r="O105" s="382" t="e">
        <f t="shared" si="58"/>
        <v>#REF!</v>
      </c>
      <c r="P105" s="388">
        <f>+J105+L105+N105</f>
        <v>0</v>
      </c>
      <c r="Q105" s="962" t="e">
        <f t="shared" ca="1" si="59"/>
        <v>#REF!</v>
      </c>
      <c r="R105" s="381">
        <f>+R44+R43</f>
        <v>0</v>
      </c>
      <c r="S105" s="382" t="e">
        <f t="shared" si="60"/>
        <v>#REF!</v>
      </c>
      <c r="T105" s="381">
        <f>+T44+T43</f>
        <v>0</v>
      </c>
      <c r="U105" s="382" t="e">
        <f t="shared" si="61"/>
        <v>#REF!</v>
      </c>
      <c r="V105" s="381">
        <f>+V44+V43</f>
        <v>0</v>
      </c>
      <c r="W105" s="382" t="e">
        <f t="shared" si="62"/>
        <v>#REF!</v>
      </c>
      <c r="X105" s="388">
        <f>+R105+T105+V105</f>
        <v>0</v>
      </c>
      <c r="Y105" s="962" t="e">
        <f t="shared" si="63"/>
        <v>#REF!</v>
      </c>
      <c r="Z105" s="20">
        <f>+Z44+Z43</f>
        <v>0</v>
      </c>
      <c r="AA105" s="20">
        <f>+AA44+AA43</f>
        <v>0</v>
      </c>
      <c r="AB105" s="20">
        <f>+AB44+AB43</f>
        <v>0</v>
      </c>
      <c r="AC105" s="388" t="e">
        <f>+W105+Y105+AA105</f>
        <v>#REF!</v>
      </c>
      <c r="AD105" s="962" t="e">
        <f t="shared" si="64"/>
        <v>#REF!</v>
      </c>
      <c r="AE105" s="20">
        <f>+AE44+AE43</f>
        <v>0</v>
      </c>
      <c r="AF105" s="21"/>
      <c r="AG105" s="12"/>
    </row>
    <row r="106" spans="1:33" ht="13.5" thickBot="1">
      <c r="B106" s="360">
        <f ca="1">SUM(B101:B105)</f>
        <v>411</v>
      </c>
      <c r="C106" s="963">
        <f t="shared" ca="1" si="65"/>
        <v>0.15</v>
      </c>
      <c r="D106" s="360">
        <f ca="1">SUM(D101:D105)</f>
        <v>97</v>
      </c>
      <c r="E106" s="963">
        <f t="shared" ca="1" si="65"/>
        <v>0.04</v>
      </c>
      <c r="F106" s="360">
        <f ca="1">SUM(F101:F105)</f>
        <v>97</v>
      </c>
      <c r="G106" s="963">
        <f t="shared" ca="1" si="54"/>
        <v>0.04</v>
      </c>
      <c r="H106" s="205">
        <f ca="1">SUM(H101:H105)</f>
        <v>605</v>
      </c>
      <c r="I106" s="387">
        <f t="shared" ca="1" si="55"/>
        <v>7.0000000000000007E-2</v>
      </c>
      <c r="J106" s="360">
        <f ca="1">SUM(J101:J105)</f>
        <v>1856</v>
      </c>
      <c r="K106" s="963">
        <f t="shared" ca="1" si="56"/>
        <v>0.68</v>
      </c>
      <c r="L106" s="360">
        <f>SUM(L101:L105)</f>
        <v>0</v>
      </c>
      <c r="M106" s="963" t="e">
        <f t="shared" si="57"/>
        <v>#REF!</v>
      </c>
      <c r="N106" s="360">
        <f>SUM(N101:N105)</f>
        <v>0</v>
      </c>
      <c r="O106" s="963" t="e">
        <f t="shared" si="58"/>
        <v>#REF!</v>
      </c>
      <c r="P106" s="205">
        <f ca="1">SUM(P101:P105)</f>
        <v>1856</v>
      </c>
      <c r="Q106" s="387" t="e">
        <f t="shared" ca="1" si="59"/>
        <v>#REF!</v>
      </c>
      <c r="R106" s="360">
        <f>SUM(R101:R105)</f>
        <v>0</v>
      </c>
      <c r="S106" s="963" t="e">
        <f t="shared" si="60"/>
        <v>#REF!</v>
      </c>
      <c r="T106" s="360">
        <f>SUM(T101:T105)</f>
        <v>0</v>
      </c>
      <c r="U106" s="963" t="e">
        <f t="shared" si="61"/>
        <v>#REF!</v>
      </c>
      <c r="V106" s="360">
        <f>SUM(V101:V105)</f>
        <v>0</v>
      </c>
      <c r="W106" s="963" t="e">
        <f t="shared" si="62"/>
        <v>#REF!</v>
      </c>
      <c r="X106" s="205">
        <f>SUM(X101:X105)</f>
        <v>0</v>
      </c>
      <c r="Y106" s="387" t="e">
        <f t="shared" si="63"/>
        <v>#REF!</v>
      </c>
      <c r="Z106" s="173">
        <f>SUM(Z101:Z105)</f>
        <v>0</v>
      </c>
      <c r="AA106" s="173">
        <f>SUM(AA101:AA105)</f>
        <v>0</v>
      </c>
      <c r="AB106" s="173">
        <f>SUM(AB101:AB105)</f>
        <v>0</v>
      </c>
      <c r="AC106" s="205" t="e">
        <f>SUM(AC101:AC105)</f>
        <v>#REF!</v>
      </c>
      <c r="AD106" s="387" t="e">
        <f t="shared" si="64"/>
        <v>#REF!</v>
      </c>
      <c r="AE106" s="173">
        <f ca="1">SUM(AE101:AE105)</f>
        <v>2461</v>
      </c>
      <c r="AF106" s="21"/>
      <c r="AG106" s="12"/>
    </row>
    <row r="107" spans="1:33">
      <c r="H107" s="187"/>
      <c r="I107" s="187"/>
      <c r="P107" s="187"/>
      <c r="Q107" s="187"/>
      <c r="X107" s="187"/>
      <c r="Y107" s="187"/>
      <c r="AC107" s="187"/>
      <c r="AD107" s="187"/>
      <c r="AE107"/>
      <c r="AF107" s="21"/>
      <c r="AG107" s="606"/>
    </row>
    <row r="108" spans="1:33">
      <c r="A108" s="187"/>
      <c r="B108" s="179">
        <f ca="1">+B106-B49</f>
        <v>-64</v>
      </c>
      <c r="C108" s="20"/>
      <c r="D108" s="179">
        <f ca="1">+D106-D49</f>
        <v>-29</v>
      </c>
      <c r="E108" s="20"/>
      <c r="F108" s="179">
        <f ca="1">+F106-F49</f>
        <v>-29</v>
      </c>
      <c r="G108" s="20"/>
      <c r="H108" s="179">
        <f ca="1">+H106-H49</f>
        <v>-122</v>
      </c>
      <c r="I108" s="179"/>
      <c r="J108" s="179">
        <f ca="1">+J106-J49</f>
        <v>-204</v>
      </c>
      <c r="K108" s="20"/>
      <c r="L108" s="179">
        <f>+L106-L49</f>
        <v>0</v>
      </c>
      <c r="M108" s="179"/>
      <c r="N108" s="179">
        <f>+N106-N49</f>
        <v>0</v>
      </c>
      <c r="O108" s="20"/>
      <c r="P108" s="179">
        <f ca="1">+P106-P49</f>
        <v>-204</v>
      </c>
      <c r="Q108" s="179"/>
      <c r="R108" s="179">
        <f>+R106-R49</f>
        <v>0</v>
      </c>
      <c r="S108" s="179"/>
      <c r="T108" s="179">
        <f>+T106-T49</f>
        <v>0</v>
      </c>
      <c r="U108" s="179"/>
      <c r="V108" s="179">
        <f>+V106-V49</f>
        <v>0</v>
      </c>
      <c r="W108" s="20"/>
      <c r="X108" s="179">
        <f>+X106-X49</f>
        <v>0</v>
      </c>
      <c r="Y108" s="179"/>
      <c r="Z108" s="179">
        <f>+Z106-Z49</f>
        <v>0</v>
      </c>
      <c r="AA108" s="179">
        <f>+AA106-AA49</f>
        <v>0</v>
      </c>
      <c r="AB108" s="179">
        <f>+AB106-AB49</f>
        <v>0</v>
      </c>
      <c r="AC108" s="179" t="e">
        <f>+AC106-AC49</f>
        <v>#REF!</v>
      </c>
      <c r="AD108" s="179"/>
      <c r="AE108" s="179">
        <f ca="1">+AE106-AE49</f>
        <v>-326</v>
      </c>
      <c r="AF108" s="21"/>
      <c r="AG108" s="12"/>
    </row>
    <row r="109" spans="1:33">
      <c r="A109" s="199" t="s">
        <v>619</v>
      </c>
      <c r="H109" s="187"/>
      <c r="I109" s="187"/>
      <c r="P109" s="187"/>
      <c r="Q109" s="187"/>
      <c r="X109" s="187"/>
      <c r="Y109" s="187"/>
      <c r="AC109" s="187"/>
      <c r="AD109" s="187"/>
      <c r="AF109" s="21"/>
      <c r="AG109" s="606"/>
    </row>
    <row r="110" spans="1:33">
      <c r="H110" s="187"/>
      <c r="I110" s="187"/>
      <c r="P110" s="187"/>
      <c r="Q110" s="187"/>
      <c r="X110" s="187"/>
      <c r="Y110" s="187"/>
      <c r="AC110" s="187"/>
      <c r="AD110" s="187"/>
      <c r="AF110" s="21"/>
    </row>
    <row r="111" spans="1:33">
      <c r="A111" s="379" t="s">
        <v>424</v>
      </c>
      <c r="B111" s="381">
        <f>+B53+B54+B55+B70+B56</f>
        <v>1000</v>
      </c>
      <c r="C111" s="382">
        <f ca="1">+B111/B$13</f>
        <v>0.37</v>
      </c>
      <c r="D111" s="381">
        <f>+D53+D54+D55+D70+D56</f>
        <v>1000</v>
      </c>
      <c r="E111" s="382">
        <f ca="1">+D111/D$13</f>
        <v>0.37</v>
      </c>
      <c r="F111" s="381">
        <f>+F53+F54+F55+F70+F56</f>
        <v>1000</v>
      </c>
      <c r="G111" s="382">
        <f t="shared" ref="G111:G117" ca="1" si="66">+F111/F$13</f>
        <v>0.37</v>
      </c>
      <c r="H111" s="388">
        <f t="shared" ref="H111:H116" si="67">+B111+D111+F111</f>
        <v>3000</v>
      </c>
      <c r="I111" s="962">
        <f ca="1">+H111/H$13</f>
        <v>0.37</v>
      </c>
      <c r="J111" s="381">
        <f>+J53+J54+J55+J70+J56</f>
        <v>1000</v>
      </c>
      <c r="K111" s="382">
        <f t="shared" ref="K111:K117" ca="1" si="68">+J111/J$13</f>
        <v>0.37</v>
      </c>
      <c r="L111" s="381">
        <f>+L53+L54+L55+L70+L56</f>
        <v>1000</v>
      </c>
      <c r="M111" s="382" t="e">
        <f t="shared" ref="M111:M117" si="69">+L111/L$13</f>
        <v>#REF!</v>
      </c>
      <c r="N111" s="381">
        <f>+N53+N54+N55+N70+N56</f>
        <v>1000</v>
      </c>
      <c r="O111" s="382" t="e">
        <f t="shared" ref="O111:O117" si="70">+N111/N$13</f>
        <v>#REF!</v>
      </c>
      <c r="P111" s="388">
        <f t="shared" ref="P111:P116" si="71">+J111+L111+N111</f>
        <v>3000</v>
      </c>
      <c r="Q111" s="962" t="e">
        <f ca="1">+P111/P$13</f>
        <v>#REF!</v>
      </c>
      <c r="R111" s="381">
        <f>+R53+R54+R55+R70+R56</f>
        <v>1000</v>
      </c>
      <c r="S111" s="382" t="e">
        <f>+R111/R$13</f>
        <v>#REF!</v>
      </c>
      <c r="T111" s="381">
        <f>+T53+T54+T55+T70+T56</f>
        <v>1000</v>
      </c>
      <c r="U111" s="382" t="e">
        <f>+T111/T$13</f>
        <v>#REF!</v>
      </c>
      <c r="V111" s="381">
        <f>+V53+V54+V55+V70+V56</f>
        <v>1000</v>
      </c>
      <c r="W111" s="382" t="e">
        <f>+V111/V$13</f>
        <v>#REF!</v>
      </c>
      <c r="X111" s="388">
        <f t="shared" ref="X111:X116" si="72">+R111+T111+V111</f>
        <v>3000</v>
      </c>
      <c r="Y111" s="962" t="e">
        <f>+X111/X$13</f>
        <v>#REF!</v>
      </c>
      <c r="Z111" s="20">
        <f>+Z53+Z54+Z55+Z70+Z56</f>
        <v>0</v>
      </c>
      <c r="AA111" s="20">
        <f>+AA53+AA54+AA55+AA70+AA56</f>
        <v>0</v>
      </c>
      <c r="AB111" s="20">
        <f>+AB53+AB54+AB55+AB70+AB56</f>
        <v>0</v>
      </c>
      <c r="AC111" s="388" t="e">
        <f t="shared" ref="AC111:AC116" si="73">+W111+Y111+AA111</f>
        <v>#REF!</v>
      </c>
      <c r="AD111" s="962" t="e">
        <f>+AC111/AC$13</f>
        <v>#REF!</v>
      </c>
      <c r="AE111" s="20">
        <f>+AE53+AE54+AE55+AE70+AE56</f>
        <v>9000</v>
      </c>
      <c r="AF111" s="21"/>
    </row>
    <row r="112" spans="1:33">
      <c r="A112" s="379" t="s">
        <v>64</v>
      </c>
      <c r="B112" s="381">
        <f>+B59+B60+B61+B62+B64+B65+B68</f>
        <v>0</v>
      </c>
      <c r="C112" s="382">
        <f t="shared" ref="C112:E117" ca="1" si="74">+B112/B$13</f>
        <v>0</v>
      </c>
      <c r="D112" s="381">
        <f>+D59+D60+D61+D62+D64+D65+D68</f>
        <v>0</v>
      </c>
      <c r="E112" s="382">
        <f t="shared" ca="1" si="74"/>
        <v>0</v>
      </c>
      <c r="F112" s="381">
        <f>+F59+F60+F61+F62+F64+F65+F68</f>
        <v>0</v>
      </c>
      <c r="G112" s="382">
        <f t="shared" ca="1" si="66"/>
        <v>0</v>
      </c>
      <c r="H112" s="388">
        <f t="shared" si="67"/>
        <v>0</v>
      </c>
      <c r="I112" s="962">
        <f t="shared" ref="I112:I117" ca="1" si="75">+H112/H$13</f>
        <v>0</v>
      </c>
      <c r="J112" s="381">
        <f>+J59+J60+J61+J62+J64+J65+J68</f>
        <v>0</v>
      </c>
      <c r="K112" s="382">
        <f t="shared" ca="1" si="68"/>
        <v>0</v>
      </c>
      <c r="L112" s="381">
        <f>+L59+L60+L61+L62+L64+L65+L68</f>
        <v>0</v>
      </c>
      <c r="M112" s="382" t="e">
        <f t="shared" si="69"/>
        <v>#REF!</v>
      </c>
      <c r="N112" s="381">
        <f>+N59+N60+N61+N62+N64+N65+N68</f>
        <v>0</v>
      </c>
      <c r="O112" s="382" t="e">
        <f t="shared" si="70"/>
        <v>#REF!</v>
      </c>
      <c r="P112" s="388">
        <f t="shared" si="71"/>
        <v>0</v>
      </c>
      <c r="Q112" s="962" t="e">
        <f t="shared" ref="Q112:Q117" ca="1" si="76">+P112/P$13</f>
        <v>#REF!</v>
      </c>
      <c r="R112" s="381">
        <f>+R59+R60+R61+R62+R64+R65+R68</f>
        <v>0</v>
      </c>
      <c r="S112" s="382" t="e">
        <f t="shared" ref="S112:S117" si="77">+R112/R$13</f>
        <v>#REF!</v>
      </c>
      <c r="T112" s="381">
        <f>+T59+T60+T61+T62+T64+T65+T68</f>
        <v>0</v>
      </c>
      <c r="U112" s="382" t="e">
        <f t="shared" ref="U112:U117" si="78">+T112/T$13</f>
        <v>#REF!</v>
      </c>
      <c r="V112" s="381">
        <f>+V59+V60+V61+V62+V64+V65+V68</f>
        <v>0</v>
      </c>
      <c r="W112" s="382" t="e">
        <f t="shared" ref="W112:W117" si="79">+V112/V$13</f>
        <v>#REF!</v>
      </c>
      <c r="X112" s="388">
        <f t="shared" si="72"/>
        <v>0</v>
      </c>
      <c r="Y112" s="962" t="e">
        <f t="shared" ref="Y112:Y117" si="80">+X112/X$13</f>
        <v>#REF!</v>
      </c>
      <c r="Z112" s="20">
        <f>+Z59+Z60+Z61+Z62+Z64+Z65+Z68</f>
        <v>0</v>
      </c>
      <c r="AA112" s="20">
        <f>+AA59+AA60+AA61+AA62+AA64+AA65+AA68</f>
        <v>0</v>
      </c>
      <c r="AB112" s="20">
        <f>+AB59+AB60+AB61+AB62+AB64+AB65+AB68</f>
        <v>0</v>
      </c>
      <c r="AC112" s="388" t="e">
        <f t="shared" si="73"/>
        <v>#REF!</v>
      </c>
      <c r="AD112" s="962" t="e">
        <f t="shared" ref="AD112:AD117" si="81">+AC112/AC$13</f>
        <v>#REF!</v>
      </c>
      <c r="AE112" s="20">
        <f>+AE59+AE60+AE61+AE62+AE64+AE65+AE68</f>
        <v>0</v>
      </c>
      <c r="AF112" s="21"/>
    </row>
    <row r="113" spans="1:33">
      <c r="A113" s="379" t="s">
        <v>430</v>
      </c>
      <c r="B113" s="381">
        <f>+B63</f>
        <v>0</v>
      </c>
      <c r="C113" s="382">
        <f t="shared" ca="1" si="74"/>
        <v>0</v>
      </c>
      <c r="D113" s="381">
        <f>+D63</f>
        <v>0</v>
      </c>
      <c r="E113" s="382">
        <f t="shared" ca="1" si="74"/>
        <v>0</v>
      </c>
      <c r="F113" s="381">
        <f>+F63</f>
        <v>0</v>
      </c>
      <c r="G113" s="382">
        <f t="shared" ca="1" si="66"/>
        <v>0</v>
      </c>
      <c r="H113" s="388">
        <f t="shared" si="67"/>
        <v>0</v>
      </c>
      <c r="I113" s="962">
        <f t="shared" ca="1" si="75"/>
        <v>0</v>
      </c>
      <c r="J113" s="381">
        <f>+J63</f>
        <v>0</v>
      </c>
      <c r="K113" s="382">
        <f t="shared" ca="1" si="68"/>
        <v>0</v>
      </c>
      <c r="L113" s="381">
        <f>+L63</f>
        <v>0</v>
      </c>
      <c r="M113" s="382" t="e">
        <f t="shared" si="69"/>
        <v>#REF!</v>
      </c>
      <c r="N113" s="381">
        <f>+N63</f>
        <v>0</v>
      </c>
      <c r="O113" s="382" t="e">
        <f t="shared" si="70"/>
        <v>#REF!</v>
      </c>
      <c r="P113" s="388">
        <f t="shared" si="71"/>
        <v>0</v>
      </c>
      <c r="Q113" s="962" t="e">
        <f t="shared" ca="1" si="76"/>
        <v>#REF!</v>
      </c>
      <c r="R113" s="381">
        <f>+R63</f>
        <v>0</v>
      </c>
      <c r="S113" s="382" t="e">
        <f t="shared" si="77"/>
        <v>#REF!</v>
      </c>
      <c r="T113" s="381">
        <f>+T63</f>
        <v>0</v>
      </c>
      <c r="U113" s="382" t="e">
        <f t="shared" si="78"/>
        <v>#REF!</v>
      </c>
      <c r="V113" s="381">
        <f>+V63</f>
        <v>0</v>
      </c>
      <c r="W113" s="382" t="e">
        <f t="shared" si="79"/>
        <v>#REF!</v>
      </c>
      <c r="X113" s="388">
        <f t="shared" si="72"/>
        <v>0</v>
      </c>
      <c r="Y113" s="962" t="e">
        <f t="shared" si="80"/>
        <v>#REF!</v>
      </c>
      <c r="Z113" s="20">
        <f>+Z63</f>
        <v>0</v>
      </c>
      <c r="AA113" s="20">
        <f>+AA63</f>
        <v>0</v>
      </c>
      <c r="AB113" s="20">
        <f>+AB63</f>
        <v>0</v>
      </c>
      <c r="AC113" s="388" t="e">
        <f t="shared" si="73"/>
        <v>#REF!</v>
      </c>
      <c r="AD113" s="962" t="e">
        <f t="shared" si="81"/>
        <v>#REF!</v>
      </c>
      <c r="AE113" s="20">
        <f>+AE63</f>
        <v>0</v>
      </c>
      <c r="AF113" s="21"/>
    </row>
    <row r="114" spans="1:33">
      <c r="A114" s="379" t="s">
        <v>63</v>
      </c>
      <c r="B114" s="381">
        <f>+B57+B58</f>
        <v>50</v>
      </c>
      <c r="C114" s="382">
        <f t="shared" ca="1" si="74"/>
        <v>0.02</v>
      </c>
      <c r="D114" s="381">
        <f>+D57+D58</f>
        <v>50</v>
      </c>
      <c r="E114" s="382">
        <f t="shared" ca="1" si="74"/>
        <v>0.02</v>
      </c>
      <c r="F114" s="381">
        <f>+F57+F58</f>
        <v>50</v>
      </c>
      <c r="G114" s="382">
        <f t="shared" ca="1" si="66"/>
        <v>0.02</v>
      </c>
      <c r="H114" s="388">
        <f t="shared" si="67"/>
        <v>150</v>
      </c>
      <c r="I114" s="962">
        <f t="shared" ca="1" si="75"/>
        <v>0.02</v>
      </c>
      <c r="J114" s="381">
        <f>+J57+J58</f>
        <v>50</v>
      </c>
      <c r="K114" s="382">
        <f t="shared" ca="1" si="68"/>
        <v>0.02</v>
      </c>
      <c r="L114" s="381">
        <f>+L57+L58</f>
        <v>50</v>
      </c>
      <c r="M114" s="382" t="e">
        <f t="shared" si="69"/>
        <v>#REF!</v>
      </c>
      <c r="N114" s="381">
        <f>+N57+N58</f>
        <v>50</v>
      </c>
      <c r="O114" s="382" t="e">
        <f t="shared" si="70"/>
        <v>#REF!</v>
      </c>
      <c r="P114" s="388">
        <f t="shared" si="71"/>
        <v>150</v>
      </c>
      <c r="Q114" s="962" t="e">
        <f t="shared" ca="1" si="76"/>
        <v>#REF!</v>
      </c>
      <c r="R114" s="381">
        <f>+R57+R58</f>
        <v>50</v>
      </c>
      <c r="S114" s="382" t="e">
        <f t="shared" si="77"/>
        <v>#REF!</v>
      </c>
      <c r="T114" s="381">
        <f>+T57+T58</f>
        <v>50</v>
      </c>
      <c r="U114" s="382" t="e">
        <f t="shared" si="78"/>
        <v>#REF!</v>
      </c>
      <c r="V114" s="381">
        <f>+V57+V58</f>
        <v>50</v>
      </c>
      <c r="W114" s="382" t="e">
        <f t="shared" si="79"/>
        <v>#REF!</v>
      </c>
      <c r="X114" s="388">
        <f t="shared" si="72"/>
        <v>150</v>
      </c>
      <c r="Y114" s="962" t="e">
        <f t="shared" si="80"/>
        <v>#REF!</v>
      </c>
      <c r="Z114" s="20">
        <f>+Z57+Z58</f>
        <v>0</v>
      </c>
      <c r="AA114" s="20">
        <f>+AA57+AA58</f>
        <v>0</v>
      </c>
      <c r="AB114" s="20">
        <f>+AB57+AB58</f>
        <v>0</v>
      </c>
      <c r="AC114" s="388" t="e">
        <f t="shared" si="73"/>
        <v>#REF!</v>
      </c>
      <c r="AD114" s="962" t="e">
        <f t="shared" si="81"/>
        <v>#REF!</v>
      </c>
      <c r="AE114" s="20">
        <f>+AE57+AE58</f>
        <v>450</v>
      </c>
      <c r="AF114" s="21"/>
    </row>
    <row r="115" spans="1:33">
      <c r="A115" s="379" t="s">
        <v>431</v>
      </c>
      <c r="B115" s="381">
        <f>+B67+B66</f>
        <v>0</v>
      </c>
      <c r="C115" s="382">
        <f t="shared" ca="1" si="74"/>
        <v>0</v>
      </c>
      <c r="D115" s="381">
        <f>+D67+D66</f>
        <v>0</v>
      </c>
      <c r="E115" s="382">
        <f t="shared" ca="1" si="74"/>
        <v>0</v>
      </c>
      <c r="F115" s="381">
        <f>+F67+F66</f>
        <v>0</v>
      </c>
      <c r="G115" s="382">
        <f t="shared" ca="1" si="66"/>
        <v>0</v>
      </c>
      <c r="H115" s="388">
        <f t="shared" si="67"/>
        <v>0</v>
      </c>
      <c r="I115" s="962">
        <f t="shared" ca="1" si="75"/>
        <v>0</v>
      </c>
      <c r="J115" s="381">
        <f>+J67+J66</f>
        <v>0</v>
      </c>
      <c r="K115" s="382">
        <f t="shared" ca="1" si="68"/>
        <v>0</v>
      </c>
      <c r="L115" s="381">
        <f>+L67+L66</f>
        <v>0</v>
      </c>
      <c r="M115" s="382" t="e">
        <f t="shared" si="69"/>
        <v>#REF!</v>
      </c>
      <c r="N115" s="381">
        <f>+N67+N66</f>
        <v>0</v>
      </c>
      <c r="O115" s="382" t="e">
        <f t="shared" si="70"/>
        <v>#REF!</v>
      </c>
      <c r="P115" s="388">
        <f t="shared" si="71"/>
        <v>0</v>
      </c>
      <c r="Q115" s="962" t="e">
        <f t="shared" ca="1" si="76"/>
        <v>#REF!</v>
      </c>
      <c r="R115" s="381">
        <f>+R67+R66</f>
        <v>0</v>
      </c>
      <c r="S115" s="382" t="e">
        <f t="shared" si="77"/>
        <v>#REF!</v>
      </c>
      <c r="T115" s="381">
        <f>+T67+T66</f>
        <v>0</v>
      </c>
      <c r="U115" s="382" t="e">
        <f t="shared" si="78"/>
        <v>#REF!</v>
      </c>
      <c r="V115" s="381">
        <f>+V67+V66</f>
        <v>0</v>
      </c>
      <c r="W115" s="382" t="e">
        <f t="shared" si="79"/>
        <v>#REF!</v>
      </c>
      <c r="X115" s="388">
        <f t="shared" si="72"/>
        <v>0</v>
      </c>
      <c r="Y115" s="962" t="e">
        <f t="shared" si="80"/>
        <v>#REF!</v>
      </c>
      <c r="Z115" s="20">
        <f>+Z67+Z66</f>
        <v>0</v>
      </c>
      <c r="AA115" s="20">
        <f>+AA67+AA66</f>
        <v>0</v>
      </c>
      <c r="AB115" s="20">
        <f>+AB67+AB66</f>
        <v>0</v>
      </c>
      <c r="AC115" s="388" t="e">
        <f t="shared" si="73"/>
        <v>#REF!</v>
      </c>
      <c r="AD115" s="962" t="e">
        <f t="shared" si="81"/>
        <v>#REF!</v>
      </c>
      <c r="AE115" s="20">
        <f>+AE67+AE66</f>
        <v>0</v>
      </c>
      <c r="AF115" s="21"/>
      <c r="AG115" s="615"/>
    </row>
    <row r="116" spans="1:33">
      <c r="A116" s="379" t="s">
        <v>427</v>
      </c>
      <c r="B116" s="381">
        <f>+B69</f>
        <v>0</v>
      </c>
      <c r="C116" s="382">
        <f t="shared" ca="1" si="74"/>
        <v>0</v>
      </c>
      <c r="D116" s="381">
        <f>+D69</f>
        <v>0</v>
      </c>
      <c r="E116" s="382">
        <f t="shared" ca="1" si="74"/>
        <v>0</v>
      </c>
      <c r="F116" s="381">
        <f>+F69</f>
        <v>0</v>
      </c>
      <c r="G116" s="382">
        <f t="shared" ca="1" si="66"/>
        <v>0</v>
      </c>
      <c r="H116" s="388">
        <f t="shared" si="67"/>
        <v>0</v>
      </c>
      <c r="I116" s="962">
        <f t="shared" ca="1" si="75"/>
        <v>0</v>
      </c>
      <c r="J116" s="381">
        <f>+J69</f>
        <v>0</v>
      </c>
      <c r="K116" s="382">
        <f t="shared" ca="1" si="68"/>
        <v>0</v>
      </c>
      <c r="L116" s="381">
        <f>+L69</f>
        <v>0</v>
      </c>
      <c r="M116" s="382" t="e">
        <f t="shared" si="69"/>
        <v>#REF!</v>
      </c>
      <c r="N116" s="381">
        <f>+N69</f>
        <v>0</v>
      </c>
      <c r="O116" s="382" t="e">
        <f t="shared" si="70"/>
        <v>#REF!</v>
      </c>
      <c r="P116" s="388">
        <f t="shared" si="71"/>
        <v>0</v>
      </c>
      <c r="Q116" s="962" t="e">
        <f t="shared" ca="1" si="76"/>
        <v>#REF!</v>
      </c>
      <c r="R116" s="381">
        <f>+R69</f>
        <v>0</v>
      </c>
      <c r="S116" s="382" t="e">
        <f t="shared" si="77"/>
        <v>#REF!</v>
      </c>
      <c r="T116" s="381">
        <f>+T69</f>
        <v>0</v>
      </c>
      <c r="U116" s="382" t="e">
        <f t="shared" si="78"/>
        <v>#REF!</v>
      </c>
      <c r="V116" s="381">
        <f>+V69</f>
        <v>0</v>
      </c>
      <c r="W116" s="382" t="e">
        <f t="shared" si="79"/>
        <v>#REF!</v>
      </c>
      <c r="X116" s="388">
        <f t="shared" si="72"/>
        <v>0</v>
      </c>
      <c r="Y116" s="962" t="e">
        <f t="shared" si="80"/>
        <v>#REF!</v>
      </c>
      <c r="Z116" s="20">
        <f>+Z69</f>
        <v>0</v>
      </c>
      <c r="AA116" s="20">
        <f>+AA69</f>
        <v>0</v>
      </c>
      <c r="AB116" s="20">
        <f>+AB69</f>
        <v>0</v>
      </c>
      <c r="AC116" s="388" t="e">
        <f t="shared" si="73"/>
        <v>#REF!</v>
      </c>
      <c r="AD116" s="962" t="e">
        <f t="shared" si="81"/>
        <v>#REF!</v>
      </c>
      <c r="AE116" s="20">
        <f>+AE69</f>
        <v>0</v>
      </c>
      <c r="AF116" s="21"/>
    </row>
    <row r="117" spans="1:33" ht="13.5" thickBot="1">
      <c r="B117" s="380">
        <f>SUM(B111:B116)</f>
        <v>1050</v>
      </c>
      <c r="C117" s="382">
        <f t="shared" ca="1" si="74"/>
        <v>0.38</v>
      </c>
      <c r="D117" s="380">
        <f>SUM(D111:D116)</f>
        <v>1050</v>
      </c>
      <c r="E117" s="382">
        <f t="shared" ca="1" si="74"/>
        <v>0.38</v>
      </c>
      <c r="F117" s="380">
        <f>SUM(F111:F116)</f>
        <v>1050</v>
      </c>
      <c r="G117" s="382">
        <f t="shared" ca="1" si="66"/>
        <v>0.38</v>
      </c>
      <c r="H117" s="367">
        <f>SUM(H111:H116)</f>
        <v>3150</v>
      </c>
      <c r="I117" s="387">
        <f t="shared" ca="1" si="75"/>
        <v>0.38</v>
      </c>
      <c r="J117" s="380">
        <f>SUM(J111:J116)</f>
        <v>1050</v>
      </c>
      <c r="K117" s="382">
        <f t="shared" ca="1" si="68"/>
        <v>0.38</v>
      </c>
      <c r="L117" s="380">
        <f>SUM(L111:L116)</f>
        <v>1050</v>
      </c>
      <c r="M117" s="382" t="e">
        <f t="shared" si="69"/>
        <v>#REF!</v>
      </c>
      <c r="N117" s="380">
        <f>SUM(N111:N116)</f>
        <v>1050</v>
      </c>
      <c r="O117" s="382" t="e">
        <f t="shared" si="70"/>
        <v>#REF!</v>
      </c>
      <c r="P117" s="367">
        <f>SUM(P111:P116)</f>
        <v>3150</v>
      </c>
      <c r="Q117" s="387" t="e">
        <f t="shared" ca="1" si="76"/>
        <v>#REF!</v>
      </c>
      <c r="R117" s="380">
        <f>SUM(R111:R116)</f>
        <v>1050</v>
      </c>
      <c r="S117" s="382" t="e">
        <f t="shared" si="77"/>
        <v>#REF!</v>
      </c>
      <c r="T117" s="380">
        <f>SUM(T111:T116)</f>
        <v>1050</v>
      </c>
      <c r="U117" s="382" t="e">
        <f t="shared" si="78"/>
        <v>#REF!</v>
      </c>
      <c r="V117" s="380">
        <f>SUM(V111:V116)</f>
        <v>1050</v>
      </c>
      <c r="W117" s="382" t="e">
        <f t="shared" si="79"/>
        <v>#REF!</v>
      </c>
      <c r="X117" s="367">
        <f>SUM(X111:X116)</f>
        <v>3150</v>
      </c>
      <c r="Y117" s="387" t="e">
        <f t="shared" si="80"/>
        <v>#REF!</v>
      </c>
      <c r="Z117" s="173">
        <f>SUM(Z111:Z116)</f>
        <v>0</v>
      </c>
      <c r="AA117" s="173">
        <f>SUM(AA111:AA116)</f>
        <v>0</v>
      </c>
      <c r="AB117" s="173">
        <f>SUM(AB111:AB116)</f>
        <v>0</v>
      </c>
      <c r="AC117" s="367" t="e">
        <f>SUM(AC111:AC116)</f>
        <v>#REF!</v>
      </c>
      <c r="AD117" s="387" t="e">
        <f t="shared" si="81"/>
        <v>#REF!</v>
      </c>
      <c r="AE117" s="173">
        <f>SUM(AE111:AE116)</f>
        <v>9450</v>
      </c>
      <c r="AF117" s="21"/>
    </row>
    <row r="118" spans="1:33">
      <c r="H118" s="187"/>
      <c r="I118" s="187"/>
      <c r="P118" s="187"/>
      <c r="Q118" s="187"/>
      <c r="X118" s="187"/>
      <c r="Y118" s="187"/>
      <c r="AC118" s="187"/>
      <c r="AD118" s="187"/>
      <c r="AF118" s="21"/>
    </row>
    <row r="119" spans="1:33">
      <c r="A119" s="187"/>
      <c r="B119" s="179">
        <f>+B72-B117</f>
        <v>0</v>
      </c>
      <c r="C119" s="20"/>
      <c r="D119" s="179">
        <f t="shared" ref="D119:AE119" si="82">+D72-D117</f>
        <v>0</v>
      </c>
      <c r="E119" s="20"/>
      <c r="F119" s="179">
        <f t="shared" si="82"/>
        <v>0</v>
      </c>
      <c r="G119" s="20"/>
      <c r="H119" s="179">
        <f t="shared" si="82"/>
        <v>0</v>
      </c>
      <c r="I119" s="179">
        <f t="shared" ca="1" si="82"/>
        <v>0</v>
      </c>
      <c r="J119" s="179">
        <f t="shared" si="82"/>
        <v>0</v>
      </c>
      <c r="K119" s="20"/>
      <c r="L119" s="179">
        <f t="shared" si="82"/>
        <v>0</v>
      </c>
      <c r="M119" s="179"/>
      <c r="N119" s="179">
        <f t="shared" si="82"/>
        <v>0</v>
      </c>
      <c r="O119" s="20"/>
      <c r="P119" s="179">
        <f>+P72-P117</f>
        <v>0</v>
      </c>
      <c r="Q119" s="179"/>
      <c r="R119" s="179">
        <f t="shared" si="82"/>
        <v>0</v>
      </c>
      <c r="S119" s="179"/>
      <c r="T119" s="179">
        <f t="shared" si="82"/>
        <v>0</v>
      </c>
      <c r="U119" s="179"/>
      <c r="V119" s="179">
        <f t="shared" si="82"/>
        <v>0</v>
      </c>
      <c r="W119" s="20"/>
      <c r="X119" s="179">
        <f>+X72-X117</f>
        <v>0</v>
      </c>
      <c r="Y119" s="179"/>
      <c r="Z119" s="179">
        <f t="shared" si="82"/>
        <v>0</v>
      </c>
      <c r="AA119" s="179">
        <f t="shared" si="82"/>
        <v>0</v>
      </c>
      <c r="AB119" s="179">
        <f t="shared" si="82"/>
        <v>0</v>
      </c>
      <c r="AC119" s="179" t="e">
        <f>+AC72-AC117</f>
        <v>#REF!</v>
      </c>
      <c r="AD119" s="179"/>
      <c r="AE119" s="179">
        <f t="shared" si="82"/>
        <v>0</v>
      </c>
      <c r="AF119" s="21"/>
    </row>
    <row r="120" spans="1:33">
      <c r="A120" s="1"/>
      <c r="B120" s="21"/>
      <c r="C120" s="21"/>
      <c r="D120" s="21"/>
      <c r="E120" s="21"/>
      <c r="F120" s="21"/>
      <c r="G120" s="21"/>
      <c r="H120" s="204"/>
      <c r="I120" s="204"/>
      <c r="J120" s="21"/>
      <c r="K120" s="21"/>
      <c r="L120" s="21"/>
      <c r="M120" s="21"/>
      <c r="N120" s="21"/>
      <c r="O120" s="21"/>
      <c r="P120" s="204"/>
      <c r="Q120" s="204"/>
      <c r="R120" s="21"/>
      <c r="S120" s="21"/>
      <c r="T120" s="21"/>
      <c r="U120" s="21"/>
      <c r="V120" s="21"/>
      <c r="W120" s="21"/>
      <c r="X120" s="204"/>
      <c r="Y120" s="204"/>
      <c r="Z120" s="21"/>
      <c r="AA120" s="1"/>
      <c r="AB120" s="21"/>
      <c r="AC120" s="204"/>
      <c r="AD120" s="204"/>
      <c r="AE120" s="21"/>
      <c r="AF120" s="21"/>
    </row>
    <row r="121" spans="1:33">
      <c r="H121" s="187"/>
      <c r="I121" s="187"/>
      <c r="P121" s="187"/>
      <c r="Q121" s="187"/>
      <c r="X121" s="187"/>
      <c r="Y121" s="187"/>
      <c r="AC121" s="187"/>
      <c r="AD121" s="187"/>
      <c r="AE121"/>
    </row>
    <row r="122" spans="1:33" ht="13.5" thickBot="1">
      <c r="A122" s="21" t="s">
        <v>665</v>
      </c>
      <c r="B122" s="21"/>
      <c r="C122" s="21"/>
      <c r="D122" s="21"/>
      <c r="E122" s="21"/>
      <c r="F122" s="21"/>
      <c r="G122" s="21"/>
      <c r="H122" s="204"/>
      <c r="I122" s="204"/>
      <c r="J122" s="21"/>
      <c r="K122" s="21"/>
      <c r="L122" s="21"/>
      <c r="M122" s="21"/>
      <c r="N122" s="21"/>
      <c r="O122" s="21"/>
      <c r="P122" s="204"/>
      <c r="Q122" s="204"/>
      <c r="R122" s="21"/>
      <c r="S122" s="21"/>
      <c r="T122" s="21"/>
      <c r="U122" s="21"/>
      <c r="V122" s="21"/>
      <c r="W122" s="21"/>
      <c r="X122" s="204"/>
      <c r="Y122" s="204"/>
      <c r="Z122" s="21"/>
      <c r="AA122" s="21"/>
      <c r="AB122" s="21"/>
      <c r="AC122" s="204"/>
      <c r="AD122" s="204"/>
      <c r="AE122" s="21"/>
    </row>
    <row r="123" spans="1:33" ht="13.5" thickBot="1">
      <c r="A123" s="217" t="str">
        <f>+A28</f>
        <v>Lodging &amp; meals for field personnel</v>
      </c>
      <c r="B123" s="217">
        <f>+B28</f>
        <v>0</v>
      </c>
      <c r="C123" s="385">
        <f ca="1">+B123/B$13</f>
        <v>0</v>
      </c>
      <c r="D123" s="217">
        <f>+D28</f>
        <v>0</v>
      </c>
      <c r="E123" s="385">
        <f t="shared" ref="E123:E131" ca="1" si="83">+D123/D$13</f>
        <v>0</v>
      </c>
      <c r="F123" s="217">
        <f>+F28</f>
        <v>0</v>
      </c>
      <c r="G123" s="385">
        <f t="shared" ref="G123:G131" ca="1" si="84">+F123/F$13</f>
        <v>0</v>
      </c>
      <c r="H123" s="390">
        <f>+B123+D123+F123</f>
        <v>0</v>
      </c>
      <c r="I123" s="964">
        <f t="shared" ref="I123:I131" ca="1" si="85">+H123/H$13</f>
        <v>0</v>
      </c>
      <c r="J123" s="217">
        <f t="shared" ref="J123:L128" si="86">+J28</f>
        <v>0</v>
      </c>
      <c r="K123" s="385">
        <f t="shared" ref="K123:K131" ca="1" si="87">+J123/J$13</f>
        <v>0</v>
      </c>
      <c r="L123" s="217">
        <f t="shared" si="86"/>
        <v>0</v>
      </c>
      <c r="M123" s="385" t="e">
        <f t="shared" ref="M123:M131" si="88">+L123/L$13</f>
        <v>#REF!</v>
      </c>
      <c r="N123" s="217">
        <f t="shared" ref="N123:N128" si="89">+N28</f>
        <v>0</v>
      </c>
      <c r="O123" s="385" t="e">
        <f t="shared" ref="O123:O131" si="90">+N123/N$13</f>
        <v>#REF!</v>
      </c>
      <c r="P123" s="211">
        <f>+J123+L123+N123</f>
        <v>0</v>
      </c>
      <c r="Q123" s="964" t="e">
        <f t="shared" ref="Q123:Q131" ca="1" si="91">+P123/P$13</f>
        <v>#REF!</v>
      </c>
      <c r="R123" s="217">
        <f t="shared" ref="R123:R128" si="92">+R28</f>
        <v>0</v>
      </c>
      <c r="S123" s="385" t="e">
        <f t="shared" ref="S123:S131" si="93">+R123/R$13</f>
        <v>#REF!</v>
      </c>
      <c r="T123" s="217">
        <f t="shared" ref="T123:V128" si="94">+T28</f>
        <v>0</v>
      </c>
      <c r="U123" s="385" t="e">
        <f t="shared" ref="U123:U131" si="95">+T123/T$13</f>
        <v>#REF!</v>
      </c>
      <c r="V123" s="217">
        <f t="shared" si="94"/>
        <v>0</v>
      </c>
      <c r="W123" s="385" t="e">
        <f t="shared" ref="W123:W131" si="96">+V123/V$13</f>
        <v>#REF!</v>
      </c>
      <c r="X123" s="211">
        <f>+R123+T123+V123</f>
        <v>0</v>
      </c>
      <c r="Y123" s="964" t="e">
        <f t="shared" ref="Y123:Y131" si="97">+X123/X$13</f>
        <v>#REF!</v>
      </c>
      <c r="Z123" s="217">
        <f t="shared" ref="Z123:AA128" si="98">+Z28</f>
        <v>0</v>
      </c>
      <c r="AA123" s="217">
        <f t="shared" si="98"/>
        <v>0</v>
      </c>
      <c r="AB123" s="20"/>
      <c r="AC123" s="211" t="e">
        <f>+W123+Y123+AA123</f>
        <v>#REF!</v>
      </c>
      <c r="AD123" s="964" t="e">
        <f t="shared" ref="AD123:AD131" si="99">+AC123/AC$13</f>
        <v>#REF!</v>
      </c>
      <c r="AE123" s="217">
        <f t="shared" ref="AE123:AE128" si="100">+AE28</f>
        <v>0</v>
      </c>
    </row>
    <row r="124" spans="1:33" ht="13.5" thickBot="1">
      <c r="A124" s="217" t="str">
        <f t="shared" ref="A124:F128" si="101">+A29</f>
        <v>Transportation of  field personnel</v>
      </c>
      <c r="B124" s="217">
        <f t="shared" si="101"/>
        <v>192</v>
      </c>
      <c r="C124" s="385">
        <f t="shared" ref="C124:C131" ca="1" si="102">+B124/B$13</f>
        <v>7.0400000000000004E-2</v>
      </c>
      <c r="D124" s="217">
        <f t="shared" si="101"/>
        <v>0</v>
      </c>
      <c r="E124" s="385">
        <f t="shared" ca="1" si="83"/>
        <v>0</v>
      </c>
      <c r="F124" s="217">
        <f t="shared" si="101"/>
        <v>0</v>
      </c>
      <c r="G124" s="385">
        <f t="shared" ca="1" si="84"/>
        <v>0</v>
      </c>
      <c r="H124" s="390">
        <f t="shared" ref="H124:H130" si="103">+B124+D124+F124</f>
        <v>192</v>
      </c>
      <c r="I124" s="964">
        <f t="shared" ca="1" si="85"/>
        <v>2.35E-2</v>
      </c>
      <c r="J124" s="217">
        <f t="shared" si="86"/>
        <v>192</v>
      </c>
      <c r="K124" s="385">
        <f t="shared" ca="1" si="87"/>
        <v>7.0400000000000004E-2</v>
      </c>
      <c r="L124" s="217">
        <f t="shared" si="86"/>
        <v>0</v>
      </c>
      <c r="M124" s="385" t="e">
        <f t="shared" si="88"/>
        <v>#REF!</v>
      </c>
      <c r="N124" s="217">
        <f t="shared" si="89"/>
        <v>0</v>
      </c>
      <c r="O124" s="385" t="e">
        <f t="shared" si="90"/>
        <v>#REF!</v>
      </c>
      <c r="P124" s="211">
        <f t="shared" ref="P124:P130" si="104">+J124+L124+N124</f>
        <v>192</v>
      </c>
      <c r="Q124" s="964" t="e">
        <f t="shared" ca="1" si="91"/>
        <v>#REF!</v>
      </c>
      <c r="R124" s="217">
        <f t="shared" si="92"/>
        <v>0</v>
      </c>
      <c r="S124" s="385" t="e">
        <f t="shared" si="93"/>
        <v>#REF!</v>
      </c>
      <c r="T124" s="217">
        <f t="shared" si="94"/>
        <v>0</v>
      </c>
      <c r="U124" s="385" t="e">
        <f t="shared" si="95"/>
        <v>#REF!</v>
      </c>
      <c r="V124" s="217">
        <f t="shared" si="94"/>
        <v>0</v>
      </c>
      <c r="W124" s="385" t="e">
        <f t="shared" si="96"/>
        <v>#REF!</v>
      </c>
      <c r="X124" s="211">
        <f t="shared" ref="X124:X130" si="105">+R124+T124+V124</f>
        <v>0</v>
      </c>
      <c r="Y124" s="964" t="e">
        <f t="shared" si="97"/>
        <v>#REF!</v>
      </c>
      <c r="Z124" s="217">
        <f t="shared" si="98"/>
        <v>0</v>
      </c>
      <c r="AA124" s="217">
        <f t="shared" si="98"/>
        <v>0</v>
      </c>
      <c r="AB124" s="20"/>
      <c r="AC124" s="211" t="e">
        <f t="shared" ref="AC124:AC130" si="106">+W124+Y124+AA124</f>
        <v>#REF!</v>
      </c>
      <c r="AD124" s="964" t="e">
        <f t="shared" si="99"/>
        <v>#REF!</v>
      </c>
      <c r="AE124" s="217">
        <f t="shared" si="100"/>
        <v>384</v>
      </c>
    </row>
    <row r="125" spans="1:33" ht="13.5" thickBot="1">
      <c r="A125" s="217" t="str">
        <f t="shared" si="101"/>
        <v>Field Vehicle Rental</v>
      </c>
      <c r="B125" s="217">
        <f t="shared" si="101"/>
        <v>0</v>
      </c>
      <c r="C125" s="385">
        <f t="shared" ca="1" si="102"/>
        <v>0</v>
      </c>
      <c r="D125" s="217">
        <f t="shared" si="101"/>
        <v>0</v>
      </c>
      <c r="E125" s="385">
        <f t="shared" ca="1" si="83"/>
        <v>0</v>
      </c>
      <c r="F125" s="217">
        <f t="shared" si="101"/>
        <v>0</v>
      </c>
      <c r="G125" s="385">
        <f t="shared" ca="1" si="84"/>
        <v>0</v>
      </c>
      <c r="H125" s="390">
        <f t="shared" si="103"/>
        <v>0</v>
      </c>
      <c r="I125" s="964">
        <f t="shared" ca="1" si="85"/>
        <v>0</v>
      </c>
      <c r="J125" s="217">
        <f t="shared" si="86"/>
        <v>0</v>
      </c>
      <c r="K125" s="385">
        <f t="shared" ca="1" si="87"/>
        <v>0</v>
      </c>
      <c r="L125" s="217">
        <f t="shared" si="86"/>
        <v>0</v>
      </c>
      <c r="M125" s="385" t="e">
        <f t="shared" si="88"/>
        <v>#REF!</v>
      </c>
      <c r="N125" s="217">
        <f t="shared" si="89"/>
        <v>0</v>
      </c>
      <c r="O125" s="385" t="e">
        <f t="shared" si="90"/>
        <v>#REF!</v>
      </c>
      <c r="P125" s="211">
        <f t="shared" si="104"/>
        <v>0</v>
      </c>
      <c r="Q125" s="964" t="e">
        <f t="shared" ca="1" si="91"/>
        <v>#REF!</v>
      </c>
      <c r="R125" s="217">
        <f t="shared" si="92"/>
        <v>0</v>
      </c>
      <c r="S125" s="385" t="e">
        <f t="shared" si="93"/>
        <v>#REF!</v>
      </c>
      <c r="T125" s="217">
        <f t="shared" si="94"/>
        <v>0</v>
      </c>
      <c r="U125" s="385" t="e">
        <f t="shared" si="95"/>
        <v>#REF!</v>
      </c>
      <c r="V125" s="217">
        <f t="shared" si="94"/>
        <v>0</v>
      </c>
      <c r="W125" s="385" t="e">
        <f t="shared" si="96"/>
        <v>#REF!</v>
      </c>
      <c r="X125" s="211">
        <f t="shared" si="105"/>
        <v>0</v>
      </c>
      <c r="Y125" s="964" t="e">
        <f t="shared" si="97"/>
        <v>#REF!</v>
      </c>
      <c r="Z125" s="217">
        <f t="shared" si="98"/>
        <v>0</v>
      </c>
      <c r="AA125" s="217">
        <f t="shared" si="98"/>
        <v>0</v>
      </c>
      <c r="AB125" s="20"/>
      <c r="AC125" s="211" t="e">
        <f t="shared" si="106"/>
        <v>#REF!</v>
      </c>
      <c r="AD125" s="964" t="e">
        <f t="shared" si="99"/>
        <v>#REF!</v>
      </c>
      <c r="AE125" s="217">
        <f t="shared" si="100"/>
        <v>0</v>
      </c>
    </row>
    <row r="126" spans="1:33" ht="13.5" thickBot="1">
      <c r="A126" s="217" t="str">
        <f t="shared" si="101"/>
        <v>Consumable materials &amp; warehouse supplies</v>
      </c>
      <c r="B126" s="217">
        <f t="shared" si="101"/>
        <v>67</v>
      </c>
      <c r="C126" s="385">
        <f t="shared" ca="1" si="102"/>
        <v>2.46E-2</v>
      </c>
      <c r="D126" s="217">
        <f t="shared" si="101"/>
        <v>67</v>
      </c>
      <c r="E126" s="385">
        <f t="shared" ca="1" si="83"/>
        <v>2.46E-2</v>
      </c>
      <c r="F126" s="217">
        <f t="shared" si="101"/>
        <v>67</v>
      </c>
      <c r="G126" s="385">
        <f t="shared" ca="1" si="84"/>
        <v>2.46E-2</v>
      </c>
      <c r="H126" s="390">
        <f t="shared" si="103"/>
        <v>201</v>
      </c>
      <c r="I126" s="964">
        <f t="shared" ca="1" si="85"/>
        <v>2.46E-2</v>
      </c>
      <c r="J126" s="217">
        <f t="shared" si="86"/>
        <v>67</v>
      </c>
      <c r="K126" s="385">
        <f t="shared" ca="1" si="87"/>
        <v>2.46E-2</v>
      </c>
      <c r="L126" s="217">
        <f t="shared" si="86"/>
        <v>0</v>
      </c>
      <c r="M126" s="385" t="e">
        <f t="shared" si="88"/>
        <v>#REF!</v>
      </c>
      <c r="N126" s="217">
        <f t="shared" si="89"/>
        <v>0</v>
      </c>
      <c r="O126" s="385" t="e">
        <f t="shared" si="90"/>
        <v>#REF!</v>
      </c>
      <c r="P126" s="211">
        <f t="shared" si="104"/>
        <v>67</v>
      </c>
      <c r="Q126" s="964" t="e">
        <f t="shared" ca="1" si="91"/>
        <v>#REF!</v>
      </c>
      <c r="R126" s="217">
        <f t="shared" si="92"/>
        <v>0</v>
      </c>
      <c r="S126" s="385" t="e">
        <f t="shared" si="93"/>
        <v>#REF!</v>
      </c>
      <c r="T126" s="217">
        <f t="shared" si="94"/>
        <v>0</v>
      </c>
      <c r="U126" s="385" t="e">
        <f t="shared" si="95"/>
        <v>#REF!</v>
      </c>
      <c r="V126" s="217">
        <f t="shared" si="94"/>
        <v>0</v>
      </c>
      <c r="W126" s="385" t="e">
        <f t="shared" si="96"/>
        <v>#REF!</v>
      </c>
      <c r="X126" s="211">
        <f t="shared" si="105"/>
        <v>0</v>
      </c>
      <c r="Y126" s="964" t="e">
        <f t="shared" si="97"/>
        <v>#REF!</v>
      </c>
      <c r="Z126" s="217">
        <f t="shared" si="98"/>
        <v>0</v>
      </c>
      <c r="AA126" s="217">
        <f t="shared" si="98"/>
        <v>0</v>
      </c>
      <c r="AB126" s="20"/>
      <c r="AC126" s="211" t="e">
        <f t="shared" si="106"/>
        <v>#REF!</v>
      </c>
      <c r="AD126" s="964" t="e">
        <f t="shared" si="99"/>
        <v>#REF!</v>
      </c>
      <c r="AE126" s="217">
        <f t="shared" si="100"/>
        <v>268</v>
      </c>
    </row>
    <row r="127" spans="1:33" ht="13.5" thickBot="1">
      <c r="A127" s="217" t="str">
        <f t="shared" si="101"/>
        <v>Equipment repairs &amp; maintenance</v>
      </c>
      <c r="B127" s="217">
        <f t="shared" ca="1" si="101"/>
        <v>122</v>
      </c>
      <c r="C127" s="385">
        <f t="shared" ca="1" si="102"/>
        <v>4.4699999999999997E-2</v>
      </c>
      <c r="D127" s="217">
        <f t="shared" ca="1" si="101"/>
        <v>0</v>
      </c>
      <c r="E127" s="385">
        <f t="shared" ca="1" si="83"/>
        <v>0</v>
      </c>
      <c r="F127" s="217">
        <f t="shared" ca="1" si="101"/>
        <v>0</v>
      </c>
      <c r="G127" s="385">
        <f t="shared" ca="1" si="84"/>
        <v>0</v>
      </c>
      <c r="H127" s="390">
        <f t="shared" ca="1" si="103"/>
        <v>122</v>
      </c>
      <c r="I127" s="964">
        <f t="shared" ca="1" si="85"/>
        <v>1.49E-2</v>
      </c>
      <c r="J127" s="217">
        <f t="shared" ca="1" si="86"/>
        <v>122</v>
      </c>
      <c r="K127" s="385">
        <f t="shared" ca="1" si="87"/>
        <v>4.4699999999999997E-2</v>
      </c>
      <c r="L127" s="217">
        <f t="shared" si="86"/>
        <v>0</v>
      </c>
      <c r="M127" s="385" t="e">
        <f t="shared" si="88"/>
        <v>#REF!</v>
      </c>
      <c r="N127" s="217">
        <f t="shared" si="89"/>
        <v>0</v>
      </c>
      <c r="O127" s="385" t="e">
        <f t="shared" si="90"/>
        <v>#REF!</v>
      </c>
      <c r="P127" s="211">
        <f t="shared" ca="1" si="104"/>
        <v>122</v>
      </c>
      <c r="Q127" s="964" t="e">
        <f t="shared" ca="1" si="91"/>
        <v>#REF!</v>
      </c>
      <c r="R127" s="217">
        <f t="shared" si="92"/>
        <v>0</v>
      </c>
      <c r="S127" s="385" t="e">
        <f t="shared" si="93"/>
        <v>#REF!</v>
      </c>
      <c r="T127" s="217">
        <f t="shared" si="94"/>
        <v>0</v>
      </c>
      <c r="U127" s="385" t="e">
        <f t="shared" si="95"/>
        <v>#REF!</v>
      </c>
      <c r="V127" s="217">
        <f t="shared" si="94"/>
        <v>0</v>
      </c>
      <c r="W127" s="385" t="e">
        <f t="shared" si="96"/>
        <v>#REF!</v>
      </c>
      <c r="X127" s="211">
        <f t="shared" si="105"/>
        <v>0</v>
      </c>
      <c r="Y127" s="964" t="e">
        <f t="shared" si="97"/>
        <v>#REF!</v>
      </c>
      <c r="Z127" s="217">
        <f t="shared" si="98"/>
        <v>0</v>
      </c>
      <c r="AA127" s="217">
        <f t="shared" si="98"/>
        <v>0</v>
      </c>
      <c r="AB127" s="20"/>
      <c r="AC127" s="211" t="e">
        <f t="shared" si="106"/>
        <v>#REF!</v>
      </c>
      <c r="AD127" s="964" t="e">
        <f t="shared" si="99"/>
        <v>#REF!</v>
      </c>
      <c r="AE127" s="217">
        <f t="shared" ca="1" si="100"/>
        <v>244</v>
      </c>
    </row>
    <row r="128" spans="1:33" ht="13.5" thickBot="1">
      <c r="A128" s="217" t="str">
        <f t="shared" si="101"/>
        <v xml:space="preserve">Equipment rental   </v>
      </c>
      <c r="B128" s="217">
        <f>+B33</f>
        <v>0</v>
      </c>
      <c r="C128" s="385">
        <f t="shared" ca="1" si="102"/>
        <v>0</v>
      </c>
      <c r="D128" s="217">
        <f>+D33</f>
        <v>0</v>
      </c>
      <c r="E128" s="385">
        <f t="shared" ca="1" si="83"/>
        <v>0</v>
      </c>
      <c r="F128" s="217">
        <f>+F33</f>
        <v>0</v>
      </c>
      <c r="G128" s="385">
        <f t="shared" ca="1" si="84"/>
        <v>0</v>
      </c>
      <c r="H128" s="390">
        <f t="shared" si="103"/>
        <v>0</v>
      </c>
      <c r="I128" s="964">
        <f t="shared" ca="1" si="85"/>
        <v>0</v>
      </c>
      <c r="J128" s="217">
        <f t="shared" si="86"/>
        <v>0</v>
      </c>
      <c r="K128" s="385">
        <f t="shared" ca="1" si="87"/>
        <v>0</v>
      </c>
      <c r="L128" s="217">
        <f t="shared" si="86"/>
        <v>0</v>
      </c>
      <c r="M128" s="385" t="e">
        <f t="shared" si="88"/>
        <v>#REF!</v>
      </c>
      <c r="N128" s="217">
        <f t="shared" si="89"/>
        <v>0</v>
      </c>
      <c r="O128" s="385" t="e">
        <f t="shared" si="90"/>
        <v>#REF!</v>
      </c>
      <c r="P128" s="211">
        <f t="shared" si="104"/>
        <v>0</v>
      </c>
      <c r="Q128" s="964" t="e">
        <f t="shared" ca="1" si="91"/>
        <v>#REF!</v>
      </c>
      <c r="R128" s="217">
        <f t="shared" si="92"/>
        <v>0</v>
      </c>
      <c r="S128" s="385" t="e">
        <f t="shared" si="93"/>
        <v>#REF!</v>
      </c>
      <c r="T128" s="217">
        <f t="shared" si="94"/>
        <v>0</v>
      </c>
      <c r="U128" s="385" t="e">
        <f t="shared" si="95"/>
        <v>#REF!</v>
      </c>
      <c r="V128" s="217">
        <f t="shared" si="94"/>
        <v>0</v>
      </c>
      <c r="W128" s="385" t="e">
        <f t="shared" si="96"/>
        <v>#REF!</v>
      </c>
      <c r="X128" s="211">
        <f t="shared" si="105"/>
        <v>0</v>
      </c>
      <c r="Y128" s="964" t="e">
        <f t="shared" si="97"/>
        <v>#REF!</v>
      </c>
      <c r="Z128" s="217">
        <f t="shared" si="98"/>
        <v>0</v>
      </c>
      <c r="AA128" s="217">
        <f t="shared" si="98"/>
        <v>0</v>
      </c>
      <c r="AB128" s="20"/>
      <c r="AC128" s="211" t="e">
        <f t="shared" si="106"/>
        <v>#REF!</v>
      </c>
      <c r="AD128" s="964" t="e">
        <f t="shared" si="99"/>
        <v>#REF!</v>
      </c>
      <c r="AE128" s="217">
        <f t="shared" si="100"/>
        <v>0</v>
      </c>
    </row>
    <row r="129" spans="1:31" ht="13.5" thickBot="1">
      <c r="A129" s="217" t="str">
        <f t="shared" ref="A129:F130" si="107">+A35</f>
        <v>Transport &amp; installation of Units</v>
      </c>
      <c r="B129" s="217">
        <f t="shared" si="107"/>
        <v>0</v>
      </c>
      <c r="C129" s="385">
        <f t="shared" ca="1" si="102"/>
        <v>0</v>
      </c>
      <c r="D129" s="217">
        <f t="shared" si="107"/>
        <v>0</v>
      </c>
      <c r="E129" s="385">
        <f t="shared" ca="1" si="83"/>
        <v>0</v>
      </c>
      <c r="F129" s="217">
        <f t="shared" si="107"/>
        <v>0</v>
      </c>
      <c r="G129" s="385">
        <f t="shared" ca="1" si="84"/>
        <v>0</v>
      </c>
      <c r="H129" s="390">
        <f t="shared" si="103"/>
        <v>0</v>
      </c>
      <c r="I129" s="964">
        <f t="shared" ca="1" si="85"/>
        <v>0</v>
      </c>
      <c r="J129" s="217">
        <f>+J35</f>
        <v>1463</v>
      </c>
      <c r="K129" s="385">
        <f t="shared" ca="1" si="87"/>
        <v>0.5363</v>
      </c>
      <c r="L129" s="217">
        <f>+L35</f>
        <v>0</v>
      </c>
      <c r="M129" s="385" t="e">
        <f t="shared" si="88"/>
        <v>#REF!</v>
      </c>
      <c r="N129" s="217">
        <f>+N35</f>
        <v>0</v>
      </c>
      <c r="O129" s="385" t="e">
        <f t="shared" si="90"/>
        <v>#REF!</v>
      </c>
      <c r="P129" s="211">
        <f t="shared" si="104"/>
        <v>1463</v>
      </c>
      <c r="Q129" s="964" t="e">
        <f t="shared" ca="1" si="91"/>
        <v>#REF!</v>
      </c>
      <c r="R129" s="217">
        <f>+R35</f>
        <v>0</v>
      </c>
      <c r="S129" s="385" t="e">
        <f t="shared" si="93"/>
        <v>#REF!</v>
      </c>
      <c r="T129" s="217">
        <f>+T35</f>
        <v>0</v>
      </c>
      <c r="U129" s="385" t="e">
        <f t="shared" si="95"/>
        <v>#REF!</v>
      </c>
      <c r="V129" s="217">
        <f>+V35</f>
        <v>0</v>
      </c>
      <c r="W129" s="385" t="e">
        <f t="shared" si="96"/>
        <v>#REF!</v>
      </c>
      <c r="X129" s="211">
        <f t="shared" si="105"/>
        <v>0</v>
      </c>
      <c r="Y129" s="964" t="e">
        <f t="shared" si="97"/>
        <v>#REF!</v>
      </c>
      <c r="Z129" s="217">
        <f>+Z35</f>
        <v>0</v>
      </c>
      <c r="AA129" s="217">
        <f>+AA35</f>
        <v>0</v>
      </c>
      <c r="AB129" s="20"/>
      <c r="AC129" s="211" t="e">
        <f t="shared" si="106"/>
        <v>#REF!</v>
      </c>
      <c r="AD129" s="964" t="e">
        <f t="shared" si="99"/>
        <v>#REF!</v>
      </c>
      <c r="AE129" s="217">
        <f>+AE35</f>
        <v>1463</v>
      </c>
    </row>
    <row r="130" spans="1:31" ht="13.5" thickBot="1">
      <c r="A130" s="217" t="str">
        <f t="shared" si="107"/>
        <v>Telephone expenses at wellsite</v>
      </c>
      <c r="B130" s="217">
        <f t="shared" si="107"/>
        <v>0</v>
      </c>
      <c r="C130" s="385">
        <f t="shared" ca="1" si="102"/>
        <v>0</v>
      </c>
      <c r="D130" s="217">
        <f t="shared" si="107"/>
        <v>0</v>
      </c>
      <c r="E130" s="385">
        <f t="shared" ca="1" si="83"/>
        <v>0</v>
      </c>
      <c r="F130" s="217">
        <f t="shared" si="107"/>
        <v>0</v>
      </c>
      <c r="G130" s="385">
        <f t="shared" ca="1" si="84"/>
        <v>0</v>
      </c>
      <c r="H130" s="390">
        <f t="shared" si="103"/>
        <v>0</v>
      </c>
      <c r="I130" s="964">
        <f t="shared" ca="1" si="85"/>
        <v>0</v>
      </c>
      <c r="J130" s="217">
        <f>+J36</f>
        <v>0</v>
      </c>
      <c r="K130" s="385">
        <f t="shared" ca="1" si="87"/>
        <v>0</v>
      </c>
      <c r="L130" s="217">
        <f>+L36</f>
        <v>0</v>
      </c>
      <c r="M130" s="385" t="e">
        <f t="shared" si="88"/>
        <v>#REF!</v>
      </c>
      <c r="N130" s="217">
        <f>+N36</f>
        <v>0</v>
      </c>
      <c r="O130" s="385" t="e">
        <f t="shared" si="90"/>
        <v>#REF!</v>
      </c>
      <c r="P130" s="211">
        <f t="shared" si="104"/>
        <v>0</v>
      </c>
      <c r="Q130" s="964" t="e">
        <f t="shared" ca="1" si="91"/>
        <v>#REF!</v>
      </c>
      <c r="R130" s="217">
        <f>+R36</f>
        <v>0</v>
      </c>
      <c r="S130" s="385" t="e">
        <f t="shared" si="93"/>
        <v>#REF!</v>
      </c>
      <c r="T130" s="217">
        <f>+T36</f>
        <v>0</v>
      </c>
      <c r="U130" s="385" t="e">
        <f t="shared" si="95"/>
        <v>#REF!</v>
      </c>
      <c r="V130" s="217">
        <f>+V36</f>
        <v>0</v>
      </c>
      <c r="W130" s="385" t="e">
        <f t="shared" si="96"/>
        <v>#REF!</v>
      </c>
      <c r="X130" s="211">
        <f t="shared" si="105"/>
        <v>0</v>
      </c>
      <c r="Y130" s="964" t="e">
        <f t="shared" si="97"/>
        <v>#REF!</v>
      </c>
      <c r="Z130" s="217">
        <f>+Z36</f>
        <v>0</v>
      </c>
      <c r="AA130" s="217">
        <f>+AA36</f>
        <v>0</v>
      </c>
      <c r="AB130" s="20"/>
      <c r="AC130" s="211" t="e">
        <f t="shared" si="106"/>
        <v>#REF!</v>
      </c>
      <c r="AD130" s="964" t="e">
        <f t="shared" si="99"/>
        <v>#REF!</v>
      </c>
      <c r="AE130" s="217">
        <f>+AE36</f>
        <v>0</v>
      </c>
    </row>
    <row r="131" spans="1:31" ht="13.5" thickBot="1">
      <c r="B131" s="174">
        <f ca="1">SUM(B123:B130)</f>
        <v>381</v>
      </c>
      <c r="C131" s="385">
        <f t="shared" ca="1" si="102"/>
        <v>0.13969999999999999</v>
      </c>
      <c r="D131" s="174">
        <f ca="1">SUM(D123:D130)</f>
        <v>67</v>
      </c>
      <c r="E131" s="385">
        <f t="shared" ca="1" si="83"/>
        <v>2.46E-2</v>
      </c>
      <c r="F131" s="174">
        <f ca="1">SUM(F123:F130)</f>
        <v>67</v>
      </c>
      <c r="G131" s="385">
        <f t="shared" ca="1" si="84"/>
        <v>2.46E-2</v>
      </c>
      <c r="H131" s="389">
        <f ca="1">SUM(H123:H130)</f>
        <v>515</v>
      </c>
      <c r="I131" s="386">
        <f t="shared" ca="1" si="85"/>
        <v>6.2899999999999998E-2</v>
      </c>
      <c r="J131" s="174">
        <f ca="1">SUM(J123:J130)</f>
        <v>1844</v>
      </c>
      <c r="K131" s="385">
        <f t="shared" ca="1" si="87"/>
        <v>0.67600000000000005</v>
      </c>
      <c r="L131" s="174">
        <f>SUM(L123:L130)</f>
        <v>0</v>
      </c>
      <c r="M131" s="385" t="e">
        <f t="shared" si="88"/>
        <v>#REF!</v>
      </c>
      <c r="N131" s="174">
        <f>SUM(N123:N130)</f>
        <v>0</v>
      </c>
      <c r="O131" s="385" t="e">
        <f t="shared" si="90"/>
        <v>#REF!</v>
      </c>
      <c r="P131" s="367">
        <f ca="1">SUM(P123:P130)</f>
        <v>1844</v>
      </c>
      <c r="Q131" s="386" t="e">
        <f t="shared" ca="1" si="91"/>
        <v>#REF!</v>
      </c>
      <c r="R131" s="174">
        <f>SUM(R123:R130)</f>
        <v>0</v>
      </c>
      <c r="S131" s="385" t="e">
        <f t="shared" si="93"/>
        <v>#REF!</v>
      </c>
      <c r="T131" s="174">
        <f>SUM(T123:T130)</f>
        <v>0</v>
      </c>
      <c r="U131" s="385" t="e">
        <f t="shared" si="95"/>
        <v>#REF!</v>
      </c>
      <c r="V131" s="174">
        <f>SUM(V123:V130)</f>
        <v>0</v>
      </c>
      <c r="W131" s="385" t="e">
        <f t="shared" si="96"/>
        <v>#REF!</v>
      </c>
      <c r="X131" s="367">
        <f>SUM(X123:X130)</f>
        <v>0</v>
      </c>
      <c r="Y131" s="386" t="e">
        <f t="shared" si="97"/>
        <v>#REF!</v>
      </c>
      <c r="Z131" s="174">
        <f>SUM(Z123:Z130)</f>
        <v>0</v>
      </c>
      <c r="AA131" s="174">
        <f>SUM(AA123:AA130)</f>
        <v>0</v>
      </c>
      <c r="AB131" s="173"/>
      <c r="AC131" s="367" t="e">
        <f>SUM(AC123:AC130)</f>
        <v>#REF!</v>
      </c>
      <c r="AD131" s="386" t="e">
        <f t="shared" si="99"/>
        <v>#REF!</v>
      </c>
      <c r="AE131" s="174">
        <f ca="1">SUM(AE123:AE130)</f>
        <v>2359</v>
      </c>
    </row>
    <row r="132" spans="1:31">
      <c r="H132" s="187"/>
      <c r="I132" s="187"/>
      <c r="P132" s="187"/>
      <c r="Q132" s="187"/>
      <c r="X132" s="187"/>
      <c r="Y132" s="187"/>
      <c r="AC132" s="187"/>
      <c r="AD132" s="187"/>
      <c r="AE132"/>
    </row>
    <row r="133" spans="1:31">
      <c r="F133" s="372">
        <f ca="1">SUM(B131:F131)</f>
        <v>515</v>
      </c>
      <c r="G133" s="156"/>
      <c r="H133" s="218">
        <f ca="1">+H131</f>
        <v>515</v>
      </c>
      <c r="I133" s="218"/>
      <c r="N133" s="218" t="e">
        <f ca="1">SUM(J131:N131)</f>
        <v>#REF!</v>
      </c>
      <c r="P133" s="218">
        <f ca="1">+P131</f>
        <v>1844</v>
      </c>
      <c r="Q133" s="218"/>
      <c r="V133" s="218" t="e">
        <f>SUM(R131:V131)</f>
        <v>#REF!</v>
      </c>
      <c r="X133" s="218">
        <f>+X131</f>
        <v>0</v>
      </c>
      <c r="Y133" s="218"/>
      <c r="AC133" s="218" t="e">
        <f>+AC131</f>
        <v>#REF!</v>
      </c>
      <c r="AD133" s="218"/>
    </row>
    <row r="134" spans="1:31">
      <c r="F134" s="219">
        <f>+F128+D128+B128</f>
        <v>0</v>
      </c>
      <c r="G134" s="219"/>
      <c r="H134" s="221">
        <f>+H128</f>
        <v>0</v>
      </c>
      <c r="I134" s="221"/>
      <c r="N134" s="219">
        <f>+N128+L128+J128</f>
        <v>0</v>
      </c>
      <c r="P134" s="221">
        <f>+P128</f>
        <v>0</v>
      </c>
      <c r="Q134" s="221"/>
      <c r="V134" s="219">
        <f>+V128+T128+R128</f>
        <v>0</v>
      </c>
      <c r="X134" s="221">
        <f>+X128</f>
        <v>0</v>
      </c>
      <c r="Y134" s="221"/>
      <c r="AC134" s="221" t="e">
        <f>+AC128</f>
        <v>#REF!</v>
      </c>
      <c r="AD134" s="221"/>
    </row>
    <row r="135" spans="1:31">
      <c r="F135" s="221">
        <f ca="1">+F133-F134</f>
        <v>515</v>
      </c>
      <c r="G135" s="219"/>
      <c r="H135" s="221">
        <f ca="1">+H133-H134</f>
        <v>515</v>
      </c>
      <c r="I135" s="221"/>
      <c r="N135" s="221" t="e">
        <f ca="1">+N133-N134</f>
        <v>#REF!</v>
      </c>
      <c r="P135" s="221">
        <f ca="1">+P133-P134</f>
        <v>1844</v>
      </c>
      <c r="Q135" s="221"/>
      <c r="V135" s="221" t="e">
        <f>+V133-V134</f>
        <v>#REF!</v>
      </c>
      <c r="X135" s="221">
        <f>+X133-X134</f>
        <v>0</v>
      </c>
      <c r="Y135" s="221"/>
      <c r="AC135" s="221" t="e">
        <f>+AC133-AC134</f>
        <v>#REF!</v>
      </c>
      <c r="AD135" s="221"/>
    </row>
    <row r="136" spans="1:31">
      <c r="A136" s="21" t="s">
        <v>666</v>
      </c>
      <c r="H136" s="187"/>
      <c r="I136" s="187"/>
      <c r="P136" s="187"/>
      <c r="Q136" s="187"/>
      <c r="X136" s="187"/>
      <c r="Y136" s="187"/>
      <c r="AC136" s="187"/>
      <c r="AD136" s="187"/>
    </row>
    <row r="137" spans="1:31">
      <c r="A137" s="219" t="str">
        <f>+A16</f>
        <v xml:space="preserve">Salaries - Field Employees </v>
      </c>
      <c r="B137" s="383">
        <f>+B16</f>
        <v>0</v>
      </c>
      <c r="C137" s="382">
        <f t="shared" ref="C137:E150" ca="1" si="108">+B137/B$13</f>
        <v>0</v>
      </c>
      <c r="D137" s="383">
        <f>+D16</f>
        <v>0</v>
      </c>
      <c r="E137" s="382">
        <f t="shared" ca="1" si="108"/>
        <v>0</v>
      </c>
      <c r="F137" s="383">
        <f>+F16</f>
        <v>0</v>
      </c>
      <c r="G137" s="382">
        <f t="shared" ref="G137:G150" ca="1" si="109">+F137/F$13</f>
        <v>0</v>
      </c>
      <c r="H137" s="391">
        <f t="shared" ref="H137:H148" si="110">+H16</f>
        <v>0</v>
      </c>
      <c r="I137" s="962">
        <f t="shared" ref="I137:I150" ca="1" si="111">+H137/H$13</f>
        <v>0</v>
      </c>
      <c r="J137" s="383">
        <f t="shared" ref="J137:L148" si="112">+J16</f>
        <v>0</v>
      </c>
      <c r="K137" s="382">
        <f t="shared" ref="K137:K150" ca="1" si="113">+J137/J$13</f>
        <v>0</v>
      </c>
      <c r="L137" s="383">
        <f t="shared" si="112"/>
        <v>0</v>
      </c>
      <c r="M137" s="382" t="e">
        <f t="shared" ref="M137:M150" si="114">+L137/L$13</f>
        <v>#REF!</v>
      </c>
      <c r="N137" s="383">
        <f t="shared" ref="N137:N148" si="115">+N16</f>
        <v>0</v>
      </c>
      <c r="O137" s="382" t="e">
        <f t="shared" ref="O137:O150" si="116">+N137/N$13</f>
        <v>#REF!</v>
      </c>
      <c r="P137" s="391">
        <f>+P16</f>
        <v>0</v>
      </c>
      <c r="Q137" s="962" t="e">
        <f t="shared" ref="Q137:Q150" ca="1" si="117">+P137/P$13</f>
        <v>#REF!</v>
      </c>
      <c r="R137" s="383">
        <f t="shared" ref="R137:R148" si="118">+R16</f>
        <v>0</v>
      </c>
      <c r="S137" s="382" t="e">
        <f t="shared" ref="S137:S150" si="119">+R137/R$13</f>
        <v>#REF!</v>
      </c>
      <c r="T137" s="383">
        <f t="shared" ref="T137:V148" si="120">+T16</f>
        <v>0</v>
      </c>
      <c r="U137" s="382" t="e">
        <f t="shared" ref="U137:U150" si="121">+T137/T$13</f>
        <v>#REF!</v>
      </c>
      <c r="V137" s="383">
        <f t="shared" si="120"/>
        <v>0</v>
      </c>
      <c r="W137" s="382" t="e">
        <f t="shared" ref="W137:W150" si="122">+V137/V$13</f>
        <v>#REF!</v>
      </c>
      <c r="X137" s="391">
        <f>+X16</f>
        <v>0</v>
      </c>
      <c r="Y137" s="962" t="e">
        <f t="shared" ref="Y137:Y150" si="123">+X137/X$13</f>
        <v>#REF!</v>
      </c>
      <c r="Z137" s="383">
        <f t="shared" ref="Z137:AA148" si="124">+Z16</f>
        <v>0</v>
      </c>
      <c r="AA137" s="383">
        <f t="shared" si="124"/>
        <v>0</v>
      </c>
      <c r="AC137" s="391">
        <f>+AC16</f>
        <v>0</v>
      </c>
      <c r="AD137" s="962" t="e">
        <f t="shared" ref="AD137:AD150" si="125">+AC137/AC$13</f>
        <v>#REF!</v>
      </c>
      <c r="AE137" s="383">
        <f t="shared" ref="AE137:AE148" si="126">+AE16</f>
        <v>0</v>
      </c>
    </row>
    <row r="138" spans="1:31">
      <c r="A138" s="219" t="str">
        <f t="shared" ref="A138:F148" si="127">+A17</f>
        <v>Field Employee Benefits</v>
      </c>
      <c r="B138" s="383">
        <f t="shared" si="127"/>
        <v>0</v>
      </c>
      <c r="C138" s="382">
        <f t="shared" ca="1" si="108"/>
        <v>0</v>
      </c>
      <c r="D138" s="383">
        <f t="shared" si="127"/>
        <v>0</v>
      </c>
      <c r="E138" s="382">
        <f t="shared" ca="1" si="108"/>
        <v>0</v>
      </c>
      <c r="F138" s="383">
        <f t="shared" si="127"/>
        <v>0</v>
      </c>
      <c r="G138" s="382">
        <f t="shared" ca="1" si="109"/>
        <v>0</v>
      </c>
      <c r="H138" s="391">
        <f t="shared" si="110"/>
        <v>0</v>
      </c>
      <c r="I138" s="962">
        <f t="shared" ca="1" si="111"/>
        <v>0</v>
      </c>
      <c r="J138" s="383">
        <f t="shared" si="112"/>
        <v>0</v>
      </c>
      <c r="K138" s="382">
        <f t="shared" ca="1" si="113"/>
        <v>0</v>
      </c>
      <c r="L138" s="383">
        <f t="shared" si="112"/>
        <v>0</v>
      </c>
      <c r="M138" s="382" t="e">
        <f t="shared" si="114"/>
        <v>#REF!</v>
      </c>
      <c r="N138" s="383">
        <f t="shared" si="115"/>
        <v>0</v>
      </c>
      <c r="O138" s="382" t="e">
        <f t="shared" si="116"/>
        <v>#REF!</v>
      </c>
      <c r="P138" s="391">
        <f t="shared" ref="P138:P148" si="128">+P17</f>
        <v>0</v>
      </c>
      <c r="Q138" s="962" t="e">
        <f t="shared" ca="1" si="117"/>
        <v>#REF!</v>
      </c>
      <c r="R138" s="383">
        <f t="shared" si="118"/>
        <v>0</v>
      </c>
      <c r="S138" s="382" t="e">
        <f t="shared" si="119"/>
        <v>#REF!</v>
      </c>
      <c r="T138" s="383">
        <f t="shared" si="120"/>
        <v>0</v>
      </c>
      <c r="U138" s="382" t="e">
        <f t="shared" si="121"/>
        <v>#REF!</v>
      </c>
      <c r="V138" s="383">
        <f t="shared" si="120"/>
        <v>0</v>
      </c>
      <c r="W138" s="382" t="e">
        <f t="shared" si="122"/>
        <v>#REF!</v>
      </c>
      <c r="X138" s="391">
        <f t="shared" ref="X138:X148" si="129">+X17</f>
        <v>0</v>
      </c>
      <c r="Y138" s="962" t="e">
        <f t="shared" si="123"/>
        <v>#REF!</v>
      </c>
      <c r="Z138" s="383">
        <f t="shared" si="124"/>
        <v>0</v>
      </c>
      <c r="AA138" s="383">
        <f t="shared" si="124"/>
        <v>0</v>
      </c>
      <c r="AC138" s="391">
        <f t="shared" ref="AC138:AC148" si="130">+AC17</f>
        <v>0</v>
      </c>
      <c r="AD138" s="962" t="e">
        <f t="shared" si="125"/>
        <v>#REF!</v>
      </c>
      <c r="AE138" s="383">
        <f t="shared" si="126"/>
        <v>0</v>
      </c>
    </row>
    <row r="139" spans="1:31">
      <c r="A139" s="219" t="str">
        <f t="shared" si="127"/>
        <v>Bon/Indemnization/Government Grants</v>
      </c>
      <c r="B139" s="383">
        <f t="shared" si="127"/>
        <v>0</v>
      </c>
      <c r="C139" s="382">
        <f t="shared" ca="1" si="108"/>
        <v>0</v>
      </c>
      <c r="D139" s="383">
        <f t="shared" si="127"/>
        <v>0</v>
      </c>
      <c r="E139" s="382">
        <f t="shared" ca="1" si="108"/>
        <v>0</v>
      </c>
      <c r="F139" s="383">
        <f t="shared" si="127"/>
        <v>0</v>
      </c>
      <c r="G139" s="382">
        <f t="shared" ca="1" si="109"/>
        <v>0</v>
      </c>
      <c r="H139" s="391">
        <f t="shared" si="110"/>
        <v>0</v>
      </c>
      <c r="I139" s="962">
        <f t="shared" ca="1" si="111"/>
        <v>0</v>
      </c>
      <c r="J139" s="383">
        <f t="shared" si="112"/>
        <v>0</v>
      </c>
      <c r="K139" s="382">
        <f t="shared" ca="1" si="113"/>
        <v>0</v>
      </c>
      <c r="L139" s="383">
        <f t="shared" si="112"/>
        <v>0</v>
      </c>
      <c r="M139" s="382" t="e">
        <f t="shared" si="114"/>
        <v>#REF!</v>
      </c>
      <c r="N139" s="383">
        <f t="shared" si="115"/>
        <v>0</v>
      </c>
      <c r="O139" s="382" t="e">
        <f t="shared" si="116"/>
        <v>#REF!</v>
      </c>
      <c r="P139" s="391">
        <f t="shared" si="128"/>
        <v>0</v>
      </c>
      <c r="Q139" s="962" t="e">
        <f t="shared" ca="1" si="117"/>
        <v>#REF!</v>
      </c>
      <c r="R139" s="383">
        <f t="shared" si="118"/>
        <v>0</v>
      </c>
      <c r="S139" s="382" t="e">
        <f t="shared" si="119"/>
        <v>#REF!</v>
      </c>
      <c r="T139" s="383">
        <f t="shared" si="120"/>
        <v>0</v>
      </c>
      <c r="U139" s="382" t="e">
        <f t="shared" si="121"/>
        <v>#REF!</v>
      </c>
      <c r="V139" s="383">
        <f t="shared" si="120"/>
        <v>0</v>
      </c>
      <c r="W139" s="382" t="e">
        <f t="shared" si="122"/>
        <v>#REF!</v>
      </c>
      <c r="X139" s="391">
        <f t="shared" si="129"/>
        <v>0</v>
      </c>
      <c r="Y139" s="962" t="e">
        <f t="shared" si="123"/>
        <v>#REF!</v>
      </c>
      <c r="Z139" s="383">
        <f t="shared" si="124"/>
        <v>0</v>
      </c>
      <c r="AA139" s="383">
        <f t="shared" si="124"/>
        <v>0</v>
      </c>
      <c r="AC139" s="391">
        <f t="shared" si="130"/>
        <v>0</v>
      </c>
      <c r="AD139" s="962" t="e">
        <f t="shared" si="125"/>
        <v>#REF!</v>
      </c>
      <c r="AE139" s="383">
        <f t="shared" si="126"/>
        <v>0</v>
      </c>
    </row>
    <row r="140" spans="1:31">
      <c r="A140" s="219" t="str">
        <f t="shared" si="127"/>
        <v>Salaries - Field Employees Adminsitrative</v>
      </c>
      <c r="B140" s="383">
        <f t="shared" si="127"/>
        <v>0</v>
      </c>
      <c r="C140" s="382">
        <f t="shared" ca="1" si="108"/>
        <v>0</v>
      </c>
      <c r="D140" s="383">
        <f t="shared" si="127"/>
        <v>0</v>
      </c>
      <c r="E140" s="382">
        <f t="shared" ca="1" si="108"/>
        <v>0</v>
      </c>
      <c r="F140" s="383">
        <f t="shared" si="127"/>
        <v>0</v>
      </c>
      <c r="G140" s="382">
        <f t="shared" ca="1" si="109"/>
        <v>0</v>
      </c>
      <c r="H140" s="391">
        <f t="shared" si="110"/>
        <v>0</v>
      </c>
      <c r="I140" s="962">
        <f t="shared" ca="1" si="111"/>
        <v>0</v>
      </c>
      <c r="J140" s="383">
        <f t="shared" si="112"/>
        <v>0</v>
      </c>
      <c r="K140" s="382">
        <f t="shared" ca="1" si="113"/>
        <v>0</v>
      </c>
      <c r="L140" s="383">
        <f t="shared" si="112"/>
        <v>0</v>
      </c>
      <c r="M140" s="382" t="e">
        <f t="shared" si="114"/>
        <v>#REF!</v>
      </c>
      <c r="N140" s="383">
        <f t="shared" si="115"/>
        <v>0</v>
      </c>
      <c r="O140" s="382" t="e">
        <f t="shared" si="116"/>
        <v>#REF!</v>
      </c>
      <c r="P140" s="391">
        <f t="shared" si="128"/>
        <v>0</v>
      </c>
      <c r="Q140" s="962" t="e">
        <f t="shared" ca="1" si="117"/>
        <v>#REF!</v>
      </c>
      <c r="R140" s="383">
        <f t="shared" si="118"/>
        <v>0</v>
      </c>
      <c r="S140" s="382" t="e">
        <f t="shared" si="119"/>
        <v>#REF!</v>
      </c>
      <c r="T140" s="383">
        <f t="shared" si="120"/>
        <v>0</v>
      </c>
      <c r="U140" s="382" t="e">
        <f t="shared" si="121"/>
        <v>#REF!</v>
      </c>
      <c r="V140" s="383">
        <f t="shared" si="120"/>
        <v>0</v>
      </c>
      <c r="W140" s="382" t="e">
        <f t="shared" si="122"/>
        <v>#REF!</v>
      </c>
      <c r="X140" s="391">
        <f t="shared" si="129"/>
        <v>0</v>
      </c>
      <c r="Y140" s="962" t="e">
        <f t="shared" si="123"/>
        <v>#REF!</v>
      </c>
      <c r="Z140" s="383">
        <f t="shared" si="124"/>
        <v>0</v>
      </c>
      <c r="AA140" s="383">
        <f t="shared" si="124"/>
        <v>0</v>
      </c>
      <c r="AC140" s="391">
        <f t="shared" si="130"/>
        <v>0</v>
      </c>
      <c r="AD140" s="962" t="e">
        <f t="shared" si="125"/>
        <v>#REF!</v>
      </c>
      <c r="AE140" s="383">
        <f t="shared" si="126"/>
        <v>0</v>
      </c>
    </row>
    <row r="141" spans="1:31">
      <c r="A141" s="219" t="str">
        <f t="shared" si="127"/>
        <v>Field Employee Benefits Administrative</v>
      </c>
      <c r="B141" s="383">
        <f t="shared" si="127"/>
        <v>0</v>
      </c>
      <c r="C141" s="382">
        <f t="shared" ca="1" si="108"/>
        <v>0</v>
      </c>
      <c r="D141" s="383">
        <f t="shared" si="127"/>
        <v>0</v>
      </c>
      <c r="E141" s="382">
        <f t="shared" ca="1" si="108"/>
        <v>0</v>
      </c>
      <c r="F141" s="383">
        <f t="shared" si="127"/>
        <v>0</v>
      </c>
      <c r="G141" s="382">
        <f t="shared" ca="1" si="109"/>
        <v>0</v>
      </c>
      <c r="H141" s="391">
        <f t="shared" si="110"/>
        <v>0</v>
      </c>
      <c r="I141" s="962">
        <f t="shared" ca="1" si="111"/>
        <v>0</v>
      </c>
      <c r="J141" s="383">
        <f t="shared" si="112"/>
        <v>0</v>
      </c>
      <c r="K141" s="382">
        <f t="shared" ca="1" si="113"/>
        <v>0</v>
      </c>
      <c r="L141" s="383">
        <f t="shared" si="112"/>
        <v>0</v>
      </c>
      <c r="M141" s="382" t="e">
        <f t="shared" si="114"/>
        <v>#REF!</v>
      </c>
      <c r="N141" s="383">
        <f t="shared" si="115"/>
        <v>0</v>
      </c>
      <c r="O141" s="382" t="e">
        <f t="shared" si="116"/>
        <v>#REF!</v>
      </c>
      <c r="P141" s="391">
        <f t="shared" si="128"/>
        <v>0</v>
      </c>
      <c r="Q141" s="962" t="e">
        <f t="shared" ca="1" si="117"/>
        <v>#REF!</v>
      </c>
      <c r="R141" s="383">
        <f t="shared" si="118"/>
        <v>0</v>
      </c>
      <c r="S141" s="382" t="e">
        <f t="shared" si="119"/>
        <v>#REF!</v>
      </c>
      <c r="T141" s="383">
        <f t="shared" si="120"/>
        <v>0</v>
      </c>
      <c r="U141" s="382" t="e">
        <f t="shared" si="121"/>
        <v>#REF!</v>
      </c>
      <c r="V141" s="383">
        <f t="shared" si="120"/>
        <v>0</v>
      </c>
      <c r="W141" s="382" t="e">
        <f t="shared" si="122"/>
        <v>#REF!</v>
      </c>
      <c r="X141" s="391">
        <f t="shared" si="129"/>
        <v>0</v>
      </c>
      <c r="Y141" s="962" t="e">
        <f t="shared" si="123"/>
        <v>#REF!</v>
      </c>
      <c r="Z141" s="383">
        <f t="shared" si="124"/>
        <v>0</v>
      </c>
      <c r="AA141" s="383">
        <f t="shared" si="124"/>
        <v>0</v>
      </c>
      <c r="AC141" s="391">
        <f t="shared" si="130"/>
        <v>0</v>
      </c>
      <c r="AD141" s="962" t="e">
        <f t="shared" si="125"/>
        <v>#REF!</v>
      </c>
      <c r="AE141" s="383">
        <f t="shared" si="126"/>
        <v>0</v>
      </c>
    </row>
    <row r="142" spans="1:31">
      <c r="A142" s="219" t="str">
        <f t="shared" si="127"/>
        <v>Salaries - Warehouse Employees</v>
      </c>
      <c r="B142" s="383">
        <f t="shared" si="127"/>
        <v>0</v>
      </c>
      <c r="C142" s="382">
        <f t="shared" ca="1" si="108"/>
        <v>0</v>
      </c>
      <c r="D142" s="383">
        <f t="shared" si="127"/>
        <v>0</v>
      </c>
      <c r="E142" s="382">
        <f t="shared" ca="1" si="108"/>
        <v>0</v>
      </c>
      <c r="F142" s="383">
        <f t="shared" si="127"/>
        <v>0</v>
      </c>
      <c r="G142" s="382">
        <f t="shared" ca="1" si="109"/>
        <v>0</v>
      </c>
      <c r="H142" s="391">
        <f t="shared" si="110"/>
        <v>0</v>
      </c>
      <c r="I142" s="962">
        <f t="shared" ca="1" si="111"/>
        <v>0</v>
      </c>
      <c r="J142" s="383">
        <f t="shared" si="112"/>
        <v>0</v>
      </c>
      <c r="K142" s="382">
        <f t="shared" ca="1" si="113"/>
        <v>0</v>
      </c>
      <c r="L142" s="383">
        <f t="shared" si="112"/>
        <v>0</v>
      </c>
      <c r="M142" s="382" t="e">
        <f t="shared" si="114"/>
        <v>#REF!</v>
      </c>
      <c r="N142" s="383">
        <f t="shared" si="115"/>
        <v>0</v>
      </c>
      <c r="O142" s="382" t="e">
        <f t="shared" si="116"/>
        <v>#REF!</v>
      </c>
      <c r="P142" s="391">
        <f t="shared" si="128"/>
        <v>0</v>
      </c>
      <c r="Q142" s="962" t="e">
        <f t="shared" ca="1" si="117"/>
        <v>#REF!</v>
      </c>
      <c r="R142" s="383">
        <f t="shared" si="118"/>
        <v>0</v>
      </c>
      <c r="S142" s="382" t="e">
        <f t="shared" si="119"/>
        <v>#REF!</v>
      </c>
      <c r="T142" s="383">
        <f t="shared" si="120"/>
        <v>0</v>
      </c>
      <c r="U142" s="382" t="e">
        <f t="shared" si="121"/>
        <v>#REF!</v>
      </c>
      <c r="V142" s="383">
        <f t="shared" si="120"/>
        <v>0</v>
      </c>
      <c r="W142" s="382" t="e">
        <f t="shared" si="122"/>
        <v>#REF!</v>
      </c>
      <c r="X142" s="391">
        <f t="shared" si="129"/>
        <v>0</v>
      </c>
      <c r="Y142" s="962" t="e">
        <f t="shared" si="123"/>
        <v>#REF!</v>
      </c>
      <c r="Z142" s="383">
        <f t="shared" si="124"/>
        <v>0</v>
      </c>
      <c r="AA142" s="383">
        <f t="shared" si="124"/>
        <v>0</v>
      </c>
      <c r="AC142" s="391">
        <f t="shared" si="130"/>
        <v>0</v>
      </c>
      <c r="AD142" s="962" t="e">
        <f t="shared" si="125"/>
        <v>#REF!</v>
      </c>
      <c r="AE142" s="383">
        <f t="shared" si="126"/>
        <v>0</v>
      </c>
    </row>
    <row r="143" spans="1:31">
      <c r="A143" s="219" t="str">
        <f t="shared" si="127"/>
        <v>Warehouse Benefits</v>
      </c>
      <c r="B143" s="383">
        <f t="shared" si="127"/>
        <v>0</v>
      </c>
      <c r="C143" s="382">
        <f t="shared" ca="1" si="108"/>
        <v>0</v>
      </c>
      <c r="D143" s="383">
        <f t="shared" si="127"/>
        <v>0</v>
      </c>
      <c r="E143" s="382">
        <f t="shared" ca="1" si="108"/>
        <v>0</v>
      </c>
      <c r="F143" s="383">
        <f t="shared" si="127"/>
        <v>0</v>
      </c>
      <c r="G143" s="382">
        <f t="shared" ca="1" si="109"/>
        <v>0</v>
      </c>
      <c r="H143" s="391">
        <f t="shared" si="110"/>
        <v>0</v>
      </c>
      <c r="I143" s="962">
        <f t="shared" ca="1" si="111"/>
        <v>0</v>
      </c>
      <c r="J143" s="383">
        <f t="shared" si="112"/>
        <v>0</v>
      </c>
      <c r="K143" s="382">
        <f t="shared" ca="1" si="113"/>
        <v>0</v>
      </c>
      <c r="L143" s="383">
        <f t="shared" si="112"/>
        <v>0</v>
      </c>
      <c r="M143" s="382" t="e">
        <f t="shared" si="114"/>
        <v>#REF!</v>
      </c>
      <c r="N143" s="383">
        <f t="shared" si="115"/>
        <v>0</v>
      </c>
      <c r="O143" s="382" t="e">
        <f t="shared" si="116"/>
        <v>#REF!</v>
      </c>
      <c r="P143" s="391">
        <f t="shared" si="128"/>
        <v>0</v>
      </c>
      <c r="Q143" s="962" t="e">
        <f t="shared" ca="1" si="117"/>
        <v>#REF!</v>
      </c>
      <c r="R143" s="383">
        <f t="shared" si="118"/>
        <v>0</v>
      </c>
      <c r="S143" s="382" t="e">
        <f t="shared" si="119"/>
        <v>#REF!</v>
      </c>
      <c r="T143" s="383">
        <f t="shared" si="120"/>
        <v>0</v>
      </c>
      <c r="U143" s="382" t="e">
        <f t="shared" si="121"/>
        <v>#REF!</v>
      </c>
      <c r="V143" s="383">
        <f t="shared" si="120"/>
        <v>0</v>
      </c>
      <c r="W143" s="382" t="e">
        <f t="shared" si="122"/>
        <v>#REF!</v>
      </c>
      <c r="X143" s="391">
        <f t="shared" si="129"/>
        <v>0</v>
      </c>
      <c r="Y143" s="962" t="e">
        <f t="shared" si="123"/>
        <v>#REF!</v>
      </c>
      <c r="Z143" s="383">
        <f t="shared" si="124"/>
        <v>0</v>
      </c>
      <c r="AA143" s="383">
        <f t="shared" si="124"/>
        <v>0</v>
      </c>
      <c r="AC143" s="391">
        <f t="shared" si="130"/>
        <v>0</v>
      </c>
      <c r="AD143" s="962" t="e">
        <f t="shared" si="125"/>
        <v>#REF!</v>
      </c>
      <c r="AE143" s="383">
        <f t="shared" si="126"/>
        <v>0</v>
      </c>
    </row>
    <row r="144" spans="1:31">
      <c r="A144" s="219" t="str">
        <f t="shared" si="127"/>
        <v>Salaries - Warehouse Employees Adminitve</v>
      </c>
      <c r="B144" s="383">
        <f t="shared" si="127"/>
        <v>0</v>
      </c>
      <c r="C144" s="382">
        <f t="shared" ca="1" si="108"/>
        <v>0</v>
      </c>
      <c r="D144" s="383">
        <f t="shared" si="127"/>
        <v>0</v>
      </c>
      <c r="E144" s="382">
        <f t="shared" ca="1" si="108"/>
        <v>0</v>
      </c>
      <c r="F144" s="383">
        <f t="shared" si="127"/>
        <v>0</v>
      </c>
      <c r="G144" s="382">
        <f t="shared" ca="1" si="109"/>
        <v>0</v>
      </c>
      <c r="H144" s="391">
        <f t="shared" si="110"/>
        <v>0</v>
      </c>
      <c r="I144" s="962">
        <f t="shared" ca="1" si="111"/>
        <v>0</v>
      </c>
      <c r="J144" s="383">
        <f t="shared" si="112"/>
        <v>0</v>
      </c>
      <c r="K144" s="382">
        <f t="shared" ca="1" si="113"/>
        <v>0</v>
      </c>
      <c r="L144" s="383">
        <f t="shared" si="112"/>
        <v>0</v>
      </c>
      <c r="M144" s="382" t="e">
        <f t="shared" si="114"/>
        <v>#REF!</v>
      </c>
      <c r="N144" s="383">
        <f t="shared" si="115"/>
        <v>0</v>
      </c>
      <c r="O144" s="382" t="e">
        <f t="shared" si="116"/>
        <v>#REF!</v>
      </c>
      <c r="P144" s="391">
        <f t="shared" si="128"/>
        <v>0</v>
      </c>
      <c r="Q144" s="962" t="e">
        <f t="shared" ca="1" si="117"/>
        <v>#REF!</v>
      </c>
      <c r="R144" s="383">
        <f t="shared" si="118"/>
        <v>0</v>
      </c>
      <c r="S144" s="382" t="e">
        <f t="shared" si="119"/>
        <v>#REF!</v>
      </c>
      <c r="T144" s="383">
        <f t="shared" si="120"/>
        <v>0</v>
      </c>
      <c r="U144" s="382" t="e">
        <f t="shared" si="121"/>
        <v>#REF!</v>
      </c>
      <c r="V144" s="383">
        <f t="shared" si="120"/>
        <v>0</v>
      </c>
      <c r="W144" s="382" t="e">
        <f t="shared" si="122"/>
        <v>#REF!</v>
      </c>
      <c r="X144" s="391">
        <f t="shared" si="129"/>
        <v>0</v>
      </c>
      <c r="Y144" s="962" t="e">
        <f t="shared" si="123"/>
        <v>#REF!</v>
      </c>
      <c r="Z144" s="383">
        <f t="shared" si="124"/>
        <v>0</v>
      </c>
      <c r="AA144" s="383">
        <f t="shared" si="124"/>
        <v>0</v>
      </c>
      <c r="AC144" s="391">
        <f t="shared" si="130"/>
        <v>0</v>
      </c>
      <c r="AD144" s="962" t="e">
        <f t="shared" si="125"/>
        <v>#REF!</v>
      </c>
      <c r="AE144" s="383">
        <f t="shared" si="126"/>
        <v>0</v>
      </c>
    </row>
    <row r="145" spans="1:31">
      <c r="A145" s="219" t="str">
        <f t="shared" si="127"/>
        <v>Bonuses Administrative</v>
      </c>
      <c r="B145" s="383">
        <f t="shared" si="127"/>
        <v>0</v>
      </c>
      <c r="C145" s="382">
        <f t="shared" ca="1" si="108"/>
        <v>0</v>
      </c>
      <c r="D145" s="383">
        <f t="shared" si="127"/>
        <v>0</v>
      </c>
      <c r="E145" s="382">
        <f t="shared" ca="1" si="108"/>
        <v>0</v>
      </c>
      <c r="F145" s="383">
        <f t="shared" si="127"/>
        <v>0</v>
      </c>
      <c r="G145" s="382">
        <f t="shared" ca="1" si="109"/>
        <v>0</v>
      </c>
      <c r="H145" s="391">
        <f t="shared" si="110"/>
        <v>0</v>
      </c>
      <c r="I145" s="962">
        <f t="shared" ca="1" si="111"/>
        <v>0</v>
      </c>
      <c r="J145" s="383">
        <f t="shared" si="112"/>
        <v>0</v>
      </c>
      <c r="K145" s="382">
        <f t="shared" ca="1" si="113"/>
        <v>0</v>
      </c>
      <c r="L145" s="383">
        <f t="shared" si="112"/>
        <v>0</v>
      </c>
      <c r="M145" s="382" t="e">
        <f t="shared" si="114"/>
        <v>#REF!</v>
      </c>
      <c r="N145" s="383">
        <f t="shared" si="115"/>
        <v>0</v>
      </c>
      <c r="O145" s="382" t="e">
        <f t="shared" si="116"/>
        <v>#REF!</v>
      </c>
      <c r="P145" s="391">
        <f t="shared" si="128"/>
        <v>0</v>
      </c>
      <c r="Q145" s="962" t="e">
        <f t="shared" ca="1" si="117"/>
        <v>#REF!</v>
      </c>
      <c r="R145" s="383">
        <f t="shared" si="118"/>
        <v>0</v>
      </c>
      <c r="S145" s="382" t="e">
        <f t="shared" si="119"/>
        <v>#REF!</v>
      </c>
      <c r="T145" s="383">
        <f t="shared" si="120"/>
        <v>0</v>
      </c>
      <c r="U145" s="382" t="e">
        <f t="shared" si="121"/>
        <v>#REF!</v>
      </c>
      <c r="V145" s="383">
        <f t="shared" si="120"/>
        <v>0</v>
      </c>
      <c r="W145" s="382" t="e">
        <f t="shared" si="122"/>
        <v>#REF!</v>
      </c>
      <c r="X145" s="391">
        <f t="shared" si="129"/>
        <v>0</v>
      </c>
      <c r="Y145" s="962" t="e">
        <f t="shared" si="123"/>
        <v>#REF!</v>
      </c>
      <c r="Z145" s="383">
        <f t="shared" si="124"/>
        <v>0</v>
      </c>
      <c r="AA145" s="383">
        <f t="shared" si="124"/>
        <v>0</v>
      </c>
      <c r="AC145" s="391">
        <f t="shared" si="130"/>
        <v>0</v>
      </c>
      <c r="AD145" s="962" t="e">
        <f t="shared" si="125"/>
        <v>#REF!</v>
      </c>
      <c r="AE145" s="383">
        <f t="shared" si="126"/>
        <v>0</v>
      </c>
    </row>
    <row r="146" spans="1:31">
      <c r="A146" s="219" t="str">
        <f t="shared" si="127"/>
        <v>Warehouse Benefits Admintrative</v>
      </c>
      <c r="B146" s="383">
        <f t="shared" si="127"/>
        <v>0</v>
      </c>
      <c r="C146" s="382">
        <f t="shared" ca="1" si="108"/>
        <v>0</v>
      </c>
      <c r="D146" s="383">
        <f t="shared" si="127"/>
        <v>0</v>
      </c>
      <c r="E146" s="382">
        <f t="shared" ca="1" si="108"/>
        <v>0</v>
      </c>
      <c r="F146" s="383">
        <f t="shared" si="127"/>
        <v>0</v>
      </c>
      <c r="G146" s="382">
        <f t="shared" ca="1" si="109"/>
        <v>0</v>
      </c>
      <c r="H146" s="391">
        <f t="shared" si="110"/>
        <v>0</v>
      </c>
      <c r="I146" s="962">
        <f t="shared" ca="1" si="111"/>
        <v>0</v>
      </c>
      <c r="J146" s="383">
        <f t="shared" si="112"/>
        <v>0</v>
      </c>
      <c r="K146" s="382">
        <f t="shared" ca="1" si="113"/>
        <v>0</v>
      </c>
      <c r="L146" s="383">
        <f t="shared" si="112"/>
        <v>0</v>
      </c>
      <c r="M146" s="382" t="e">
        <f t="shared" si="114"/>
        <v>#REF!</v>
      </c>
      <c r="N146" s="383">
        <f t="shared" si="115"/>
        <v>0</v>
      </c>
      <c r="O146" s="382" t="e">
        <f t="shared" si="116"/>
        <v>#REF!</v>
      </c>
      <c r="P146" s="391">
        <f t="shared" si="128"/>
        <v>0</v>
      </c>
      <c r="Q146" s="962" t="e">
        <f t="shared" ca="1" si="117"/>
        <v>#REF!</v>
      </c>
      <c r="R146" s="383">
        <f t="shared" si="118"/>
        <v>0</v>
      </c>
      <c r="S146" s="382" t="e">
        <f t="shared" si="119"/>
        <v>#REF!</v>
      </c>
      <c r="T146" s="383">
        <f t="shared" si="120"/>
        <v>0</v>
      </c>
      <c r="U146" s="382" t="e">
        <f t="shared" si="121"/>
        <v>#REF!</v>
      </c>
      <c r="V146" s="383">
        <f t="shared" si="120"/>
        <v>0</v>
      </c>
      <c r="W146" s="382" t="e">
        <f t="shared" si="122"/>
        <v>#REF!</v>
      </c>
      <c r="X146" s="391">
        <f t="shared" si="129"/>
        <v>0</v>
      </c>
      <c r="Y146" s="962" t="e">
        <f t="shared" si="123"/>
        <v>#REF!</v>
      </c>
      <c r="Z146" s="383">
        <f t="shared" si="124"/>
        <v>0</v>
      </c>
      <c r="AA146" s="383">
        <f t="shared" si="124"/>
        <v>0</v>
      </c>
      <c r="AC146" s="391">
        <f t="shared" si="130"/>
        <v>0</v>
      </c>
      <c r="AD146" s="962" t="e">
        <f t="shared" si="125"/>
        <v>#REF!</v>
      </c>
      <c r="AE146" s="383">
        <f t="shared" si="126"/>
        <v>0</v>
      </c>
    </row>
    <row r="147" spans="1:31">
      <c r="A147" s="219" t="str">
        <f t="shared" si="127"/>
        <v>Fees - Professional Field Staff</v>
      </c>
      <c r="B147" s="383">
        <f t="shared" si="127"/>
        <v>30</v>
      </c>
      <c r="C147" s="382">
        <f t="shared" ca="1" si="108"/>
        <v>0.01</v>
      </c>
      <c r="D147" s="383">
        <f t="shared" si="127"/>
        <v>30</v>
      </c>
      <c r="E147" s="382">
        <f t="shared" ca="1" si="108"/>
        <v>0.01</v>
      </c>
      <c r="F147" s="383">
        <f t="shared" si="127"/>
        <v>30</v>
      </c>
      <c r="G147" s="382">
        <f t="shared" ca="1" si="109"/>
        <v>0.01</v>
      </c>
      <c r="H147" s="391">
        <f t="shared" si="110"/>
        <v>90</v>
      </c>
      <c r="I147" s="962">
        <f t="shared" ca="1" si="111"/>
        <v>0.01</v>
      </c>
      <c r="J147" s="383">
        <f t="shared" si="112"/>
        <v>12</v>
      </c>
      <c r="K147" s="382">
        <f t="shared" ca="1" si="113"/>
        <v>0</v>
      </c>
      <c r="L147" s="383">
        <f t="shared" si="112"/>
        <v>0</v>
      </c>
      <c r="M147" s="382" t="e">
        <f t="shared" si="114"/>
        <v>#REF!</v>
      </c>
      <c r="N147" s="383">
        <f t="shared" si="115"/>
        <v>0</v>
      </c>
      <c r="O147" s="382" t="e">
        <f t="shared" si="116"/>
        <v>#REF!</v>
      </c>
      <c r="P147" s="391">
        <f t="shared" si="128"/>
        <v>12</v>
      </c>
      <c r="Q147" s="962" t="e">
        <f t="shared" ca="1" si="117"/>
        <v>#REF!</v>
      </c>
      <c r="R147" s="383">
        <f t="shared" si="118"/>
        <v>0</v>
      </c>
      <c r="S147" s="382" t="e">
        <f t="shared" si="119"/>
        <v>#REF!</v>
      </c>
      <c r="T147" s="383">
        <f t="shared" si="120"/>
        <v>0</v>
      </c>
      <c r="U147" s="382" t="e">
        <f t="shared" si="121"/>
        <v>#REF!</v>
      </c>
      <c r="V147" s="383">
        <f t="shared" si="120"/>
        <v>0</v>
      </c>
      <c r="W147" s="382" t="e">
        <f t="shared" si="122"/>
        <v>#REF!</v>
      </c>
      <c r="X147" s="391">
        <f t="shared" si="129"/>
        <v>0</v>
      </c>
      <c r="Y147" s="962" t="e">
        <f t="shared" si="123"/>
        <v>#REF!</v>
      </c>
      <c r="Z147" s="383">
        <f t="shared" si="124"/>
        <v>0</v>
      </c>
      <c r="AA147" s="383">
        <f t="shared" si="124"/>
        <v>0</v>
      </c>
      <c r="AC147" s="391">
        <f t="shared" si="130"/>
        <v>0</v>
      </c>
      <c r="AD147" s="962" t="e">
        <f t="shared" si="125"/>
        <v>#REF!</v>
      </c>
      <c r="AE147" s="383">
        <f t="shared" si="126"/>
        <v>102</v>
      </c>
    </row>
    <row r="148" spans="1:31">
      <c r="A148" s="219" t="str">
        <f t="shared" si="127"/>
        <v>Recruitment and Advertising</v>
      </c>
      <c r="B148" s="383">
        <f t="shared" si="127"/>
        <v>0</v>
      </c>
      <c r="C148" s="382">
        <f t="shared" ca="1" si="108"/>
        <v>0</v>
      </c>
      <c r="D148" s="383">
        <f t="shared" si="127"/>
        <v>0</v>
      </c>
      <c r="E148" s="382">
        <f t="shared" ca="1" si="108"/>
        <v>0</v>
      </c>
      <c r="F148" s="383">
        <f t="shared" si="127"/>
        <v>0</v>
      </c>
      <c r="G148" s="382">
        <f t="shared" ca="1" si="109"/>
        <v>0</v>
      </c>
      <c r="H148" s="391">
        <f t="shared" si="110"/>
        <v>0</v>
      </c>
      <c r="I148" s="962">
        <f t="shared" ca="1" si="111"/>
        <v>0</v>
      </c>
      <c r="J148" s="383">
        <f t="shared" si="112"/>
        <v>0</v>
      </c>
      <c r="K148" s="382">
        <f t="shared" ca="1" si="113"/>
        <v>0</v>
      </c>
      <c r="L148" s="383">
        <f t="shared" si="112"/>
        <v>0</v>
      </c>
      <c r="M148" s="382" t="e">
        <f t="shared" si="114"/>
        <v>#REF!</v>
      </c>
      <c r="N148" s="383">
        <f t="shared" si="115"/>
        <v>0</v>
      </c>
      <c r="O148" s="382" t="e">
        <f t="shared" si="116"/>
        <v>#REF!</v>
      </c>
      <c r="P148" s="391">
        <f t="shared" si="128"/>
        <v>0</v>
      </c>
      <c r="Q148" s="962" t="e">
        <f t="shared" ca="1" si="117"/>
        <v>#REF!</v>
      </c>
      <c r="R148" s="383">
        <f t="shared" si="118"/>
        <v>0</v>
      </c>
      <c r="S148" s="382" t="e">
        <f t="shared" si="119"/>
        <v>#REF!</v>
      </c>
      <c r="T148" s="383">
        <f t="shared" si="120"/>
        <v>0</v>
      </c>
      <c r="U148" s="382" t="e">
        <f t="shared" si="121"/>
        <v>#REF!</v>
      </c>
      <c r="V148" s="383">
        <f t="shared" si="120"/>
        <v>0</v>
      </c>
      <c r="W148" s="382" t="e">
        <f t="shared" si="122"/>
        <v>#REF!</v>
      </c>
      <c r="X148" s="391">
        <f t="shared" si="129"/>
        <v>0</v>
      </c>
      <c r="Y148" s="962" t="e">
        <f t="shared" si="123"/>
        <v>#REF!</v>
      </c>
      <c r="Z148" s="383">
        <f t="shared" si="124"/>
        <v>0</v>
      </c>
      <c r="AA148" s="383">
        <f t="shared" si="124"/>
        <v>0</v>
      </c>
      <c r="AC148" s="391">
        <f t="shared" si="130"/>
        <v>0</v>
      </c>
      <c r="AD148" s="962" t="e">
        <f t="shared" si="125"/>
        <v>#REF!</v>
      </c>
      <c r="AE148" s="383">
        <f t="shared" si="126"/>
        <v>0</v>
      </c>
    </row>
    <row r="149" spans="1:31">
      <c r="A149" s="219" t="str">
        <f>+A37</f>
        <v>Field Personnel Training</v>
      </c>
      <c r="B149" s="383">
        <f>+B37</f>
        <v>0</v>
      </c>
      <c r="C149" s="382">
        <f t="shared" ca="1" si="108"/>
        <v>0</v>
      </c>
      <c r="D149" s="383">
        <f>+D37</f>
        <v>0</v>
      </c>
      <c r="E149" s="382">
        <f t="shared" ca="1" si="108"/>
        <v>0</v>
      </c>
      <c r="F149" s="383">
        <f>+F37</f>
        <v>0</v>
      </c>
      <c r="G149" s="382">
        <f t="shared" ca="1" si="109"/>
        <v>0</v>
      </c>
      <c r="H149" s="391">
        <f>+H37</f>
        <v>0</v>
      </c>
      <c r="I149" s="962">
        <f t="shared" ca="1" si="111"/>
        <v>0</v>
      </c>
      <c r="J149" s="383">
        <f>+J37</f>
        <v>0</v>
      </c>
      <c r="K149" s="382">
        <f t="shared" ca="1" si="113"/>
        <v>0</v>
      </c>
      <c r="L149" s="383">
        <f>+L37</f>
        <v>0</v>
      </c>
      <c r="M149" s="382" t="e">
        <f t="shared" si="114"/>
        <v>#REF!</v>
      </c>
      <c r="N149" s="383">
        <f>+N37</f>
        <v>0</v>
      </c>
      <c r="O149" s="382" t="e">
        <f t="shared" si="116"/>
        <v>#REF!</v>
      </c>
      <c r="P149" s="391">
        <f>+P37</f>
        <v>0</v>
      </c>
      <c r="Q149" s="962" t="e">
        <f t="shared" ca="1" si="117"/>
        <v>#REF!</v>
      </c>
      <c r="R149" s="383">
        <f>+R37</f>
        <v>0</v>
      </c>
      <c r="S149" s="382" t="e">
        <f t="shared" si="119"/>
        <v>#REF!</v>
      </c>
      <c r="T149" s="383">
        <f>+T37</f>
        <v>0</v>
      </c>
      <c r="U149" s="382" t="e">
        <f t="shared" si="121"/>
        <v>#REF!</v>
      </c>
      <c r="V149" s="383">
        <f>+V37</f>
        <v>0</v>
      </c>
      <c r="W149" s="382" t="e">
        <f t="shared" si="122"/>
        <v>#REF!</v>
      </c>
      <c r="X149" s="391">
        <f>+X37</f>
        <v>0</v>
      </c>
      <c r="Y149" s="962" t="e">
        <f t="shared" si="123"/>
        <v>#REF!</v>
      </c>
      <c r="Z149" s="383">
        <f>+Z37</f>
        <v>0</v>
      </c>
      <c r="AA149" s="383">
        <f>+AA37</f>
        <v>0</v>
      </c>
      <c r="AC149" s="391">
        <f>+AC37</f>
        <v>0</v>
      </c>
      <c r="AD149" s="962" t="e">
        <f t="shared" si="125"/>
        <v>#REF!</v>
      </c>
      <c r="AE149" s="383">
        <f>+AE37</f>
        <v>0</v>
      </c>
    </row>
    <row r="150" spans="1:31" ht="13.5" thickBot="1">
      <c r="A150" s="219"/>
      <c r="B150" s="384">
        <f>SUM(B137:B149)</f>
        <v>30</v>
      </c>
      <c r="C150" s="965">
        <f t="shared" ca="1" si="108"/>
        <v>0.01</v>
      </c>
      <c r="D150" s="384">
        <f>SUM(D137:D149)</f>
        <v>30</v>
      </c>
      <c r="E150" s="965">
        <f t="shared" ca="1" si="108"/>
        <v>0.01</v>
      </c>
      <c r="F150" s="384">
        <f>SUM(F137:F149)</f>
        <v>30</v>
      </c>
      <c r="G150" s="965">
        <f t="shared" ca="1" si="109"/>
        <v>0.01</v>
      </c>
      <c r="H150" s="376">
        <f>SUM(H137:H149)</f>
        <v>90</v>
      </c>
      <c r="I150" s="387">
        <f t="shared" ca="1" si="111"/>
        <v>0.01</v>
      </c>
      <c r="J150" s="384">
        <f>SUM(J137:J149)</f>
        <v>12</v>
      </c>
      <c r="K150" s="965">
        <f t="shared" ca="1" si="113"/>
        <v>0</v>
      </c>
      <c r="L150" s="384">
        <f>SUM(L137:L149)</f>
        <v>0</v>
      </c>
      <c r="M150" s="965" t="e">
        <f t="shared" si="114"/>
        <v>#REF!</v>
      </c>
      <c r="N150" s="384">
        <f>SUM(N137:N149)</f>
        <v>0</v>
      </c>
      <c r="O150" s="965" t="e">
        <f t="shared" si="116"/>
        <v>#REF!</v>
      </c>
      <c r="P150" s="376">
        <f>SUM(P137:P149)</f>
        <v>12</v>
      </c>
      <c r="Q150" s="387" t="e">
        <f t="shared" ca="1" si="117"/>
        <v>#REF!</v>
      </c>
      <c r="R150" s="384">
        <f>SUM(R137:R149)</f>
        <v>0</v>
      </c>
      <c r="S150" s="965" t="e">
        <f t="shared" si="119"/>
        <v>#REF!</v>
      </c>
      <c r="T150" s="384">
        <f>SUM(T137:T149)</f>
        <v>0</v>
      </c>
      <c r="U150" s="965" t="e">
        <f t="shared" si="121"/>
        <v>#REF!</v>
      </c>
      <c r="V150" s="384">
        <f>SUM(V137:V149)</f>
        <v>0</v>
      </c>
      <c r="W150" s="965" t="e">
        <f t="shared" si="122"/>
        <v>#REF!</v>
      </c>
      <c r="X150" s="376">
        <f>SUM(X137:X149)</f>
        <v>0</v>
      </c>
      <c r="Y150" s="387" t="e">
        <f t="shared" si="123"/>
        <v>#REF!</v>
      </c>
      <c r="Z150" s="384">
        <f>SUM(Z137:Z149)</f>
        <v>0</v>
      </c>
      <c r="AA150" s="384">
        <f>SUM(AA137:AA149)</f>
        <v>0</v>
      </c>
      <c r="AC150" s="376">
        <f>SUM(AC137:AC149)</f>
        <v>0</v>
      </c>
      <c r="AD150" s="387" t="e">
        <f t="shared" si="125"/>
        <v>#REF!</v>
      </c>
      <c r="AE150" s="220">
        <f>SUM(AE137:AE149)</f>
        <v>102</v>
      </c>
    </row>
    <row r="151" spans="1:31">
      <c r="A151" s="219"/>
      <c r="H151" s="187"/>
      <c r="I151" s="187"/>
      <c r="P151" s="187"/>
      <c r="Q151" s="187"/>
      <c r="X151" s="187"/>
      <c r="Y151" s="187"/>
      <c r="AC151" s="187"/>
      <c r="AD151" s="187"/>
    </row>
    <row r="152" spans="1:31">
      <c r="A152" s="219"/>
      <c r="F152" s="211">
        <f ca="1">SUM(B150:F150)</f>
        <v>90</v>
      </c>
      <c r="G152" s="6"/>
      <c r="H152" s="211">
        <f>+H150</f>
        <v>90</v>
      </c>
      <c r="I152" s="211"/>
      <c r="N152" s="211" t="e">
        <f ca="1">SUM(J150:N150)</f>
        <v>#REF!</v>
      </c>
      <c r="P152" s="211">
        <f>+P150</f>
        <v>12</v>
      </c>
      <c r="Q152" s="211"/>
      <c r="V152" s="211" t="e">
        <f>SUM(R150:V150)</f>
        <v>#REF!</v>
      </c>
      <c r="X152" s="211">
        <f>+X150</f>
        <v>0</v>
      </c>
      <c r="Y152" s="211"/>
      <c r="AC152" s="211">
        <f>+AC150</f>
        <v>0</v>
      </c>
      <c r="AD152" s="211"/>
    </row>
    <row r="153" spans="1:31">
      <c r="A153" s="219"/>
      <c r="H153" s="187"/>
      <c r="I153" s="187"/>
      <c r="P153" s="187"/>
      <c r="Q153" s="187"/>
      <c r="X153" s="187"/>
      <c r="Y153" s="187"/>
      <c r="AC153" s="187"/>
      <c r="AD153" s="187"/>
    </row>
    <row r="154" spans="1:31" ht="12.95" hidden="1" customHeight="1">
      <c r="A154" s="219"/>
      <c r="H154" s="187"/>
      <c r="I154" s="187"/>
      <c r="P154" s="187"/>
      <c r="Q154" s="187"/>
      <c r="X154" s="187"/>
      <c r="Y154" s="187"/>
      <c r="AC154" s="187"/>
      <c r="AD154" s="187"/>
    </row>
    <row r="155" spans="1:31">
      <c r="A155" s="219"/>
      <c r="H155" s="187"/>
      <c r="I155" s="187"/>
      <c r="P155" s="187"/>
      <c r="Q155" s="187"/>
      <c r="X155" s="187"/>
      <c r="Y155" s="187"/>
      <c r="AC155" s="187"/>
      <c r="AD155" s="187"/>
    </row>
    <row r="156" spans="1:31">
      <c r="A156" s="1" t="s">
        <v>652</v>
      </c>
      <c r="H156" s="187"/>
      <c r="I156" s="187"/>
      <c r="P156" s="187"/>
      <c r="Q156" s="187"/>
      <c r="X156" s="187"/>
      <c r="Y156" s="187"/>
      <c r="AC156" s="187"/>
      <c r="AD156" s="187"/>
    </row>
    <row r="157" spans="1:31">
      <c r="A157" s="1" t="s">
        <v>643</v>
      </c>
      <c r="B157" s="381">
        <f>+B16+B17</f>
        <v>0</v>
      </c>
      <c r="C157" s="382">
        <f ca="1">+B157/B$13</f>
        <v>0</v>
      </c>
      <c r="D157" s="381">
        <f>+D16+D17</f>
        <v>0</v>
      </c>
      <c r="E157" s="382">
        <f ca="1">+D157/D$13</f>
        <v>0</v>
      </c>
      <c r="F157" s="381">
        <f>+F16+F17</f>
        <v>0</v>
      </c>
      <c r="G157" s="382">
        <f ca="1">+F157/F$13</f>
        <v>0</v>
      </c>
      <c r="H157" s="179">
        <f>+H16+H17</f>
        <v>0</v>
      </c>
      <c r="I157" s="962">
        <f ca="1">+H157/H$13</f>
        <v>0</v>
      </c>
      <c r="J157" s="20">
        <f>+J16+J17</f>
        <v>0</v>
      </c>
      <c r="L157" s="20">
        <f>+L16+L17</f>
        <v>0</v>
      </c>
      <c r="N157" s="20">
        <f>+N16+N17</f>
        <v>0</v>
      </c>
      <c r="P157" s="179">
        <f>+P16+P17</f>
        <v>0</v>
      </c>
      <c r="Q157" s="187"/>
      <c r="R157" s="20">
        <f>+R16+R17</f>
        <v>0</v>
      </c>
      <c r="T157" s="20">
        <f>+T16+T17</f>
        <v>0</v>
      </c>
      <c r="V157" s="20">
        <f>+V16+V17</f>
        <v>0</v>
      </c>
      <c r="X157" s="179">
        <f>+X16+X17</f>
        <v>0</v>
      </c>
      <c r="Y157" s="187"/>
      <c r="Z157" s="20">
        <f>+Z16+Z17</f>
        <v>0</v>
      </c>
      <c r="AA157" s="20">
        <f>+AA16+AA17</f>
        <v>0</v>
      </c>
      <c r="AC157" s="179">
        <f>+AC16+AC17</f>
        <v>0</v>
      </c>
      <c r="AD157" s="187"/>
      <c r="AE157" s="15">
        <f>+B157+D157+F157+J157+L157+N157+R157+T157+V157+Z157+AA157+AB157</f>
        <v>0</v>
      </c>
    </row>
    <row r="158" spans="1:31">
      <c r="A158" s="1" t="s">
        <v>644</v>
      </c>
      <c r="B158" s="381">
        <f>+B19+B20+B21+B22+B23+B24+B25</f>
        <v>0</v>
      </c>
      <c r="C158" s="382">
        <f ca="1">+B158/B$13</f>
        <v>0</v>
      </c>
      <c r="D158" s="381">
        <f>+D19+D20+D21+D22+D23+D24+D25</f>
        <v>0</v>
      </c>
      <c r="E158" s="382">
        <f ca="1">+D158/D$13</f>
        <v>0</v>
      </c>
      <c r="F158" s="381">
        <f>+F19+F20+F21+F22+F23+F24+F25</f>
        <v>0</v>
      </c>
      <c r="G158" s="382">
        <f ca="1">+F158/F$13</f>
        <v>0</v>
      </c>
      <c r="H158" s="388">
        <f>+H19+H20+H21+H22+H23+H24+H25</f>
        <v>0</v>
      </c>
      <c r="I158" s="962">
        <f ca="1">+H158/H$13</f>
        <v>0</v>
      </c>
      <c r="J158" s="20">
        <f>+J19+J20+J21+J22+J23+J24+J25</f>
        <v>0</v>
      </c>
      <c r="L158" s="20">
        <f>+L19+L20+L21+L22+L23+L24+L25</f>
        <v>0</v>
      </c>
      <c r="N158" s="20">
        <f>+N19+N20+N21+N22+N23+N24+N25</f>
        <v>0</v>
      </c>
      <c r="P158" s="388">
        <f>+P19+P20+P21+P22+P23+P24+P25</f>
        <v>0</v>
      </c>
      <c r="Q158" s="187"/>
      <c r="R158" s="20">
        <f>+R19+R20+R21+R22+R23+R24+R25</f>
        <v>0</v>
      </c>
      <c r="T158" s="20">
        <f>+T19+T20+T21+T22+T23+T24+T25</f>
        <v>0</v>
      </c>
      <c r="V158" s="20">
        <f>+V19+V20+V21+V22+V23+V24+V25</f>
        <v>0</v>
      </c>
      <c r="X158" s="388">
        <f>+X19+X20+X21+X22+X23+X24+X25</f>
        <v>0</v>
      </c>
      <c r="Y158" s="187"/>
      <c r="Z158" s="20">
        <f>+Z19+Z20+Z21+Z22+Z23+Z24+Z25</f>
        <v>0</v>
      </c>
      <c r="AA158" s="20">
        <f>+AA19+AA20+AA21+AA22+AA23+AA24+AA25</f>
        <v>0</v>
      </c>
      <c r="AC158" s="388">
        <f>+AC19+AC20+AC21+AC22+AC23+AC24+AC25</f>
        <v>0</v>
      </c>
      <c r="AD158" s="187"/>
      <c r="AE158" s="15">
        <f>+B158+D158+F158+J158+L158+N158+R158+T158+V158+Z158+AA158+AB158</f>
        <v>0</v>
      </c>
    </row>
    <row r="159" spans="1:31">
      <c r="A159" s="1" t="s">
        <v>653</v>
      </c>
      <c r="B159" s="381">
        <f>+B53+B54+B70</f>
        <v>0</v>
      </c>
      <c r="C159" s="382">
        <f ca="1">+B159/B$13</f>
        <v>0</v>
      </c>
      <c r="D159" s="381">
        <f>+D53+D54+D70</f>
        <v>0</v>
      </c>
      <c r="E159" s="382">
        <f ca="1">+D159/D$13</f>
        <v>0</v>
      </c>
      <c r="F159" s="381">
        <f>+F53+F54+F70</f>
        <v>0</v>
      </c>
      <c r="G159" s="382">
        <f ca="1">+F159/F$13</f>
        <v>0</v>
      </c>
      <c r="H159" s="388">
        <f>+H53+H54+H70</f>
        <v>0</v>
      </c>
      <c r="I159" s="962">
        <f ca="1">+H159/H$13</f>
        <v>0</v>
      </c>
      <c r="J159" s="20">
        <f>+J53+J54+J70</f>
        <v>0</v>
      </c>
      <c r="L159" s="20">
        <f>+L53+L54+L70</f>
        <v>0</v>
      </c>
      <c r="N159" s="20">
        <f>+N53+N54+N70</f>
        <v>0</v>
      </c>
      <c r="P159" s="388">
        <f>+P53+P54+P70</f>
        <v>0</v>
      </c>
      <c r="Q159" s="187"/>
      <c r="R159" s="20">
        <f>+R53+R54+R70</f>
        <v>0</v>
      </c>
      <c r="T159" s="20">
        <f>+T53+T54+T70</f>
        <v>0</v>
      </c>
      <c r="V159" s="20">
        <f>+V53+V54+V70</f>
        <v>0</v>
      </c>
      <c r="X159" s="388">
        <f>+X53+X54+X70</f>
        <v>0</v>
      </c>
      <c r="Y159" s="187"/>
      <c r="Z159" s="20">
        <f>+Z53+Z54+Z70</f>
        <v>0</v>
      </c>
      <c r="AA159" s="20">
        <f>+AA53+AA54+AA70</f>
        <v>0</v>
      </c>
      <c r="AC159" s="388">
        <f>+AC53+AC54+AC70</f>
        <v>0</v>
      </c>
      <c r="AD159" s="187"/>
      <c r="AE159" s="15">
        <f>+B159+D159+F159+J159+L159+N159+R159+T159+V159+Z159+AA159+AB159</f>
        <v>0</v>
      </c>
    </row>
    <row r="160" spans="1:31" ht="15.75">
      <c r="A160" s="18" t="s">
        <v>654</v>
      </c>
      <c r="B160" s="381">
        <f>SUM(B157:B159)</f>
        <v>0</v>
      </c>
      <c r="C160" s="382">
        <f ca="1">+B160/B$13</f>
        <v>0</v>
      </c>
      <c r="D160" s="381">
        <f>SUM(D157:D159)</f>
        <v>0</v>
      </c>
      <c r="E160" s="382">
        <f ca="1">+D160/D$13</f>
        <v>0</v>
      </c>
      <c r="F160" s="381">
        <f>SUM(F157:F159)</f>
        <v>0</v>
      </c>
      <c r="G160" s="382">
        <f ca="1">+F160/F$13</f>
        <v>0</v>
      </c>
      <c r="H160" s="381">
        <f>SUM(H157:H159)</f>
        <v>0</v>
      </c>
      <c r="I160" s="962">
        <f ca="1">+H160/H$13</f>
        <v>0</v>
      </c>
      <c r="J160" s="20">
        <f>SUM(J157:J159)</f>
        <v>0</v>
      </c>
      <c r="L160" s="20">
        <f>SUM(L157:L159)</f>
        <v>0</v>
      </c>
      <c r="N160" s="20">
        <f>SUM(N157:N159)</f>
        <v>0</v>
      </c>
      <c r="P160" s="381">
        <f>SUM(P157:P159)</f>
        <v>0</v>
      </c>
      <c r="Q160" s="187"/>
      <c r="R160" s="20">
        <f>SUM(R157:R159)</f>
        <v>0</v>
      </c>
      <c r="T160" s="20">
        <f>SUM(T157:T159)</f>
        <v>0</v>
      </c>
      <c r="V160" s="20">
        <f>SUM(V157:V159)</f>
        <v>0</v>
      </c>
      <c r="X160" s="381">
        <f>SUM(X157:X159)</f>
        <v>0</v>
      </c>
      <c r="Y160" s="187"/>
      <c r="Z160" s="20">
        <f>SUM(Z157:Z159)</f>
        <v>0</v>
      </c>
      <c r="AA160" s="20">
        <f>SUM(AA157:AA159)</f>
        <v>0</v>
      </c>
      <c r="AC160" s="381">
        <f>SUM(AC157:AC159)</f>
        <v>0</v>
      </c>
      <c r="AD160" s="187"/>
      <c r="AE160" s="381">
        <f>SUM(AE157:AE159)</f>
        <v>0</v>
      </c>
    </row>
    <row r="161" spans="1:31">
      <c r="H161" s="179">
        <f>SUM(H157:H159)</f>
        <v>0</v>
      </c>
      <c r="I161" s="387">
        <f ca="1">+H161/H$13</f>
        <v>0</v>
      </c>
      <c r="P161" s="179">
        <f>SUM(P157:P159)</f>
        <v>0</v>
      </c>
      <c r="Q161" s="187"/>
      <c r="X161" s="179">
        <f>SUM(X157:X159)</f>
        <v>0</v>
      </c>
      <c r="Y161" s="187"/>
      <c r="AC161" s="179">
        <f>SUM(AC157:AC159)</f>
        <v>0</v>
      </c>
      <c r="AD161" s="187"/>
    </row>
    <row r="162" spans="1:31" ht="15">
      <c r="B162" s="279" t="s">
        <v>703</v>
      </c>
      <c r="C162" s="279"/>
      <c r="D162" s="149"/>
      <c r="E162" s="149"/>
      <c r="F162" s="149"/>
      <c r="H162" s="187"/>
      <c r="I162" s="187"/>
      <c r="P162" s="187"/>
      <c r="Q162" s="187"/>
      <c r="X162" s="187"/>
      <c r="Y162" s="187"/>
      <c r="AC162" s="187"/>
      <c r="AD162" s="187"/>
    </row>
    <row r="163" spans="1:31" ht="15">
      <c r="B163" s="279" t="s">
        <v>668</v>
      </c>
      <c r="C163" s="279"/>
      <c r="D163" s="149"/>
      <c r="E163" s="149"/>
      <c r="F163" s="149"/>
      <c r="H163" s="187"/>
      <c r="I163" s="187"/>
      <c r="P163" s="187"/>
      <c r="Q163" s="187"/>
      <c r="X163" s="187"/>
      <c r="Y163" s="187"/>
      <c r="AC163" s="187"/>
      <c r="AD163" s="187"/>
    </row>
    <row r="164" spans="1:31">
      <c r="B164" s="149"/>
      <c r="C164" s="149"/>
      <c r="D164" s="149"/>
      <c r="E164" s="149"/>
      <c r="F164" s="149"/>
      <c r="H164" s="187"/>
      <c r="I164" s="187"/>
      <c r="P164" s="187"/>
      <c r="Q164" s="187"/>
      <c r="X164" s="187"/>
      <c r="Y164" s="187"/>
      <c r="AC164" s="187"/>
      <c r="AD164" s="187"/>
    </row>
    <row r="165" spans="1:31">
      <c r="A165" s="281" t="s">
        <v>704</v>
      </c>
      <c r="B165" s="280">
        <v>5680000</v>
      </c>
      <c r="C165" s="382">
        <f ca="1">+B165/B$13</f>
        <v>2082.11</v>
      </c>
      <c r="D165" s="280">
        <v>5764800</v>
      </c>
      <c r="E165" s="382">
        <f ca="1">+D165/D$13</f>
        <v>2113.1999999999998</v>
      </c>
      <c r="F165" s="280">
        <v>7656000</v>
      </c>
      <c r="G165" s="382">
        <f ca="1">+F165/F$13</f>
        <v>2806.45</v>
      </c>
      <c r="H165" s="223">
        <f>+B165+D165+F165</f>
        <v>19100800</v>
      </c>
      <c r="I165" s="962">
        <f ca="1">+H165/H$13</f>
        <v>2333.92</v>
      </c>
      <c r="J165" s="280"/>
      <c r="L165" s="280"/>
      <c r="N165" s="280"/>
      <c r="P165" s="223">
        <f>+J165+L165+N165</f>
        <v>0</v>
      </c>
      <c r="Q165" s="187"/>
      <c r="X165" s="223">
        <f>+R165+T165+V165</f>
        <v>0</v>
      </c>
      <c r="Y165" s="187"/>
      <c r="AC165" s="223">
        <f>+W165+Y165+AA165</f>
        <v>0</v>
      </c>
      <c r="AD165" s="187"/>
    </row>
    <row r="166" spans="1:31">
      <c r="A166" s="281" t="s">
        <v>705</v>
      </c>
      <c r="B166" s="280">
        <v>1980000</v>
      </c>
      <c r="C166" s="382">
        <f ca="1">+B166/B$13</f>
        <v>725.81</v>
      </c>
      <c r="D166" s="280">
        <v>3030000</v>
      </c>
      <c r="E166" s="382">
        <f ca="1">+D166/D$13</f>
        <v>1110.7</v>
      </c>
      <c r="F166" s="280">
        <v>3341000</v>
      </c>
      <c r="G166" s="382">
        <f ca="1">+F166/F$13</f>
        <v>1224.71</v>
      </c>
      <c r="H166" s="223">
        <f>+B166+D166+F166</f>
        <v>8351000</v>
      </c>
      <c r="I166" s="962">
        <f ca="1">+H166/H$13</f>
        <v>1020.41</v>
      </c>
      <c r="J166" s="280"/>
      <c r="L166" s="280"/>
      <c r="N166" s="280"/>
      <c r="P166" s="223">
        <f>+J166+L166+N166</f>
        <v>0</v>
      </c>
      <c r="Q166" s="187"/>
      <c r="X166" s="223">
        <f>+R166+T166+V166</f>
        <v>0</v>
      </c>
      <c r="Y166" s="187"/>
      <c r="AC166" s="223">
        <f>+W166+Y166+AA166</f>
        <v>0</v>
      </c>
      <c r="AD166" s="187"/>
    </row>
    <row r="167" spans="1:31">
      <c r="A167" s="281" t="s">
        <v>706</v>
      </c>
      <c r="B167" s="280">
        <v>1802125</v>
      </c>
      <c r="C167" s="382">
        <f ca="1">+B167/B$13</f>
        <v>660.6</v>
      </c>
      <c r="D167" s="280">
        <v>1922543</v>
      </c>
      <c r="E167" s="382">
        <f ca="1">+D167/D$13</f>
        <v>704.74</v>
      </c>
      <c r="F167" s="280">
        <v>2403944</v>
      </c>
      <c r="G167" s="382">
        <f ca="1">+F167/F$13</f>
        <v>881.21</v>
      </c>
      <c r="H167" s="223">
        <f>+B167+D167+F167</f>
        <v>6128612</v>
      </c>
      <c r="I167" s="962">
        <f ca="1">+H167/H$13</f>
        <v>748.85</v>
      </c>
      <c r="J167" s="280"/>
      <c r="L167" s="280"/>
      <c r="N167" s="280"/>
      <c r="P167" s="223">
        <f>+J167+L167+N167</f>
        <v>0</v>
      </c>
      <c r="Q167" s="187"/>
      <c r="X167" s="223">
        <f>+R167+T167+V167</f>
        <v>0</v>
      </c>
      <c r="Y167" s="187"/>
      <c r="AC167" s="223">
        <f>+W167+Y167+AA167</f>
        <v>0</v>
      </c>
      <c r="AD167" s="187"/>
    </row>
    <row r="168" spans="1:31">
      <c r="A168" s="281" t="s">
        <v>707</v>
      </c>
      <c r="B168" s="280">
        <v>1555780</v>
      </c>
      <c r="C168" s="382">
        <f ca="1">+B168/B$13</f>
        <v>570.29999999999995</v>
      </c>
      <c r="D168" s="280">
        <v>1646854</v>
      </c>
      <c r="E168" s="382">
        <f ca="1">+D168/D$13</f>
        <v>603.69000000000005</v>
      </c>
      <c r="F168" s="280">
        <v>2039866</v>
      </c>
      <c r="G168" s="382">
        <f ca="1">+F168/F$13</f>
        <v>747.75</v>
      </c>
      <c r="H168" s="223">
        <f>+B168+D168+F168</f>
        <v>5242500</v>
      </c>
      <c r="I168" s="962">
        <f ca="1">+H168/H$13</f>
        <v>640.58000000000004</v>
      </c>
      <c r="J168" s="280"/>
      <c r="L168" s="280"/>
      <c r="N168" s="280"/>
      <c r="P168" s="223">
        <f>+J168+L168+N168</f>
        <v>0</v>
      </c>
      <c r="Q168" s="187"/>
      <c r="X168" s="223">
        <f>+R168+T168+V168</f>
        <v>0</v>
      </c>
      <c r="Y168" s="187"/>
      <c r="AC168" s="223">
        <f>+W168+Y168+AA168</f>
        <v>0</v>
      </c>
      <c r="AD168" s="187"/>
    </row>
    <row r="169" spans="1:31">
      <c r="B169" s="154">
        <f>SUM(B165:B168)</f>
        <v>11017905</v>
      </c>
      <c r="C169" s="382">
        <f ca="1">+B169/B$13</f>
        <v>4038.82</v>
      </c>
      <c r="D169" s="317">
        <f>SUM(D165:D168)</f>
        <v>12364197</v>
      </c>
      <c r="E169" s="382">
        <f ca="1">+D169/D$13</f>
        <v>4532.33</v>
      </c>
      <c r="F169" s="317">
        <f>SUM(F165:F168)</f>
        <v>15440810</v>
      </c>
      <c r="G169" s="382">
        <f ca="1">+F169/F$13</f>
        <v>5660.12</v>
      </c>
      <c r="H169" s="317">
        <f>SUM(H165:H168)</f>
        <v>38822912</v>
      </c>
      <c r="I169" s="387">
        <f ca="1">+H169/H$13</f>
        <v>4743.76</v>
      </c>
      <c r="J169" s="317">
        <f>SUM(J165:J168)</f>
        <v>0</v>
      </c>
      <c r="K169" s="187"/>
      <c r="L169" s="317">
        <f>SUM(L165:L168)</f>
        <v>0</v>
      </c>
      <c r="M169" s="187"/>
      <c r="N169" s="317">
        <f>SUM(N165:N168)</f>
        <v>0</v>
      </c>
      <c r="O169" s="187"/>
      <c r="P169" s="317">
        <f>SUM(P165:P168)</f>
        <v>0</v>
      </c>
      <c r="Q169" s="187"/>
      <c r="R169" s="317">
        <f>SUM(R165:R168)</f>
        <v>0</v>
      </c>
      <c r="S169" s="187"/>
      <c r="T169" s="317">
        <f>SUM(T165:T168)</f>
        <v>0</v>
      </c>
      <c r="U169" s="187"/>
      <c r="V169" s="187"/>
      <c r="X169" s="317">
        <f>SUM(X165:X168)</f>
        <v>0</v>
      </c>
      <c r="Y169" s="187"/>
      <c r="Z169" s="187"/>
      <c r="AA169" s="187"/>
      <c r="AB169" s="187"/>
      <c r="AC169" s="317">
        <f>SUM(AC165:AC168)</f>
        <v>0</v>
      </c>
      <c r="AD169" s="187"/>
      <c r="AE169" s="318"/>
    </row>
  </sheetData>
  <mergeCells count="17">
    <mergeCell ref="H100:I100"/>
    <mergeCell ref="P100:Q100"/>
    <mergeCell ref="X100:Y100"/>
    <mergeCell ref="H5:I5"/>
    <mergeCell ref="H4:I4"/>
    <mergeCell ref="P4:Q4"/>
    <mergeCell ref="P5:Q5"/>
    <mergeCell ref="H1:I1"/>
    <mergeCell ref="H3:I3"/>
    <mergeCell ref="P3:Q3"/>
    <mergeCell ref="X3:Y3"/>
    <mergeCell ref="X4:Y4"/>
    <mergeCell ref="AC100:AD100"/>
    <mergeCell ref="AC3:AD3"/>
    <mergeCell ref="AC4:AD4"/>
    <mergeCell ref="AC5:AD5"/>
    <mergeCell ref="X5:Y5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DA916-D06C-44B0-A3AC-62BA1170B6CE}">
  <sheetPr codeName="Hoja17"/>
  <dimension ref="A1:V34"/>
  <sheetViews>
    <sheetView workbookViewId="0"/>
  </sheetViews>
  <sheetFormatPr baseColWidth="10" defaultColWidth="11.42578125" defaultRowHeight="12.75"/>
  <cols>
    <col min="1" max="1" width="10.85546875" style="225" customWidth="1"/>
    <col min="2" max="2" width="36.140625" customWidth="1"/>
    <col min="3" max="3" width="17.5703125" style="225" customWidth="1"/>
    <col min="4" max="4" width="13.42578125" customWidth="1"/>
    <col min="5" max="5" width="16" customWidth="1"/>
    <col min="6" max="6" width="15.42578125" style="337" customWidth="1"/>
    <col min="7" max="7" width="17.85546875" customWidth="1"/>
    <col min="8" max="8" width="13.140625" customWidth="1"/>
    <col min="9" max="9" width="14.42578125" customWidth="1"/>
    <col min="10" max="10" width="18" style="337" customWidth="1"/>
    <col min="11" max="11" width="15.85546875" style="225" customWidth="1"/>
    <col min="12" max="13" width="15.42578125" style="225" customWidth="1"/>
    <col min="14" max="14" width="18" style="337" customWidth="1"/>
    <col min="15" max="17" width="15.42578125" style="225" customWidth="1"/>
    <col min="18" max="18" width="18" style="337" customWidth="1"/>
    <col min="19" max="19" width="18" style="228" customWidth="1"/>
    <col min="21" max="21" width="16.42578125" customWidth="1"/>
    <col min="22" max="22" width="13.85546875" customWidth="1"/>
  </cols>
  <sheetData>
    <row r="1" spans="1:22" ht="13.5" thickBot="1">
      <c r="B1" s="21">
        <v>2025</v>
      </c>
      <c r="C1" s="21" t="s">
        <v>3</v>
      </c>
      <c r="D1" s="21" t="s">
        <v>4</v>
      </c>
      <c r="E1" s="21" t="s">
        <v>438</v>
      </c>
      <c r="F1" s="332" t="s">
        <v>419</v>
      </c>
      <c r="G1" s="21" t="s">
        <v>6</v>
      </c>
      <c r="H1" s="21" t="s">
        <v>7</v>
      </c>
      <c r="I1" s="21" t="s">
        <v>439</v>
      </c>
      <c r="J1" s="332" t="s">
        <v>420</v>
      </c>
      <c r="K1" s="226" t="s">
        <v>440</v>
      </c>
      <c r="L1" s="226" t="s">
        <v>441</v>
      </c>
      <c r="M1" s="226" t="s">
        <v>11</v>
      </c>
      <c r="N1" s="332" t="s">
        <v>421</v>
      </c>
      <c r="O1" s="226" t="s">
        <v>12</v>
      </c>
      <c r="P1" s="226" t="s">
        <v>13</v>
      </c>
      <c r="Q1" s="226" t="s">
        <v>443</v>
      </c>
      <c r="R1" s="332" t="s">
        <v>422</v>
      </c>
      <c r="S1" s="227" t="s">
        <v>708</v>
      </c>
    </row>
    <row r="2" spans="1:22" ht="13.5" thickBot="1">
      <c r="B2" s="287" t="s">
        <v>709</v>
      </c>
      <c r="C2" s="1066" t="s">
        <v>265</v>
      </c>
      <c r="D2" s="1066"/>
      <c r="E2" s="1067"/>
      <c r="F2" s="335"/>
      <c r="G2" s="1058" t="s">
        <v>265</v>
      </c>
      <c r="H2" s="1050"/>
      <c r="I2" s="1051"/>
      <c r="J2" s="347"/>
      <c r="K2" s="1068" t="s">
        <v>265</v>
      </c>
      <c r="L2" s="1066"/>
      <c r="M2" s="1067"/>
      <c r="N2" s="347"/>
      <c r="O2" s="1068" t="s">
        <v>265</v>
      </c>
      <c r="P2" s="1066"/>
      <c r="Q2" s="1067"/>
      <c r="R2" s="347"/>
      <c r="S2" s="410"/>
    </row>
    <row r="3" spans="1:22">
      <c r="B3" s="267" t="s">
        <v>710</v>
      </c>
      <c r="C3" s="405"/>
      <c r="D3" s="282"/>
      <c r="E3" s="334"/>
      <c r="F3" s="406"/>
      <c r="G3" s="308"/>
      <c r="H3" s="407"/>
      <c r="I3" s="408"/>
      <c r="J3" s="348"/>
      <c r="K3" s="308"/>
      <c r="L3" s="407"/>
      <c r="M3" s="408"/>
      <c r="N3" s="348"/>
      <c r="O3" s="224"/>
      <c r="P3" s="224"/>
      <c r="Q3" s="224"/>
      <c r="R3" s="348"/>
      <c r="S3" s="411"/>
    </row>
    <row r="4" spans="1:22">
      <c r="B4" s="165" t="s">
        <v>711</v>
      </c>
      <c r="C4" s="283">
        <f t="shared" ref="C4:S4" ca="1" si="0">IFERROR(C9/C14,0)</f>
        <v>91</v>
      </c>
      <c r="D4" s="283">
        <f t="shared" ca="1" si="0"/>
        <v>91</v>
      </c>
      <c r="E4" s="283">
        <f t="shared" ca="1" si="0"/>
        <v>91</v>
      </c>
      <c r="F4" s="966">
        <f t="shared" ca="1" si="0"/>
        <v>91</v>
      </c>
      <c r="G4" s="283">
        <f t="shared" ca="1" si="0"/>
        <v>91</v>
      </c>
      <c r="H4" s="283">
        <f t="shared" si="0"/>
        <v>0</v>
      </c>
      <c r="I4" s="283">
        <f t="shared" si="0"/>
        <v>0</v>
      </c>
      <c r="J4" s="966">
        <f t="shared" ca="1" si="0"/>
        <v>0</v>
      </c>
      <c r="K4" s="283">
        <f t="shared" si="0"/>
        <v>0</v>
      </c>
      <c r="L4" s="283">
        <f t="shared" si="0"/>
        <v>0</v>
      </c>
      <c r="M4" s="283">
        <f t="shared" si="0"/>
        <v>0</v>
      </c>
      <c r="N4" s="966">
        <f t="shared" si="0"/>
        <v>0</v>
      </c>
      <c r="O4" s="283">
        <f t="shared" si="0"/>
        <v>0</v>
      </c>
      <c r="P4" s="283">
        <f t="shared" si="0"/>
        <v>0</v>
      </c>
      <c r="Q4" s="283">
        <f t="shared" si="0"/>
        <v>0</v>
      </c>
      <c r="R4" s="966">
        <f t="shared" si="0"/>
        <v>0</v>
      </c>
      <c r="S4" s="967">
        <f t="shared" ca="1" si="0"/>
        <v>0</v>
      </c>
    </row>
    <row r="5" spans="1:22">
      <c r="B5" s="165"/>
      <c r="C5" s="283">
        <f t="shared" ref="C5:S5" si="1">IFERROR(C10/C15,0)</f>
        <v>0</v>
      </c>
      <c r="D5" s="283">
        <f t="shared" si="1"/>
        <v>0</v>
      </c>
      <c r="E5" s="283">
        <f t="shared" si="1"/>
        <v>0</v>
      </c>
      <c r="F5" s="966">
        <f t="shared" si="1"/>
        <v>0</v>
      </c>
      <c r="G5" s="283">
        <f t="shared" si="1"/>
        <v>0</v>
      </c>
      <c r="H5" s="283">
        <f t="shared" si="1"/>
        <v>0</v>
      </c>
      <c r="I5" s="283">
        <f t="shared" si="1"/>
        <v>0</v>
      </c>
      <c r="J5" s="966">
        <f t="shared" si="1"/>
        <v>0</v>
      </c>
      <c r="K5" s="283">
        <f t="shared" si="1"/>
        <v>0</v>
      </c>
      <c r="L5" s="283">
        <f t="shared" si="1"/>
        <v>0</v>
      </c>
      <c r="M5" s="283">
        <f t="shared" si="1"/>
        <v>0</v>
      </c>
      <c r="N5" s="966">
        <f t="shared" si="1"/>
        <v>0</v>
      </c>
      <c r="O5" s="283">
        <f t="shared" si="1"/>
        <v>0</v>
      </c>
      <c r="P5" s="283">
        <f t="shared" si="1"/>
        <v>0</v>
      </c>
      <c r="Q5" s="283">
        <f t="shared" si="1"/>
        <v>0</v>
      </c>
      <c r="R5" s="966">
        <f t="shared" si="1"/>
        <v>0</v>
      </c>
      <c r="S5" s="967">
        <f t="shared" si="1"/>
        <v>0</v>
      </c>
    </row>
    <row r="6" spans="1:22" ht="13.5" thickBot="1">
      <c r="B6" s="539" t="s">
        <v>51</v>
      </c>
      <c r="C6" s="284">
        <f t="shared" ref="C6:S6" ca="1" si="2">IFERROR(C11/C16,0)</f>
        <v>91</v>
      </c>
      <c r="D6" s="284">
        <f t="shared" ca="1" si="2"/>
        <v>91</v>
      </c>
      <c r="E6" s="285">
        <f t="shared" ca="1" si="2"/>
        <v>91</v>
      </c>
      <c r="F6" s="968">
        <f t="shared" ca="1" si="2"/>
        <v>91</v>
      </c>
      <c r="G6" s="969">
        <f t="shared" ca="1" si="2"/>
        <v>91</v>
      </c>
      <c r="H6" s="970">
        <f t="shared" si="2"/>
        <v>0</v>
      </c>
      <c r="I6" s="971">
        <f t="shared" si="2"/>
        <v>0</v>
      </c>
      <c r="J6" s="968">
        <f t="shared" ca="1" si="2"/>
        <v>0</v>
      </c>
      <c r="K6" s="970">
        <f t="shared" si="2"/>
        <v>0</v>
      </c>
      <c r="L6" s="970">
        <f t="shared" si="2"/>
        <v>0</v>
      </c>
      <c r="M6" s="971">
        <f t="shared" si="2"/>
        <v>0</v>
      </c>
      <c r="N6" s="968">
        <f t="shared" si="2"/>
        <v>0</v>
      </c>
      <c r="O6" s="285">
        <f t="shared" si="2"/>
        <v>0</v>
      </c>
      <c r="P6" s="285">
        <f t="shared" si="2"/>
        <v>0</v>
      </c>
      <c r="Q6" s="285">
        <f t="shared" si="2"/>
        <v>0</v>
      </c>
      <c r="R6" s="968">
        <f t="shared" si="2"/>
        <v>0</v>
      </c>
      <c r="S6" s="972">
        <f t="shared" ca="1" si="2"/>
        <v>0</v>
      </c>
    </row>
    <row r="7" spans="1:22" ht="13.5" thickBot="1">
      <c r="C7" s="226"/>
    </row>
    <row r="8" spans="1:22" ht="13.5" thickBot="1">
      <c r="B8" s="288" t="s">
        <v>710</v>
      </c>
      <c r="C8" s="1066" t="s">
        <v>437</v>
      </c>
      <c r="D8" s="1066"/>
      <c r="E8" s="1067"/>
      <c r="F8" s="338" t="s">
        <v>419</v>
      </c>
      <c r="G8" s="1068" t="s">
        <v>437</v>
      </c>
      <c r="H8" s="1066"/>
      <c r="I8" s="1066"/>
      <c r="J8" s="349" t="s">
        <v>420</v>
      </c>
      <c r="K8" s="1068" t="s">
        <v>437</v>
      </c>
      <c r="L8" s="1066"/>
      <c r="M8" s="1066"/>
      <c r="N8" s="349" t="s">
        <v>421</v>
      </c>
      <c r="O8" s="1068" t="s">
        <v>437</v>
      </c>
      <c r="P8" s="1066"/>
      <c r="Q8" s="1066"/>
      <c r="R8" s="349" t="s">
        <v>422</v>
      </c>
      <c r="S8" s="412" t="s">
        <v>708</v>
      </c>
    </row>
    <row r="9" spans="1:22">
      <c r="A9" s="226"/>
      <c r="B9" s="165" t="str">
        <f>+B4</f>
        <v>YPFB CORP</v>
      </c>
      <c r="C9" s="154">
        <f ca="1">+Sales!T13</f>
        <v>2728</v>
      </c>
      <c r="D9" s="154">
        <f ca="1">+Sales!V13</f>
        <v>2728</v>
      </c>
      <c r="E9" s="286">
        <f ca="1">+Sales!X13</f>
        <v>2728</v>
      </c>
      <c r="F9" s="973">
        <f ca="1">+C9+D9+E9</f>
        <v>8184</v>
      </c>
      <c r="G9" s="974">
        <f ca="1">+Sales!Z13</f>
        <v>2728</v>
      </c>
      <c r="H9" s="975" t="e">
        <f>+Sales!#REF!</f>
        <v>#REF!</v>
      </c>
      <c r="I9" s="975" t="e">
        <f>+Sales!#REF!</f>
        <v>#REF!</v>
      </c>
      <c r="J9" s="966" t="e">
        <f ca="1">+G9+H9+I9</f>
        <v>#REF!</v>
      </c>
      <c r="K9" s="974" t="e">
        <f>+Sales!#REF!</f>
        <v>#REF!</v>
      </c>
      <c r="L9" s="974" t="e">
        <f>+Sales!#REF!</f>
        <v>#REF!</v>
      </c>
      <c r="M9" s="974" t="e">
        <f>+Sales!#REF!</f>
        <v>#REF!</v>
      </c>
      <c r="N9" s="966" t="e">
        <f>+K9+L9+M9</f>
        <v>#REF!</v>
      </c>
      <c r="O9" s="976" t="e">
        <f>+Sales!#REF!</f>
        <v>#REF!</v>
      </c>
      <c r="P9" s="976" t="e">
        <f>+Sales!#REF!</f>
        <v>#REF!</v>
      </c>
      <c r="Q9" s="976" t="e">
        <f>+Sales!#REF!</f>
        <v>#REF!</v>
      </c>
      <c r="R9" s="966" t="e">
        <f>+O9+P9+Q9</f>
        <v>#REF!</v>
      </c>
      <c r="S9" s="967" t="e">
        <f ca="1">+F9+J9+N9+R9</f>
        <v>#REF!</v>
      </c>
    </row>
    <row r="10" spans="1:22">
      <c r="B10" s="165"/>
      <c r="C10" s="154"/>
      <c r="D10" s="154"/>
      <c r="E10" s="286"/>
      <c r="F10" s="973">
        <f>+C10+D10+E10</f>
        <v>0</v>
      </c>
      <c r="G10" s="974"/>
      <c r="H10" s="975"/>
      <c r="I10" s="975"/>
      <c r="J10" s="966">
        <f>+G10+H10+I10</f>
        <v>0</v>
      </c>
      <c r="K10" s="974"/>
      <c r="L10" s="975"/>
      <c r="M10" s="975"/>
      <c r="N10" s="966">
        <f>+K10+L10+M10</f>
        <v>0</v>
      </c>
      <c r="O10" s="977"/>
      <c r="P10" s="977"/>
      <c r="Q10" s="977"/>
      <c r="R10" s="966">
        <f>+O10+P10+Q10</f>
        <v>0</v>
      </c>
      <c r="S10" s="967">
        <f>+F10+J10+N10+R10</f>
        <v>0</v>
      </c>
    </row>
    <row r="11" spans="1:22" ht="13.5" thickBot="1">
      <c r="B11" s="539" t="s">
        <v>51</v>
      </c>
      <c r="C11" s="284">
        <f t="shared" ref="C11:M11" ca="1" si="3">SUM(C9:C10)</f>
        <v>2728</v>
      </c>
      <c r="D11" s="284">
        <f t="shared" ca="1" si="3"/>
        <v>2728</v>
      </c>
      <c r="E11" s="284">
        <f t="shared" ca="1" si="3"/>
        <v>2728</v>
      </c>
      <c r="F11" s="339">
        <f t="shared" ca="1" si="3"/>
        <v>8184</v>
      </c>
      <c r="G11" s="315">
        <f t="shared" ca="1" si="3"/>
        <v>2728</v>
      </c>
      <c r="H11" s="284" t="e">
        <f t="shared" si="3"/>
        <v>#REF!</v>
      </c>
      <c r="I11" s="284" t="e">
        <f t="shared" si="3"/>
        <v>#REF!</v>
      </c>
      <c r="J11" s="345" t="e">
        <f t="shared" ca="1" si="3"/>
        <v>#REF!</v>
      </c>
      <c r="K11" s="284" t="e">
        <f t="shared" si="3"/>
        <v>#REF!</v>
      </c>
      <c r="L11" s="284" t="e">
        <f t="shared" si="3"/>
        <v>#REF!</v>
      </c>
      <c r="M11" s="284" t="e">
        <f t="shared" si="3"/>
        <v>#REF!</v>
      </c>
      <c r="N11" s="345" t="e">
        <f>SUM(N9:R10)</f>
        <v>#REF!</v>
      </c>
      <c r="O11" s="284" t="e">
        <f>SUM(O9:O10)</f>
        <v>#REF!</v>
      </c>
      <c r="P11" s="399" t="e">
        <f>SUM(P9:P10)</f>
        <v>#REF!</v>
      </c>
      <c r="Q11" s="399" t="e">
        <f>SUM(Q9:Q10)</f>
        <v>#REF!</v>
      </c>
      <c r="R11" s="345" t="e">
        <f>SUM(R9:R10)</f>
        <v>#REF!</v>
      </c>
      <c r="S11" s="413" t="e">
        <f ca="1">SUM(S9:S10)</f>
        <v>#REF!</v>
      </c>
      <c r="U11" s="168"/>
      <c r="V11" s="168"/>
    </row>
    <row r="12" spans="1:22" ht="13.5" thickBot="1">
      <c r="C12" s="168"/>
      <c r="D12" s="190"/>
      <c r="E12" s="190"/>
      <c r="F12" s="340"/>
      <c r="T12" s="149"/>
    </row>
    <row r="13" spans="1:22">
      <c r="B13" s="267" t="s">
        <v>710</v>
      </c>
      <c r="C13" s="282" t="s">
        <v>712</v>
      </c>
      <c r="D13" s="282" t="s">
        <v>712</v>
      </c>
      <c r="E13" s="282" t="s">
        <v>712</v>
      </c>
      <c r="F13" s="341" t="s">
        <v>712</v>
      </c>
      <c r="G13" s="267" t="s">
        <v>712</v>
      </c>
      <c r="H13" s="268" t="s">
        <v>712</v>
      </c>
      <c r="I13" s="311" t="s">
        <v>712</v>
      </c>
      <c r="J13" s="350" t="s">
        <v>712</v>
      </c>
      <c r="K13" s="333" t="s">
        <v>712</v>
      </c>
      <c r="L13" s="282" t="s">
        <v>712</v>
      </c>
      <c r="M13" s="334" t="s">
        <v>712</v>
      </c>
      <c r="N13" s="351" t="s">
        <v>712</v>
      </c>
      <c r="O13" s="334" t="s">
        <v>712</v>
      </c>
      <c r="P13" s="334" t="s">
        <v>712</v>
      </c>
      <c r="Q13" s="334" t="s">
        <v>712</v>
      </c>
      <c r="R13" s="351" t="s">
        <v>712</v>
      </c>
      <c r="S13" s="414" t="s">
        <v>712</v>
      </c>
    </row>
    <row r="14" spans="1:22">
      <c r="B14" s="165" t="str">
        <f>+B4</f>
        <v>YPFB CORP</v>
      </c>
      <c r="C14" s="289">
        <v>30</v>
      </c>
      <c r="D14" s="289">
        <v>30</v>
      </c>
      <c r="E14" s="289">
        <v>30</v>
      </c>
      <c r="F14" s="978">
        <f>+C14+D14+E14</f>
        <v>90</v>
      </c>
      <c r="G14" s="165">
        <v>30</v>
      </c>
      <c r="H14" s="612">
        <v>20</v>
      </c>
      <c r="I14" s="979">
        <v>10</v>
      </c>
      <c r="J14" s="980">
        <f>+G14+H14+I14</f>
        <v>60</v>
      </c>
      <c r="K14" s="165">
        <v>30</v>
      </c>
      <c r="L14" s="612">
        <v>30</v>
      </c>
      <c r="M14" s="979">
        <v>30</v>
      </c>
      <c r="N14" s="981">
        <f>+K14+L14+M14</f>
        <v>90</v>
      </c>
      <c r="O14" s="979">
        <v>30</v>
      </c>
      <c r="P14" s="979">
        <v>20</v>
      </c>
      <c r="Q14" s="979">
        <v>30</v>
      </c>
      <c r="R14" s="981">
        <f>+O14+P14+Q14</f>
        <v>80</v>
      </c>
      <c r="S14" s="967">
        <f>+F14+J14+N14+R14</f>
        <v>320</v>
      </c>
    </row>
    <row r="15" spans="1:22">
      <c r="B15" s="165"/>
      <c r="C15" s="289"/>
      <c r="D15" s="289"/>
      <c r="E15" s="289"/>
      <c r="F15" s="978">
        <f>+C15+D15+E15</f>
        <v>0</v>
      </c>
      <c r="G15" s="165"/>
      <c r="H15" s="612"/>
      <c r="I15" s="979"/>
      <c r="J15" s="980">
        <f>+G15+H15+I15</f>
        <v>0</v>
      </c>
      <c r="K15" s="165"/>
      <c r="L15" s="612"/>
      <c r="M15" s="979"/>
      <c r="N15" s="981">
        <f>+K15+L15+M15</f>
        <v>0</v>
      </c>
      <c r="O15" s="979"/>
      <c r="P15" s="979"/>
      <c r="Q15" s="979"/>
      <c r="R15" s="981">
        <f>+O15+P15+Q15</f>
        <v>0</v>
      </c>
      <c r="S15" s="967">
        <f>+F15+J15+N15+R15</f>
        <v>0</v>
      </c>
    </row>
    <row r="16" spans="1:22" ht="13.5" thickBot="1">
      <c r="B16" s="539" t="s">
        <v>51</v>
      </c>
      <c r="C16" s="284">
        <f t="shared" ref="C16:S16" si="4">SUM(C14:C15)</f>
        <v>30</v>
      </c>
      <c r="D16" s="284">
        <f t="shared" si="4"/>
        <v>30</v>
      </c>
      <c r="E16" s="284">
        <f t="shared" si="4"/>
        <v>30</v>
      </c>
      <c r="F16" s="342">
        <f t="shared" si="4"/>
        <v>90</v>
      </c>
      <c r="G16" s="312">
        <f t="shared" si="4"/>
        <v>30</v>
      </c>
      <c r="H16" s="313">
        <f t="shared" si="4"/>
        <v>20</v>
      </c>
      <c r="I16" s="314">
        <f t="shared" si="4"/>
        <v>10</v>
      </c>
      <c r="J16" s="336">
        <f t="shared" si="4"/>
        <v>60</v>
      </c>
      <c r="K16" s="312">
        <f t="shared" si="4"/>
        <v>30</v>
      </c>
      <c r="L16" s="313">
        <f t="shared" si="4"/>
        <v>30</v>
      </c>
      <c r="M16" s="314">
        <f t="shared" si="4"/>
        <v>30</v>
      </c>
      <c r="N16" s="352">
        <f t="shared" si="4"/>
        <v>90</v>
      </c>
      <c r="O16" s="314">
        <f t="shared" si="4"/>
        <v>30</v>
      </c>
      <c r="P16" s="314">
        <f t="shared" si="4"/>
        <v>20</v>
      </c>
      <c r="Q16" s="314">
        <f t="shared" si="4"/>
        <v>30</v>
      </c>
      <c r="R16" s="352">
        <f t="shared" si="4"/>
        <v>80</v>
      </c>
      <c r="S16" s="415">
        <f t="shared" si="4"/>
        <v>320</v>
      </c>
    </row>
    <row r="17" spans="2:19">
      <c r="E17" s="149"/>
    </row>
    <row r="18" spans="2:19" ht="13.5" thickBot="1">
      <c r="F18" s="982"/>
    </row>
    <row r="19" spans="2:19" ht="13.5" thickBot="1">
      <c r="B19" s="288" t="s">
        <v>713</v>
      </c>
      <c r="C19" s="1066" t="s">
        <v>437</v>
      </c>
      <c r="D19" s="1066"/>
      <c r="E19" s="1067"/>
      <c r="F19" s="343" t="s">
        <v>571</v>
      </c>
      <c r="G19" s="1058" t="s">
        <v>437</v>
      </c>
      <c r="H19" s="1050"/>
      <c r="I19" s="1051"/>
      <c r="J19" s="348"/>
      <c r="K19" s="1058" t="s">
        <v>437</v>
      </c>
      <c r="L19" s="1050" t="s">
        <v>620</v>
      </c>
      <c r="M19" s="1051" t="s">
        <v>620</v>
      </c>
      <c r="N19" s="353" t="s">
        <v>571</v>
      </c>
      <c r="O19" s="1058" t="s">
        <v>437</v>
      </c>
      <c r="P19" s="1050" t="s">
        <v>620</v>
      </c>
      <c r="Q19" s="1051" t="s">
        <v>620</v>
      </c>
      <c r="R19" s="353" t="s">
        <v>571</v>
      </c>
      <c r="S19" s="416" t="s">
        <v>571</v>
      </c>
    </row>
    <row r="20" spans="2:19">
      <c r="B20" s="165" t="s">
        <v>714</v>
      </c>
      <c r="C20" s="528" t="e">
        <f>+Sales!#REF!/1.16</f>
        <v>#REF!</v>
      </c>
      <c r="D20" s="528" t="e">
        <f>+Sales!#REF!/1.16</f>
        <v>#REF!</v>
      </c>
      <c r="E20" s="528" t="e">
        <f>+Sales!#REF!/1.16</f>
        <v>#REF!</v>
      </c>
      <c r="F20" s="344" t="e">
        <f t="shared" ref="F20:F27" si="5">SUM(C20,D20,E20)</f>
        <v>#REF!</v>
      </c>
      <c r="G20" s="528" t="e">
        <f>+Sales!#REF!</f>
        <v>#REF!</v>
      </c>
      <c r="H20" s="528" t="e">
        <f>+Sales!#REF!</f>
        <v>#REF!</v>
      </c>
      <c r="I20" s="528" t="e">
        <f>+Sales!#REF!/1.16</f>
        <v>#REF!</v>
      </c>
      <c r="J20" s="344" t="e">
        <f>+G20+H20+I20</f>
        <v>#REF!</v>
      </c>
      <c r="K20" s="528" t="e">
        <f>+Sales!#REF!/1.16</f>
        <v>#REF!</v>
      </c>
      <c r="L20" s="528" t="e">
        <f>+Sales!#REF!/1.16</f>
        <v>#REF!</v>
      </c>
      <c r="M20" s="528" t="e">
        <f>+Sales!#REF!</f>
        <v>#REF!</v>
      </c>
      <c r="N20" s="344" t="e">
        <f>+K20+L20+M20</f>
        <v>#REF!</v>
      </c>
      <c r="O20" s="528" t="e">
        <f>+Sales!#REF!</f>
        <v>#REF!</v>
      </c>
      <c r="P20" s="528" t="e">
        <f>+Sales!#REF!</f>
        <v>#REF!</v>
      </c>
      <c r="Q20" s="528" t="e">
        <f>+Sales!#REF!</f>
        <v>#REF!</v>
      </c>
      <c r="R20" s="344" t="e">
        <f>+O20+P20+Q20</f>
        <v>#REF!</v>
      </c>
      <c r="S20" s="417" t="e">
        <f>+F20+J20+N20+R20</f>
        <v>#REF!</v>
      </c>
    </row>
    <row r="21" spans="2:19">
      <c r="B21" s="165" t="s">
        <v>715</v>
      </c>
      <c r="C21" s="528" t="e">
        <f ca="1">+(Sales!T4+Sales!#REF!+Sales!T5+Sales!T6+Sales!T7+Sales!T8+Sales!#REF!+Sales!#REF!+Sales!#REF!+Sales!#REF!+Sales!#REF!+Sales!T9+Sales!T10+Sales!#REF!+Sales!#REF!)/1.16</f>
        <v>#REF!</v>
      </c>
      <c r="D21" s="528" t="e">
        <f ca="1">+(Sales!V4+Sales!#REF!+Sales!V5+Sales!V6+Sales!V7+Sales!V8+Sales!#REF!+Sales!#REF!+Sales!#REF!+Sales!#REF!+Sales!#REF!+Sales!V9+Sales!V10+Sales!#REF!+Sales!#REF!)/1.16</f>
        <v>#REF!</v>
      </c>
      <c r="E21" s="528" t="e">
        <f ca="1">+(Sales!X4+Sales!#REF!+Sales!X5+Sales!X6+Sales!X7+Sales!X8+Sales!#REF!+Sales!#REF!+Sales!#REF!+Sales!#REF!+Sales!#REF!+Sales!X9+Sales!X10+Sales!#REF!+Sales!#REF!)/1.16</f>
        <v>#REF!</v>
      </c>
      <c r="F21" s="344" t="e">
        <f t="shared" ca="1" si="5"/>
        <v>#REF!</v>
      </c>
      <c r="G21" s="528" t="e">
        <f ca="1">+(Sales!Z4+Sales!#REF!+Sales!Z5+Sales!Z6+Sales!Z7+Sales!Z8+Sales!#REF!+Sales!#REF!+Sales!#REF!+Sales!#REF!+Sales!#REF!+Sales!Z9+Sales!Z10+Sales!#REF!+Sales!#REF!)/1.16</f>
        <v>#REF!</v>
      </c>
      <c r="H21" s="528" t="e">
        <f>+(Sales!#REF!+Sales!#REF!+Sales!#REF!+Sales!#REF!+Sales!#REF!+Sales!#REF!+Sales!#REF!+Sales!#REF!+Sales!#REF!+Sales!#REF!+Sales!#REF!+Sales!#REF!+Sales!#REF!+Sales!#REF!+Sales!#REF!)/1.16</f>
        <v>#REF!</v>
      </c>
      <c r="I21" s="528" t="e">
        <f>+(Sales!#REF!+Sales!#REF!+Sales!#REF!+Sales!#REF!+Sales!#REF!+Sales!#REF!+Sales!#REF!+Sales!#REF!+Sales!#REF!+Sales!#REF!+Sales!#REF!+Sales!#REF!+Sales!#REF!+Sales!#REF!+Sales!#REF!)/1.16</f>
        <v>#REF!</v>
      </c>
      <c r="J21" s="344" t="e">
        <f t="shared" ref="J21:J27" ca="1" si="6">+G21+H21+I21</f>
        <v>#REF!</v>
      </c>
      <c r="K21" s="528" t="e">
        <f>+(Sales!#REF!+Sales!#REF!+Sales!#REF!+Sales!#REF!+Sales!#REF!+Sales!#REF!+Sales!#REF!+Sales!#REF!+Sales!#REF!+Sales!#REF!+Sales!#REF!+Sales!#REF!+Sales!#REF!+Sales!#REF!+Sales!#REF!)/1.16</f>
        <v>#REF!</v>
      </c>
      <c r="L21" s="528" t="e">
        <f>+(Sales!#REF!+Sales!#REF!+Sales!#REF!+Sales!#REF!+Sales!#REF!+Sales!#REF!+Sales!#REF!+Sales!#REF!+Sales!#REF!+Sales!#REF!+Sales!#REF!+Sales!#REF!+Sales!#REF!+Sales!#REF!+Sales!#REF!)/1.16</f>
        <v>#REF!</v>
      </c>
      <c r="M21" s="528" t="e">
        <f>+(Sales!#REF!+Sales!#REF!+Sales!#REF!+Sales!#REF!+Sales!#REF!+Sales!#REF!+Sales!#REF!+Sales!#REF!+Sales!#REF!+Sales!#REF!+Sales!#REF!+Sales!#REF!+Sales!#REF!+Sales!#REF!+Sales!#REF!)/1.16</f>
        <v>#REF!</v>
      </c>
      <c r="N21" s="344" t="e">
        <f t="shared" ref="N21:N27" si="7">+K21+L21+M21</f>
        <v>#REF!</v>
      </c>
      <c r="O21" s="528" t="e">
        <f>+(Sales!#REF!+Sales!#REF!+Sales!#REF!+Sales!#REF!+Sales!#REF!+Sales!#REF!+Sales!#REF!+Sales!#REF!+Sales!#REF!+Sales!#REF!+Sales!#REF!+Sales!#REF!+Sales!#REF!+Sales!#REF!+Sales!#REF!)/1.16</f>
        <v>#REF!</v>
      </c>
      <c r="P21" s="528" t="e">
        <f>+(Sales!#REF!+Sales!#REF!+Sales!#REF!+Sales!#REF!+Sales!#REF!+Sales!#REF!+Sales!#REF!+Sales!#REF!+Sales!#REF!+Sales!#REF!+Sales!#REF!+Sales!#REF!+Sales!#REF!+Sales!#REF!+Sales!#REF!)/1.16</f>
        <v>#REF!</v>
      </c>
      <c r="Q21" s="528" t="e">
        <f>+(Sales!#REF!+Sales!#REF!+Sales!#REF!+Sales!#REF!+Sales!#REF!+Sales!#REF!+Sales!#REF!+Sales!#REF!+Sales!#REF!+Sales!#REF!+Sales!#REF!+Sales!#REF!+Sales!#REF!+Sales!#REF!+Sales!#REF!)/1.16</f>
        <v>#REF!</v>
      </c>
      <c r="R21" s="344" t="e">
        <f t="shared" ref="R21:R27" si="8">+O21+P21+Q21</f>
        <v>#REF!</v>
      </c>
      <c r="S21" s="417" t="e">
        <f t="shared" ref="S21:S27" ca="1" si="9">+F21+J21+N21+R21</f>
        <v>#REF!</v>
      </c>
    </row>
    <row r="22" spans="2:19">
      <c r="B22" s="165" t="s">
        <v>716</v>
      </c>
      <c r="C22" s="528"/>
      <c r="D22" s="528"/>
      <c r="E22" s="528"/>
      <c r="F22" s="344">
        <f t="shared" si="5"/>
        <v>0</v>
      </c>
      <c r="G22" s="528"/>
      <c r="H22" s="528"/>
      <c r="I22" s="528"/>
      <c r="J22" s="344">
        <f t="shared" si="6"/>
        <v>0</v>
      </c>
      <c r="K22" s="528"/>
      <c r="L22" s="528"/>
      <c r="M22" s="528"/>
      <c r="N22" s="344">
        <f t="shared" si="7"/>
        <v>0</v>
      </c>
      <c r="O22" s="528"/>
      <c r="P22" s="528"/>
      <c r="Q22" s="528"/>
      <c r="R22" s="344">
        <f t="shared" si="8"/>
        <v>0</v>
      </c>
      <c r="S22" s="417">
        <f t="shared" si="9"/>
        <v>0</v>
      </c>
    </row>
    <row r="23" spans="2:19">
      <c r="B23" s="165" t="s">
        <v>717</v>
      </c>
      <c r="C23" s="528" t="e">
        <f>+Sales!#REF!</f>
        <v>#REF!</v>
      </c>
      <c r="D23" s="528" t="e">
        <f>+Sales!#REF!/1.16</f>
        <v>#REF!</v>
      </c>
      <c r="E23" s="528" t="e">
        <f>+Sales!#REF!/1.16</f>
        <v>#REF!</v>
      </c>
      <c r="F23" s="344" t="e">
        <f t="shared" si="5"/>
        <v>#REF!</v>
      </c>
      <c r="G23" s="528" t="e">
        <f>+Sales!#REF!</f>
        <v>#REF!</v>
      </c>
      <c r="H23" s="528" t="e">
        <f>+Sales!#REF!</f>
        <v>#REF!</v>
      </c>
      <c r="I23" s="528" t="e">
        <f>+Sales!#REF!</f>
        <v>#REF!</v>
      </c>
      <c r="J23" s="344" t="e">
        <f t="shared" si="6"/>
        <v>#REF!</v>
      </c>
      <c r="K23" s="528" t="e">
        <f>+Sales!#REF!</f>
        <v>#REF!</v>
      </c>
      <c r="L23" s="528" t="e">
        <f>+Sales!#REF!</f>
        <v>#REF!</v>
      </c>
      <c r="M23" s="528" t="e">
        <f>+Sales!#REF!</f>
        <v>#REF!</v>
      </c>
      <c r="N23" s="344" t="e">
        <f t="shared" si="7"/>
        <v>#REF!</v>
      </c>
      <c r="O23" s="528" t="e">
        <f>+Sales!#REF!</f>
        <v>#REF!</v>
      </c>
      <c r="P23" s="528" t="e">
        <f>+Sales!#REF!</f>
        <v>#REF!</v>
      </c>
      <c r="Q23" s="528" t="e">
        <f>+Sales!#REF!</f>
        <v>#REF!</v>
      </c>
      <c r="R23" s="344" t="e">
        <f t="shared" si="8"/>
        <v>#REF!</v>
      </c>
      <c r="S23" s="417" t="e">
        <f t="shared" si="9"/>
        <v>#REF!</v>
      </c>
    </row>
    <row r="24" spans="2:19">
      <c r="B24" s="165" t="s">
        <v>718</v>
      </c>
      <c r="C24" s="528"/>
      <c r="D24" s="528"/>
      <c r="E24" s="528"/>
      <c r="F24" s="344">
        <f t="shared" si="5"/>
        <v>0</v>
      </c>
      <c r="G24" s="528"/>
      <c r="H24" s="528"/>
      <c r="I24" s="528"/>
      <c r="J24" s="344">
        <f t="shared" si="6"/>
        <v>0</v>
      </c>
      <c r="K24" s="528"/>
      <c r="L24" s="528"/>
      <c r="M24" s="528"/>
      <c r="N24" s="344">
        <f t="shared" si="7"/>
        <v>0</v>
      </c>
      <c r="O24" s="528"/>
      <c r="P24" s="528"/>
      <c r="Q24" s="528"/>
      <c r="R24" s="344">
        <f t="shared" si="8"/>
        <v>0</v>
      </c>
      <c r="S24" s="417">
        <f t="shared" si="9"/>
        <v>0</v>
      </c>
    </row>
    <row r="25" spans="2:19">
      <c r="B25" s="531" t="s">
        <v>719</v>
      </c>
      <c r="C25" s="528"/>
      <c r="D25" s="528"/>
      <c r="E25" s="528"/>
      <c r="F25" s="344">
        <f t="shared" si="5"/>
        <v>0</v>
      </c>
      <c r="G25" s="528"/>
      <c r="H25" s="528"/>
      <c r="I25" s="528"/>
      <c r="J25" s="344">
        <f t="shared" si="6"/>
        <v>0</v>
      </c>
      <c r="K25" s="528"/>
      <c r="L25" s="528"/>
      <c r="M25" s="528"/>
      <c r="N25" s="344">
        <f t="shared" si="7"/>
        <v>0</v>
      </c>
      <c r="O25" s="528"/>
      <c r="P25" s="528"/>
      <c r="Q25" s="528"/>
      <c r="R25" s="344">
        <f t="shared" si="8"/>
        <v>0</v>
      </c>
      <c r="S25" s="417">
        <f t="shared" si="9"/>
        <v>0</v>
      </c>
    </row>
    <row r="26" spans="2:19">
      <c r="B26" s="531" t="s">
        <v>720</v>
      </c>
      <c r="C26" s="528" t="e">
        <f>+Sales!#REF!/1.16</f>
        <v>#REF!</v>
      </c>
      <c r="D26" s="528" t="e">
        <f>+Sales!#REF!/1.16</f>
        <v>#REF!</v>
      </c>
      <c r="E26" s="528" t="e">
        <f>+Sales!#REF!/1.16</f>
        <v>#REF!</v>
      </c>
      <c r="F26" s="344" t="e">
        <f t="shared" si="5"/>
        <v>#REF!</v>
      </c>
      <c r="G26" s="528" t="e">
        <f>+Sales!#REF!</f>
        <v>#REF!</v>
      </c>
      <c r="H26" s="528" t="e">
        <f>+Sales!#REF!</f>
        <v>#REF!</v>
      </c>
      <c r="I26" s="528" t="e">
        <f>+Sales!#REF!/1.16</f>
        <v>#REF!</v>
      </c>
      <c r="J26" s="344" t="e">
        <f t="shared" si="6"/>
        <v>#REF!</v>
      </c>
      <c r="K26" s="528" t="e">
        <f>+Sales!#REF!/1.16</f>
        <v>#REF!</v>
      </c>
      <c r="L26" s="528" t="e">
        <f>+Sales!#REF!/1.16</f>
        <v>#REF!</v>
      </c>
      <c r="M26" s="528" t="e">
        <f>+Sales!#REF!</f>
        <v>#REF!</v>
      </c>
      <c r="N26" s="344" t="e">
        <f t="shared" si="7"/>
        <v>#REF!</v>
      </c>
      <c r="O26" s="528" t="e">
        <f>+Sales!#REF!</f>
        <v>#REF!</v>
      </c>
      <c r="P26" s="528" t="e">
        <f>+Sales!#REF!</f>
        <v>#REF!</v>
      </c>
      <c r="Q26" s="528" t="e">
        <f>+Sales!#REF!</f>
        <v>#REF!</v>
      </c>
      <c r="R26" s="344" t="e">
        <f t="shared" si="8"/>
        <v>#REF!</v>
      </c>
      <c r="S26" s="417" t="e">
        <f t="shared" si="9"/>
        <v>#REF!</v>
      </c>
    </row>
    <row r="27" spans="2:19">
      <c r="B27" s="531" t="s">
        <v>721</v>
      </c>
      <c r="C27" t="e">
        <f>+(Sales!#REF!+Sales!#REF!+Sales!#REF!)/1.16</f>
        <v>#REF!</v>
      </c>
      <c r="D27" t="e">
        <f>+(Sales!#REF!+Sales!#REF!+Sales!#REF!)/1.16</f>
        <v>#REF!</v>
      </c>
      <c r="E27" t="e">
        <f>+(Sales!#REF!+Sales!#REF!+Sales!#REF!)/1.16</f>
        <v>#REF!</v>
      </c>
      <c r="F27" s="344" t="e">
        <f t="shared" si="5"/>
        <v>#REF!</v>
      </c>
      <c r="G27" t="e">
        <f>+Sales!#REF!+Sales!#REF!+Sales!#REF!</f>
        <v>#REF!</v>
      </c>
      <c r="H27" t="e">
        <f>+Sales!#REF!+Sales!#REF!+Sales!#REF!</f>
        <v>#REF!</v>
      </c>
      <c r="I27" t="e">
        <f>+(Sales!#REF!+Sales!#REF!+Sales!#REF!)/1.16</f>
        <v>#REF!</v>
      </c>
      <c r="J27" s="344" t="e">
        <f t="shared" si="6"/>
        <v>#REF!</v>
      </c>
      <c r="K27" t="e">
        <f>+(Sales!#REF!+Sales!#REF!+Sales!#REF!)/1.16</f>
        <v>#REF!</v>
      </c>
      <c r="L27" t="e">
        <f>+(Sales!#REF!+Sales!#REF!+Sales!#REF!)/1.16</f>
        <v>#REF!</v>
      </c>
      <c r="M27" t="e">
        <f>+Sales!#REF!+Sales!#REF!+Sales!#REF!</f>
        <v>#REF!</v>
      </c>
      <c r="N27" s="344" t="e">
        <f t="shared" si="7"/>
        <v>#REF!</v>
      </c>
      <c r="O27" t="e">
        <f>+Sales!#REF!+Sales!#REF!+Sales!#REF!</f>
        <v>#REF!</v>
      </c>
      <c r="P27" t="e">
        <f>+Sales!#REF!+Sales!#REF!+Sales!#REF!</f>
        <v>#REF!</v>
      </c>
      <c r="Q27" t="e">
        <f>+Sales!#REF!+Sales!#REF!+Sales!#REF!</f>
        <v>#REF!</v>
      </c>
      <c r="R27" s="344" t="e">
        <f t="shared" si="8"/>
        <v>#REF!</v>
      </c>
      <c r="S27" s="417" t="e">
        <f t="shared" si="9"/>
        <v>#REF!</v>
      </c>
    </row>
    <row r="28" spans="2:19" ht="13.5" thickBot="1">
      <c r="B28" s="295" t="s">
        <v>313</v>
      </c>
      <c r="C28" s="297" t="e">
        <f>SUM(C20:C27)</f>
        <v>#REF!</v>
      </c>
      <c r="D28" s="297" t="e">
        <f>SUM(D20:D27)</f>
        <v>#REF!</v>
      </c>
      <c r="E28" s="297" t="e">
        <f>SUM(E20:E27)</f>
        <v>#REF!</v>
      </c>
      <c r="F28" s="345" t="e">
        <f>SUM(F20:F27)</f>
        <v>#REF!</v>
      </c>
      <c r="G28" s="316" t="e">
        <f t="shared" ref="G28:S28" si="10">SUM(G20:G27)</f>
        <v>#REF!</v>
      </c>
      <c r="H28" s="297" t="e">
        <f t="shared" si="10"/>
        <v>#REF!</v>
      </c>
      <c r="I28" s="297" t="e">
        <f t="shared" si="10"/>
        <v>#REF!</v>
      </c>
      <c r="J28" s="345" t="e">
        <f t="shared" si="10"/>
        <v>#REF!</v>
      </c>
      <c r="K28" s="316" t="e">
        <f t="shared" si="10"/>
        <v>#REF!</v>
      </c>
      <c r="L28" s="297" t="e">
        <f t="shared" si="10"/>
        <v>#REF!</v>
      </c>
      <c r="M28" s="297" t="e">
        <f t="shared" si="10"/>
        <v>#REF!</v>
      </c>
      <c r="N28" s="345" t="e">
        <f t="shared" si="10"/>
        <v>#REF!</v>
      </c>
      <c r="O28" s="297" t="e">
        <f>SUM(O19:O27)</f>
        <v>#REF!</v>
      </c>
      <c r="P28" s="297" t="e">
        <f t="shared" si="10"/>
        <v>#REF!</v>
      </c>
      <c r="Q28" s="297" t="e">
        <f t="shared" si="10"/>
        <v>#REF!</v>
      </c>
      <c r="R28" s="345" t="e">
        <f t="shared" si="10"/>
        <v>#REF!</v>
      </c>
      <c r="S28" s="413" t="e">
        <f t="shared" si="10"/>
        <v>#REF!</v>
      </c>
    </row>
    <row r="29" spans="2:19">
      <c r="C29" s="149"/>
      <c r="D29" s="149"/>
      <c r="E29" s="149"/>
      <c r="F29" s="346"/>
    </row>
    <row r="30" spans="2:19">
      <c r="C30" s="296" t="e">
        <f ca="1">+C11-C28</f>
        <v>#REF!</v>
      </c>
      <c r="D30" s="296" t="e">
        <f ca="1">+D11-D28</f>
        <v>#REF!</v>
      </c>
      <c r="E30" s="296" t="e">
        <f ca="1">+E11-E28</f>
        <v>#REF!</v>
      </c>
      <c r="G30" s="296" t="e">
        <f ca="1">+G11-G28</f>
        <v>#REF!</v>
      </c>
      <c r="H30" s="296" t="e">
        <f>+H11-H28</f>
        <v>#REF!</v>
      </c>
      <c r="I30" s="296" t="e">
        <f>+I11-I28</f>
        <v>#REF!</v>
      </c>
      <c r="K30" s="296" t="e">
        <f>+K11-K28</f>
        <v>#REF!</v>
      </c>
      <c r="L30" s="296" t="e">
        <f>+L11-L28</f>
        <v>#REF!</v>
      </c>
      <c r="M30" s="296" t="e">
        <f>+M11-M28</f>
        <v>#REF!</v>
      </c>
      <c r="O30" s="296" t="e">
        <f>+O11-O28</f>
        <v>#REF!</v>
      </c>
      <c r="P30" s="296" t="e">
        <f>+P11-P28</f>
        <v>#REF!</v>
      </c>
      <c r="Q30" s="296" t="e">
        <f>+Q11-Q28</f>
        <v>#REF!</v>
      </c>
    </row>
    <row r="31" spans="2:19">
      <c r="C31" s="149">
        <f ca="1">+C11</f>
        <v>2728</v>
      </c>
      <c r="D31" s="149">
        <f ca="1">+D11</f>
        <v>2728</v>
      </c>
      <c r="E31" s="149">
        <f ca="1">+E11</f>
        <v>2728</v>
      </c>
      <c r="G31" s="149">
        <f ca="1">+G11</f>
        <v>2728</v>
      </c>
      <c r="H31" s="149" t="e">
        <f>+H11</f>
        <v>#REF!</v>
      </c>
      <c r="I31" s="149" t="e">
        <f>+I11</f>
        <v>#REF!</v>
      </c>
      <c r="K31" s="149" t="e">
        <f>+K11</f>
        <v>#REF!</v>
      </c>
      <c r="L31" s="149" t="e">
        <f>+L11</f>
        <v>#REF!</v>
      </c>
      <c r="M31" s="149" t="e">
        <f>+M11</f>
        <v>#REF!</v>
      </c>
      <c r="O31" s="149" t="e">
        <f>+O11</f>
        <v>#REF!</v>
      </c>
      <c r="P31" s="149" t="e">
        <f>+P11</f>
        <v>#REF!</v>
      </c>
      <c r="Q31" s="149" t="e">
        <f>+Q11</f>
        <v>#REF!</v>
      </c>
    </row>
    <row r="32" spans="2:19">
      <c r="C32" s="149" t="e">
        <f ca="1">+C31-C30</f>
        <v>#REF!</v>
      </c>
      <c r="D32" s="149" t="e">
        <f ca="1">+D31-D30</f>
        <v>#REF!</v>
      </c>
      <c r="E32" s="149" t="e">
        <f ca="1">+E31-E30</f>
        <v>#REF!</v>
      </c>
      <c r="G32" s="149" t="e">
        <f ca="1">+G31-G30</f>
        <v>#REF!</v>
      </c>
      <c r="H32" s="149" t="e">
        <f>+H31-H30</f>
        <v>#REF!</v>
      </c>
      <c r="I32" s="149" t="e">
        <f>+I31-I30</f>
        <v>#REF!</v>
      </c>
      <c r="K32" s="149" t="e">
        <f>+K31-K30</f>
        <v>#REF!</v>
      </c>
      <c r="L32" s="149" t="e">
        <f>+L31-L30</f>
        <v>#REF!</v>
      </c>
      <c r="M32" s="149" t="e">
        <f>+M31-M30</f>
        <v>#REF!</v>
      </c>
      <c r="O32" s="149" t="e">
        <f>+O31-O30</f>
        <v>#REF!</v>
      </c>
      <c r="P32" s="149" t="e">
        <f>+P31-P30</f>
        <v>#REF!</v>
      </c>
      <c r="Q32" s="149" t="e">
        <f>+Q31-Q30</f>
        <v>#REF!</v>
      </c>
    </row>
    <row r="33" spans="6:19">
      <c r="I33" s="296"/>
    </row>
    <row r="34" spans="6:19">
      <c r="F34" s="346"/>
      <c r="J34" s="346"/>
      <c r="N34" s="346"/>
      <c r="R34" s="346"/>
      <c r="S34" s="346"/>
    </row>
  </sheetData>
  <mergeCells count="12">
    <mergeCell ref="K19:M19"/>
    <mergeCell ref="O19:Q19"/>
    <mergeCell ref="C2:E2"/>
    <mergeCell ref="G2:I2"/>
    <mergeCell ref="C8:E8"/>
    <mergeCell ref="G8:I8"/>
    <mergeCell ref="C19:E19"/>
    <mergeCell ref="G19:I19"/>
    <mergeCell ref="K2:M2"/>
    <mergeCell ref="K8:M8"/>
    <mergeCell ref="O2:Q2"/>
    <mergeCell ref="O8:Q8"/>
  </mergeCells>
  <pageMargins left="0.7" right="0.7" top="0.75" bottom="0.75" header="0.3" footer="0.3"/>
  <pageSetup orientation="portrait" horizontalDpi="1200" verticalDpi="12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2CCD3-785F-4AEC-831F-7FC104444417}">
  <sheetPr codeName="Hoja19"/>
  <dimension ref="A2:Z9"/>
  <sheetViews>
    <sheetView workbookViewId="0"/>
  </sheetViews>
  <sheetFormatPr baseColWidth="10" defaultColWidth="11.42578125" defaultRowHeight="12.75"/>
  <cols>
    <col min="1" max="1" width="5" customWidth="1"/>
    <col min="2" max="2" width="49.42578125" customWidth="1"/>
    <col min="3" max="3" width="7.42578125" customWidth="1"/>
    <col min="4" max="4" width="11.42578125" customWidth="1"/>
    <col min="5" max="5" width="9" customWidth="1"/>
    <col min="6" max="6" width="10.5703125" customWidth="1"/>
    <col min="7" max="7" width="13.140625" customWidth="1"/>
    <col min="8" max="8" width="13.42578125" customWidth="1"/>
    <col min="9" max="9" width="3.42578125" customWidth="1"/>
    <col min="11" max="11" width="1.85546875" customWidth="1"/>
    <col min="13" max="13" width="1.85546875" customWidth="1"/>
    <col min="15" max="15" width="1.85546875" customWidth="1"/>
    <col min="17" max="17" width="1.85546875" customWidth="1"/>
    <col min="19" max="19" width="1.5703125" customWidth="1"/>
    <col min="21" max="21" width="3.5703125" customWidth="1"/>
    <col min="23" max="23" width="2.140625" customWidth="1"/>
    <col min="25" max="25" width="2.5703125" customWidth="1"/>
  </cols>
  <sheetData>
    <row r="2" spans="1:26">
      <c r="A2" s="493" t="s">
        <v>722</v>
      </c>
      <c r="B2" s="21" t="s">
        <v>723</v>
      </c>
      <c r="C2" s="21"/>
      <c r="D2" s="21"/>
      <c r="E2" s="21"/>
      <c r="F2" s="493" t="s">
        <v>724</v>
      </c>
      <c r="G2" s="21" t="s">
        <v>264</v>
      </c>
      <c r="H2" s="493" t="s">
        <v>265</v>
      </c>
      <c r="J2" s="21" t="s">
        <v>725</v>
      </c>
      <c r="K2" s="21"/>
      <c r="L2" s="21" t="s">
        <v>726</v>
      </c>
      <c r="M2" s="21"/>
      <c r="N2" s="21" t="s">
        <v>727</v>
      </c>
      <c r="O2" s="21"/>
      <c r="P2" s="21" t="s">
        <v>728</v>
      </c>
      <c r="Q2" s="21"/>
      <c r="R2" s="21" t="s">
        <v>729</v>
      </c>
      <c r="S2" s="21"/>
      <c r="T2" s="21" t="s">
        <v>730</v>
      </c>
      <c r="U2" s="21"/>
      <c r="V2" s="21" t="s">
        <v>731</v>
      </c>
      <c r="X2" s="21" t="s">
        <v>732</v>
      </c>
      <c r="Y2" s="21"/>
      <c r="Z2" s="21" t="s">
        <v>733</v>
      </c>
    </row>
    <row r="3" spans="1:26">
      <c r="A3" s="493"/>
      <c r="B3" s="21"/>
      <c r="C3" s="21"/>
      <c r="D3" s="21"/>
      <c r="E3" s="21"/>
      <c r="F3" s="493"/>
      <c r="G3" s="21"/>
      <c r="H3" s="493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</row>
    <row r="4" spans="1:26">
      <c r="A4" s="187">
        <v>1</v>
      </c>
      <c r="B4" s="555" t="s">
        <v>734</v>
      </c>
      <c r="C4" s="555"/>
      <c r="D4" s="555"/>
      <c r="E4" s="555"/>
      <c r="F4" s="555">
        <v>21</v>
      </c>
      <c r="G4" s="556">
        <v>16</v>
      </c>
      <c r="H4" s="463">
        <v>0</v>
      </c>
      <c r="I4" s="463"/>
      <c r="J4" s="567">
        <f>$H4/$G4</f>
        <v>0</v>
      </c>
      <c r="K4" s="463"/>
      <c r="L4" s="557">
        <f>$H4/$G4</f>
        <v>0</v>
      </c>
      <c r="M4" s="463"/>
      <c r="N4" s="557">
        <f>$H4/$G4</f>
        <v>0</v>
      </c>
      <c r="O4" s="463"/>
      <c r="P4" s="557">
        <f>$H4/$G4</f>
        <v>0</v>
      </c>
      <c r="Q4" s="463"/>
      <c r="R4" s="557">
        <f>$H4/$G4</f>
        <v>0</v>
      </c>
      <c r="S4" s="463"/>
      <c r="T4" s="557">
        <f>$H4/$G4</f>
        <v>0</v>
      </c>
      <c r="U4" s="463"/>
      <c r="V4" s="557">
        <f>$H4/$G4</f>
        <v>0</v>
      </c>
      <c r="W4" s="187"/>
      <c r="X4" s="557">
        <f>$H4/$G4</f>
        <v>0</v>
      </c>
      <c r="Y4" s="187"/>
      <c r="Z4" s="557">
        <f>$H4/$G4</f>
        <v>0</v>
      </c>
    </row>
    <row r="5" spans="1:26">
      <c r="A5">
        <v>2</v>
      </c>
      <c r="B5" s="493" t="s">
        <v>735</v>
      </c>
      <c r="C5" s="493"/>
      <c r="D5" s="493"/>
      <c r="E5" s="493"/>
      <c r="F5" s="493">
        <v>20</v>
      </c>
      <c r="G5" s="167">
        <v>16</v>
      </c>
      <c r="H5" s="570">
        <v>20800</v>
      </c>
      <c r="I5" s="168"/>
      <c r="J5" s="567">
        <f>$H5/$G5</f>
        <v>1300</v>
      </c>
      <c r="K5" s="568"/>
      <c r="L5" s="567">
        <f>$H5/$G5</f>
        <v>1300</v>
      </c>
      <c r="M5" s="568"/>
      <c r="N5" s="567">
        <f>$H5/$G5</f>
        <v>1300</v>
      </c>
      <c r="O5" s="568"/>
      <c r="P5" s="567">
        <f>$H5/$G5</f>
        <v>1300</v>
      </c>
      <c r="Q5" s="568"/>
      <c r="R5" s="567">
        <f>$H5/$G5</f>
        <v>1300</v>
      </c>
      <c r="S5" s="568"/>
      <c r="T5" s="567">
        <f>$H5/$G5</f>
        <v>1300</v>
      </c>
      <c r="U5" s="568"/>
      <c r="V5" s="567">
        <f>$H5/$G5</f>
        <v>1300</v>
      </c>
      <c r="W5" s="569"/>
      <c r="X5" s="567">
        <f>$H5/$G5</f>
        <v>1300</v>
      </c>
      <c r="Y5" s="569"/>
      <c r="Z5" s="567">
        <f>$H5/$G5</f>
        <v>1300</v>
      </c>
    </row>
    <row r="6" spans="1:26">
      <c r="A6">
        <v>3</v>
      </c>
      <c r="B6" s="493" t="s">
        <v>736</v>
      </c>
      <c r="C6" s="493"/>
      <c r="D6" s="493"/>
      <c r="E6" s="493"/>
      <c r="F6">
        <v>17</v>
      </c>
      <c r="G6" s="167">
        <v>16</v>
      </c>
      <c r="H6" s="168">
        <f>29300</f>
        <v>29300</v>
      </c>
      <c r="I6" s="168"/>
      <c r="J6" s="495">
        <f>$H6/$G6</f>
        <v>1831.25</v>
      </c>
      <c r="K6" s="168"/>
      <c r="L6" s="495">
        <f>$H6/$G6</f>
        <v>1831.25</v>
      </c>
      <c r="M6" s="168"/>
      <c r="N6" s="495">
        <f>$H6/$G6</f>
        <v>1831.25</v>
      </c>
      <c r="O6" s="168"/>
      <c r="P6" s="495">
        <f>$H6/$G6</f>
        <v>1831.25</v>
      </c>
      <c r="Q6" s="168"/>
      <c r="R6" s="495">
        <f>$H6/$G6</f>
        <v>1831.25</v>
      </c>
      <c r="S6" s="168"/>
      <c r="T6" s="495">
        <f>$H6/$G6</f>
        <v>1831.25</v>
      </c>
      <c r="U6" s="168"/>
      <c r="V6" s="495">
        <f>$H6/$G6</f>
        <v>1831.25</v>
      </c>
      <c r="X6" s="495">
        <f>$H6/$G6</f>
        <v>1831.25</v>
      </c>
      <c r="Z6" s="495">
        <f>$H6/$G6</f>
        <v>1831.25</v>
      </c>
    </row>
    <row r="7" spans="1:26">
      <c r="A7">
        <v>4</v>
      </c>
      <c r="B7" s="493" t="s">
        <v>737</v>
      </c>
      <c r="C7" s="493"/>
      <c r="D7" s="493"/>
      <c r="E7" s="493"/>
      <c r="F7">
        <v>17</v>
      </c>
      <c r="G7" s="167">
        <v>16</v>
      </c>
      <c r="H7" s="168">
        <v>32300</v>
      </c>
      <c r="I7" s="168"/>
      <c r="J7" s="495">
        <f>$H7/$G7</f>
        <v>2018.75</v>
      </c>
      <c r="K7" s="168"/>
      <c r="L7" s="495">
        <f>$H7/$G7</f>
        <v>2018.75</v>
      </c>
      <c r="M7" s="168"/>
      <c r="N7" s="495">
        <f>$H7/$G7</f>
        <v>2018.75</v>
      </c>
      <c r="O7" s="168"/>
      <c r="P7" s="495">
        <f>$H7/$G7</f>
        <v>2018.75</v>
      </c>
      <c r="Q7" s="168"/>
      <c r="R7" s="495">
        <f>$H7/$G7</f>
        <v>2018.75</v>
      </c>
      <c r="S7" s="168"/>
      <c r="T7" s="495">
        <f>$H7/$G7</f>
        <v>2018.75</v>
      </c>
      <c r="U7" s="168"/>
      <c r="V7" s="495">
        <f>$H7/$G7</f>
        <v>2018.75</v>
      </c>
      <c r="X7" s="495">
        <f>$H7/$G7</f>
        <v>2018.75</v>
      </c>
      <c r="Z7" s="495">
        <f>$H7/$G7</f>
        <v>2018.75</v>
      </c>
    </row>
    <row r="8" spans="1:26">
      <c r="H8" s="168"/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68"/>
      <c r="T8" s="168"/>
      <c r="U8" s="168"/>
      <c r="V8" s="168"/>
    </row>
    <row r="9" spans="1:26">
      <c r="H9" s="168"/>
      <c r="I9" s="168"/>
      <c r="J9" s="168"/>
      <c r="K9" s="168"/>
      <c r="L9" s="168"/>
      <c r="M9" s="168"/>
      <c r="N9" s="168"/>
      <c r="O9" s="168"/>
      <c r="P9" s="168"/>
      <c r="Q9" s="168"/>
      <c r="R9" s="168"/>
      <c r="S9" s="168"/>
      <c r="T9" s="168"/>
      <c r="U9" s="168"/>
      <c r="V9" s="168"/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2A68E-A9F9-4B7A-8817-FFE88460A38D}">
  <sheetPr codeName="Hoja20"/>
  <dimension ref="B2:Z18"/>
  <sheetViews>
    <sheetView workbookViewId="0"/>
  </sheetViews>
  <sheetFormatPr baseColWidth="10" defaultColWidth="11.42578125" defaultRowHeight="12.75"/>
  <cols>
    <col min="1" max="1" width="5" customWidth="1"/>
    <col min="2" max="2" width="49.42578125" customWidth="1"/>
    <col min="3" max="3" width="7.42578125" customWidth="1"/>
    <col min="4" max="4" width="11.42578125" customWidth="1"/>
    <col min="5" max="5" width="9" customWidth="1"/>
    <col min="6" max="6" width="10.5703125" customWidth="1"/>
    <col min="7" max="7" width="13.140625" customWidth="1"/>
    <col min="8" max="8" width="13.42578125" customWidth="1"/>
    <col min="9" max="9" width="3.42578125" customWidth="1"/>
    <col min="11" max="11" width="1.85546875" customWidth="1"/>
    <col min="13" max="13" width="1.85546875" customWidth="1"/>
    <col min="15" max="15" width="1.85546875" customWidth="1"/>
    <col min="17" max="17" width="1.85546875" customWidth="1"/>
    <col min="19" max="19" width="1.5703125" customWidth="1"/>
    <col min="21" max="21" width="3.5703125" customWidth="1"/>
    <col min="23" max="23" width="2.140625" customWidth="1"/>
    <col min="25" max="25" width="2.5703125" customWidth="1"/>
  </cols>
  <sheetData>
    <row r="2" spans="2:26"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</row>
    <row r="3" spans="2:26">
      <c r="B3" s="21" t="s">
        <v>738</v>
      </c>
      <c r="C3" s="21" t="s">
        <v>239</v>
      </c>
      <c r="D3" s="21" t="s">
        <v>739</v>
      </c>
      <c r="E3" s="21" t="s">
        <v>243</v>
      </c>
      <c r="F3" s="21" t="s">
        <v>740</v>
      </c>
      <c r="G3" s="21" t="s">
        <v>304</v>
      </c>
      <c r="H3" s="21" t="s">
        <v>741</v>
      </c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168"/>
    </row>
    <row r="4" spans="2:26">
      <c r="B4" s="493" t="s">
        <v>742</v>
      </c>
      <c r="C4" s="493"/>
      <c r="D4" s="168">
        <v>900</v>
      </c>
      <c r="E4" s="494">
        <v>0</v>
      </c>
      <c r="F4" s="168">
        <v>55</v>
      </c>
      <c r="G4" s="168">
        <f>(D4+(F4*C4))*E4</f>
        <v>0</v>
      </c>
      <c r="H4" s="168">
        <f>+G4*1.1</f>
        <v>0</v>
      </c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</row>
    <row r="5" spans="2:26">
      <c r="B5" s="493" t="s">
        <v>743</v>
      </c>
      <c r="C5" s="493"/>
      <c r="D5" s="168">
        <v>1000</v>
      </c>
      <c r="E5" s="494">
        <v>0</v>
      </c>
      <c r="F5" s="168">
        <v>65</v>
      </c>
      <c r="G5" s="168">
        <f t="shared" ref="G5:G16" si="0">(D5+(F5*C5))*E5</f>
        <v>0</v>
      </c>
      <c r="H5" s="168">
        <f>+G5*1.1</f>
        <v>0</v>
      </c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8"/>
      <c r="T5" s="168"/>
      <c r="U5" s="168"/>
      <c r="V5" s="168"/>
    </row>
    <row r="6" spans="2:26">
      <c r="B6" s="493" t="s">
        <v>744</v>
      </c>
      <c r="C6" s="493">
        <v>20</v>
      </c>
      <c r="D6" s="168">
        <v>1150</v>
      </c>
      <c r="E6" s="494">
        <v>3</v>
      </c>
      <c r="F6" s="168">
        <v>80</v>
      </c>
      <c r="G6" s="168">
        <f t="shared" si="0"/>
        <v>8250</v>
      </c>
      <c r="H6" s="168">
        <f>+G6*1.1</f>
        <v>9075</v>
      </c>
      <c r="I6" s="168"/>
      <c r="J6" s="168"/>
      <c r="K6" s="168"/>
      <c r="L6" s="168"/>
      <c r="M6" s="168"/>
      <c r="N6" s="168"/>
      <c r="O6" s="168"/>
      <c r="P6" s="168"/>
      <c r="Q6" s="168"/>
      <c r="R6" s="168"/>
      <c r="S6" s="168"/>
      <c r="T6" s="168"/>
      <c r="U6" s="168"/>
      <c r="V6" s="168"/>
    </row>
    <row r="7" spans="2:26">
      <c r="B7" s="493" t="s">
        <v>745</v>
      </c>
      <c r="C7" s="493"/>
      <c r="D7" s="168">
        <v>500</v>
      </c>
      <c r="E7" s="494">
        <v>0</v>
      </c>
      <c r="F7" s="168">
        <v>30</v>
      </c>
      <c r="G7" s="168">
        <f t="shared" si="0"/>
        <v>0</v>
      </c>
      <c r="H7" s="168">
        <f t="shared" ref="H7:H16" si="1">+G7*1.1</f>
        <v>0</v>
      </c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68"/>
    </row>
    <row r="8" spans="2:26">
      <c r="B8" s="493" t="s">
        <v>746</v>
      </c>
      <c r="C8" s="493"/>
      <c r="D8" s="168">
        <v>600</v>
      </c>
      <c r="E8" s="494">
        <v>0</v>
      </c>
      <c r="F8" s="168">
        <v>40</v>
      </c>
      <c r="G8" s="168">
        <f t="shared" si="0"/>
        <v>0</v>
      </c>
      <c r="H8" s="168">
        <f t="shared" si="1"/>
        <v>0</v>
      </c>
      <c r="I8" s="168"/>
      <c r="J8" s="168"/>
      <c r="K8" s="168"/>
      <c r="L8" s="168"/>
      <c r="M8" s="168"/>
      <c r="N8" s="168"/>
      <c r="O8" s="168"/>
      <c r="P8" s="168"/>
      <c r="Q8" s="168"/>
      <c r="R8" s="168"/>
      <c r="S8" s="168"/>
      <c r="T8" s="168"/>
      <c r="U8" s="168"/>
      <c r="V8" s="168"/>
    </row>
    <row r="9" spans="2:26">
      <c r="B9" s="493" t="s">
        <v>747</v>
      </c>
      <c r="C9" s="493">
        <v>20</v>
      </c>
      <c r="D9" s="168">
        <v>800</v>
      </c>
      <c r="E9" s="494">
        <v>3</v>
      </c>
      <c r="F9" s="168">
        <v>50</v>
      </c>
      <c r="G9" s="168">
        <f t="shared" si="0"/>
        <v>5400</v>
      </c>
      <c r="H9" s="168">
        <f t="shared" si="1"/>
        <v>5940</v>
      </c>
    </row>
    <row r="10" spans="2:26">
      <c r="B10" s="493" t="s">
        <v>748</v>
      </c>
      <c r="C10" s="493"/>
      <c r="D10" s="168">
        <v>350</v>
      </c>
      <c r="E10" s="494">
        <v>0</v>
      </c>
      <c r="F10" s="168">
        <v>15</v>
      </c>
      <c r="G10" s="168">
        <f t="shared" si="0"/>
        <v>0</v>
      </c>
      <c r="H10" s="168">
        <f t="shared" si="1"/>
        <v>0</v>
      </c>
    </row>
    <row r="11" spans="2:26">
      <c r="B11" s="493" t="s">
        <v>749</v>
      </c>
      <c r="C11" s="493">
        <v>20</v>
      </c>
      <c r="D11" s="168">
        <v>400</v>
      </c>
      <c r="E11" s="494">
        <v>3</v>
      </c>
      <c r="F11" s="168">
        <v>20</v>
      </c>
      <c r="G11" s="168">
        <f t="shared" si="0"/>
        <v>2400</v>
      </c>
      <c r="H11" s="168">
        <f t="shared" si="1"/>
        <v>2640</v>
      </c>
    </row>
    <row r="12" spans="2:26">
      <c r="B12" s="493" t="s">
        <v>257</v>
      </c>
      <c r="C12" s="493">
        <v>15</v>
      </c>
      <c r="D12" s="168">
        <v>675</v>
      </c>
      <c r="E12" s="494">
        <v>1</v>
      </c>
      <c r="F12" s="168">
        <v>63</v>
      </c>
      <c r="G12" s="168">
        <f t="shared" si="0"/>
        <v>1620</v>
      </c>
      <c r="H12" s="168">
        <f t="shared" si="1"/>
        <v>1782</v>
      </c>
      <c r="J12" s="558">
        <f>+$H$12</f>
        <v>1782</v>
      </c>
      <c r="K12" s="559"/>
      <c r="L12" s="558">
        <f>+$H$12</f>
        <v>1782</v>
      </c>
      <c r="M12" s="559"/>
      <c r="N12" s="558">
        <f>+$H$12</f>
        <v>1782</v>
      </c>
      <c r="O12" s="559"/>
      <c r="P12" s="558">
        <f>+$H$12</f>
        <v>1782</v>
      </c>
      <c r="Q12" s="559"/>
      <c r="R12" s="558">
        <f>+$H$12</f>
        <v>1782</v>
      </c>
      <c r="S12" s="559"/>
      <c r="T12" s="558">
        <f>+$H$12</f>
        <v>1782</v>
      </c>
      <c r="U12" s="559"/>
      <c r="V12" s="558">
        <f>+$H$12</f>
        <v>1782</v>
      </c>
      <c r="W12" s="559"/>
      <c r="X12" s="558">
        <f>+$H$12</f>
        <v>1782</v>
      </c>
      <c r="Y12" s="559"/>
      <c r="Z12" s="558">
        <f>+$H$12</f>
        <v>1782</v>
      </c>
    </row>
    <row r="13" spans="2:26">
      <c r="B13" s="493" t="s">
        <v>258</v>
      </c>
      <c r="C13" s="493">
        <v>1</v>
      </c>
      <c r="D13" s="168">
        <v>3500</v>
      </c>
      <c r="E13" s="494">
        <v>1</v>
      </c>
      <c r="F13" s="168">
        <v>0</v>
      </c>
      <c r="G13" s="168">
        <f t="shared" si="0"/>
        <v>3500</v>
      </c>
      <c r="H13" s="168">
        <f t="shared" si="1"/>
        <v>3850</v>
      </c>
    </row>
    <row r="14" spans="2:26">
      <c r="B14" s="493" t="s">
        <v>750</v>
      </c>
      <c r="D14" s="168">
        <v>1200</v>
      </c>
      <c r="E14" s="494">
        <v>0</v>
      </c>
      <c r="F14" s="168">
        <v>150</v>
      </c>
      <c r="G14" s="168">
        <f t="shared" si="0"/>
        <v>0</v>
      </c>
      <c r="H14" s="168">
        <f t="shared" si="1"/>
        <v>0</v>
      </c>
    </row>
    <row r="15" spans="2:26">
      <c r="B15" s="493" t="s">
        <v>751</v>
      </c>
      <c r="D15" s="168">
        <v>800</v>
      </c>
      <c r="E15" s="494">
        <v>0</v>
      </c>
      <c r="F15" s="168">
        <v>50</v>
      </c>
      <c r="G15" s="168">
        <f t="shared" si="0"/>
        <v>0</v>
      </c>
      <c r="H15" s="168">
        <f t="shared" si="1"/>
        <v>0</v>
      </c>
    </row>
    <row r="16" spans="2:26">
      <c r="B16" s="493" t="s">
        <v>262</v>
      </c>
      <c r="D16" s="168">
        <v>2800</v>
      </c>
      <c r="E16" s="494">
        <v>0</v>
      </c>
      <c r="F16" s="168">
        <v>0</v>
      </c>
      <c r="G16" s="168">
        <f t="shared" si="0"/>
        <v>0</v>
      </c>
      <c r="H16" s="168">
        <f t="shared" si="1"/>
        <v>0</v>
      </c>
    </row>
    <row r="17" spans="8:26">
      <c r="H17" s="463">
        <f>SUM(H4:H16)</f>
        <v>23287</v>
      </c>
      <c r="J17" s="168">
        <f>+$H$17</f>
        <v>23287</v>
      </c>
      <c r="L17" s="168">
        <f>+$H$17</f>
        <v>23287</v>
      </c>
      <c r="N17" s="168">
        <f>+$H$17</f>
        <v>23287</v>
      </c>
      <c r="P17" s="168">
        <f>+$H$17</f>
        <v>23287</v>
      </c>
      <c r="R17" s="168">
        <f>+$H$17</f>
        <v>23287</v>
      </c>
      <c r="T17" s="168">
        <f>+$H$17</f>
        <v>23287</v>
      </c>
      <c r="V17" s="168">
        <f>+$H$17</f>
        <v>23287</v>
      </c>
      <c r="X17" s="168">
        <f>+H18</f>
        <v>14707</v>
      </c>
      <c r="Z17" s="168">
        <f>+H18</f>
        <v>14707</v>
      </c>
    </row>
    <row r="18" spans="8:26">
      <c r="H18" s="463">
        <f>+H6+H12+H13</f>
        <v>14707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00933-B9C9-4A98-96C8-5548EF0E5809}">
  <sheetPr codeName="Hoja21"/>
  <dimension ref="B3:Z9"/>
  <sheetViews>
    <sheetView workbookViewId="0"/>
  </sheetViews>
  <sheetFormatPr baseColWidth="10" defaultColWidth="11.42578125" defaultRowHeight="12.75"/>
  <cols>
    <col min="1" max="1" width="5" customWidth="1"/>
    <col min="2" max="2" width="49.42578125" customWidth="1"/>
    <col min="3" max="3" width="7.42578125" customWidth="1"/>
    <col min="4" max="4" width="11.42578125" customWidth="1"/>
    <col min="5" max="5" width="9" customWidth="1"/>
    <col min="6" max="6" width="10.5703125" customWidth="1"/>
    <col min="7" max="7" width="13.140625" customWidth="1"/>
    <col min="8" max="8" width="13.42578125" customWidth="1"/>
    <col min="9" max="9" width="3.42578125" customWidth="1"/>
    <col min="11" max="11" width="1.85546875" customWidth="1"/>
    <col min="13" max="13" width="1.85546875" customWidth="1"/>
    <col min="15" max="15" width="1.85546875" customWidth="1"/>
    <col min="17" max="17" width="1.85546875" customWidth="1"/>
    <col min="19" max="19" width="1.5703125" customWidth="1"/>
    <col min="21" max="21" width="3.5703125" customWidth="1"/>
    <col min="23" max="23" width="2.140625" customWidth="1"/>
    <col min="25" max="25" width="2.5703125" customWidth="1"/>
  </cols>
  <sheetData>
    <row r="3" spans="2:26">
      <c r="B3" s="199" t="s">
        <v>501</v>
      </c>
      <c r="D3" s="21" t="s">
        <v>273</v>
      </c>
      <c r="E3" s="21" t="s">
        <v>243</v>
      </c>
    </row>
    <row r="4" spans="2:26">
      <c r="B4" s="493" t="s">
        <v>752</v>
      </c>
      <c r="D4" s="168">
        <v>20</v>
      </c>
      <c r="E4">
        <f>(Honorarios!E6+Honorarios!E9+Honorarios!E11)*2</f>
        <v>18</v>
      </c>
      <c r="G4" s="168">
        <f>+E4*D4</f>
        <v>360</v>
      </c>
    </row>
    <row r="5" spans="2:26">
      <c r="B5" s="493" t="s">
        <v>753</v>
      </c>
      <c r="D5" s="168">
        <v>320</v>
      </c>
      <c r="E5">
        <v>3</v>
      </c>
      <c r="G5" s="168">
        <f>+E5*D5</f>
        <v>960</v>
      </c>
    </row>
    <row r="6" spans="2:26">
      <c r="B6" s="493" t="s">
        <v>754</v>
      </c>
      <c r="D6" s="168">
        <v>1000</v>
      </c>
      <c r="E6">
        <v>1</v>
      </c>
      <c r="G6" s="168">
        <f>+E6*D6</f>
        <v>1000</v>
      </c>
    </row>
    <row r="7" spans="2:26">
      <c r="B7" s="493" t="s">
        <v>755</v>
      </c>
      <c r="D7" s="168">
        <v>1000</v>
      </c>
      <c r="E7">
        <v>6</v>
      </c>
      <c r="G7" s="168">
        <f>+E7*D7</f>
        <v>6000</v>
      </c>
    </row>
    <row r="8" spans="2:26">
      <c r="D8" s="168"/>
      <c r="G8" s="496">
        <f>SUM(G4:G7)</f>
        <v>8320</v>
      </c>
      <c r="J8" s="168">
        <f>+$G$8-$G$7</f>
        <v>2320</v>
      </c>
      <c r="L8" s="168">
        <f>+$G$8-$G$7</f>
        <v>2320</v>
      </c>
      <c r="N8" s="168">
        <f>+$G$8-$G$7</f>
        <v>2320</v>
      </c>
      <c r="P8" s="168">
        <f>+$G$8-$G$7</f>
        <v>2320</v>
      </c>
      <c r="R8" s="168">
        <f>+$G$8-$G$7</f>
        <v>2320</v>
      </c>
      <c r="T8" s="168">
        <f>+$G$8-$G$7</f>
        <v>2320</v>
      </c>
      <c r="V8" s="168">
        <f>+$G$8-$G$7</f>
        <v>2320</v>
      </c>
      <c r="X8" s="168">
        <f>+G9</f>
        <v>2080</v>
      </c>
      <c r="Z8" s="168">
        <f>+G9</f>
        <v>2080</v>
      </c>
    </row>
    <row r="9" spans="2:26">
      <c r="G9" s="463">
        <f>(D4*6)+G5+G6</f>
        <v>2080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7FD7D-C4FB-464F-9CB9-C72A15382FCE}">
  <sheetPr codeName="Hoja22"/>
  <dimension ref="B2:Z26"/>
  <sheetViews>
    <sheetView workbookViewId="0"/>
  </sheetViews>
  <sheetFormatPr baseColWidth="10" defaultColWidth="11.42578125" defaultRowHeight="12.75"/>
  <cols>
    <col min="1" max="1" width="5" customWidth="1"/>
    <col min="2" max="2" width="49.42578125" customWidth="1"/>
    <col min="3" max="3" width="7.42578125" customWidth="1"/>
    <col min="4" max="4" width="11.42578125" customWidth="1"/>
    <col min="5" max="5" width="9" customWidth="1"/>
    <col min="6" max="6" width="10.5703125" customWidth="1"/>
    <col min="7" max="7" width="13.140625" customWidth="1"/>
    <col min="8" max="8" width="13.42578125" customWidth="1"/>
    <col min="9" max="9" width="3.42578125" customWidth="1"/>
    <col min="11" max="11" width="1.85546875" customWidth="1"/>
    <col min="13" max="13" width="1.85546875" customWidth="1"/>
    <col min="15" max="15" width="1.85546875" customWidth="1"/>
    <col min="17" max="17" width="1.85546875" customWidth="1"/>
    <col min="19" max="19" width="1.5703125" customWidth="1"/>
    <col min="21" max="21" width="3.5703125" customWidth="1"/>
    <col min="23" max="23" width="2.140625" customWidth="1"/>
    <col min="25" max="25" width="2.5703125" customWidth="1"/>
  </cols>
  <sheetData>
    <row r="2" spans="2:6">
      <c r="B2" s="21" t="s">
        <v>278</v>
      </c>
      <c r="D2" s="21" t="s">
        <v>756</v>
      </c>
      <c r="E2" s="21" t="s">
        <v>243</v>
      </c>
      <c r="F2" s="21" t="s">
        <v>757</v>
      </c>
    </row>
    <row r="3" spans="2:6">
      <c r="B3" t="s">
        <v>758</v>
      </c>
      <c r="D3" s="167">
        <v>2.94</v>
      </c>
      <c r="E3" s="167">
        <v>1142</v>
      </c>
      <c r="F3" s="149">
        <f>+E3*D3</f>
        <v>3357</v>
      </c>
    </row>
    <row r="4" spans="2:6">
      <c r="B4" t="s">
        <v>759</v>
      </c>
      <c r="D4" s="167">
        <v>18.899999999999999</v>
      </c>
      <c r="E4" s="167">
        <v>32</v>
      </c>
      <c r="F4" s="149">
        <f t="shared" ref="F4:F24" si="0">+E4*D4</f>
        <v>605</v>
      </c>
    </row>
    <row r="5" spans="2:6">
      <c r="B5" t="s">
        <v>760</v>
      </c>
      <c r="D5" s="167">
        <v>2.52</v>
      </c>
      <c r="E5" s="167">
        <v>381</v>
      </c>
      <c r="F5" s="149">
        <f t="shared" si="0"/>
        <v>960</v>
      </c>
    </row>
    <row r="6" spans="2:6">
      <c r="B6" t="s">
        <v>761</v>
      </c>
      <c r="D6" s="167">
        <v>0.38</v>
      </c>
      <c r="E6" s="167">
        <v>5709</v>
      </c>
      <c r="F6" s="149">
        <f t="shared" si="0"/>
        <v>2169</v>
      </c>
    </row>
    <row r="7" spans="2:6">
      <c r="B7" t="s">
        <v>762</v>
      </c>
      <c r="D7" s="167">
        <v>0.28999999999999998</v>
      </c>
      <c r="E7" s="167">
        <v>628</v>
      </c>
      <c r="F7" s="149">
        <f t="shared" si="0"/>
        <v>182</v>
      </c>
    </row>
    <row r="8" spans="2:6">
      <c r="B8" t="s">
        <v>763</v>
      </c>
      <c r="D8" s="167">
        <v>2.94</v>
      </c>
      <c r="E8" s="167">
        <v>0</v>
      </c>
      <c r="F8" s="149">
        <f t="shared" si="0"/>
        <v>0</v>
      </c>
    </row>
    <row r="9" spans="2:6">
      <c r="B9" t="s">
        <v>764</v>
      </c>
      <c r="D9" s="167">
        <v>0.76</v>
      </c>
      <c r="E9" s="167">
        <v>0</v>
      </c>
      <c r="F9" s="149">
        <f t="shared" si="0"/>
        <v>0</v>
      </c>
    </row>
    <row r="10" spans="2:6">
      <c r="B10" t="s">
        <v>765</v>
      </c>
      <c r="D10" s="167">
        <v>15</v>
      </c>
      <c r="E10" s="167">
        <v>28</v>
      </c>
      <c r="F10" s="149">
        <f t="shared" si="0"/>
        <v>420</v>
      </c>
    </row>
    <row r="11" spans="2:6">
      <c r="B11" t="s">
        <v>766</v>
      </c>
      <c r="D11" s="167">
        <v>15</v>
      </c>
      <c r="E11" s="167">
        <v>4</v>
      </c>
      <c r="F11" s="149">
        <f t="shared" si="0"/>
        <v>60</v>
      </c>
    </row>
    <row r="12" spans="2:6">
      <c r="B12" t="s">
        <v>282</v>
      </c>
      <c r="D12" s="167">
        <v>15</v>
      </c>
      <c r="E12" s="167">
        <v>160</v>
      </c>
      <c r="F12" s="149">
        <f t="shared" si="0"/>
        <v>2400</v>
      </c>
    </row>
    <row r="13" spans="2:6">
      <c r="B13" t="s">
        <v>767</v>
      </c>
      <c r="D13" s="167">
        <v>5</v>
      </c>
      <c r="E13" s="167">
        <v>640</v>
      </c>
      <c r="F13" s="149">
        <f t="shared" si="0"/>
        <v>3200</v>
      </c>
    </row>
    <row r="14" spans="2:6">
      <c r="B14" t="s">
        <v>768</v>
      </c>
      <c r="D14" s="167">
        <v>15</v>
      </c>
      <c r="E14" s="167">
        <v>4</v>
      </c>
      <c r="F14" s="149">
        <f t="shared" si="0"/>
        <v>60</v>
      </c>
    </row>
    <row r="15" spans="2:6">
      <c r="B15" t="s">
        <v>769</v>
      </c>
      <c r="D15" s="167">
        <v>5</v>
      </c>
      <c r="E15" s="167">
        <v>14</v>
      </c>
      <c r="F15" s="149">
        <f t="shared" si="0"/>
        <v>70</v>
      </c>
    </row>
    <row r="16" spans="2:6">
      <c r="B16" t="s">
        <v>770</v>
      </c>
      <c r="D16" s="167">
        <v>5</v>
      </c>
      <c r="E16" s="167">
        <v>14</v>
      </c>
      <c r="F16" s="149">
        <f t="shared" si="0"/>
        <v>70</v>
      </c>
    </row>
    <row r="17" spans="2:26">
      <c r="B17" t="s">
        <v>771</v>
      </c>
      <c r="D17" s="167">
        <v>15</v>
      </c>
      <c r="E17" s="167">
        <v>14</v>
      </c>
      <c r="F17" s="149">
        <f t="shared" si="0"/>
        <v>210</v>
      </c>
    </row>
    <row r="18" spans="2:26">
      <c r="B18" s="187" t="s">
        <v>772</v>
      </c>
      <c r="D18" s="167">
        <v>270</v>
      </c>
      <c r="E18" s="167">
        <v>12</v>
      </c>
      <c r="F18" s="149">
        <f t="shared" si="0"/>
        <v>3240</v>
      </c>
    </row>
    <row r="19" spans="2:26">
      <c r="B19" s="187" t="s">
        <v>773</v>
      </c>
      <c r="D19" s="167">
        <v>270</v>
      </c>
      <c r="E19" s="167">
        <v>2</v>
      </c>
      <c r="F19" s="149">
        <f t="shared" si="0"/>
        <v>540</v>
      </c>
    </row>
    <row r="20" spans="2:26">
      <c r="B20" s="187" t="s">
        <v>774</v>
      </c>
      <c r="D20" s="167">
        <v>200</v>
      </c>
      <c r="E20" s="167">
        <v>1</v>
      </c>
      <c r="F20" s="149">
        <f t="shared" si="0"/>
        <v>200</v>
      </c>
    </row>
    <row r="21" spans="2:26">
      <c r="B21" s="187" t="s">
        <v>775</v>
      </c>
      <c r="D21" s="167">
        <v>180</v>
      </c>
      <c r="E21" s="167">
        <v>1</v>
      </c>
      <c r="F21" s="149">
        <f t="shared" si="0"/>
        <v>180</v>
      </c>
    </row>
    <row r="22" spans="2:26">
      <c r="B22" s="187" t="s">
        <v>776</v>
      </c>
      <c r="D22" s="167">
        <v>180</v>
      </c>
      <c r="E22" s="167">
        <v>1</v>
      </c>
      <c r="F22" s="149">
        <f t="shared" si="0"/>
        <v>180</v>
      </c>
    </row>
    <row r="23" spans="2:26">
      <c r="B23" t="s">
        <v>777</v>
      </c>
      <c r="D23" s="167">
        <v>300</v>
      </c>
      <c r="E23" s="167">
        <v>8</v>
      </c>
      <c r="F23" s="149">
        <f t="shared" si="0"/>
        <v>2400</v>
      </c>
    </row>
    <row r="24" spans="2:26">
      <c r="B24" t="s">
        <v>286</v>
      </c>
      <c r="D24" s="167">
        <v>200</v>
      </c>
      <c r="E24" s="167">
        <v>3</v>
      </c>
      <c r="F24" s="149">
        <f t="shared" si="0"/>
        <v>600</v>
      </c>
    </row>
    <row r="25" spans="2:26">
      <c r="B25" s="493" t="s">
        <v>778</v>
      </c>
      <c r="D25" s="167"/>
      <c r="E25" s="167"/>
      <c r="F25" s="149">
        <f>47000000/3900</f>
        <v>12051</v>
      </c>
    </row>
    <row r="26" spans="2:26">
      <c r="F26" s="223">
        <f>SUM(F3:F25)</f>
        <v>33154</v>
      </c>
      <c r="J26" s="168">
        <f>+$F$26/16</f>
        <v>2072.13</v>
      </c>
      <c r="L26" s="168">
        <f>+$F$26/16</f>
        <v>2072.13</v>
      </c>
      <c r="N26" s="168">
        <f>+$F$26/16</f>
        <v>2072.13</v>
      </c>
      <c r="P26" s="168">
        <f>+$F$26/16</f>
        <v>2072.13</v>
      </c>
      <c r="R26" s="168">
        <f>+$F$26/16</f>
        <v>2072.13</v>
      </c>
      <c r="T26" s="168">
        <f>+$F$26/16</f>
        <v>2072.13</v>
      </c>
      <c r="V26" s="168">
        <f>+$F$26/16</f>
        <v>2072.13</v>
      </c>
      <c r="X26" s="168">
        <f>+$F$26/16</f>
        <v>2072.13</v>
      </c>
      <c r="Z26" s="168">
        <f>+$F$26/16</f>
        <v>2072.13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64454-D95D-4F33-8B05-13C9908B1E4E}">
  <sheetPr codeName="Hoja23"/>
  <dimension ref="B3:Z7"/>
  <sheetViews>
    <sheetView workbookViewId="0"/>
  </sheetViews>
  <sheetFormatPr baseColWidth="10" defaultColWidth="11.42578125" defaultRowHeight="12.75"/>
  <cols>
    <col min="1" max="1" width="5" customWidth="1"/>
    <col min="2" max="2" width="49.42578125" customWidth="1"/>
    <col min="3" max="3" width="7.42578125" customWidth="1"/>
    <col min="4" max="4" width="11.42578125" customWidth="1"/>
    <col min="5" max="5" width="9" customWidth="1"/>
    <col min="6" max="6" width="10.5703125" customWidth="1"/>
    <col min="7" max="7" width="13.140625" customWidth="1"/>
    <col min="8" max="8" width="13.42578125" customWidth="1"/>
    <col min="9" max="9" width="3.42578125" customWidth="1"/>
    <col min="11" max="11" width="1.85546875" customWidth="1"/>
    <col min="13" max="13" width="1.85546875" customWidth="1"/>
    <col min="15" max="15" width="1.85546875" customWidth="1"/>
    <col min="17" max="17" width="1.85546875" customWidth="1"/>
    <col min="19" max="19" width="1.5703125" customWidth="1"/>
    <col min="21" max="21" width="3.5703125" customWidth="1"/>
    <col min="23" max="23" width="2.140625" customWidth="1"/>
    <col min="25" max="25" width="2.5703125" customWidth="1"/>
  </cols>
  <sheetData>
    <row r="3" spans="2:26">
      <c r="B3" s="21" t="s">
        <v>289</v>
      </c>
    </row>
    <row r="4" spans="2:26">
      <c r="B4" s="493" t="s">
        <v>779</v>
      </c>
      <c r="D4" s="168">
        <v>370</v>
      </c>
      <c r="E4">
        <v>0</v>
      </c>
      <c r="F4" s="495">
        <f>+E4*D4</f>
        <v>0</v>
      </c>
      <c r="J4" s="149"/>
      <c r="L4" s="149"/>
      <c r="N4" s="149"/>
      <c r="P4" s="149"/>
      <c r="R4" s="149"/>
      <c r="T4" s="149"/>
      <c r="V4" s="149"/>
    </row>
    <row r="5" spans="2:26">
      <c r="B5" s="493" t="s">
        <v>780</v>
      </c>
      <c r="D5" s="168">
        <v>570</v>
      </c>
      <c r="E5">
        <v>0</v>
      </c>
      <c r="F5" s="168">
        <f>+E5*D5</f>
        <v>0</v>
      </c>
      <c r="J5" s="149"/>
      <c r="L5" s="149"/>
      <c r="N5" s="149"/>
      <c r="P5" s="149"/>
      <c r="R5" s="149"/>
      <c r="T5" s="149"/>
      <c r="V5" s="149"/>
    </row>
    <row r="6" spans="2:26">
      <c r="B6" s="493" t="s">
        <v>781</v>
      </c>
      <c r="D6">
        <v>800</v>
      </c>
      <c r="E6">
        <v>1</v>
      </c>
      <c r="F6" s="168">
        <f>+E6*D6</f>
        <v>800</v>
      </c>
      <c r="J6" s="149"/>
      <c r="L6" s="149"/>
      <c r="N6" s="149"/>
      <c r="P6" s="149"/>
      <c r="R6" s="149"/>
      <c r="T6" s="149"/>
      <c r="V6" s="149"/>
    </row>
    <row r="7" spans="2:26">
      <c r="F7" s="168">
        <f>SUM(F4:F6)</f>
        <v>800</v>
      </c>
      <c r="J7" s="223">
        <f>+$F$7</f>
        <v>800</v>
      </c>
      <c r="L7" s="223">
        <f>+$F$7</f>
        <v>800</v>
      </c>
      <c r="N7" s="223">
        <f>+$F$7</f>
        <v>800</v>
      </c>
      <c r="P7" s="223">
        <f>+$F$7</f>
        <v>800</v>
      </c>
      <c r="R7" s="223">
        <f>+$F$7</f>
        <v>800</v>
      </c>
      <c r="T7" s="223">
        <f>+$F$7</f>
        <v>800</v>
      </c>
      <c r="V7" s="223">
        <f>+$F$7</f>
        <v>800</v>
      </c>
      <c r="X7" s="223">
        <f>+$F$7</f>
        <v>800</v>
      </c>
      <c r="Z7" s="223">
        <f>+$F$7</f>
        <v>800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107D9-ACA8-41C4-960C-3A4E7A89A94B}">
  <sheetPr codeName="Hoja24"/>
  <dimension ref="B3:Z4"/>
  <sheetViews>
    <sheetView workbookViewId="0"/>
  </sheetViews>
  <sheetFormatPr baseColWidth="10" defaultColWidth="11.42578125" defaultRowHeight="12.75"/>
  <cols>
    <col min="1" max="1" width="5" customWidth="1"/>
    <col min="2" max="2" width="49.42578125" customWidth="1"/>
    <col min="3" max="3" width="7.42578125" customWidth="1"/>
    <col min="4" max="4" width="11.42578125" customWidth="1"/>
    <col min="5" max="5" width="9" customWidth="1"/>
    <col min="6" max="6" width="10.5703125" customWidth="1"/>
    <col min="7" max="7" width="13.140625" customWidth="1"/>
    <col min="8" max="8" width="13.42578125" customWidth="1"/>
    <col min="9" max="9" width="3.42578125" customWidth="1"/>
    <col min="11" max="11" width="1.85546875" customWidth="1"/>
    <col min="13" max="13" width="1.85546875" customWidth="1"/>
    <col min="15" max="15" width="1.85546875" customWidth="1"/>
    <col min="17" max="17" width="1.85546875" customWidth="1"/>
    <col min="19" max="19" width="1.5703125" customWidth="1"/>
    <col min="21" max="21" width="3.5703125" customWidth="1"/>
    <col min="23" max="23" width="2.140625" customWidth="1"/>
    <col min="25" max="25" width="2.5703125" customWidth="1"/>
  </cols>
  <sheetData>
    <row r="3" spans="2:26">
      <c r="B3" s="21" t="s">
        <v>296</v>
      </c>
      <c r="C3" s="493" t="s">
        <v>291</v>
      </c>
      <c r="D3" s="493" t="s">
        <v>312</v>
      </c>
      <c r="E3" s="493" t="s">
        <v>293</v>
      </c>
      <c r="F3" s="493" t="s">
        <v>295</v>
      </c>
    </row>
    <row r="4" spans="2:26">
      <c r="B4" s="493" t="s">
        <v>782</v>
      </c>
      <c r="C4">
        <v>4</v>
      </c>
      <c r="D4">
        <v>100</v>
      </c>
      <c r="E4">
        <v>2</v>
      </c>
      <c r="F4">
        <f>+C4*D4</f>
        <v>400</v>
      </c>
      <c r="J4">
        <v>0</v>
      </c>
      <c r="Z4">
        <f>+F4</f>
        <v>400</v>
      </c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66904-D159-4F4E-8EB5-7F639F21CBDD}">
  <sheetPr codeName="Hoja25"/>
  <dimension ref="B2:Z3"/>
  <sheetViews>
    <sheetView workbookViewId="0"/>
  </sheetViews>
  <sheetFormatPr baseColWidth="10" defaultColWidth="11.42578125" defaultRowHeight="12.75"/>
  <cols>
    <col min="1" max="1" width="5" customWidth="1"/>
    <col min="2" max="2" width="49.42578125" customWidth="1"/>
    <col min="3" max="3" width="7.42578125" customWidth="1"/>
    <col min="4" max="4" width="11.42578125" customWidth="1"/>
    <col min="5" max="5" width="9" customWidth="1"/>
    <col min="6" max="6" width="10.5703125" customWidth="1"/>
    <col min="7" max="7" width="13.140625" customWidth="1"/>
    <col min="8" max="8" width="13.42578125" customWidth="1"/>
    <col min="9" max="9" width="3.42578125" customWidth="1"/>
    <col min="11" max="11" width="1.85546875" customWidth="1"/>
    <col min="13" max="13" width="1.85546875" customWidth="1"/>
    <col min="15" max="15" width="1.85546875" customWidth="1"/>
    <col min="17" max="17" width="1.85546875" customWidth="1"/>
    <col min="19" max="19" width="1.5703125" customWidth="1"/>
    <col min="21" max="21" width="3.5703125" customWidth="1"/>
    <col min="23" max="23" width="2.140625" customWidth="1"/>
    <col min="25" max="25" width="2.5703125" customWidth="1"/>
  </cols>
  <sheetData>
    <row r="2" spans="2:26">
      <c r="B2" s="21" t="s">
        <v>783</v>
      </c>
    </row>
    <row r="3" spans="2:26">
      <c r="B3" s="493" t="s">
        <v>298</v>
      </c>
      <c r="D3">
        <v>460</v>
      </c>
      <c r="E3">
        <v>1</v>
      </c>
      <c r="F3">
        <f>+E3*D3</f>
        <v>460</v>
      </c>
      <c r="J3">
        <f>+$F$3</f>
        <v>460</v>
      </c>
      <c r="L3">
        <f>+$F$3</f>
        <v>460</v>
      </c>
      <c r="N3">
        <f>+$F$3</f>
        <v>460</v>
      </c>
      <c r="P3">
        <f>+$F$3</f>
        <v>460</v>
      </c>
      <c r="R3">
        <f>+$F$3</f>
        <v>460</v>
      </c>
      <c r="T3">
        <f>+$F$3</f>
        <v>460</v>
      </c>
      <c r="V3">
        <f>+$F$3</f>
        <v>460</v>
      </c>
      <c r="X3">
        <f>+$F$3</f>
        <v>460</v>
      </c>
      <c r="Z3">
        <f>+$F$3</f>
        <v>460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B8A4E-2F80-45DF-91DA-6E18D351FE79}">
  <sheetPr codeName="Hoja26"/>
  <dimension ref="B3:J11"/>
  <sheetViews>
    <sheetView workbookViewId="0"/>
  </sheetViews>
  <sheetFormatPr baseColWidth="10" defaultColWidth="11.42578125" defaultRowHeight="12.75"/>
  <cols>
    <col min="1" max="1" width="5" customWidth="1"/>
    <col min="2" max="2" width="49.42578125" customWidth="1"/>
    <col min="3" max="3" width="7.42578125" customWidth="1"/>
    <col min="4" max="4" width="11.42578125" customWidth="1"/>
    <col min="5" max="5" width="9" customWidth="1"/>
    <col min="6" max="6" width="10.5703125" customWidth="1"/>
    <col min="7" max="7" width="13.140625" customWidth="1"/>
    <col min="8" max="8" width="13.42578125" customWidth="1"/>
    <col min="9" max="9" width="3.42578125" customWidth="1"/>
    <col min="11" max="11" width="1.85546875" customWidth="1"/>
    <col min="13" max="13" width="1.85546875" customWidth="1"/>
    <col min="15" max="15" width="1.85546875" customWidth="1"/>
    <col min="17" max="17" width="1.85546875" customWidth="1"/>
    <col min="19" max="19" width="1.5703125" customWidth="1"/>
    <col min="21" max="21" width="3.5703125" customWidth="1"/>
    <col min="23" max="23" width="2.140625" customWidth="1"/>
    <col min="25" max="25" width="2.5703125" customWidth="1"/>
  </cols>
  <sheetData>
    <row r="3" spans="2:10">
      <c r="B3" s="21" t="s">
        <v>784</v>
      </c>
    </row>
    <row r="4" spans="2:10">
      <c r="B4" s="493" t="s">
        <v>785</v>
      </c>
      <c r="D4" s="149">
        <v>2150</v>
      </c>
      <c r="E4">
        <v>1</v>
      </c>
      <c r="F4" s="149">
        <f>+D4*E4</f>
        <v>2150</v>
      </c>
    </row>
    <row r="5" spans="2:10">
      <c r="B5" s="493" t="s">
        <v>786</v>
      </c>
      <c r="D5" s="149">
        <v>1000</v>
      </c>
      <c r="E5">
        <v>1</v>
      </c>
      <c r="F5" s="149">
        <f>+D5*E5</f>
        <v>1000</v>
      </c>
    </row>
    <row r="6" spans="2:10">
      <c r="B6" s="493" t="s">
        <v>787</v>
      </c>
      <c r="D6" s="149">
        <v>1000</v>
      </c>
      <c r="E6">
        <v>1</v>
      </c>
      <c r="F6" s="149">
        <f>+D6*E6</f>
        <v>1000</v>
      </c>
    </row>
    <row r="7" spans="2:10">
      <c r="B7" s="493" t="s">
        <v>788</v>
      </c>
      <c r="D7" s="149">
        <v>2000</v>
      </c>
      <c r="E7">
        <v>1</v>
      </c>
      <c r="F7" s="149">
        <f>+D7*E7</f>
        <v>2000</v>
      </c>
    </row>
    <row r="8" spans="2:10">
      <c r="B8" s="493" t="s">
        <v>789</v>
      </c>
      <c r="D8" s="149">
        <v>1400</v>
      </c>
      <c r="E8">
        <v>6</v>
      </c>
      <c r="F8" s="149">
        <f>+D8*E8</f>
        <v>8400</v>
      </c>
    </row>
    <row r="9" spans="2:10">
      <c r="D9" s="149"/>
      <c r="F9" s="149">
        <f>SUM(F4:F8)</f>
        <v>14550</v>
      </c>
      <c r="J9" s="149"/>
    </row>
    <row r="11" spans="2:10">
      <c r="E11" s="149"/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27A10-BE6C-4841-9ABB-D3A9DC954DD0}">
  <sheetPr codeName="Hoja27"/>
  <dimension ref="B3:Z17"/>
  <sheetViews>
    <sheetView workbookViewId="0"/>
  </sheetViews>
  <sheetFormatPr baseColWidth="10" defaultColWidth="11.42578125" defaultRowHeight="12.75"/>
  <cols>
    <col min="1" max="1" width="5" customWidth="1"/>
    <col min="2" max="2" width="49.42578125" customWidth="1"/>
    <col min="3" max="3" width="7.42578125" customWidth="1"/>
    <col min="4" max="4" width="11.42578125" customWidth="1"/>
    <col min="5" max="5" width="9" customWidth="1"/>
    <col min="6" max="6" width="10.5703125" customWidth="1"/>
    <col min="7" max="7" width="13.140625" customWidth="1"/>
    <col min="8" max="8" width="13.42578125" customWidth="1"/>
    <col min="9" max="9" width="3.42578125" customWidth="1"/>
    <col min="11" max="11" width="1.85546875" customWidth="1"/>
    <col min="13" max="13" width="1.85546875" customWidth="1"/>
    <col min="15" max="15" width="1.85546875" customWidth="1"/>
    <col min="17" max="17" width="1.85546875" customWidth="1"/>
    <col min="19" max="19" width="1.5703125" customWidth="1"/>
    <col min="21" max="21" width="3.5703125" customWidth="1"/>
    <col min="23" max="23" width="2.140625" customWidth="1"/>
    <col min="25" max="25" width="2.5703125" customWidth="1"/>
  </cols>
  <sheetData>
    <row r="3" spans="2:26">
      <c r="B3" s="21" t="s">
        <v>324</v>
      </c>
    </row>
    <row r="4" spans="2:26">
      <c r="B4" s="493" t="s">
        <v>326</v>
      </c>
      <c r="D4" s="168">
        <v>471.46</v>
      </c>
      <c r="E4">
        <v>16</v>
      </c>
      <c r="F4" s="168">
        <f>+D4/E4</f>
        <v>29.47</v>
      </c>
      <c r="G4">
        <v>16</v>
      </c>
    </row>
    <row r="5" spans="2:26">
      <c r="B5" s="493" t="s">
        <v>327</v>
      </c>
      <c r="D5" s="168" t="e">
        <f>#REF!*0.07*0.06</f>
        <v>#REF!</v>
      </c>
      <c r="E5">
        <v>9</v>
      </c>
      <c r="F5" s="168" t="e">
        <f>+D5/E5</f>
        <v>#REF!</v>
      </c>
    </row>
    <row r="6" spans="2:26">
      <c r="F6" s="168" t="e">
        <f>SUM(F4:F5)</f>
        <v>#REF!</v>
      </c>
      <c r="J6" s="168" t="e">
        <f>+$F$6</f>
        <v>#REF!</v>
      </c>
      <c r="L6" s="168" t="e">
        <f>+$F$6</f>
        <v>#REF!</v>
      </c>
      <c r="N6" s="168" t="e">
        <f>+$F$6</f>
        <v>#REF!</v>
      </c>
      <c r="P6" s="168" t="e">
        <f>+$F$6</f>
        <v>#REF!</v>
      </c>
      <c r="R6" s="168" t="e">
        <f>+$F$6</f>
        <v>#REF!</v>
      </c>
      <c r="T6" s="168" t="e">
        <f>+$F$6</f>
        <v>#REF!</v>
      </c>
      <c r="V6" s="168" t="e">
        <f>+$F$6</f>
        <v>#REF!</v>
      </c>
      <c r="X6" s="168" t="e">
        <f>+$F$6</f>
        <v>#REF!</v>
      </c>
      <c r="Z6" s="168" t="e">
        <f>+$F$6</f>
        <v>#REF!</v>
      </c>
    </row>
    <row r="8" spans="2:26">
      <c r="B8" s="21" t="s">
        <v>332</v>
      </c>
      <c r="E8" s="493" t="s">
        <v>334</v>
      </c>
    </row>
    <row r="9" spans="2:26">
      <c r="B9" s="493" t="s">
        <v>790</v>
      </c>
    </row>
    <row r="10" spans="2:26">
      <c r="B10" s="493" t="s">
        <v>791</v>
      </c>
    </row>
    <row r="11" spans="2:26">
      <c r="B11" s="493" t="s">
        <v>792</v>
      </c>
    </row>
    <row r="12" spans="2:26">
      <c r="B12" s="493" t="s">
        <v>793</v>
      </c>
    </row>
    <row r="14" spans="2:26">
      <c r="E14" s="149">
        <v>25000</v>
      </c>
    </row>
    <row r="15" spans="2:26">
      <c r="E15" s="149"/>
    </row>
    <row r="16" spans="2:26">
      <c r="E16" s="149"/>
    </row>
    <row r="17" spans="2:6">
      <c r="B17" s="493" t="s">
        <v>336</v>
      </c>
      <c r="E17" s="149">
        <v>103000</v>
      </c>
      <c r="F17" s="493" t="s">
        <v>337</v>
      </c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1">
    <tabColor rgb="FFC00000"/>
  </sheetPr>
  <dimension ref="A1:P10"/>
  <sheetViews>
    <sheetView workbookViewId="0"/>
  </sheetViews>
  <sheetFormatPr baseColWidth="10" defaultColWidth="9.140625" defaultRowHeight="12.75"/>
  <cols>
    <col min="1" max="1" width="10" style="51" bestFit="1" customWidth="1"/>
    <col min="2" max="3" width="9.140625" style="51" customWidth="1"/>
    <col min="4" max="4" width="11.42578125" style="51" customWidth="1"/>
    <col min="5" max="5" width="12.140625" style="51" customWidth="1"/>
    <col min="6" max="9" width="9.140625" style="51" customWidth="1"/>
    <col min="10" max="10" width="10" style="51" bestFit="1" customWidth="1"/>
    <col min="11" max="14" width="9.140625" style="51"/>
    <col min="15" max="15" width="13.42578125" style="51" bestFit="1" customWidth="1"/>
    <col min="16" max="16384" width="9.140625" style="51"/>
  </cols>
  <sheetData>
    <row r="1" spans="1:16">
      <c r="A1" s="141"/>
      <c r="B1" s="141" t="s">
        <v>794</v>
      </c>
      <c r="C1" s="141" t="s">
        <v>795</v>
      </c>
      <c r="D1" s="141" t="s">
        <v>438</v>
      </c>
      <c r="E1" s="141" t="s">
        <v>796</v>
      </c>
      <c r="F1" s="141" t="s">
        <v>7</v>
      </c>
      <c r="G1" s="141" t="s">
        <v>439</v>
      </c>
      <c r="H1" s="141" t="s">
        <v>440</v>
      </c>
      <c r="I1" s="141" t="s">
        <v>441</v>
      </c>
      <c r="J1" s="141" t="s">
        <v>797</v>
      </c>
      <c r="K1" s="141" t="s">
        <v>798</v>
      </c>
      <c r="L1" s="141" t="s">
        <v>799</v>
      </c>
      <c r="M1" s="141" t="s">
        <v>800</v>
      </c>
      <c r="N1" s="51" t="s">
        <v>801</v>
      </c>
    </row>
    <row r="2" spans="1:16">
      <c r="A2" s="51" t="s">
        <v>802</v>
      </c>
      <c r="B2" s="464">
        <v>1</v>
      </c>
      <c r="C2" s="464">
        <v>1</v>
      </c>
      <c r="D2" s="464">
        <v>1</v>
      </c>
      <c r="E2" s="464">
        <v>1</v>
      </c>
      <c r="F2" s="464">
        <v>1</v>
      </c>
      <c r="G2" s="464">
        <v>1</v>
      </c>
      <c r="H2" s="464">
        <v>1</v>
      </c>
      <c r="I2" s="464">
        <v>1</v>
      </c>
      <c r="J2" s="464">
        <v>1</v>
      </c>
      <c r="K2" s="464">
        <v>1</v>
      </c>
      <c r="L2" s="464">
        <v>1</v>
      </c>
      <c r="M2" s="464">
        <v>1</v>
      </c>
      <c r="N2" s="194">
        <f>AVERAGE(B2:M2)</f>
        <v>1</v>
      </c>
      <c r="O2" s="158"/>
      <c r="P2" s="464"/>
    </row>
    <row r="3" spans="1:16">
      <c r="A3" s="51" t="s">
        <v>803</v>
      </c>
      <c r="B3" s="464">
        <f>+B2</f>
        <v>1</v>
      </c>
      <c r="C3" s="464">
        <f t="shared" ref="C3:M3" si="0">+C2</f>
        <v>1</v>
      </c>
      <c r="D3" s="464">
        <f t="shared" si="0"/>
        <v>1</v>
      </c>
      <c r="E3" s="464">
        <f t="shared" si="0"/>
        <v>1</v>
      </c>
      <c r="F3" s="464">
        <f t="shared" si="0"/>
        <v>1</v>
      </c>
      <c r="G3" s="464">
        <f t="shared" si="0"/>
        <v>1</v>
      </c>
      <c r="H3" s="464">
        <f t="shared" si="0"/>
        <v>1</v>
      </c>
      <c r="I3" s="464">
        <f t="shared" si="0"/>
        <v>1</v>
      </c>
      <c r="J3" s="464">
        <f t="shared" si="0"/>
        <v>1</v>
      </c>
      <c r="K3" s="464">
        <f t="shared" si="0"/>
        <v>1</v>
      </c>
      <c r="L3" s="464">
        <f t="shared" si="0"/>
        <v>1</v>
      </c>
      <c r="M3" s="464">
        <f t="shared" si="0"/>
        <v>1</v>
      </c>
    </row>
    <row r="5" spans="1:16">
      <c r="C5" s="51">
        <f t="shared" ref="C5:H6" si="1">+C2-B2</f>
        <v>0</v>
      </c>
      <c r="D5" s="51">
        <f t="shared" si="1"/>
        <v>0</v>
      </c>
      <c r="E5" s="51">
        <f t="shared" si="1"/>
        <v>0</v>
      </c>
      <c r="F5" s="51">
        <f t="shared" si="1"/>
        <v>0</v>
      </c>
      <c r="G5" s="51">
        <f t="shared" si="1"/>
        <v>0</v>
      </c>
      <c r="H5" s="51">
        <f t="shared" si="1"/>
        <v>0</v>
      </c>
      <c r="I5" s="51">
        <f t="shared" ref="I5:K6" si="2">+I2-H2</f>
        <v>0</v>
      </c>
      <c r="J5" s="51">
        <f t="shared" si="2"/>
        <v>0</v>
      </c>
      <c r="K5" s="51">
        <f t="shared" si="2"/>
        <v>0</v>
      </c>
      <c r="L5" s="51">
        <f>+L2-K2</f>
        <v>0</v>
      </c>
      <c r="M5" s="51">
        <f>+M2-L2</f>
        <v>0</v>
      </c>
    </row>
    <row r="6" spans="1:16">
      <c r="C6" s="51">
        <f t="shared" si="1"/>
        <v>0</v>
      </c>
      <c r="D6" s="51">
        <f t="shared" si="1"/>
        <v>0</v>
      </c>
      <c r="E6" s="51">
        <f t="shared" si="1"/>
        <v>0</v>
      </c>
      <c r="F6" s="51">
        <f t="shared" si="1"/>
        <v>0</v>
      </c>
      <c r="G6" s="51">
        <f t="shared" si="1"/>
        <v>0</v>
      </c>
      <c r="H6" s="51">
        <f t="shared" si="1"/>
        <v>0</v>
      </c>
      <c r="I6" s="51">
        <f t="shared" si="2"/>
        <v>0</v>
      </c>
      <c r="J6" s="51">
        <f t="shared" si="2"/>
        <v>0</v>
      </c>
      <c r="K6" s="51">
        <f t="shared" si="2"/>
        <v>0</v>
      </c>
      <c r="L6" s="51">
        <f>+L3-K3</f>
        <v>0</v>
      </c>
      <c r="M6" s="51">
        <f>+M3-L3</f>
        <v>0</v>
      </c>
    </row>
    <row r="7" spans="1:16">
      <c r="B7" s="51">
        <f>+B3-B2</f>
        <v>0</v>
      </c>
      <c r="C7" s="51">
        <f t="shared" ref="C7:M7" si="3">+C3-C2</f>
        <v>0</v>
      </c>
      <c r="D7" s="51">
        <f t="shared" si="3"/>
        <v>0</v>
      </c>
      <c r="E7" s="51">
        <f t="shared" si="3"/>
        <v>0</v>
      </c>
      <c r="F7" s="51">
        <f t="shared" si="3"/>
        <v>0</v>
      </c>
      <c r="G7" s="51">
        <f t="shared" si="3"/>
        <v>0</v>
      </c>
      <c r="H7" s="51">
        <f t="shared" si="3"/>
        <v>0</v>
      </c>
      <c r="I7" s="51">
        <f t="shared" si="3"/>
        <v>0</v>
      </c>
      <c r="J7" s="51">
        <f t="shared" si="3"/>
        <v>0</v>
      </c>
      <c r="K7" s="51">
        <f t="shared" si="3"/>
        <v>0</v>
      </c>
      <c r="L7" s="51">
        <f t="shared" si="3"/>
        <v>0</v>
      </c>
      <c r="M7" s="51">
        <f t="shared" si="3"/>
        <v>0</v>
      </c>
    </row>
    <row r="10" spans="1:16">
      <c r="D10" s="158"/>
    </row>
  </sheetData>
  <phoneticPr fontId="29" type="noConversion"/>
  <pageMargins left="0.75" right="0.75" top="1" bottom="1" header="0.5" footer="0.5"/>
  <pageSetup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2">
    <tabColor theme="1"/>
    <pageSetUpPr fitToPage="1"/>
  </sheetPr>
  <dimension ref="A1:AE119"/>
  <sheetViews>
    <sheetView workbookViewId="0"/>
  </sheetViews>
  <sheetFormatPr baseColWidth="10" defaultColWidth="9.140625" defaultRowHeight="12.75"/>
  <cols>
    <col min="1" max="1" width="39.140625" bestFit="1" customWidth="1"/>
    <col min="2" max="2" width="9.42578125" bestFit="1" customWidth="1"/>
    <col min="3" max="3" width="10" bestFit="1" customWidth="1"/>
    <col min="4" max="4" width="10.42578125" customWidth="1"/>
    <col min="5" max="5" width="10.42578125" bestFit="1" customWidth="1"/>
    <col min="6" max="6" width="10" bestFit="1" customWidth="1"/>
    <col min="7" max="7" width="10.42578125" bestFit="1" customWidth="1"/>
    <col min="8" max="8" width="10" bestFit="1" customWidth="1"/>
    <col min="9" max="9" width="10.42578125" bestFit="1" customWidth="1"/>
    <col min="10" max="10" width="10.42578125" customWidth="1"/>
    <col min="11" max="13" width="10.42578125" bestFit="1" customWidth="1"/>
    <col min="14" max="14" width="11.42578125" style="8" bestFit="1" customWidth="1"/>
    <col min="15" max="15" width="13.42578125" style="2" bestFit="1" customWidth="1"/>
    <col min="16" max="16" width="12.42578125" style="30" customWidth="1"/>
    <col min="19" max="30" width="12.42578125" bestFit="1" customWidth="1"/>
    <col min="31" max="31" width="14" style="8" bestFit="1" customWidth="1"/>
  </cols>
  <sheetData>
    <row r="1" spans="1:31" ht="15.75">
      <c r="A1" s="11" t="s">
        <v>804</v>
      </c>
      <c r="D1" s="136"/>
      <c r="U1" s="136"/>
    </row>
    <row r="2" spans="1:31" s="4" customFormat="1" ht="15.75">
      <c r="A2" s="11" t="s">
        <v>805</v>
      </c>
      <c r="B2"/>
      <c r="C2"/>
      <c r="D2"/>
      <c r="E2"/>
      <c r="F2"/>
      <c r="G2"/>
      <c r="H2"/>
      <c r="I2"/>
      <c r="J2"/>
      <c r="K2"/>
      <c r="L2"/>
      <c r="M2"/>
      <c r="N2" s="8"/>
      <c r="O2" s="5"/>
      <c r="P2" s="31"/>
      <c r="S2"/>
      <c r="T2"/>
      <c r="U2"/>
      <c r="V2"/>
      <c r="W2"/>
      <c r="X2"/>
      <c r="Y2"/>
      <c r="Z2"/>
      <c r="AA2"/>
      <c r="AB2"/>
      <c r="AC2"/>
      <c r="AD2"/>
      <c r="AE2" s="8"/>
    </row>
    <row r="3" spans="1:31" ht="15.75">
      <c r="A3" s="18" t="s">
        <v>589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157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157"/>
    </row>
    <row r="4" spans="1:31">
      <c r="B4" s="21">
        <v>2023</v>
      </c>
      <c r="C4" s="21">
        <f t="shared" ref="C4:N4" si="0">+B4</f>
        <v>2023</v>
      </c>
      <c r="D4" s="21">
        <f t="shared" si="0"/>
        <v>2023</v>
      </c>
      <c r="E4" s="21">
        <f t="shared" si="0"/>
        <v>2023</v>
      </c>
      <c r="F4" s="21">
        <f t="shared" si="0"/>
        <v>2023</v>
      </c>
      <c r="G4" s="21">
        <f t="shared" si="0"/>
        <v>2023</v>
      </c>
      <c r="H4" s="21">
        <f t="shared" si="0"/>
        <v>2023</v>
      </c>
      <c r="I4" s="21">
        <f t="shared" si="0"/>
        <v>2023</v>
      </c>
      <c r="J4" s="21">
        <f t="shared" si="0"/>
        <v>2023</v>
      </c>
      <c r="K4" s="21">
        <f t="shared" si="0"/>
        <v>2023</v>
      </c>
      <c r="L4" s="21">
        <f t="shared" si="0"/>
        <v>2023</v>
      </c>
      <c r="M4" s="21">
        <f t="shared" si="0"/>
        <v>2023</v>
      </c>
      <c r="N4" s="21">
        <f t="shared" si="0"/>
        <v>2023</v>
      </c>
      <c r="S4" s="21">
        <v>2023</v>
      </c>
      <c r="T4" s="21">
        <f t="shared" ref="T4:AE4" si="1">+S4</f>
        <v>2023</v>
      </c>
      <c r="U4" s="21">
        <f t="shared" si="1"/>
        <v>2023</v>
      </c>
      <c r="V4" s="21">
        <f t="shared" si="1"/>
        <v>2023</v>
      </c>
      <c r="W4" s="21">
        <f t="shared" si="1"/>
        <v>2023</v>
      </c>
      <c r="X4" s="21">
        <f t="shared" si="1"/>
        <v>2023</v>
      </c>
      <c r="Y4" s="21">
        <f t="shared" si="1"/>
        <v>2023</v>
      </c>
      <c r="Z4" s="21">
        <f t="shared" si="1"/>
        <v>2023</v>
      </c>
      <c r="AA4" s="21">
        <f t="shared" si="1"/>
        <v>2023</v>
      </c>
      <c r="AB4" s="21">
        <f t="shared" si="1"/>
        <v>2023</v>
      </c>
      <c r="AC4" s="21">
        <f t="shared" si="1"/>
        <v>2023</v>
      </c>
      <c r="AD4" s="21">
        <f t="shared" si="1"/>
        <v>2023</v>
      </c>
      <c r="AE4" s="21">
        <f t="shared" si="1"/>
        <v>2023</v>
      </c>
    </row>
    <row r="5" spans="1:31" ht="15.75">
      <c r="A5" s="18" t="s">
        <v>2</v>
      </c>
      <c r="B5" s="21" t="s">
        <v>3</v>
      </c>
      <c r="C5" s="21" t="s">
        <v>4</v>
      </c>
      <c r="D5" s="21" t="s">
        <v>5</v>
      </c>
      <c r="E5" s="21" t="s">
        <v>6</v>
      </c>
      <c r="F5" s="21" t="s">
        <v>7</v>
      </c>
      <c r="G5" s="21" t="s">
        <v>8</v>
      </c>
      <c r="H5" s="21" t="s">
        <v>9</v>
      </c>
      <c r="I5" s="21" t="s">
        <v>10</v>
      </c>
      <c r="J5" s="21" t="s">
        <v>11</v>
      </c>
      <c r="K5" s="21" t="s">
        <v>12</v>
      </c>
      <c r="L5" s="21" t="s">
        <v>13</v>
      </c>
      <c r="M5" s="21" t="s">
        <v>14</v>
      </c>
      <c r="N5" s="21" t="s">
        <v>51</v>
      </c>
      <c r="S5" s="21" t="s">
        <v>3</v>
      </c>
      <c r="T5" s="21" t="s">
        <v>4</v>
      </c>
      <c r="U5" s="21" t="s">
        <v>5</v>
      </c>
      <c r="V5" s="21" t="s">
        <v>6</v>
      </c>
      <c r="W5" s="21" t="s">
        <v>7</v>
      </c>
      <c r="X5" s="21" t="s">
        <v>8</v>
      </c>
      <c r="Y5" s="21" t="s">
        <v>9</v>
      </c>
      <c r="Z5" s="21" t="s">
        <v>10</v>
      </c>
      <c r="AA5" s="21" t="s">
        <v>11</v>
      </c>
      <c r="AB5" s="21" t="s">
        <v>12</v>
      </c>
      <c r="AC5" s="21" t="s">
        <v>13</v>
      </c>
      <c r="AD5" s="21" t="s">
        <v>14</v>
      </c>
      <c r="AE5" s="21" t="s">
        <v>51</v>
      </c>
    </row>
    <row r="6" spans="1:31">
      <c r="A6" s="6" t="s">
        <v>376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O6"/>
      <c r="P6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</row>
    <row r="7" spans="1:31">
      <c r="A7" s="757" t="s">
        <v>590</v>
      </c>
      <c r="B7" s="123">
        <f>+'MLS24-Budget'!B7</f>
        <v>1137014</v>
      </c>
      <c r="C7" s="123">
        <f>+'MLS24-Budget'!C7</f>
        <v>890786</v>
      </c>
      <c r="D7" s="123">
        <f>+'MLS24-Budget'!D7</f>
        <v>622274</v>
      </c>
      <c r="E7" s="123">
        <f>+'MLS24-Budget'!E7</f>
        <v>688718</v>
      </c>
      <c r="F7" s="123">
        <f>+'MLS24-Budget'!F7</f>
        <v>598972</v>
      </c>
      <c r="G7" s="123">
        <f>+'MLS24-Budget'!G7</f>
        <v>946606</v>
      </c>
      <c r="H7" s="123">
        <f>+'MLS24-Budget'!H7</f>
        <v>914804</v>
      </c>
      <c r="I7" s="123">
        <f>+'MLS24-Budget'!I7</f>
        <v>892667</v>
      </c>
      <c r="J7" s="123">
        <f>+'MLS24-Budget'!J7</f>
        <v>974232</v>
      </c>
      <c r="K7" s="123">
        <f>+'MLS24-Budget'!K7</f>
        <v>808268</v>
      </c>
      <c r="L7" s="123">
        <f>+'MLS24-Budget'!L7</f>
        <v>708326</v>
      </c>
      <c r="M7" s="123">
        <f>+'MLS24-Budget'!M7</f>
        <v>779711</v>
      </c>
      <c r="N7" s="123">
        <f>SUM(B7,C7,D7,E7,F7,G7,H7,I7,J7,K7,L7,M7)</f>
        <v>9962378</v>
      </c>
      <c r="O7"/>
      <c r="P7"/>
      <c r="S7" s="123">
        <f>+'MLS24-Budget'!S7</f>
        <v>5266876364</v>
      </c>
      <c r="T7" s="123">
        <f>+'MLS24-Budget'!T7</f>
        <v>4283024049</v>
      </c>
      <c r="U7" s="123">
        <f>+'MLS24-Budget'!U7</f>
        <v>2879428080</v>
      </c>
      <c r="V7" s="123">
        <f>+'MLS24-Budget'!V7</f>
        <v>3443591722</v>
      </c>
      <c r="W7" s="123">
        <f>+'MLS24-Budget'!W7</f>
        <v>2994857735</v>
      </c>
      <c r="X7" s="123">
        <f>+'MLS24-Budget'!X7</f>
        <v>4733028036</v>
      </c>
      <c r="Y7" s="123">
        <f>+'MLS24-Budget'!Y7</f>
        <v>4756978331</v>
      </c>
      <c r="Z7" s="123">
        <f>+'MLS24-Budget'!Z7</f>
        <v>4641870482</v>
      </c>
      <c r="AA7" s="123">
        <f>+'MLS24-Budget'!AA7</f>
        <v>5066003833</v>
      </c>
      <c r="AB7" s="123">
        <f>+'MLS24-Budget'!AB7</f>
        <v>4364645064</v>
      </c>
      <c r="AC7" s="123">
        <f>+'MLS24-Budget'!AC7</f>
        <v>3824957920</v>
      </c>
      <c r="AD7" s="123">
        <f>+'MLS24-Budget'!AD7</f>
        <v>4210437213</v>
      </c>
      <c r="AE7" s="123">
        <f>SUM(S7,T7,U7,V7,W7,X7,Y7,Z7,AA7,AB7,AC7,AD7)</f>
        <v>50465698829</v>
      </c>
    </row>
    <row r="8" spans="1:31">
      <c r="A8" s="757" t="s">
        <v>591</v>
      </c>
      <c r="B8" s="123">
        <f>+'MLS24-Budget'!B8</f>
        <v>0</v>
      </c>
      <c r="C8" s="123">
        <f>+'MLS24-Budget'!C8</f>
        <v>0</v>
      </c>
      <c r="D8" s="123">
        <f>+'MLS24-Budget'!D8</f>
        <v>0</v>
      </c>
      <c r="E8" s="123">
        <f>+'MLS24-Budget'!E8</f>
        <v>0</v>
      </c>
      <c r="F8" s="123">
        <f>+'MLS24-Budget'!F8</f>
        <v>0</v>
      </c>
      <c r="G8" s="123">
        <f>+'MLS24-Budget'!G8</f>
        <v>0</v>
      </c>
      <c r="H8" s="123">
        <f>+'MLS24-Budget'!H8</f>
        <v>0</v>
      </c>
      <c r="I8" s="123">
        <f>+'MLS24-Budget'!I8</f>
        <v>0</v>
      </c>
      <c r="J8" s="123">
        <f>+'MLS24-Budget'!J8</f>
        <v>0</v>
      </c>
      <c r="K8" s="123">
        <f>+'MLS24-Budget'!K8</f>
        <v>0</v>
      </c>
      <c r="L8" s="123">
        <f>+'MLS24-Budget'!L8</f>
        <v>0</v>
      </c>
      <c r="M8" s="123">
        <f>+'MLS24-Budget'!M8</f>
        <v>0</v>
      </c>
      <c r="N8" s="123">
        <f>SUM(B8,C8,D8,E8,F8,G8,H8,I8,J8,K8,L8,M8)</f>
        <v>0</v>
      </c>
      <c r="O8"/>
      <c r="P8"/>
      <c r="S8" s="123">
        <f>+'MLS24-Budget'!S8</f>
        <v>0</v>
      </c>
      <c r="T8" s="123">
        <f>+'MLS24-Budget'!T8</f>
        <v>0</v>
      </c>
      <c r="U8" s="123">
        <f>+'MLS24-Budget'!U8</f>
        <v>0</v>
      </c>
      <c r="V8" s="123">
        <f>+'MLS24-Budget'!V8</f>
        <v>0</v>
      </c>
      <c r="W8" s="123">
        <f>+'MLS24-Budget'!W8</f>
        <v>0</v>
      </c>
      <c r="X8" s="123">
        <f>+'MLS24-Budget'!X8</f>
        <v>0</v>
      </c>
      <c r="Y8" s="123">
        <f>+'MLS24-Budget'!Y8</f>
        <v>0</v>
      </c>
      <c r="Z8" s="123">
        <f>+'MLS24-Budget'!Z8</f>
        <v>0</v>
      </c>
      <c r="AA8" s="123">
        <f>+'MLS24-Budget'!AA8</f>
        <v>0</v>
      </c>
      <c r="AB8" s="123">
        <f>+'MLS24-Budget'!AB8</f>
        <v>0</v>
      </c>
      <c r="AC8" s="123">
        <f>+'MLS24-Budget'!AC8</f>
        <v>0</v>
      </c>
      <c r="AD8" s="123">
        <f>+'MLS24-Budget'!AD8</f>
        <v>0</v>
      </c>
      <c r="AE8" s="123">
        <f>SUM(S8,T8,U8,V8,W8,X8,Y8,Z8,AA8,AB8,AC8,AD8)</f>
        <v>0</v>
      </c>
    </row>
    <row r="9" spans="1:31">
      <c r="A9" s="757" t="s">
        <v>378</v>
      </c>
      <c r="B9" s="123">
        <f>+'MLS24-Budget'!B9</f>
        <v>0</v>
      </c>
      <c r="C9" s="123">
        <f>+'MLS24-Budget'!C9</f>
        <v>0</v>
      </c>
      <c r="D9" s="123">
        <f>+'MLS24-Budget'!D9</f>
        <v>0</v>
      </c>
      <c r="E9" s="123">
        <f>+'MLS24-Budget'!E9</f>
        <v>0</v>
      </c>
      <c r="F9" s="123">
        <f>+'MLS24-Budget'!F9</f>
        <v>0</v>
      </c>
      <c r="G9" s="123">
        <f>+'MLS24-Budget'!G9</f>
        <v>0</v>
      </c>
      <c r="H9" s="123">
        <f>+'MLS24-Budget'!H9</f>
        <v>0</v>
      </c>
      <c r="I9" s="123">
        <f>+'MLS24-Budget'!I9</f>
        <v>0</v>
      </c>
      <c r="J9" s="123">
        <f>+'MLS24-Budget'!J9</f>
        <v>0</v>
      </c>
      <c r="K9" s="123">
        <f>+'MLS24-Budget'!K9</f>
        <v>0</v>
      </c>
      <c r="L9" s="123">
        <f>+'MLS24-Budget'!L9</f>
        <v>0</v>
      </c>
      <c r="M9" s="123">
        <f>+'MLS24-Budget'!M9</f>
        <v>0</v>
      </c>
      <c r="N9" s="123">
        <f>SUM(B9,C9,D9,E9,F9,G9,H9,I9,J9,K9,L9,M9)</f>
        <v>0</v>
      </c>
      <c r="O9"/>
      <c r="P9"/>
      <c r="S9" s="123">
        <f>+'MLS24-Budget'!S9</f>
        <v>0</v>
      </c>
      <c r="T9" s="123">
        <f>+'MLS24-Budget'!T9</f>
        <v>0</v>
      </c>
      <c r="U9" s="123">
        <f>+'MLS24-Budget'!U9</f>
        <v>0</v>
      </c>
      <c r="V9" s="123">
        <f>+'MLS24-Budget'!V9</f>
        <v>0</v>
      </c>
      <c r="W9" s="123">
        <f>+'MLS24-Budget'!W9</f>
        <v>0</v>
      </c>
      <c r="X9" s="123">
        <f>+'MLS24-Budget'!X9</f>
        <v>0</v>
      </c>
      <c r="Y9" s="123">
        <f>+'MLS24-Budget'!Y9</f>
        <v>0</v>
      </c>
      <c r="Z9" s="123">
        <f>+'MLS24-Budget'!Z9</f>
        <v>0</v>
      </c>
      <c r="AA9" s="123">
        <f>+'MLS24-Budget'!AA9</f>
        <v>0</v>
      </c>
      <c r="AB9" s="123">
        <f>+'MLS24-Budget'!AB9</f>
        <v>0</v>
      </c>
      <c r="AC9" s="123">
        <f>+'MLS24-Budget'!AC9</f>
        <v>0</v>
      </c>
      <c r="AD9" s="123">
        <f>+'MLS24-Budget'!AD9</f>
        <v>0</v>
      </c>
      <c r="AE9" s="123">
        <f>SUM(S9,T9,U9,V9,W9,X9,Y9,Z9,AA9,AB9,AC9,AD9)</f>
        <v>0</v>
      </c>
    </row>
    <row r="10" spans="1:31">
      <c r="A10" s="757" t="s">
        <v>592</v>
      </c>
      <c r="B10" s="123">
        <f>+'MLS24-Budget'!B10</f>
        <v>0</v>
      </c>
      <c r="C10" s="123">
        <f>+'MLS24-Budget'!C10</f>
        <v>0</v>
      </c>
      <c r="D10" s="123">
        <f>+'MLS24-Budget'!D10</f>
        <v>0</v>
      </c>
      <c r="E10" s="123">
        <f>+'MLS24-Budget'!E10</f>
        <v>0</v>
      </c>
      <c r="F10" s="123">
        <f>+'MLS24-Budget'!F10</f>
        <v>0</v>
      </c>
      <c r="G10" s="123">
        <f>+'MLS24-Budget'!G10</f>
        <v>0</v>
      </c>
      <c r="H10" s="123">
        <f>+'MLS24-Budget'!H10</f>
        <v>0</v>
      </c>
      <c r="I10" s="123">
        <f>+'MLS24-Budget'!I10</f>
        <v>0</v>
      </c>
      <c r="J10" s="123">
        <f>+'MLS24-Budget'!J10</f>
        <v>0</v>
      </c>
      <c r="K10" s="123">
        <f>+'MLS24-Budget'!K10</f>
        <v>0</v>
      </c>
      <c r="L10" s="123">
        <f>+'MLS24-Budget'!L10</f>
        <v>0</v>
      </c>
      <c r="M10" s="123">
        <f>+'MLS24-Budget'!M10</f>
        <v>0</v>
      </c>
      <c r="N10" s="123">
        <f>SUM(B10,C10,D10,E10,F10,G10,H10,I10,J10,K10,L10,M10)</f>
        <v>0</v>
      </c>
      <c r="O10"/>
      <c r="P10"/>
      <c r="S10" s="123">
        <f>+'MLS24-Budget'!S10</f>
        <v>0</v>
      </c>
      <c r="T10" s="123">
        <f>+'MLS24-Budget'!T10</f>
        <v>0</v>
      </c>
      <c r="U10" s="123">
        <f>+'MLS24-Budget'!U10</f>
        <v>0</v>
      </c>
      <c r="V10" s="123">
        <f>+'MLS24-Budget'!V10</f>
        <v>0</v>
      </c>
      <c r="W10" s="123">
        <f>+'MLS24-Budget'!W10</f>
        <v>0</v>
      </c>
      <c r="X10" s="123">
        <f>+'MLS24-Budget'!X10</f>
        <v>0</v>
      </c>
      <c r="Y10" s="123">
        <f>+'MLS24-Budget'!Y10</f>
        <v>0</v>
      </c>
      <c r="Z10" s="123">
        <f>+'MLS24-Budget'!Z10</f>
        <v>0</v>
      </c>
      <c r="AA10" s="123">
        <f>+'MLS24-Budget'!AA10</f>
        <v>0</v>
      </c>
      <c r="AB10" s="123">
        <f>+'MLS24-Budget'!AB10</f>
        <v>0</v>
      </c>
      <c r="AC10" s="123">
        <f>+'MLS24-Budget'!AC10</f>
        <v>0</v>
      </c>
      <c r="AD10" s="123">
        <f>+'MLS24-Budget'!AD10</f>
        <v>0</v>
      </c>
      <c r="AE10" s="123">
        <f>SUM(S10,T10,U10,V10,W10,X10,Y10,Z10,AA10,AB10,AC10,AD10)</f>
        <v>0</v>
      </c>
    </row>
    <row r="11" spans="1:31" s="35" customFormat="1">
      <c r="A11" s="32" t="s">
        <v>380</v>
      </c>
      <c r="B11" s="123">
        <f>+'MLS24-Budget'!B11</f>
        <v>0</v>
      </c>
      <c r="C11" s="123">
        <f>+'MLS24-Budget'!C11</f>
        <v>0</v>
      </c>
      <c r="D11" s="123">
        <f>+'MLS24-Budget'!D11</f>
        <v>41855</v>
      </c>
      <c r="E11" s="123">
        <f>+'MLS24-Budget'!E11</f>
        <v>0</v>
      </c>
      <c r="F11" s="123">
        <f>+'MLS24-Budget'!F11</f>
        <v>0</v>
      </c>
      <c r="G11" s="123">
        <f>+'MLS24-Budget'!G11</f>
        <v>0</v>
      </c>
      <c r="H11" s="123">
        <f>+'MLS24-Budget'!H11</f>
        <v>0</v>
      </c>
      <c r="I11" s="123">
        <f>+'MLS24-Budget'!I11</f>
        <v>0</v>
      </c>
      <c r="J11" s="123">
        <f>+'MLS24-Budget'!J11</f>
        <v>0</v>
      </c>
      <c r="K11" s="123">
        <f>+'MLS24-Budget'!K11</f>
        <v>0</v>
      </c>
      <c r="L11" s="123">
        <f>+'MLS24-Budget'!L11</f>
        <v>0</v>
      </c>
      <c r="M11" s="123">
        <f>+'MLS24-Budget'!M11</f>
        <v>0</v>
      </c>
      <c r="N11" s="123">
        <f>SUM(B11,C11,D11,E11,F11,G11,H11,I11,J11,K11,L11,M11)</f>
        <v>41855</v>
      </c>
      <c r="S11" s="123">
        <f>+'MLS24-Budget'!S11</f>
        <v>0</v>
      </c>
      <c r="T11" s="123">
        <f>+'MLS24-Budget'!T11</f>
        <v>0</v>
      </c>
      <c r="U11" s="123">
        <f>+'MLS24-Budget'!U11</f>
        <v>193673635</v>
      </c>
      <c r="V11" s="123">
        <f>+'MLS24-Budget'!V11</f>
        <v>0</v>
      </c>
      <c r="W11" s="123">
        <f>+'MLS24-Budget'!W11</f>
        <v>0</v>
      </c>
      <c r="X11" s="123">
        <f>+'MLS24-Budget'!X11</f>
        <v>0</v>
      </c>
      <c r="Y11" s="123">
        <f>+'MLS24-Budget'!Y11</f>
        <v>0</v>
      </c>
      <c r="Z11" s="123">
        <f>+'MLS24-Budget'!Z11</f>
        <v>0</v>
      </c>
      <c r="AA11" s="123">
        <f>+'MLS24-Budget'!AA11</f>
        <v>0</v>
      </c>
      <c r="AB11" s="123">
        <f>+'MLS24-Budget'!AB11</f>
        <v>0</v>
      </c>
      <c r="AC11" s="123">
        <f>+'MLS24-Budget'!AC11</f>
        <v>0</v>
      </c>
      <c r="AD11" s="123">
        <f>+'MLS24-Budget'!AD11</f>
        <v>0</v>
      </c>
      <c r="AE11" s="123">
        <f>SUM(S11,T11,U11,V11,W11,X11,Y11,Z11,AA11,AB11,AC11,AD11)</f>
        <v>193673635</v>
      </c>
    </row>
    <row r="12" spans="1:31">
      <c r="A12" s="757" t="s">
        <v>59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15"/>
      <c r="O12"/>
      <c r="P12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15"/>
    </row>
    <row r="13" spans="1:31" s="1" customFormat="1" ht="13.5" thickBot="1">
      <c r="A13" s="6" t="s">
        <v>381</v>
      </c>
      <c r="B13" s="38">
        <f>SUM(B7:B12)</f>
        <v>1137014</v>
      </c>
      <c r="C13" s="38">
        <f t="shared" ref="C13:M13" si="2">SUM(C7:C12)</f>
        <v>890786</v>
      </c>
      <c r="D13" s="38">
        <f t="shared" si="2"/>
        <v>664129</v>
      </c>
      <c r="E13" s="38">
        <f t="shared" si="2"/>
        <v>688718</v>
      </c>
      <c r="F13" s="38">
        <f t="shared" si="2"/>
        <v>598972</v>
      </c>
      <c r="G13" s="38">
        <f t="shared" si="2"/>
        <v>946606</v>
      </c>
      <c r="H13" s="38">
        <f t="shared" si="2"/>
        <v>914804</v>
      </c>
      <c r="I13" s="38">
        <f t="shared" si="2"/>
        <v>892667</v>
      </c>
      <c r="J13" s="38">
        <f t="shared" si="2"/>
        <v>974232</v>
      </c>
      <c r="K13" s="38">
        <f t="shared" si="2"/>
        <v>808268</v>
      </c>
      <c r="L13" s="38">
        <f t="shared" si="2"/>
        <v>708326</v>
      </c>
      <c r="M13" s="38">
        <f t="shared" si="2"/>
        <v>779711</v>
      </c>
      <c r="N13" s="16">
        <f>SUM(N7:N11)</f>
        <v>10004233</v>
      </c>
      <c r="S13" s="38">
        <f>SUM(S7:S12)</f>
        <v>5266876364</v>
      </c>
      <c r="T13" s="38">
        <f t="shared" ref="T13:AD13" si="3">SUM(T7:T12)</f>
        <v>4283024049</v>
      </c>
      <c r="U13" s="38">
        <f t="shared" si="3"/>
        <v>3073101715</v>
      </c>
      <c r="V13" s="38">
        <f t="shared" si="3"/>
        <v>3443591722</v>
      </c>
      <c r="W13" s="38">
        <f t="shared" si="3"/>
        <v>2994857735</v>
      </c>
      <c r="X13" s="38">
        <f t="shared" si="3"/>
        <v>4733028036</v>
      </c>
      <c r="Y13" s="38">
        <f t="shared" si="3"/>
        <v>4756978331</v>
      </c>
      <c r="Z13" s="38">
        <f t="shared" si="3"/>
        <v>4641870482</v>
      </c>
      <c r="AA13" s="38">
        <f t="shared" si="3"/>
        <v>5066003833</v>
      </c>
      <c r="AB13" s="38">
        <f t="shared" si="3"/>
        <v>4364645064</v>
      </c>
      <c r="AC13" s="38">
        <f t="shared" si="3"/>
        <v>3824957920</v>
      </c>
      <c r="AD13" s="38">
        <f t="shared" si="3"/>
        <v>4210437213</v>
      </c>
      <c r="AE13" s="16">
        <f>SUM(AE7:AE11)</f>
        <v>50659372464</v>
      </c>
    </row>
    <row r="14" spans="1:31" ht="13.5" thickTop="1">
      <c r="A14" s="757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15"/>
      <c r="O14"/>
      <c r="P14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5"/>
    </row>
    <row r="15" spans="1:31">
      <c r="A15" s="6" t="s">
        <v>382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15"/>
      <c r="O15"/>
      <c r="P15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15"/>
    </row>
    <row r="16" spans="1:31">
      <c r="A16" s="757" t="s">
        <v>266</v>
      </c>
      <c r="B16" s="123">
        <f>+'MLS24-Budget'!B16</f>
        <v>162958</v>
      </c>
      <c r="C16" s="123">
        <f>+'MLS24-Budget'!C16</f>
        <v>153297</v>
      </c>
      <c r="D16" s="123">
        <f>+'MLS24-Budget'!D16</f>
        <v>130995</v>
      </c>
      <c r="E16" s="123">
        <f>+'MLS24-Budget'!E16</f>
        <v>142340</v>
      </c>
      <c r="F16" s="123">
        <f>+'MLS24-Budget'!F16</f>
        <v>130591</v>
      </c>
      <c r="G16" s="123">
        <f>+'MLS24-Budget'!G16</f>
        <v>167377</v>
      </c>
      <c r="H16" s="123">
        <f>+'MLS24-Budget'!H16</f>
        <v>171193</v>
      </c>
      <c r="I16" s="123">
        <f>+'MLS24-Budget'!I16</f>
        <v>164066</v>
      </c>
      <c r="J16" s="123">
        <f>+'MLS24-Budget'!J16</f>
        <v>164636</v>
      </c>
      <c r="K16" s="123">
        <f>+'MLS24-Budget'!K16</f>
        <v>147371</v>
      </c>
      <c r="L16" s="123">
        <f>+'MLS24-Budget'!L16</f>
        <v>138917</v>
      </c>
      <c r="M16" s="123">
        <f>+'MLS24-Budget'!M16</f>
        <v>144847</v>
      </c>
      <c r="N16" s="123">
        <f t="shared" ref="N16:N47" si="4">SUM(B16,C16,D16,E16,F16,G16,H16,I16,J16,K16,L16,M16)</f>
        <v>1818588</v>
      </c>
      <c r="O16"/>
      <c r="P16"/>
      <c r="S16" s="123">
        <f>+'MLS24-Budget'!S16</f>
        <v>754855181</v>
      </c>
      <c r="T16" s="123">
        <f>+'MLS24-Budget'!T16</f>
        <v>737074033</v>
      </c>
      <c r="U16" s="123">
        <f>+'MLS24-Budget'!U16</f>
        <v>606150126</v>
      </c>
      <c r="V16" s="123">
        <f>+'MLS24-Budget'!V16</f>
        <v>711698359</v>
      </c>
      <c r="W16" s="123">
        <f>+'MLS24-Budget'!W16</f>
        <v>652953180</v>
      </c>
      <c r="X16" s="123">
        <f>+'MLS24-Budget'!X16</f>
        <v>836886640</v>
      </c>
      <c r="Y16" s="123">
        <f>+'MLS24-Budget'!Y16</f>
        <v>890201584</v>
      </c>
      <c r="Z16" s="123">
        <f>+'MLS24-Budget'!Z16</f>
        <v>853143254</v>
      </c>
      <c r="AA16" s="123">
        <f>+'MLS24-Budget'!AA16</f>
        <v>856105912</v>
      </c>
      <c r="AB16" s="123">
        <f>+'MLS24-Budget'!AB16</f>
        <v>795801202</v>
      </c>
      <c r="AC16" s="123">
        <f>+'MLS24-Budget'!AC16</f>
        <v>750152027</v>
      </c>
      <c r="AD16" s="123">
        <f>+'MLS24-Budget'!AD16</f>
        <v>782171142</v>
      </c>
      <c r="AE16" s="123">
        <f t="shared" ref="AE16:AE47" si="5">SUM(S16,T16,U16,V16,W16,X16,Y16,Z16,AA16,AB16,AC16,AD16)</f>
        <v>9227192640</v>
      </c>
    </row>
    <row r="17" spans="1:31">
      <c r="A17" s="757" t="s">
        <v>268</v>
      </c>
      <c r="B17" s="123">
        <f>+'MLS24-Budget'!B17</f>
        <v>111689</v>
      </c>
      <c r="C17" s="123">
        <f>+'MLS24-Budget'!C17</f>
        <v>99410</v>
      </c>
      <c r="D17" s="123">
        <f>+'MLS24-Budget'!D17</f>
        <v>89082</v>
      </c>
      <c r="E17" s="123">
        <f>+'MLS24-Budget'!E17</f>
        <v>95352</v>
      </c>
      <c r="F17" s="123">
        <f>+'MLS24-Budget'!F17</f>
        <v>87043</v>
      </c>
      <c r="G17" s="123">
        <f>+'MLS24-Budget'!G17</f>
        <v>113663</v>
      </c>
      <c r="H17" s="123">
        <f>+'MLS24-Budget'!H17</f>
        <v>116250</v>
      </c>
      <c r="I17" s="123">
        <f>+'MLS24-Budget'!I17</f>
        <v>111238</v>
      </c>
      <c r="J17" s="123">
        <f>+'MLS24-Budget'!J17</f>
        <v>112127</v>
      </c>
      <c r="K17" s="123">
        <f>+'MLS24-Budget'!K17</f>
        <v>99696</v>
      </c>
      <c r="L17" s="123">
        <f>+'MLS24-Budget'!L17</f>
        <v>93558</v>
      </c>
      <c r="M17" s="123">
        <f>+'MLS24-Budget'!M17</f>
        <v>97878</v>
      </c>
      <c r="N17" s="123">
        <f t="shared" si="4"/>
        <v>1226986</v>
      </c>
      <c r="O17"/>
      <c r="P17"/>
      <c r="S17" s="123">
        <f>+'MLS24-Budget'!S17</f>
        <v>517366297</v>
      </c>
      <c r="T17" s="123">
        <f>+'MLS24-Budget'!T17</f>
        <v>477978003</v>
      </c>
      <c r="U17" s="123">
        <f>+'MLS24-Budget'!U17</f>
        <v>412206787</v>
      </c>
      <c r="V17" s="123">
        <f>+'MLS24-Budget'!V17</f>
        <v>476759734</v>
      </c>
      <c r="W17" s="123">
        <f>+'MLS24-Budget'!W17</f>
        <v>435212686</v>
      </c>
      <c r="X17" s="123">
        <f>+'MLS24-Budget'!X17</f>
        <v>568315021</v>
      </c>
      <c r="Y17" s="123">
        <f>+'MLS24-Budget'!Y17</f>
        <v>604501511</v>
      </c>
      <c r="Z17" s="123">
        <f>+'MLS24-Budget'!Z17</f>
        <v>578435820</v>
      </c>
      <c r="AA17" s="123">
        <f>+'MLS24-Budget'!AA17</f>
        <v>583060664</v>
      </c>
      <c r="AB17" s="123">
        <f>+'MLS24-Budget'!AB17</f>
        <v>538357967</v>
      </c>
      <c r="AC17" s="123">
        <f>+'MLS24-Budget'!AC17</f>
        <v>505212437</v>
      </c>
      <c r="AD17" s="123">
        <f>+'MLS24-Budget'!AD17</f>
        <v>528543324</v>
      </c>
      <c r="AE17" s="123">
        <f t="shared" si="5"/>
        <v>6225950251</v>
      </c>
    </row>
    <row r="18" spans="1:31">
      <c r="A18" s="933" t="s">
        <v>806</v>
      </c>
      <c r="B18" s="123">
        <f>+'MLS24-Budget'!B18</f>
        <v>0</v>
      </c>
      <c r="C18" s="123">
        <f>+'MLS24-Budget'!C18</f>
        <v>0</v>
      </c>
      <c r="D18" s="123">
        <f>+'MLS24-Budget'!D18</f>
        <v>0</v>
      </c>
      <c r="E18" s="123">
        <f>+'MLS24-Budget'!E18</f>
        <v>12000</v>
      </c>
      <c r="F18" s="123">
        <f>+'MLS24-Budget'!F18</f>
        <v>12000</v>
      </c>
      <c r="G18" s="123">
        <f>+'MLS24-Budget'!G18</f>
        <v>0</v>
      </c>
      <c r="H18" s="123">
        <f>+'MLS24-Budget'!H18</f>
        <v>0</v>
      </c>
      <c r="I18" s="123">
        <f>+'MLS24-Budget'!I18</f>
        <v>0</v>
      </c>
      <c r="J18" s="123">
        <f>+'MLS24-Budget'!J18</f>
        <v>13462</v>
      </c>
      <c r="K18" s="123">
        <f>+'MLS24-Budget'!K18</f>
        <v>12963</v>
      </c>
      <c r="L18" s="123">
        <f>+'MLS24-Budget'!L18</f>
        <v>0</v>
      </c>
      <c r="M18" s="123">
        <f>+'MLS24-Budget'!M18</f>
        <v>0</v>
      </c>
      <c r="N18" s="123">
        <f t="shared" si="4"/>
        <v>50425</v>
      </c>
      <c r="O18"/>
      <c r="P18"/>
      <c r="S18" s="123">
        <f>+'MLS24-Budget'!S18</f>
        <v>0</v>
      </c>
      <c r="T18" s="123">
        <f>+'MLS24-Budget'!T18</f>
        <v>0</v>
      </c>
      <c r="U18" s="123">
        <f>+'MLS24-Budget'!U18</f>
        <v>0</v>
      </c>
      <c r="V18" s="123">
        <f>+'MLS24-Budget'!V18</f>
        <v>60000000</v>
      </c>
      <c r="W18" s="123">
        <f>+'MLS24-Budget'!W18</f>
        <v>60000000</v>
      </c>
      <c r="X18" s="123">
        <f>+'MLS24-Budget'!X18</f>
        <v>0</v>
      </c>
      <c r="Y18" s="123">
        <f>+'MLS24-Budget'!Y18</f>
        <v>0</v>
      </c>
      <c r="Z18" s="123">
        <f>+'MLS24-Budget'!Z18</f>
        <v>0</v>
      </c>
      <c r="AA18" s="123">
        <f>+'MLS24-Budget'!AA18</f>
        <v>70000000</v>
      </c>
      <c r="AB18" s="123">
        <f>+'MLS24-Budget'!AB18</f>
        <v>70000000</v>
      </c>
      <c r="AC18" s="123">
        <f>+'MLS24-Budget'!AC18</f>
        <v>0</v>
      </c>
      <c r="AD18" s="123">
        <f>+'MLS24-Budget'!AD18</f>
        <v>0</v>
      </c>
      <c r="AE18" s="123">
        <f t="shared" si="5"/>
        <v>260000000</v>
      </c>
    </row>
    <row r="19" spans="1:31">
      <c r="A19" s="933" t="s">
        <v>269</v>
      </c>
      <c r="B19" s="123">
        <f>+'MLS24-Budget'!B19</f>
        <v>16039</v>
      </c>
      <c r="C19" s="123">
        <f>+'MLS24-Budget'!C19</f>
        <v>15452</v>
      </c>
      <c r="D19" s="123">
        <f>+'MLS24-Budget'!D19</f>
        <v>16056</v>
      </c>
      <c r="E19" s="123">
        <f>+'MLS24-Budget'!E19</f>
        <v>12738</v>
      </c>
      <c r="F19" s="123">
        <f>+'MLS24-Budget'!F19</f>
        <v>12738</v>
      </c>
      <c r="G19" s="123">
        <f>+'MLS24-Budget'!G19</f>
        <v>12738</v>
      </c>
      <c r="H19" s="123">
        <f>+'MLS24-Budget'!H19</f>
        <v>12248</v>
      </c>
      <c r="I19" s="123">
        <f>+'MLS24-Budget'!I19</f>
        <v>12248</v>
      </c>
      <c r="J19" s="123">
        <f>+'MLS24-Budget'!J19</f>
        <v>12248</v>
      </c>
      <c r="K19" s="123">
        <f>+'MLS24-Budget'!K19</f>
        <v>11795</v>
      </c>
      <c r="L19" s="123">
        <f>+'MLS24-Budget'!L19</f>
        <v>11795</v>
      </c>
      <c r="M19" s="123">
        <f>+'MLS24-Budget'!M19</f>
        <v>11795</v>
      </c>
      <c r="N19" s="123">
        <f t="shared" si="4"/>
        <v>157890</v>
      </c>
      <c r="O19"/>
      <c r="P19"/>
      <c r="S19" s="123">
        <f>+'MLS24-Budget'!S19</f>
        <v>74296000</v>
      </c>
      <c r="T19" s="123">
        <f>+'MLS24-Budget'!T19</f>
        <v>74296000</v>
      </c>
      <c r="U19" s="123">
        <f>+'MLS24-Budget'!U19</f>
        <v>74296000</v>
      </c>
      <c r="V19" s="123">
        <f>+'MLS24-Budget'!V19</f>
        <v>63690400</v>
      </c>
      <c r="W19" s="123">
        <f>+'MLS24-Budget'!W19</f>
        <v>63690400</v>
      </c>
      <c r="X19" s="123">
        <f>+'MLS24-Budget'!X19</f>
        <v>63690400</v>
      </c>
      <c r="Y19" s="123">
        <f>+'MLS24-Budget'!Y19</f>
        <v>63690400</v>
      </c>
      <c r="Z19" s="123">
        <f>+'MLS24-Budget'!Z19</f>
        <v>63690400</v>
      </c>
      <c r="AA19" s="123">
        <f>+'MLS24-Budget'!AA19</f>
        <v>63690400</v>
      </c>
      <c r="AB19" s="123">
        <f>+'MLS24-Budget'!AB19</f>
        <v>63690400</v>
      </c>
      <c r="AC19" s="123">
        <f>+'MLS24-Budget'!AC19</f>
        <v>63690400</v>
      </c>
      <c r="AD19" s="123">
        <f>+'MLS24-Budget'!AD19</f>
        <v>63690400</v>
      </c>
      <c r="AE19" s="123">
        <f t="shared" si="5"/>
        <v>796101600</v>
      </c>
    </row>
    <row r="20" spans="1:31">
      <c r="A20" s="933" t="s">
        <v>384</v>
      </c>
      <c r="B20" s="123">
        <f>+'MLS24-Budget'!B20</f>
        <v>4465</v>
      </c>
      <c r="C20" s="123">
        <f>+'MLS24-Budget'!C20</f>
        <v>4487</v>
      </c>
      <c r="D20" s="123">
        <f>+'MLS24-Budget'!D20</f>
        <v>4164</v>
      </c>
      <c r="E20" s="123">
        <f>+'MLS24-Budget'!E20</f>
        <v>4771</v>
      </c>
      <c r="F20" s="123">
        <f>+'MLS24-Budget'!F20</f>
        <v>4771</v>
      </c>
      <c r="G20" s="123">
        <f>+'MLS24-Budget'!G20</f>
        <v>4771</v>
      </c>
      <c r="H20" s="123">
        <f>+'MLS24-Budget'!H20</f>
        <v>4587</v>
      </c>
      <c r="I20" s="123">
        <f>+'MLS24-Budget'!I20</f>
        <v>4724</v>
      </c>
      <c r="J20" s="123">
        <f>+'MLS24-Budget'!J20</f>
        <v>4724</v>
      </c>
      <c r="K20" s="123">
        <f>+'MLS24-Budget'!K20</f>
        <v>4549</v>
      </c>
      <c r="L20" s="123">
        <f>+'MLS24-Budget'!L20</f>
        <v>4549</v>
      </c>
      <c r="M20" s="123">
        <f>+'MLS24-Budget'!M20</f>
        <v>4549</v>
      </c>
      <c r="N20" s="123">
        <f t="shared" si="4"/>
        <v>55111</v>
      </c>
      <c r="O20"/>
      <c r="P20"/>
      <c r="S20" s="123">
        <f>+'MLS24-Budget'!S20</f>
        <v>20683576</v>
      </c>
      <c r="T20" s="123">
        <f>+'MLS24-Budget'!T20</f>
        <v>21576520</v>
      </c>
      <c r="U20" s="123">
        <f>+'MLS24-Budget'!U20</f>
        <v>19266076</v>
      </c>
      <c r="V20" s="123">
        <f>+'MLS24-Budget'!V20</f>
        <v>23853410</v>
      </c>
      <c r="W20" s="123">
        <f>+'MLS24-Budget'!W20</f>
        <v>23853410</v>
      </c>
      <c r="X20" s="123">
        <f>+'MLS24-Budget'!X20</f>
        <v>23853410</v>
      </c>
      <c r="Y20" s="123">
        <f>+'MLS24-Budget'!Y20</f>
        <v>23853410</v>
      </c>
      <c r="Z20" s="123">
        <f>+'MLS24-Budget'!Z20</f>
        <v>24564410</v>
      </c>
      <c r="AA20" s="123">
        <f>+'MLS24-Budget'!AA20</f>
        <v>24564410</v>
      </c>
      <c r="AB20" s="123">
        <f>+'MLS24-Budget'!AB20</f>
        <v>24564410</v>
      </c>
      <c r="AC20" s="123">
        <f>+'MLS24-Budget'!AC20</f>
        <v>24564410</v>
      </c>
      <c r="AD20" s="123">
        <f>+'MLS24-Budget'!AD20</f>
        <v>24564410</v>
      </c>
      <c r="AE20" s="123">
        <f t="shared" si="5"/>
        <v>279761862</v>
      </c>
    </row>
    <row r="21" spans="1:31">
      <c r="A21" s="757" t="s">
        <v>385</v>
      </c>
      <c r="B21" s="123">
        <f>+'MLS24-Budget'!B21</f>
        <v>5979</v>
      </c>
      <c r="C21" s="123">
        <f>+'MLS24-Budget'!C21</f>
        <v>7233</v>
      </c>
      <c r="D21" s="123">
        <f>+'MLS24-Budget'!D21</f>
        <v>6829</v>
      </c>
      <c r="E21" s="123">
        <f>+'MLS24-Budget'!E21</f>
        <v>7235</v>
      </c>
      <c r="F21" s="123">
        <f>+'MLS24-Budget'!F21</f>
        <v>7235</v>
      </c>
      <c r="G21" s="123">
        <f>+'MLS24-Budget'!G21</f>
        <v>7235</v>
      </c>
      <c r="H21" s="123">
        <f>+'MLS24-Budget'!H21</f>
        <v>6957</v>
      </c>
      <c r="I21" s="123">
        <f>+'MLS24-Budget'!I21</f>
        <v>6957</v>
      </c>
      <c r="J21" s="123">
        <f>+'MLS24-Budget'!J21</f>
        <v>6957</v>
      </c>
      <c r="K21" s="123">
        <f>+'MLS24-Budget'!K21</f>
        <v>6699</v>
      </c>
      <c r="L21" s="123">
        <f>+'MLS24-Budget'!L21</f>
        <v>6699</v>
      </c>
      <c r="M21" s="123">
        <f>+'MLS24-Budget'!M21</f>
        <v>6699</v>
      </c>
      <c r="N21" s="123">
        <f t="shared" si="4"/>
        <v>82714</v>
      </c>
      <c r="O21"/>
      <c r="P21"/>
      <c r="S21" s="123">
        <f>+'MLS24-Budget'!S21</f>
        <v>27695988</v>
      </c>
      <c r="T21" s="123">
        <f>+'MLS24-Budget'!T21</f>
        <v>34775253</v>
      </c>
      <c r="U21" s="123">
        <f>+'MLS24-Budget'!U21</f>
        <v>31599198</v>
      </c>
      <c r="V21" s="123">
        <f>+'MLS24-Budget'!V21</f>
        <v>36176880</v>
      </c>
      <c r="W21" s="123">
        <f>+'MLS24-Budget'!W21</f>
        <v>36176880</v>
      </c>
      <c r="X21" s="123">
        <f>+'MLS24-Budget'!X21</f>
        <v>36176880</v>
      </c>
      <c r="Y21" s="123">
        <f>+'MLS24-Budget'!Y21</f>
        <v>36176880</v>
      </c>
      <c r="Z21" s="123">
        <f>+'MLS24-Budget'!Z21</f>
        <v>36176880</v>
      </c>
      <c r="AA21" s="123">
        <f>+'MLS24-Budget'!AA21</f>
        <v>36176880</v>
      </c>
      <c r="AB21" s="123">
        <f>+'MLS24-Budget'!AB21</f>
        <v>36176880</v>
      </c>
      <c r="AC21" s="123">
        <f>+'MLS24-Budget'!AC21</f>
        <v>36176880</v>
      </c>
      <c r="AD21" s="123">
        <f>+'MLS24-Budget'!AD21</f>
        <v>36176880</v>
      </c>
      <c r="AE21" s="123">
        <f t="shared" si="5"/>
        <v>419662359</v>
      </c>
    </row>
    <row r="22" spans="1:31">
      <c r="A22" s="757" t="s">
        <v>386</v>
      </c>
      <c r="B22" s="123">
        <f>+'MLS24-Budget'!B22</f>
        <v>3068</v>
      </c>
      <c r="C22" s="123">
        <f>+'MLS24-Budget'!C22</f>
        <v>3454</v>
      </c>
      <c r="D22" s="123">
        <f>+'MLS24-Budget'!D22</f>
        <v>3407</v>
      </c>
      <c r="E22" s="123">
        <f>+'MLS24-Budget'!E22</f>
        <v>3241</v>
      </c>
      <c r="F22" s="123">
        <f>+'MLS24-Budget'!F22</f>
        <v>3241</v>
      </c>
      <c r="G22" s="123">
        <f>+'MLS24-Budget'!G22</f>
        <v>3241</v>
      </c>
      <c r="H22" s="123">
        <f>+'MLS24-Budget'!H22</f>
        <v>3116</v>
      </c>
      <c r="I22" s="123">
        <f>+'MLS24-Budget'!I22</f>
        <v>3116</v>
      </c>
      <c r="J22" s="123">
        <f>+'MLS24-Budget'!J22</f>
        <v>3116</v>
      </c>
      <c r="K22" s="123">
        <f>+'MLS24-Budget'!K22</f>
        <v>3001</v>
      </c>
      <c r="L22" s="123">
        <f>+'MLS24-Budget'!L22</f>
        <v>3001</v>
      </c>
      <c r="M22" s="123">
        <f>+'MLS24-Budget'!M22</f>
        <v>3001</v>
      </c>
      <c r="N22" s="123">
        <f t="shared" si="4"/>
        <v>38003</v>
      </c>
      <c r="O22"/>
      <c r="P22"/>
      <c r="S22" s="123">
        <f>+'MLS24-Budget'!S22</f>
        <v>14213445</v>
      </c>
      <c r="T22" s="123">
        <f>+'MLS24-Budget'!T22</f>
        <v>16608996</v>
      </c>
      <c r="U22" s="123">
        <f>+'MLS24-Budget'!U22</f>
        <v>15763147</v>
      </c>
      <c r="V22" s="123">
        <f>+'MLS24-Budget'!V22</f>
        <v>16203241</v>
      </c>
      <c r="W22" s="123">
        <f>+'MLS24-Budget'!W22</f>
        <v>16203241</v>
      </c>
      <c r="X22" s="123">
        <f>+'MLS24-Budget'!X22</f>
        <v>16203241</v>
      </c>
      <c r="Y22" s="123">
        <f>+'MLS24-Budget'!Y22</f>
        <v>16203241</v>
      </c>
      <c r="Z22" s="123">
        <f>+'MLS24-Budget'!Z22</f>
        <v>16203241</v>
      </c>
      <c r="AA22" s="123">
        <f>+'MLS24-Budget'!AA22</f>
        <v>16203241</v>
      </c>
      <c r="AB22" s="123">
        <f>+'MLS24-Budget'!AB22</f>
        <v>16203241</v>
      </c>
      <c r="AC22" s="123">
        <f>+'MLS24-Budget'!AC22</f>
        <v>16203241</v>
      </c>
      <c r="AD22" s="123">
        <f>+'MLS24-Budget'!AD22</f>
        <v>16203241</v>
      </c>
      <c r="AE22" s="123">
        <f t="shared" si="5"/>
        <v>192414757</v>
      </c>
    </row>
    <row r="23" spans="1:31">
      <c r="A23" s="933" t="s">
        <v>387</v>
      </c>
      <c r="B23" s="123">
        <f>+'MLS24-Budget'!B23</f>
        <v>5086</v>
      </c>
      <c r="C23" s="123">
        <f>+'MLS24-Budget'!C23</f>
        <v>4900</v>
      </c>
      <c r="D23" s="123">
        <f>+'MLS24-Budget'!D23</f>
        <v>5092</v>
      </c>
      <c r="E23" s="123">
        <f>+'MLS24-Budget'!E23</f>
        <v>5655</v>
      </c>
      <c r="F23" s="123">
        <f>+'MLS24-Budget'!F23</f>
        <v>5655</v>
      </c>
      <c r="G23" s="123">
        <f>+'MLS24-Budget'!G23</f>
        <v>5655</v>
      </c>
      <c r="H23" s="123">
        <f>+'MLS24-Budget'!H23</f>
        <v>5437</v>
      </c>
      <c r="I23" s="123">
        <f>+'MLS24-Budget'!I23</f>
        <v>5437</v>
      </c>
      <c r="J23" s="123">
        <f>+'MLS24-Budget'!J23</f>
        <v>5437</v>
      </c>
      <c r="K23" s="123">
        <f>+'MLS24-Budget'!K23</f>
        <v>5236</v>
      </c>
      <c r="L23" s="123">
        <f>+'MLS24-Budget'!L23</f>
        <v>5236</v>
      </c>
      <c r="M23" s="123">
        <f>+'MLS24-Budget'!M23</f>
        <v>5236</v>
      </c>
      <c r="N23" s="123">
        <f t="shared" si="4"/>
        <v>64062</v>
      </c>
      <c r="O23"/>
      <c r="P23"/>
      <c r="S23" s="123">
        <f>+'MLS24-Budget'!S23</f>
        <v>23560877</v>
      </c>
      <c r="T23" s="123">
        <f>+'MLS24-Budget'!T23</f>
        <v>23560877</v>
      </c>
      <c r="U23" s="123">
        <f>+'MLS24-Budget'!U23</f>
        <v>23560877</v>
      </c>
      <c r="V23" s="123">
        <f>+'MLS24-Budget'!V23</f>
        <v>28273052</v>
      </c>
      <c r="W23" s="123">
        <f>+'MLS24-Budget'!W23</f>
        <v>28273052</v>
      </c>
      <c r="X23" s="123">
        <f>+'MLS24-Budget'!X23</f>
        <v>28273052</v>
      </c>
      <c r="Y23" s="123">
        <f>+'MLS24-Budget'!Y23</f>
        <v>28273052</v>
      </c>
      <c r="Z23" s="123">
        <f>+'MLS24-Budget'!Z23</f>
        <v>28273052</v>
      </c>
      <c r="AA23" s="123">
        <f>+'MLS24-Budget'!AA23</f>
        <v>28273052</v>
      </c>
      <c r="AB23" s="123">
        <f>+'MLS24-Budget'!AB23</f>
        <v>28273052</v>
      </c>
      <c r="AC23" s="123">
        <f>+'MLS24-Budget'!AC23</f>
        <v>28273052</v>
      </c>
      <c r="AD23" s="123">
        <f>+'MLS24-Budget'!AD23</f>
        <v>28273052</v>
      </c>
      <c r="AE23" s="123">
        <f t="shared" si="5"/>
        <v>325140099</v>
      </c>
    </row>
    <row r="24" spans="1:31">
      <c r="A24" s="933" t="s">
        <v>388</v>
      </c>
      <c r="B24" s="123">
        <f>+'MLS24-Budget'!B24</f>
        <v>3346</v>
      </c>
      <c r="C24" s="123">
        <f>+'MLS24-Budget'!C24</f>
        <v>3224</v>
      </c>
      <c r="D24" s="123">
        <f>+'MLS24-Budget'!D24</f>
        <v>3350</v>
      </c>
      <c r="E24" s="123">
        <f>+'MLS24-Budget'!E24</f>
        <v>3100</v>
      </c>
      <c r="F24" s="123">
        <f>+'MLS24-Budget'!F24</f>
        <v>3100</v>
      </c>
      <c r="G24" s="123">
        <f>+'MLS24-Budget'!G24</f>
        <v>3100</v>
      </c>
      <c r="H24" s="123">
        <f>+'MLS24-Budget'!H24</f>
        <v>2981</v>
      </c>
      <c r="I24" s="123">
        <f>+'MLS24-Budget'!I24</f>
        <v>2981</v>
      </c>
      <c r="J24" s="123">
        <f>+'MLS24-Budget'!J24</f>
        <v>2981</v>
      </c>
      <c r="K24" s="123">
        <f>+'MLS24-Budget'!K24</f>
        <v>2870</v>
      </c>
      <c r="L24" s="123">
        <f>+'MLS24-Budget'!L24</f>
        <v>2870</v>
      </c>
      <c r="M24" s="123">
        <f>+'MLS24-Budget'!M24</f>
        <v>2870</v>
      </c>
      <c r="N24" s="123">
        <f t="shared" si="4"/>
        <v>36773</v>
      </c>
      <c r="O24"/>
      <c r="P24"/>
      <c r="S24" s="123">
        <f>+'MLS24-Budget'!S24</f>
        <v>15500000</v>
      </c>
      <c r="T24" s="123">
        <f>+'MLS24-Budget'!T24</f>
        <v>15500000</v>
      </c>
      <c r="U24" s="123">
        <f>+'MLS24-Budget'!U24</f>
        <v>15500000</v>
      </c>
      <c r="V24" s="123">
        <f>+'MLS24-Budget'!V24</f>
        <v>15500000</v>
      </c>
      <c r="W24" s="123">
        <f>+'MLS24-Budget'!W24</f>
        <v>15500000</v>
      </c>
      <c r="X24" s="123">
        <f>+'MLS24-Budget'!X24</f>
        <v>15500000</v>
      </c>
      <c r="Y24" s="123">
        <f>+'MLS24-Budget'!Y24</f>
        <v>15500000</v>
      </c>
      <c r="Z24" s="123">
        <f>+'MLS24-Budget'!Z24</f>
        <v>15500000</v>
      </c>
      <c r="AA24" s="123">
        <f>+'MLS24-Budget'!AA24</f>
        <v>15500000</v>
      </c>
      <c r="AB24" s="123">
        <f>+'MLS24-Budget'!AB24</f>
        <v>15500000</v>
      </c>
      <c r="AC24" s="123">
        <f>+'MLS24-Budget'!AC24</f>
        <v>15500000</v>
      </c>
      <c r="AD24" s="123">
        <f>+'MLS24-Budget'!AD24</f>
        <v>15500000</v>
      </c>
      <c r="AE24" s="123">
        <f t="shared" si="5"/>
        <v>186000000</v>
      </c>
    </row>
    <row r="25" spans="1:31">
      <c r="A25" s="933" t="s">
        <v>389</v>
      </c>
      <c r="B25" s="123">
        <f>+'MLS24-Budget'!B25</f>
        <v>2331</v>
      </c>
      <c r="C25" s="123">
        <f>+'MLS24-Budget'!C25</f>
        <v>2246</v>
      </c>
      <c r="D25" s="123">
        <f>+'MLS24-Budget'!D25</f>
        <v>2333</v>
      </c>
      <c r="E25" s="123">
        <f>+'MLS24-Budget'!E25</f>
        <v>3613</v>
      </c>
      <c r="F25" s="123">
        <f>+'MLS24-Budget'!F25</f>
        <v>3613</v>
      </c>
      <c r="G25" s="123">
        <f>+'MLS24-Budget'!G25</f>
        <v>3613</v>
      </c>
      <c r="H25" s="123">
        <f>+'MLS24-Budget'!H25</f>
        <v>3474</v>
      </c>
      <c r="I25" s="123">
        <f>+'MLS24-Budget'!I25</f>
        <v>3474</v>
      </c>
      <c r="J25" s="123">
        <f>+'MLS24-Budget'!J25</f>
        <v>3474</v>
      </c>
      <c r="K25" s="123">
        <f>+'MLS24-Budget'!K25</f>
        <v>3345</v>
      </c>
      <c r="L25" s="123">
        <f>+'MLS24-Budget'!L25</f>
        <v>3345</v>
      </c>
      <c r="M25" s="123">
        <f>+'MLS24-Budget'!M25</f>
        <v>3345</v>
      </c>
      <c r="N25" s="123">
        <f t="shared" si="4"/>
        <v>38206</v>
      </c>
      <c r="O25"/>
      <c r="P25"/>
      <c r="S25" s="123">
        <f>+'MLS24-Budget'!S25</f>
        <v>10797257</v>
      </c>
      <c r="T25" s="123">
        <f>+'MLS24-Budget'!T25</f>
        <v>10797257</v>
      </c>
      <c r="U25" s="123">
        <f>+'MLS24-Budget'!U25</f>
        <v>10797257</v>
      </c>
      <c r="V25" s="123">
        <f>+'MLS24-Budget'!V25</f>
        <v>18064094</v>
      </c>
      <c r="W25" s="123">
        <f>+'MLS24-Budget'!W25</f>
        <v>18064094</v>
      </c>
      <c r="X25" s="123">
        <f>+'MLS24-Budget'!X25</f>
        <v>18064094</v>
      </c>
      <c r="Y25" s="123">
        <f>+'MLS24-Budget'!Y25</f>
        <v>18064094</v>
      </c>
      <c r="Z25" s="123">
        <f>+'MLS24-Budget'!Z25</f>
        <v>18064094</v>
      </c>
      <c r="AA25" s="123">
        <f>+'MLS24-Budget'!AA25</f>
        <v>18064094</v>
      </c>
      <c r="AB25" s="123">
        <f>+'MLS24-Budget'!AB25</f>
        <v>18064094</v>
      </c>
      <c r="AC25" s="123">
        <f>+'MLS24-Budget'!AC25</f>
        <v>18064094</v>
      </c>
      <c r="AD25" s="123">
        <f>+'MLS24-Budget'!AD25</f>
        <v>18064094</v>
      </c>
      <c r="AE25" s="123">
        <f t="shared" si="5"/>
        <v>194968617</v>
      </c>
    </row>
    <row r="26" spans="1:31" s="4" customFormat="1">
      <c r="A26" s="757" t="s">
        <v>390</v>
      </c>
      <c r="B26" s="123">
        <f>+'MLS24-Budget'!B26</f>
        <v>7313</v>
      </c>
      <c r="C26" s="123">
        <f>+'MLS24-Budget'!C26</f>
        <v>3111</v>
      </c>
      <c r="D26" s="123">
        <f>+'MLS24-Budget'!D26</f>
        <v>2595</v>
      </c>
      <c r="E26" s="123">
        <f>+'MLS24-Budget'!E26</f>
        <v>3000</v>
      </c>
      <c r="F26" s="123">
        <f>+'MLS24-Budget'!F26</f>
        <v>3000</v>
      </c>
      <c r="G26" s="123">
        <f>+'MLS24-Budget'!G26</f>
        <v>3000</v>
      </c>
      <c r="H26" s="123">
        <f>+'MLS24-Budget'!H26</f>
        <v>2885</v>
      </c>
      <c r="I26" s="123">
        <f>+'MLS24-Budget'!I26</f>
        <v>2885</v>
      </c>
      <c r="J26" s="123">
        <f>+'MLS24-Budget'!J26</f>
        <v>2885</v>
      </c>
      <c r="K26" s="123">
        <f>+'MLS24-Budget'!K26</f>
        <v>2778</v>
      </c>
      <c r="L26" s="123">
        <f>+'MLS24-Budget'!L26</f>
        <v>2778</v>
      </c>
      <c r="M26" s="123">
        <f>+'MLS24-Budget'!M26</f>
        <v>2778</v>
      </c>
      <c r="N26" s="123">
        <f t="shared" si="4"/>
        <v>39008</v>
      </c>
      <c r="S26" s="123">
        <f>+'MLS24-Budget'!S26</f>
        <v>33874706</v>
      </c>
      <c r="T26" s="123">
        <f>+'MLS24-Budget'!T26</f>
        <v>14960350</v>
      </c>
      <c r="U26" s="123">
        <f>+'MLS24-Budget'!U26</f>
        <v>12008175</v>
      </c>
      <c r="V26" s="123">
        <f>+'MLS24-Budget'!V26</f>
        <v>15000000</v>
      </c>
      <c r="W26" s="123">
        <f>+'MLS24-Budget'!W26</f>
        <v>15000000</v>
      </c>
      <c r="X26" s="123">
        <f>+'MLS24-Budget'!X26</f>
        <v>15000000</v>
      </c>
      <c r="Y26" s="123">
        <f>+'MLS24-Budget'!Y26</f>
        <v>15000000</v>
      </c>
      <c r="Z26" s="123">
        <f>+'MLS24-Budget'!Z26</f>
        <v>15000000</v>
      </c>
      <c r="AA26" s="123">
        <f>+'MLS24-Budget'!AA26</f>
        <v>15000000</v>
      </c>
      <c r="AB26" s="123">
        <f>+'MLS24-Budget'!AB26</f>
        <v>15000000</v>
      </c>
      <c r="AC26" s="123">
        <f>+'MLS24-Budget'!AC26</f>
        <v>15000000</v>
      </c>
      <c r="AD26" s="123">
        <f>+'MLS24-Budget'!AD26</f>
        <v>15000000</v>
      </c>
      <c r="AE26" s="123">
        <f t="shared" si="5"/>
        <v>195843231</v>
      </c>
    </row>
    <row r="27" spans="1:31" s="4" customFormat="1">
      <c r="A27" s="757" t="s">
        <v>391</v>
      </c>
      <c r="B27" s="123">
        <f>+'MLS24-Budget'!B27</f>
        <v>0</v>
      </c>
      <c r="C27" s="123">
        <f>+'MLS24-Budget'!C27</f>
        <v>0</v>
      </c>
      <c r="D27" s="123">
        <f>+'MLS24-Budget'!D27</f>
        <v>0</v>
      </c>
      <c r="E27" s="123">
        <f>+'MLS24-Budget'!E27</f>
        <v>0</v>
      </c>
      <c r="F27" s="123">
        <f>+'MLS24-Budget'!F27</f>
        <v>0</v>
      </c>
      <c r="G27" s="123">
        <f>+'MLS24-Budget'!G27</f>
        <v>0</v>
      </c>
      <c r="H27" s="123">
        <f>+'MLS24-Budget'!H27</f>
        <v>0</v>
      </c>
      <c r="I27" s="123">
        <f>+'MLS24-Budget'!I27</f>
        <v>0</v>
      </c>
      <c r="J27" s="123">
        <f>+'MLS24-Budget'!J27</f>
        <v>0</v>
      </c>
      <c r="K27" s="123">
        <f>+'MLS24-Budget'!K27</f>
        <v>0</v>
      </c>
      <c r="L27" s="123">
        <f>+'MLS24-Budget'!L27</f>
        <v>0</v>
      </c>
      <c r="M27" s="123">
        <f>+'MLS24-Budget'!M27</f>
        <v>0</v>
      </c>
      <c r="N27" s="123">
        <f t="shared" si="4"/>
        <v>0</v>
      </c>
      <c r="S27" s="123">
        <f>+'MLS24-Budget'!S27</f>
        <v>0</v>
      </c>
      <c r="T27" s="123">
        <f>+'MLS24-Budget'!T27</f>
        <v>0</v>
      </c>
      <c r="U27" s="123">
        <f>+'MLS24-Budget'!U27</f>
        <v>0</v>
      </c>
      <c r="V27" s="123">
        <f>+'MLS24-Budget'!V27</f>
        <v>0</v>
      </c>
      <c r="W27" s="123">
        <f>+'MLS24-Budget'!W27</f>
        <v>0</v>
      </c>
      <c r="X27" s="123">
        <f>+'MLS24-Budget'!X27</f>
        <v>0</v>
      </c>
      <c r="Y27" s="123">
        <f>+'MLS24-Budget'!Y27</f>
        <v>0</v>
      </c>
      <c r="Z27" s="123">
        <f>+'MLS24-Budget'!Z27</f>
        <v>0</v>
      </c>
      <c r="AA27" s="123">
        <f>+'MLS24-Budget'!AA27</f>
        <v>0</v>
      </c>
      <c r="AB27" s="123">
        <f>+'MLS24-Budget'!AB27</f>
        <v>0</v>
      </c>
      <c r="AC27" s="123">
        <f>+'MLS24-Budget'!AC27</f>
        <v>0</v>
      </c>
      <c r="AD27" s="123">
        <f>+'MLS24-Budget'!AD27</f>
        <v>0</v>
      </c>
      <c r="AE27" s="123">
        <f t="shared" si="5"/>
        <v>0</v>
      </c>
    </row>
    <row r="28" spans="1:31" s="4" customFormat="1">
      <c r="A28" s="757" t="s">
        <v>392</v>
      </c>
      <c r="B28" s="123">
        <f>+'MLS24-Budget'!B28</f>
        <v>7319</v>
      </c>
      <c r="C28" s="123">
        <f>+'MLS24-Budget'!C28</f>
        <v>4209</v>
      </c>
      <c r="D28" s="123">
        <f>+'MLS24-Budget'!D28</f>
        <v>4678</v>
      </c>
      <c r="E28" s="123">
        <f>+'MLS24-Budget'!E28</f>
        <v>5000</v>
      </c>
      <c r="F28" s="123">
        <f>+'MLS24-Budget'!F28</f>
        <v>6000</v>
      </c>
      <c r="G28" s="123">
        <f>+'MLS24-Budget'!G28</f>
        <v>6000</v>
      </c>
      <c r="H28" s="123">
        <f>+'MLS24-Budget'!H28</f>
        <v>4808</v>
      </c>
      <c r="I28" s="123">
        <f>+'MLS24-Budget'!I28</f>
        <v>4808</v>
      </c>
      <c r="J28" s="123">
        <f>+'MLS24-Budget'!J28</f>
        <v>4808</v>
      </c>
      <c r="K28" s="123">
        <f>+'MLS24-Budget'!K28</f>
        <v>4630</v>
      </c>
      <c r="L28" s="123">
        <f>+'MLS24-Budget'!L28</f>
        <v>4630</v>
      </c>
      <c r="M28" s="123">
        <f>+'MLS24-Budget'!M28</f>
        <v>4630</v>
      </c>
      <c r="N28" s="123">
        <f t="shared" si="4"/>
        <v>61520</v>
      </c>
      <c r="S28" s="123">
        <f>+'MLS24-Budget'!S28</f>
        <v>33902662</v>
      </c>
      <c r="T28" s="123">
        <f>+'MLS24-Budget'!T28</f>
        <v>20235662</v>
      </c>
      <c r="U28" s="123">
        <f>+'MLS24-Budget'!U28</f>
        <v>21644888</v>
      </c>
      <c r="V28" s="123">
        <f>+'MLS24-Budget'!V28</f>
        <v>25000000</v>
      </c>
      <c r="W28" s="123">
        <f>+'MLS24-Budget'!W28</f>
        <v>30000000</v>
      </c>
      <c r="X28" s="123">
        <f>+'MLS24-Budget'!X28</f>
        <v>30000000</v>
      </c>
      <c r="Y28" s="123">
        <f>+'MLS24-Budget'!Y28</f>
        <v>25000000</v>
      </c>
      <c r="Z28" s="123">
        <f>+'MLS24-Budget'!Z28</f>
        <v>25000000</v>
      </c>
      <c r="AA28" s="123">
        <f>+'MLS24-Budget'!AA28</f>
        <v>25000000</v>
      </c>
      <c r="AB28" s="123">
        <f>+'MLS24-Budget'!AB28</f>
        <v>25000000</v>
      </c>
      <c r="AC28" s="123">
        <f>+'MLS24-Budget'!AC28</f>
        <v>25000000</v>
      </c>
      <c r="AD28" s="123">
        <f>+'MLS24-Budget'!AD28</f>
        <v>25000000</v>
      </c>
      <c r="AE28" s="123">
        <f t="shared" si="5"/>
        <v>310783212</v>
      </c>
    </row>
    <row r="29" spans="1:31" s="4" customFormat="1">
      <c r="A29" s="757" t="s">
        <v>501</v>
      </c>
      <c r="B29" s="123">
        <f>+'MLS24-Budget'!B29</f>
        <v>45565</v>
      </c>
      <c r="C29" s="123">
        <f>+'MLS24-Budget'!C29</f>
        <v>28075</v>
      </c>
      <c r="D29" s="123">
        <f>+'MLS24-Budget'!D29</f>
        <v>28306</v>
      </c>
      <c r="E29" s="123">
        <f>+'MLS24-Budget'!E29</f>
        <v>27549</v>
      </c>
      <c r="F29" s="123">
        <f>+'MLS24-Budget'!F29</f>
        <v>23959</v>
      </c>
      <c r="G29" s="123">
        <f>+'MLS24-Budget'!G29</f>
        <v>37864</v>
      </c>
      <c r="H29" s="123">
        <f>+'MLS24-Budget'!H29</f>
        <v>36592</v>
      </c>
      <c r="I29" s="123">
        <f>+'MLS24-Budget'!I29</f>
        <v>35707</v>
      </c>
      <c r="J29" s="123">
        <f>+'MLS24-Budget'!J29</f>
        <v>38969</v>
      </c>
      <c r="K29" s="123">
        <f>+'MLS24-Budget'!K29</f>
        <v>32331</v>
      </c>
      <c r="L29" s="123">
        <f>+'MLS24-Budget'!L29</f>
        <v>28333</v>
      </c>
      <c r="M29" s="123">
        <f>+'MLS24-Budget'!M29</f>
        <v>31188</v>
      </c>
      <c r="N29" s="123">
        <f t="shared" si="4"/>
        <v>394438</v>
      </c>
      <c r="S29" s="123">
        <f>+'MLS24-Budget'!S29</f>
        <v>211065026</v>
      </c>
      <c r="T29" s="123">
        <f>+'MLS24-Budget'!T29</f>
        <v>134990764</v>
      </c>
      <c r="U29" s="123">
        <f>+'MLS24-Budget'!U29</f>
        <v>130979976</v>
      </c>
      <c r="V29" s="123">
        <f>+'MLS24-Budget'!V29</f>
        <v>137743669</v>
      </c>
      <c r="W29" s="123">
        <f>+'MLS24-Budget'!W29</f>
        <v>119794309</v>
      </c>
      <c r="X29" s="123">
        <f>+'MLS24-Budget'!X29</f>
        <v>189321121</v>
      </c>
      <c r="Y29" s="123">
        <f>+'MLS24-Budget'!Y29</f>
        <v>190279133</v>
      </c>
      <c r="Z29" s="123">
        <f>+'MLS24-Budget'!Z29</f>
        <v>185674819</v>
      </c>
      <c r="AA29" s="123">
        <f>+'MLS24-Budget'!AA29</f>
        <v>202640153</v>
      </c>
      <c r="AB29" s="123">
        <f>+'MLS24-Budget'!AB29</f>
        <v>174585803</v>
      </c>
      <c r="AC29" s="123">
        <f>+'MLS24-Budget'!AC29</f>
        <v>152998317</v>
      </c>
      <c r="AD29" s="123">
        <f>+'MLS24-Budget'!AD29</f>
        <v>168417489</v>
      </c>
      <c r="AE29" s="123">
        <f t="shared" si="5"/>
        <v>1998490579</v>
      </c>
    </row>
    <row r="30" spans="1:31" s="4" customFormat="1">
      <c r="A30" s="757" t="s">
        <v>393</v>
      </c>
      <c r="B30" s="123">
        <f>+'MLS24-Budget'!B30</f>
        <v>2492</v>
      </c>
      <c r="C30" s="123">
        <f>+'MLS24-Budget'!C30</f>
        <v>682</v>
      </c>
      <c r="D30" s="123">
        <f>+'MLS24-Budget'!D30</f>
        <v>-1405</v>
      </c>
      <c r="E30" s="123">
        <f>+'MLS24-Budget'!E30</f>
        <v>-1300</v>
      </c>
      <c r="F30" s="123">
        <f>+'MLS24-Budget'!F30</f>
        <v>-1300</v>
      </c>
      <c r="G30" s="123">
        <f>+'MLS24-Budget'!G30</f>
        <v>-1300</v>
      </c>
      <c r="H30" s="123">
        <f>+'MLS24-Budget'!H30</f>
        <v>-1250</v>
      </c>
      <c r="I30" s="123">
        <f>+'MLS24-Budget'!I30</f>
        <v>-1250</v>
      </c>
      <c r="J30" s="123">
        <f>+'MLS24-Budget'!J30</f>
        <v>-1250</v>
      </c>
      <c r="K30" s="123">
        <f>+'MLS24-Budget'!K30</f>
        <v>-1204</v>
      </c>
      <c r="L30" s="123">
        <f>+'MLS24-Budget'!L30</f>
        <v>-1204</v>
      </c>
      <c r="M30" s="123">
        <f>+'MLS24-Budget'!M30</f>
        <v>-1204</v>
      </c>
      <c r="N30" s="123">
        <f t="shared" si="4"/>
        <v>-9493</v>
      </c>
      <c r="S30" s="123">
        <f>+'MLS24-Budget'!S30</f>
        <v>11543344</v>
      </c>
      <c r="T30" s="123">
        <f>+'MLS24-Budget'!T30</f>
        <v>3280000</v>
      </c>
      <c r="U30" s="123">
        <f>+'MLS24-Budget'!U30</f>
        <v>-6500000</v>
      </c>
      <c r="V30" s="123">
        <f>+'MLS24-Budget'!V30</f>
        <v>-6500000</v>
      </c>
      <c r="W30" s="123">
        <f>+'MLS24-Budget'!W30</f>
        <v>-6500000</v>
      </c>
      <c r="X30" s="123">
        <f>+'MLS24-Budget'!X30</f>
        <v>-6500000</v>
      </c>
      <c r="Y30" s="123">
        <f>+'MLS24-Budget'!Y30</f>
        <v>-6500000</v>
      </c>
      <c r="Z30" s="123">
        <f>+'MLS24-Budget'!Z30</f>
        <v>-6500000</v>
      </c>
      <c r="AA30" s="123">
        <f>+'MLS24-Budget'!AA30</f>
        <v>-6500000</v>
      </c>
      <c r="AB30" s="123">
        <f>+'MLS24-Budget'!AB30</f>
        <v>-6500000</v>
      </c>
      <c r="AC30" s="123">
        <f>+'MLS24-Budget'!AC30</f>
        <v>-6500000</v>
      </c>
      <c r="AD30" s="123">
        <f>+'MLS24-Budget'!AD30</f>
        <v>-6500000</v>
      </c>
      <c r="AE30" s="123">
        <f t="shared" si="5"/>
        <v>-50176656</v>
      </c>
    </row>
    <row r="31" spans="1:31" s="4" customFormat="1">
      <c r="A31" s="757" t="s">
        <v>394</v>
      </c>
      <c r="B31" s="123">
        <f>+'MLS24-Budget'!B31</f>
        <v>42907</v>
      </c>
      <c r="C31" s="123">
        <f>+'MLS24-Budget'!C31</f>
        <v>28008</v>
      </c>
      <c r="D31" s="123">
        <f>+'MLS24-Budget'!D31</f>
        <v>10711</v>
      </c>
      <c r="E31" s="123">
        <f>+'MLS24-Budget'!E31</f>
        <v>30304</v>
      </c>
      <c r="F31" s="123">
        <f>+'MLS24-Budget'!F31</f>
        <v>26355</v>
      </c>
      <c r="G31" s="123">
        <f>+'MLS24-Budget'!G31</f>
        <v>41651</v>
      </c>
      <c r="H31" s="123">
        <f>+'MLS24-Budget'!H31</f>
        <v>40251</v>
      </c>
      <c r="I31" s="123">
        <f>+'MLS24-Budget'!I31</f>
        <v>39277</v>
      </c>
      <c r="J31" s="123">
        <f>+'MLS24-Budget'!J31</f>
        <v>42866</v>
      </c>
      <c r="K31" s="123">
        <f>+'MLS24-Budget'!K31</f>
        <v>35564</v>
      </c>
      <c r="L31" s="123">
        <f>+'MLS24-Budget'!L31</f>
        <v>31166</v>
      </c>
      <c r="M31" s="123">
        <f>+'MLS24-Budget'!M31</f>
        <v>34307</v>
      </c>
      <c r="N31" s="123">
        <f t="shared" si="4"/>
        <v>403367</v>
      </c>
      <c r="S31" s="123">
        <f>+'MLS24-Budget'!S31</f>
        <v>198753375</v>
      </c>
      <c r="T31" s="123">
        <f>+'MLS24-Budget'!T31</f>
        <v>134667628</v>
      </c>
      <c r="U31" s="123">
        <f>+'MLS24-Budget'!U31</f>
        <v>49563180</v>
      </c>
      <c r="V31" s="123">
        <f>+'MLS24-Budget'!V31</f>
        <v>151518036</v>
      </c>
      <c r="W31" s="123">
        <f>+'MLS24-Budget'!W31</f>
        <v>131773740</v>
      </c>
      <c r="X31" s="123">
        <f>+'MLS24-Budget'!X31</f>
        <v>208253234</v>
      </c>
      <c r="Y31" s="123">
        <f>+'MLS24-Budget'!Y31</f>
        <v>209307047</v>
      </c>
      <c r="Z31" s="123">
        <f>+'MLS24-Budget'!Z31</f>
        <v>204242301</v>
      </c>
      <c r="AA31" s="123">
        <f>+'MLS24-Budget'!AA31</f>
        <v>222904169</v>
      </c>
      <c r="AB31" s="123">
        <f>+'MLS24-Budget'!AB31</f>
        <v>192044383</v>
      </c>
      <c r="AC31" s="123">
        <f>+'MLS24-Budget'!AC31</f>
        <v>168298148</v>
      </c>
      <c r="AD31" s="123">
        <f>+'MLS24-Budget'!AD31</f>
        <v>185259237</v>
      </c>
      <c r="AE31" s="123">
        <f t="shared" si="5"/>
        <v>2056584478</v>
      </c>
    </row>
    <row r="32" spans="1:31" s="4" customFormat="1">
      <c r="A32" s="757" t="s">
        <v>307</v>
      </c>
      <c r="B32" s="123">
        <f>+'MLS24-Budget'!B32</f>
        <v>13259</v>
      </c>
      <c r="C32" s="123">
        <f>+'MLS24-Budget'!C32</f>
        <v>12900</v>
      </c>
      <c r="D32" s="123">
        <f>+'MLS24-Budget'!D32</f>
        <v>27569</v>
      </c>
      <c r="E32" s="123">
        <f>+'MLS24-Budget'!E32</f>
        <v>20662</v>
      </c>
      <c r="F32" s="123">
        <f>+'MLS24-Budget'!F32</f>
        <v>17969</v>
      </c>
      <c r="G32" s="123">
        <f>+'MLS24-Budget'!G32</f>
        <v>28398</v>
      </c>
      <c r="H32" s="123">
        <f>+'MLS24-Budget'!H32</f>
        <v>27444</v>
      </c>
      <c r="I32" s="123">
        <f>+'MLS24-Budget'!I32</f>
        <v>26780</v>
      </c>
      <c r="J32" s="123">
        <f>+'MLS24-Budget'!J32</f>
        <v>29227</v>
      </c>
      <c r="K32" s="123">
        <f>+'MLS24-Budget'!K32</f>
        <v>24248</v>
      </c>
      <c r="L32" s="123">
        <f>+'MLS24-Budget'!L32</f>
        <v>21250</v>
      </c>
      <c r="M32" s="123">
        <f>+'MLS24-Budget'!M32</f>
        <v>23391</v>
      </c>
      <c r="N32" s="123">
        <f t="shared" si="4"/>
        <v>273097</v>
      </c>
      <c r="S32" s="123">
        <f>+'MLS24-Budget'!S32</f>
        <v>61419219</v>
      </c>
      <c r="T32" s="123">
        <f>+'MLS24-Budget'!T32</f>
        <v>62024912</v>
      </c>
      <c r="U32" s="123">
        <f>+'MLS24-Budget'!U32</f>
        <v>127570196</v>
      </c>
      <c r="V32" s="123">
        <f>+'MLS24-Budget'!V32</f>
        <v>103307752</v>
      </c>
      <c r="W32" s="123">
        <f>+'MLS24-Budget'!W32</f>
        <v>89845732</v>
      </c>
      <c r="X32" s="123">
        <f>+'MLS24-Budget'!X32</f>
        <v>141990841</v>
      </c>
      <c r="Y32" s="123">
        <f>+'MLS24-Budget'!Y32</f>
        <v>142709350</v>
      </c>
      <c r="Z32" s="123">
        <f>+'MLS24-Budget'!Z32</f>
        <v>139256114</v>
      </c>
      <c r="AA32" s="123">
        <f>+'MLS24-Budget'!AA32</f>
        <v>151980115</v>
      </c>
      <c r="AB32" s="123">
        <f>+'MLS24-Budget'!AB32</f>
        <v>130939352</v>
      </c>
      <c r="AC32" s="123">
        <f>+'MLS24-Budget'!AC32</f>
        <v>114748738</v>
      </c>
      <c r="AD32" s="123">
        <f>+'MLS24-Budget'!AD32</f>
        <v>126313116</v>
      </c>
      <c r="AE32" s="123">
        <f t="shared" si="5"/>
        <v>1392105437</v>
      </c>
    </row>
    <row r="33" spans="1:31" s="4" customFormat="1">
      <c r="A33" s="757" t="s">
        <v>395</v>
      </c>
      <c r="B33" s="123">
        <f>+'MLS24-Budget'!B33</f>
        <v>58875</v>
      </c>
      <c r="C33" s="123">
        <f>+'MLS24-Budget'!C33</f>
        <v>41364</v>
      </c>
      <c r="D33" s="123">
        <f>+'MLS24-Budget'!D33</f>
        <v>26469</v>
      </c>
      <c r="E33" s="123">
        <f>+'MLS24-Budget'!E33</f>
        <v>25483</v>
      </c>
      <c r="F33" s="123">
        <f>+'MLS24-Budget'!F33</f>
        <v>22162</v>
      </c>
      <c r="G33" s="123">
        <f>+'MLS24-Budget'!G33</f>
        <v>35024</v>
      </c>
      <c r="H33" s="123">
        <f>+'MLS24-Budget'!H33</f>
        <v>33848</v>
      </c>
      <c r="I33" s="123">
        <f>+'MLS24-Budget'!I33</f>
        <v>33029</v>
      </c>
      <c r="J33" s="123">
        <f>+'MLS24-Budget'!J33</f>
        <v>36047</v>
      </c>
      <c r="K33" s="123">
        <f>+'MLS24-Budget'!K33</f>
        <v>29906</v>
      </c>
      <c r="L33" s="123">
        <f>+'MLS24-Budget'!L33</f>
        <v>26208</v>
      </c>
      <c r="M33" s="123">
        <f>+'MLS24-Budget'!M33</f>
        <v>28849</v>
      </c>
      <c r="N33" s="123">
        <f t="shared" si="4"/>
        <v>397264</v>
      </c>
      <c r="S33" s="123">
        <f>+'MLS24-Budget'!S33</f>
        <v>272719172</v>
      </c>
      <c r="T33" s="123">
        <f>+'MLS24-Budget'!T33</f>
        <v>198885382</v>
      </c>
      <c r="U33" s="123">
        <f>+'MLS24-Budget'!U33</f>
        <v>122478806</v>
      </c>
      <c r="V33" s="123">
        <f>+'MLS24-Budget'!V33</f>
        <v>127412894</v>
      </c>
      <c r="W33" s="123">
        <f>+'MLS24-Budget'!W33</f>
        <v>110809736</v>
      </c>
      <c r="X33" s="123">
        <f>+'MLS24-Budget'!X33</f>
        <v>175122037</v>
      </c>
      <c r="Y33" s="123">
        <f>+'MLS24-Budget'!Y33</f>
        <v>176008198</v>
      </c>
      <c r="Z33" s="123">
        <f>+'MLS24-Budget'!Z33</f>
        <v>171749208</v>
      </c>
      <c r="AA33" s="123">
        <f>+'MLS24-Budget'!AA33</f>
        <v>187442142</v>
      </c>
      <c r="AB33" s="123">
        <f>+'MLS24-Budget'!AB33</f>
        <v>161491867</v>
      </c>
      <c r="AC33" s="123">
        <f>+'MLS24-Budget'!AC33</f>
        <v>141523443</v>
      </c>
      <c r="AD33" s="123">
        <f>+'MLS24-Budget'!AD33</f>
        <v>155786177</v>
      </c>
      <c r="AE33" s="123">
        <f t="shared" si="5"/>
        <v>2001429062</v>
      </c>
    </row>
    <row r="34" spans="1:31" s="4" customFormat="1">
      <c r="A34" s="757" t="s">
        <v>396</v>
      </c>
      <c r="B34" s="123">
        <f>+'MLS24-Budget'!B34</f>
        <v>1874</v>
      </c>
      <c r="C34" s="123">
        <f>+'MLS24-Budget'!C34</f>
        <v>1414</v>
      </c>
      <c r="D34" s="123">
        <f>+'MLS24-Budget'!D34</f>
        <v>1604</v>
      </c>
      <c r="E34" s="123">
        <f>+'MLS24-Budget'!E34</f>
        <v>1484</v>
      </c>
      <c r="F34" s="123">
        <f>+'MLS24-Budget'!F34</f>
        <v>1484</v>
      </c>
      <c r="G34" s="123">
        <f>+'MLS24-Budget'!G34</f>
        <v>1484</v>
      </c>
      <c r="H34" s="123">
        <f>+'MLS24-Budget'!H34</f>
        <v>1427</v>
      </c>
      <c r="I34" s="123">
        <f>+'MLS24-Budget'!I34</f>
        <v>1427</v>
      </c>
      <c r="J34" s="123">
        <f>+'MLS24-Budget'!J34</f>
        <v>1427</v>
      </c>
      <c r="K34" s="123">
        <f>+'MLS24-Budget'!K34</f>
        <v>1374</v>
      </c>
      <c r="L34" s="123">
        <f>+'MLS24-Budget'!L34</f>
        <v>1374</v>
      </c>
      <c r="M34" s="123">
        <f>+'MLS24-Budget'!M34</f>
        <v>1374</v>
      </c>
      <c r="N34" s="123">
        <f t="shared" si="4"/>
        <v>17747</v>
      </c>
      <c r="S34" s="123">
        <f>+'MLS24-Budget'!S34</f>
        <v>8679596</v>
      </c>
      <c r="T34" s="123">
        <f>+'MLS24-Budget'!T34</f>
        <v>6796539</v>
      </c>
      <c r="U34" s="123">
        <f>+'MLS24-Budget'!U34</f>
        <v>7420538</v>
      </c>
      <c r="V34" s="123">
        <f>+'MLS24-Budget'!V34</f>
        <v>7420538</v>
      </c>
      <c r="W34" s="123">
        <f>+'MLS24-Budget'!W34</f>
        <v>7420538</v>
      </c>
      <c r="X34" s="123">
        <f>+'MLS24-Budget'!X34</f>
        <v>7420538</v>
      </c>
      <c r="Y34" s="123">
        <f>+'MLS24-Budget'!Y34</f>
        <v>7420538</v>
      </c>
      <c r="Z34" s="123">
        <f>+'MLS24-Budget'!Z34</f>
        <v>7420538</v>
      </c>
      <c r="AA34" s="123">
        <f>+'MLS24-Budget'!AA34</f>
        <v>7420538</v>
      </c>
      <c r="AB34" s="123">
        <f>+'MLS24-Budget'!AB34</f>
        <v>7420538</v>
      </c>
      <c r="AC34" s="123">
        <f>+'MLS24-Budget'!AC34</f>
        <v>7420538</v>
      </c>
      <c r="AD34" s="123">
        <f>+'MLS24-Budget'!AD34</f>
        <v>7420538</v>
      </c>
      <c r="AE34" s="123">
        <f t="shared" si="5"/>
        <v>89681515</v>
      </c>
    </row>
    <row r="35" spans="1:31" s="4" customFormat="1">
      <c r="A35" s="757" t="s">
        <v>290</v>
      </c>
      <c r="B35" s="123">
        <f>+'MLS24-Budget'!B35</f>
        <v>13638</v>
      </c>
      <c r="C35" s="123">
        <f>+'MLS24-Budget'!C35</f>
        <v>6589</v>
      </c>
      <c r="D35" s="123">
        <f>+'MLS24-Budget'!D35</f>
        <v>5000</v>
      </c>
      <c r="E35" s="123">
        <f>+'MLS24-Budget'!E35</f>
        <v>6887</v>
      </c>
      <c r="F35" s="123">
        <f>+'MLS24-Budget'!F35</f>
        <v>5990</v>
      </c>
      <c r="G35" s="123">
        <f>+'MLS24-Budget'!G35</f>
        <v>9466</v>
      </c>
      <c r="H35" s="123">
        <f>+'MLS24-Budget'!H35</f>
        <v>9148</v>
      </c>
      <c r="I35" s="123">
        <f>+'MLS24-Budget'!I35</f>
        <v>8927</v>
      </c>
      <c r="J35" s="123">
        <f>+'MLS24-Budget'!J35</f>
        <v>9742</v>
      </c>
      <c r="K35" s="123">
        <f>+'MLS24-Budget'!K35</f>
        <v>8083</v>
      </c>
      <c r="L35" s="123">
        <f>+'MLS24-Budget'!L35</f>
        <v>7083</v>
      </c>
      <c r="M35" s="123">
        <f>+'MLS24-Budget'!M35</f>
        <v>7797</v>
      </c>
      <c r="N35" s="123">
        <f t="shared" si="4"/>
        <v>98350</v>
      </c>
      <c r="S35" s="123">
        <f>+'MLS24-Budget'!S35</f>
        <v>63175299</v>
      </c>
      <c r="T35" s="123">
        <f>+'MLS24-Budget'!T35</f>
        <v>31683131</v>
      </c>
      <c r="U35" s="123">
        <f>+'MLS24-Budget'!U35</f>
        <v>23136674</v>
      </c>
      <c r="V35" s="123">
        <f>+'MLS24-Budget'!V35</f>
        <v>34435917</v>
      </c>
      <c r="W35" s="123">
        <f>+'MLS24-Budget'!W35</f>
        <v>29948577</v>
      </c>
      <c r="X35" s="123">
        <f>+'MLS24-Budget'!X35</f>
        <v>47330280</v>
      </c>
      <c r="Y35" s="123">
        <f>+'MLS24-Budget'!Y35</f>
        <v>47569783</v>
      </c>
      <c r="Z35" s="123">
        <f>+'MLS24-Budget'!Z35</f>
        <v>46418705</v>
      </c>
      <c r="AA35" s="123">
        <f>+'MLS24-Budget'!AA35</f>
        <v>50660038</v>
      </c>
      <c r="AB35" s="123">
        <f>+'MLS24-Budget'!AB35</f>
        <v>43646451</v>
      </c>
      <c r="AC35" s="123">
        <f>+'MLS24-Budget'!AC35</f>
        <v>38249579</v>
      </c>
      <c r="AD35" s="123">
        <f>+'MLS24-Budget'!AD35</f>
        <v>42104372</v>
      </c>
      <c r="AE35" s="123">
        <f t="shared" si="5"/>
        <v>498358806</v>
      </c>
    </row>
    <row r="36" spans="1:31" s="4" customFormat="1">
      <c r="A36" s="757" t="s">
        <v>297</v>
      </c>
      <c r="B36" s="123">
        <f>+'MLS24-Budget'!B36</f>
        <v>6519</v>
      </c>
      <c r="C36" s="123">
        <f>+'MLS24-Budget'!C36</f>
        <v>7372</v>
      </c>
      <c r="D36" s="123">
        <f>+'MLS24-Budget'!D36</f>
        <v>8216</v>
      </c>
      <c r="E36" s="123">
        <f>+'MLS24-Budget'!E36</f>
        <v>6887</v>
      </c>
      <c r="F36" s="123">
        <f>+'MLS24-Budget'!F36</f>
        <v>5990</v>
      </c>
      <c r="G36" s="123">
        <f>+'MLS24-Budget'!G36</f>
        <v>9466</v>
      </c>
      <c r="H36" s="123">
        <f>+'MLS24-Budget'!H36</f>
        <v>9148</v>
      </c>
      <c r="I36" s="123">
        <f>+'MLS24-Budget'!I36</f>
        <v>8927</v>
      </c>
      <c r="J36" s="123">
        <f>+'MLS24-Budget'!J36</f>
        <v>9742</v>
      </c>
      <c r="K36" s="123">
        <f>+'MLS24-Budget'!K36</f>
        <v>8083</v>
      </c>
      <c r="L36" s="123">
        <f>+'MLS24-Budget'!L36</f>
        <v>7083</v>
      </c>
      <c r="M36" s="123">
        <f>+'MLS24-Budget'!M36</f>
        <v>7797</v>
      </c>
      <c r="N36" s="123">
        <f t="shared" si="4"/>
        <v>95230</v>
      </c>
      <c r="S36" s="123">
        <f>+'MLS24-Budget'!S36</f>
        <v>30196735</v>
      </c>
      <c r="T36" s="123">
        <f>+'MLS24-Budget'!T36</f>
        <v>35445684</v>
      </c>
      <c r="U36" s="123">
        <f>+'MLS24-Budget'!U36</f>
        <v>38016587</v>
      </c>
      <c r="V36" s="123">
        <f>+'MLS24-Budget'!V36</f>
        <v>34435917</v>
      </c>
      <c r="W36" s="123">
        <f>+'MLS24-Budget'!W36</f>
        <v>29948577</v>
      </c>
      <c r="X36" s="123">
        <f>+'MLS24-Budget'!X36</f>
        <v>47330280</v>
      </c>
      <c r="Y36" s="123">
        <f>+'MLS24-Budget'!Y36</f>
        <v>47569783</v>
      </c>
      <c r="Z36" s="123">
        <f>+'MLS24-Budget'!Z36</f>
        <v>46418705</v>
      </c>
      <c r="AA36" s="123">
        <f>+'MLS24-Budget'!AA36</f>
        <v>50660038</v>
      </c>
      <c r="AB36" s="123">
        <f>+'MLS24-Budget'!AB36</f>
        <v>43646451</v>
      </c>
      <c r="AC36" s="123">
        <f>+'MLS24-Budget'!AC36</f>
        <v>38249579</v>
      </c>
      <c r="AD36" s="123">
        <f>+'MLS24-Budget'!AD36</f>
        <v>42104372</v>
      </c>
      <c r="AE36" s="123">
        <f t="shared" si="5"/>
        <v>484022708</v>
      </c>
    </row>
    <row r="37" spans="1:31" s="4" customFormat="1">
      <c r="A37" s="757" t="s">
        <v>299</v>
      </c>
      <c r="B37" s="123">
        <f>+'MLS24-Budget'!B37</f>
        <v>5117</v>
      </c>
      <c r="C37" s="123">
        <f>+'MLS24-Budget'!C37</f>
        <v>14774</v>
      </c>
      <c r="D37" s="123">
        <f>+'MLS24-Budget'!D37</f>
        <v>6102</v>
      </c>
      <c r="E37" s="123">
        <f>+'MLS24-Budget'!E37</f>
        <v>7576</v>
      </c>
      <c r="F37" s="123">
        <f>+'MLS24-Budget'!F37</f>
        <v>6589</v>
      </c>
      <c r="G37" s="123">
        <f>+'MLS24-Budget'!G37</f>
        <v>10413</v>
      </c>
      <c r="H37" s="123">
        <f>+'MLS24-Budget'!H37</f>
        <v>10063</v>
      </c>
      <c r="I37" s="123">
        <f>+'MLS24-Budget'!I37</f>
        <v>9819</v>
      </c>
      <c r="J37" s="123">
        <f>+'MLS24-Budget'!J37</f>
        <v>8793</v>
      </c>
      <c r="K37" s="123">
        <f>+'MLS24-Budget'!K37</f>
        <v>8891</v>
      </c>
      <c r="L37" s="123">
        <f>+'MLS24-Budget'!L37</f>
        <v>7792</v>
      </c>
      <c r="M37" s="123">
        <f>+'MLS24-Budget'!M37</f>
        <v>8577</v>
      </c>
      <c r="N37" s="123">
        <f t="shared" si="4"/>
        <v>104506</v>
      </c>
      <c r="S37" s="123">
        <f>+'MLS24-Budget'!S37</f>
        <v>23700827</v>
      </c>
      <c r="T37" s="123">
        <f>+'MLS24-Budget'!T37</f>
        <v>71036197</v>
      </c>
      <c r="U37" s="123">
        <f>+'MLS24-Budget'!U37</f>
        <v>28237313</v>
      </c>
      <c r="V37" s="123">
        <f>+'MLS24-Budget'!V37</f>
        <v>37879509</v>
      </c>
      <c r="W37" s="123">
        <f>+'MLS24-Budget'!W37</f>
        <v>32943435</v>
      </c>
      <c r="X37" s="123">
        <f>+'MLS24-Budget'!X37</f>
        <v>52063308</v>
      </c>
      <c r="Y37" s="123">
        <f>+'MLS24-Budget'!Y37</f>
        <v>52326762</v>
      </c>
      <c r="Z37" s="123">
        <f>+'MLS24-Budget'!Z37</f>
        <v>51060575</v>
      </c>
      <c r="AA37" s="123">
        <f>+'MLS24-Budget'!AA37</f>
        <v>45726042</v>
      </c>
      <c r="AB37" s="123">
        <f>+'MLS24-Budget'!AB37</f>
        <v>48011096</v>
      </c>
      <c r="AC37" s="123">
        <f>+'MLS24-Budget'!AC37</f>
        <v>42074537</v>
      </c>
      <c r="AD37" s="123">
        <f>+'MLS24-Budget'!AD37</f>
        <v>46314809</v>
      </c>
      <c r="AE37" s="123">
        <f t="shared" si="5"/>
        <v>531374410</v>
      </c>
    </row>
    <row r="38" spans="1:31" s="4" customFormat="1">
      <c r="A38" s="757" t="s">
        <v>397</v>
      </c>
      <c r="B38" s="123">
        <f>+'MLS24-Budget'!B38</f>
        <v>7628</v>
      </c>
      <c r="C38" s="123">
        <f>+'MLS24-Budget'!C38</f>
        <v>8493</v>
      </c>
      <c r="D38" s="123">
        <f>+'MLS24-Budget'!D38</f>
        <v>6555</v>
      </c>
      <c r="E38" s="123">
        <f>+'MLS24-Budget'!E38</f>
        <v>6887</v>
      </c>
      <c r="F38" s="123">
        <f>+'MLS24-Budget'!F38</f>
        <v>5990</v>
      </c>
      <c r="G38" s="123">
        <f>+'MLS24-Budget'!G38</f>
        <v>9466</v>
      </c>
      <c r="H38" s="123">
        <f>+'MLS24-Budget'!H38</f>
        <v>9148</v>
      </c>
      <c r="I38" s="123">
        <f>+'MLS24-Budget'!I38</f>
        <v>8927</v>
      </c>
      <c r="J38" s="123">
        <f>+'MLS24-Budget'!J38</f>
        <v>9742</v>
      </c>
      <c r="K38" s="123">
        <f>+'MLS24-Budget'!K38</f>
        <v>8083</v>
      </c>
      <c r="L38" s="123">
        <f>+'MLS24-Budget'!L38</f>
        <v>7083</v>
      </c>
      <c r="M38" s="123">
        <f>+'MLS24-Budget'!M38</f>
        <v>7797</v>
      </c>
      <c r="N38" s="123">
        <f t="shared" si="4"/>
        <v>95799</v>
      </c>
      <c r="S38" s="123">
        <f>+'MLS24-Budget'!S38</f>
        <v>35333771</v>
      </c>
      <c r="T38" s="123">
        <f>+'MLS24-Budget'!T38</f>
        <v>40833773</v>
      </c>
      <c r="U38" s="123">
        <f>+'MLS24-Budget'!U38</f>
        <v>30330810</v>
      </c>
      <c r="V38" s="123">
        <f>+'MLS24-Budget'!V38</f>
        <v>34435917</v>
      </c>
      <c r="W38" s="123">
        <f>+'MLS24-Budget'!W38</f>
        <v>29948577</v>
      </c>
      <c r="X38" s="123">
        <f>+'MLS24-Budget'!X38</f>
        <v>47330280</v>
      </c>
      <c r="Y38" s="123">
        <f>+'MLS24-Budget'!Y38</f>
        <v>47569783</v>
      </c>
      <c r="Z38" s="123">
        <f>+'MLS24-Budget'!Z38</f>
        <v>46418705</v>
      </c>
      <c r="AA38" s="123">
        <f>+'MLS24-Budget'!AA38</f>
        <v>50660038</v>
      </c>
      <c r="AB38" s="123">
        <f>+'MLS24-Budget'!AB38</f>
        <v>43646451</v>
      </c>
      <c r="AC38" s="123">
        <f>+'MLS24-Budget'!AC38</f>
        <v>38249579</v>
      </c>
      <c r="AD38" s="123">
        <f>+'MLS24-Budget'!AD38</f>
        <v>42104372</v>
      </c>
      <c r="AE38" s="123">
        <f t="shared" si="5"/>
        <v>486862056</v>
      </c>
    </row>
    <row r="39" spans="1:31" s="4" customFormat="1">
      <c r="A39" s="757" t="s">
        <v>593</v>
      </c>
      <c r="B39" s="123">
        <f>+'MLS24-Budget'!B39</f>
        <v>-181</v>
      </c>
      <c r="C39" s="123">
        <f>+'MLS24-Budget'!C39</f>
        <v>175</v>
      </c>
      <c r="D39" s="123">
        <f>+'MLS24-Budget'!D39</f>
        <v>0</v>
      </c>
      <c r="E39" s="123">
        <f>+'MLS24-Budget'!E39</f>
        <v>0</v>
      </c>
      <c r="F39" s="123">
        <f>+'MLS24-Budget'!F39</f>
        <v>0</v>
      </c>
      <c r="G39" s="123">
        <f>+'MLS24-Budget'!G39</f>
        <v>0</v>
      </c>
      <c r="H39" s="123">
        <f>+'MLS24-Budget'!H39</f>
        <v>0</v>
      </c>
      <c r="I39" s="123">
        <f>+'MLS24-Budget'!I39</f>
        <v>0</v>
      </c>
      <c r="J39" s="123">
        <f>+'MLS24-Budget'!J39</f>
        <v>0</v>
      </c>
      <c r="K39" s="123">
        <f>+'MLS24-Budget'!K39</f>
        <v>0</v>
      </c>
      <c r="L39" s="123">
        <f>+'MLS24-Budget'!L39</f>
        <v>0</v>
      </c>
      <c r="M39" s="123">
        <f>+'MLS24-Budget'!M39</f>
        <v>0</v>
      </c>
      <c r="N39" s="123">
        <f t="shared" si="4"/>
        <v>-6</v>
      </c>
      <c r="S39" s="123">
        <f>+'MLS24-Budget'!S39</f>
        <v>-840106</v>
      </c>
      <c r="T39" s="123">
        <f>+'MLS24-Budget'!T39</f>
        <v>840106</v>
      </c>
      <c r="U39" s="123">
        <f>+'MLS24-Budget'!U39</f>
        <v>0</v>
      </c>
      <c r="V39" s="123">
        <f>+'MLS24-Budget'!V39</f>
        <v>0</v>
      </c>
      <c r="W39" s="123">
        <f>+'MLS24-Budget'!W39</f>
        <v>0</v>
      </c>
      <c r="X39" s="123">
        <f>+'MLS24-Budget'!X39</f>
        <v>0</v>
      </c>
      <c r="Y39" s="123">
        <f>+'MLS24-Budget'!Y39</f>
        <v>0</v>
      </c>
      <c r="Z39" s="123">
        <f>+'MLS24-Budget'!Z39</f>
        <v>0</v>
      </c>
      <c r="AA39" s="123">
        <f>+'MLS24-Budget'!AA39</f>
        <v>0</v>
      </c>
      <c r="AB39" s="123">
        <f>+'MLS24-Budget'!AB39</f>
        <v>0</v>
      </c>
      <c r="AC39" s="123">
        <f>+'MLS24-Budget'!AC39</f>
        <v>0</v>
      </c>
      <c r="AD39" s="123">
        <f>+'MLS24-Budget'!AD39</f>
        <v>0</v>
      </c>
      <c r="AE39" s="123">
        <f t="shared" si="5"/>
        <v>0</v>
      </c>
    </row>
    <row r="40" spans="1:31" s="4" customFormat="1">
      <c r="A40" s="757" t="s">
        <v>399</v>
      </c>
      <c r="B40" s="123">
        <f>+'MLS24-Budget'!B40</f>
        <v>0</v>
      </c>
      <c r="C40" s="123">
        <f>+'MLS24-Budget'!C40</f>
        <v>0</v>
      </c>
      <c r="D40" s="123">
        <f>+'MLS24-Budget'!D40</f>
        <v>0</v>
      </c>
      <c r="E40" s="123">
        <f>+'MLS24-Budget'!E40</f>
        <v>0</v>
      </c>
      <c r="F40" s="123">
        <f>+'MLS24-Budget'!F40</f>
        <v>0</v>
      </c>
      <c r="G40" s="123">
        <f>+'MLS24-Budget'!G40</f>
        <v>0</v>
      </c>
      <c r="H40" s="123">
        <f>+'MLS24-Budget'!H40</f>
        <v>0</v>
      </c>
      <c r="I40" s="123">
        <f>+'MLS24-Budget'!I40</f>
        <v>0</v>
      </c>
      <c r="J40" s="123">
        <f>+'MLS24-Budget'!J40</f>
        <v>0</v>
      </c>
      <c r="K40" s="123">
        <f>+'MLS24-Budget'!K40</f>
        <v>0</v>
      </c>
      <c r="L40" s="123">
        <f>+'MLS24-Budget'!L40</f>
        <v>0</v>
      </c>
      <c r="M40" s="123">
        <f>+'MLS24-Budget'!M40</f>
        <v>0</v>
      </c>
      <c r="N40" s="123">
        <f t="shared" si="4"/>
        <v>0</v>
      </c>
      <c r="S40" s="123">
        <f>+'MLS24-Budget'!S40</f>
        <v>0</v>
      </c>
      <c r="T40" s="123">
        <f>+'MLS24-Budget'!T40</f>
        <v>0</v>
      </c>
      <c r="U40" s="123">
        <f>+'MLS24-Budget'!U40</f>
        <v>0</v>
      </c>
      <c r="V40" s="123">
        <f>+'MLS24-Budget'!V40</f>
        <v>0</v>
      </c>
      <c r="W40" s="123">
        <f>+'MLS24-Budget'!W40</f>
        <v>0</v>
      </c>
      <c r="X40" s="123">
        <f>+'MLS24-Budget'!X40</f>
        <v>0</v>
      </c>
      <c r="Y40" s="123">
        <f>+'MLS24-Budget'!Y40</f>
        <v>0</v>
      </c>
      <c r="Z40" s="123">
        <f>+'MLS24-Budget'!Z40</f>
        <v>0</v>
      </c>
      <c r="AA40" s="123">
        <f>+'MLS24-Budget'!AA40</f>
        <v>0</v>
      </c>
      <c r="AB40" s="123">
        <f>+'MLS24-Budget'!AB40</f>
        <v>0</v>
      </c>
      <c r="AC40" s="123">
        <f>+'MLS24-Budget'!AC40</f>
        <v>0</v>
      </c>
      <c r="AD40" s="123">
        <f>+'MLS24-Budget'!AD40</f>
        <v>0</v>
      </c>
      <c r="AE40" s="123">
        <f t="shared" si="5"/>
        <v>0</v>
      </c>
    </row>
    <row r="41" spans="1:31" s="4" customFormat="1">
      <c r="A41" s="757" t="s">
        <v>400</v>
      </c>
      <c r="B41" s="123">
        <f>+'MLS24-Budget'!B41</f>
        <v>0</v>
      </c>
      <c r="C41" s="123">
        <f>+'MLS24-Budget'!C41</f>
        <v>0</v>
      </c>
      <c r="D41" s="123">
        <f>+'MLS24-Budget'!D41</f>
        <v>0</v>
      </c>
      <c r="E41" s="123">
        <f>+'MLS24-Budget'!E41</f>
        <v>0</v>
      </c>
      <c r="F41" s="123">
        <f>+'MLS24-Budget'!F41</f>
        <v>0</v>
      </c>
      <c r="G41" s="123">
        <f>+'MLS24-Budget'!G41</f>
        <v>0</v>
      </c>
      <c r="H41" s="123">
        <f>+'MLS24-Budget'!H41</f>
        <v>0</v>
      </c>
      <c r="I41" s="123">
        <f>+'MLS24-Budget'!I41</f>
        <v>0</v>
      </c>
      <c r="J41" s="123">
        <f>+'MLS24-Budget'!J41</f>
        <v>0</v>
      </c>
      <c r="K41" s="123">
        <f>+'MLS24-Budget'!K41</f>
        <v>0</v>
      </c>
      <c r="L41" s="123">
        <f>+'MLS24-Budget'!L41</f>
        <v>0</v>
      </c>
      <c r="M41" s="123">
        <f>+'MLS24-Budget'!M41</f>
        <v>0</v>
      </c>
      <c r="N41" s="123">
        <f t="shared" si="4"/>
        <v>0</v>
      </c>
      <c r="S41" s="123">
        <f>+'MLS24-Budget'!S41</f>
        <v>0</v>
      </c>
      <c r="T41" s="123">
        <f>+'MLS24-Budget'!T41</f>
        <v>0</v>
      </c>
      <c r="U41" s="123">
        <f>+'MLS24-Budget'!U41</f>
        <v>0</v>
      </c>
      <c r="V41" s="123">
        <f>+'MLS24-Budget'!V41</f>
        <v>0</v>
      </c>
      <c r="W41" s="123">
        <f>+'MLS24-Budget'!W41</f>
        <v>0</v>
      </c>
      <c r="X41" s="123">
        <f>+'MLS24-Budget'!X41</f>
        <v>0</v>
      </c>
      <c r="Y41" s="123">
        <f>+'MLS24-Budget'!Y41</f>
        <v>0</v>
      </c>
      <c r="Z41" s="123">
        <f>+'MLS24-Budget'!Z41</f>
        <v>0</v>
      </c>
      <c r="AA41" s="123">
        <f>+'MLS24-Budget'!AA41</f>
        <v>0</v>
      </c>
      <c r="AB41" s="123">
        <f>+'MLS24-Budget'!AB41</f>
        <v>0</v>
      </c>
      <c r="AC41" s="123">
        <f>+'MLS24-Budget'!AC41</f>
        <v>0</v>
      </c>
      <c r="AD41" s="123">
        <f>+'MLS24-Budget'!AD41</f>
        <v>0</v>
      </c>
      <c r="AE41" s="123">
        <f t="shared" si="5"/>
        <v>0</v>
      </c>
    </row>
    <row r="42" spans="1:31" s="4" customFormat="1">
      <c r="A42" s="757" t="s">
        <v>66</v>
      </c>
      <c r="B42" s="123">
        <f>+'MLS24-Budget'!B42</f>
        <v>8906</v>
      </c>
      <c r="C42" s="123">
        <f>+'MLS24-Budget'!C42</f>
        <v>8220</v>
      </c>
      <c r="D42" s="123">
        <f>+'MLS24-Budget'!D42</f>
        <v>7474</v>
      </c>
      <c r="E42" s="123">
        <f>+'MLS24-Budget'!E42</f>
        <v>5510</v>
      </c>
      <c r="F42" s="123">
        <f>+'MLS24-Budget'!F42</f>
        <v>4792</v>
      </c>
      <c r="G42" s="123">
        <f>+'MLS24-Budget'!G42</f>
        <v>7573</v>
      </c>
      <c r="H42" s="123">
        <f>+'MLS24-Budget'!H42</f>
        <v>7318</v>
      </c>
      <c r="I42" s="123">
        <f>+'MLS24-Budget'!I42</f>
        <v>7141</v>
      </c>
      <c r="J42" s="123">
        <f>+'MLS24-Budget'!J42</f>
        <v>7794</v>
      </c>
      <c r="K42" s="123">
        <f>+'MLS24-Budget'!K42</f>
        <v>6466</v>
      </c>
      <c r="L42" s="123">
        <f>+'MLS24-Budget'!L42</f>
        <v>5667</v>
      </c>
      <c r="M42" s="123">
        <f>+'MLS24-Budget'!M42</f>
        <v>6238</v>
      </c>
      <c r="N42" s="123">
        <f t="shared" si="4"/>
        <v>83099</v>
      </c>
      <c r="S42" s="123">
        <f>+'MLS24-Budget'!S42</f>
        <v>41256355</v>
      </c>
      <c r="T42" s="123">
        <f>+'MLS24-Budget'!T42</f>
        <v>39524694</v>
      </c>
      <c r="U42" s="123">
        <f>+'MLS24-Budget'!U42</f>
        <v>34584951</v>
      </c>
      <c r="V42" s="123">
        <f>+'MLS24-Budget'!V42</f>
        <v>27548734</v>
      </c>
      <c r="W42" s="123">
        <f>+'MLS24-Budget'!W42</f>
        <v>23958862</v>
      </c>
      <c r="X42" s="123">
        <f>+'MLS24-Budget'!X42</f>
        <v>37864224</v>
      </c>
      <c r="Y42" s="123">
        <f>+'MLS24-Budget'!Y42</f>
        <v>38055827</v>
      </c>
      <c r="Z42" s="123">
        <f>+'MLS24-Budget'!Z42</f>
        <v>37134964</v>
      </c>
      <c r="AA42" s="123">
        <f>+'MLS24-Budget'!AA42</f>
        <v>40528031</v>
      </c>
      <c r="AB42" s="123">
        <f>+'MLS24-Budget'!AB42</f>
        <v>34917161</v>
      </c>
      <c r="AC42" s="123">
        <f>+'MLS24-Budget'!AC42</f>
        <v>30599663</v>
      </c>
      <c r="AD42" s="123">
        <f>+'MLS24-Budget'!AD42</f>
        <v>33683498</v>
      </c>
      <c r="AE42" s="123">
        <f t="shared" si="5"/>
        <v>419656964</v>
      </c>
    </row>
    <row r="43" spans="1:31" s="4" customFormat="1">
      <c r="A43" s="757" t="s">
        <v>401</v>
      </c>
      <c r="B43" s="123">
        <f>+'MLS24-Budget'!B43</f>
        <v>0</v>
      </c>
      <c r="C43" s="123">
        <f>+'MLS24-Budget'!C43</f>
        <v>0</v>
      </c>
      <c r="D43" s="123">
        <f>+'MLS24-Budget'!D43</f>
        <v>0</v>
      </c>
      <c r="E43" s="123">
        <f>+'MLS24-Budget'!E43</f>
        <v>0</v>
      </c>
      <c r="F43" s="123">
        <f>+'MLS24-Budget'!F43</f>
        <v>0</v>
      </c>
      <c r="G43" s="123">
        <f>+'MLS24-Budget'!G43</f>
        <v>0</v>
      </c>
      <c r="H43" s="123">
        <f>+'MLS24-Budget'!H43</f>
        <v>0</v>
      </c>
      <c r="I43" s="123">
        <f>+'MLS24-Budget'!I43</f>
        <v>0</v>
      </c>
      <c r="J43" s="123">
        <f>+'MLS24-Budget'!J43</f>
        <v>0</v>
      </c>
      <c r="K43" s="123">
        <f>+'MLS24-Budget'!K43</f>
        <v>0</v>
      </c>
      <c r="L43" s="123">
        <f>+'MLS24-Budget'!L43</f>
        <v>0</v>
      </c>
      <c r="M43" s="123">
        <f>+'MLS24-Budget'!M43</f>
        <v>0</v>
      </c>
      <c r="N43" s="123">
        <f t="shared" si="4"/>
        <v>0</v>
      </c>
      <c r="S43" s="123">
        <f>+'MLS24-Budget'!S43</f>
        <v>0</v>
      </c>
      <c r="T43" s="123">
        <f>+'MLS24-Budget'!T43</f>
        <v>0</v>
      </c>
      <c r="U43" s="123">
        <f>+'MLS24-Budget'!U43</f>
        <v>0</v>
      </c>
      <c r="V43" s="123">
        <f>+'MLS24-Budget'!V43</f>
        <v>0</v>
      </c>
      <c r="W43" s="123">
        <f>+'MLS24-Budget'!W43</f>
        <v>0</v>
      </c>
      <c r="X43" s="123">
        <f>+'MLS24-Budget'!X43</f>
        <v>0</v>
      </c>
      <c r="Y43" s="123">
        <f>+'MLS24-Budget'!Y43</f>
        <v>0</v>
      </c>
      <c r="Z43" s="123">
        <f>+'MLS24-Budget'!Z43</f>
        <v>0</v>
      </c>
      <c r="AA43" s="123">
        <f>+'MLS24-Budget'!AA43</f>
        <v>0</v>
      </c>
      <c r="AB43" s="123">
        <f>+'MLS24-Budget'!AB43</f>
        <v>0</v>
      </c>
      <c r="AC43" s="123">
        <f>+'MLS24-Budget'!AC43</f>
        <v>0</v>
      </c>
      <c r="AD43" s="123">
        <f>+'MLS24-Budget'!AD43</f>
        <v>0</v>
      </c>
      <c r="AE43" s="123">
        <f t="shared" si="5"/>
        <v>0</v>
      </c>
    </row>
    <row r="44" spans="1:31" s="4" customFormat="1">
      <c r="A44" s="757" t="s">
        <v>402</v>
      </c>
      <c r="B44" s="123">
        <f>+'MLS24-Budget'!B44</f>
        <v>0</v>
      </c>
      <c r="C44" s="123">
        <f>+'MLS24-Budget'!C44</f>
        <v>0</v>
      </c>
      <c r="D44" s="123">
        <f>+'MLS24-Budget'!D44</f>
        <v>0</v>
      </c>
      <c r="E44" s="123">
        <f>+'MLS24-Budget'!E44</f>
        <v>0</v>
      </c>
      <c r="F44" s="123">
        <f>+'MLS24-Budget'!F44</f>
        <v>0</v>
      </c>
      <c r="G44" s="123">
        <f>+'MLS24-Budget'!G44</f>
        <v>0</v>
      </c>
      <c r="H44" s="123">
        <f>+'MLS24-Budget'!H44</f>
        <v>0</v>
      </c>
      <c r="I44" s="123">
        <f>+'MLS24-Budget'!I44</f>
        <v>0</v>
      </c>
      <c r="J44" s="123">
        <f>+'MLS24-Budget'!J44</f>
        <v>0</v>
      </c>
      <c r="K44" s="123">
        <f>+'MLS24-Budget'!K44</f>
        <v>0</v>
      </c>
      <c r="L44" s="123">
        <f>+'MLS24-Budget'!L44</f>
        <v>0</v>
      </c>
      <c r="M44" s="123">
        <f>+'MLS24-Budget'!M44</f>
        <v>0</v>
      </c>
      <c r="N44" s="123">
        <f t="shared" si="4"/>
        <v>0</v>
      </c>
      <c r="S44" s="123">
        <f>+'MLS24-Budget'!S44</f>
        <v>0</v>
      </c>
      <c r="T44" s="123">
        <f>+'MLS24-Budget'!T44</f>
        <v>0</v>
      </c>
      <c r="U44" s="123">
        <f>+'MLS24-Budget'!U44</f>
        <v>0</v>
      </c>
      <c r="V44" s="123">
        <f>+'MLS24-Budget'!V44</f>
        <v>0</v>
      </c>
      <c r="W44" s="123">
        <f>+'MLS24-Budget'!W44</f>
        <v>0</v>
      </c>
      <c r="X44" s="123">
        <f>+'MLS24-Budget'!X44</f>
        <v>0</v>
      </c>
      <c r="Y44" s="123">
        <f>+'MLS24-Budget'!Y44</f>
        <v>0</v>
      </c>
      <c r="Z44" s="123">
        <f>+'MLS24-Budget'!Z44</f>
        <v>0</v>
      </c>
      <c r="AA44" s="123">
        <f>+'MLS24-Budget'!AA44</f>
        <v>0</v>
      </c>
      <c r="AB44" s="123">
        <f>+'MLS24-Budget'!AB44</f>
        <v>0</v>
      </c>
      <c r="AC44" s="123">
        <f>+'MLS24-Budget'!AC44</f>
        <v>0</v>
      </c>
      <c r="AD44" s="123">
        <f>+'MLS24-Budget'!AD44</f>
        <v>0</v>
      </c>
      <c r="AE44" s="123">
        <f t="shared" si="5"/>
        <v>0</v>
      </c>
    </row>
    <row r="45" spans="1:31" s="4" customFormat="1">
      <c r="A45" s="757" t="s">
        <v>403</v>
      </c>
      <c r="B45" s="123">
        <f>+'MLS24-Budget'!B45</f>
        <v>0</v>
      </c>
      <c r="C45" s="123">
        <f>+'MLS24-Budget'!C45</f>
        <v>0</v>
      </c>
      <c r="D45" s="123">
        <f>+'MLS24-Budget'!D45</f>
        <v>0</v>
      </c>
      <c r="E45" s="123">
        <f>+'MLS24-Budget'!E45</f>
        <v>0</v>
      </c>
      <c r="F45" s="123">
        <f>+'MLS24-Budget'!F45</f>
        <v>0</v>
      </c>
      <c r="G45" s="123">
        <f>+'MLS24-Budget'!G45</f>
        <v>0</v>
      </c>
      <c r="H45" s="123">
        <f>+'MLS24-Budget'!H45</f>
        <v>0</v>
      </c>
      <c r="I45" s="123">
        <f>+'MLS24-Budget'!I45</f>
        <v>0</v>
      </c>
      <c r="J45" s="123">
        <f>+'MLS24-Budget'!J45</f>
        <v>0</v>
      </c>
      <c r="K45" s="123">
        <f>+'MLS24-Budget'!K45</f>
        <v>0</v>
      </c>
      <c r="L45" s="123">
        <f>+'MLS24-Budget'!L45</f>
        <v>0</v>
      </c>
      <c r="M45" s="123">
        <f>+'MLS24-Budget'!M45</f>
        <v>0</v>
      </c>
      <c r="N45" s="123">
        <f t="shared" si="4"/>
        <v>0</v>
      </c>
      <c r="S45" s="123">
        <f>+'MLS24-Budget'!S45</f>
        <v>0</v>
      </c>
      <c r="T45" s="123">
        <f>+'MLS24-Budget'!T45</f>
        <v>0</v>
      </c>
      <c r="U45" s="123">
        <f>+'MLS24-Budget'!U45</f>
        <v>0</v>
      </c>
      <c r="V45" s="123">
        <f>+'MLS24-Budget'!V45</f>
        <v>0</v>
      </c>
      <c r="W45" s="123">
        <f>+'MLS24-Budget'!W45</f>
        <v>0</v>
      </c>
      <c r="X45" s="123">
        <f>+'MLS24-Budget'!X45</f>
        <v>0</v>
      </c>
      <c r="Y45" s="123">
        <f>+'MLS24-Budget'!Y45</f>
        <v>0</v>
      </c>
      <c r="Z45" s="123">
        <f>+'MLS24-Budget'!Z45</f>
        <v>0</v>
      </c>
      <c r="AA45" s="123">
        <f>+'MLS24-Budget'!AA45</f>
        <v>0</v>
      </c>
      <c r="AB45" s="123">
        <f>+'MLS24-Budget'!AB45</f>
        <v>0</v>
      </c>
      <c r="AC45" s="123">
        <f>+'MLS24-Budget'!AC45</f>
        <v>0</v>
      </c>
      <c r="AD45" s="123">
        <f>+'MLS24-Budget'!AD45</f>
        <v>0</v>
      </c>
      <c r="AE45" s="123">
        <f t="shared" si="5"/>
        <v>0</v>
      </c>
    </row>
    <row r="46" spans="1:31" s="4" customFormat="1">
      <c r="A46" s="757" t="s">
        <v>404</v>
      </c>
      <c r="B46" s="123">
        <f>+'MLS24-Budget'!B46</f>
        <v>28113</v>
      </c>
      <c r="C46" s="123">
        <f>+'MLS24-Budget'!C46</f>
        <v>27705</v>
      </c>
      <c r="D46" s="123">
        <f>+'MLS24-Budget'!D46</f>
        <v>28187</v>
      </c>
      <c r="E46" s="123">
        <f>+'MLS24-Budget'!E46</f>
        <v>26805</v>
      </c>
      <c r="F46" s="123">
        <f>+'MLS24-Budget'!F46</f>
        <v>27221</v>
      </c>
      <c r="G46" s="123">
        <f>+'MLS24-Budget'!G46</f>
        <v>27638</v>
      </c>
      <c r="H46" s="123">
        <f>+'MLS24-Budget'!H46</f>
        <v>27032</v>
      </c>
      <c r="I46" s="123">
        <f>+'MLS24-Budget'!I46</f>
        <v>27255</v>
      </c>
      <c r="J46" s="123">
        <f>+'MLS24-Budget'!J46</f>
        <v>27486</v>
      </c>
      <c r="K46" s="123">
        <f>+'MLS24-Budget'!K46</f>
        <v>26762</v>
      </c>
      <c r="L46" s="123">
        <f>+'MLS24-Budget'!L46</f>
        <v>26982</v>
      </c>
      <c r="M46" s="123">
        <f>+'MLS24-Budget'!M46</f>
        <v>27202</v>
      </c>
      <c r="N46" s="123">
        <f t="shared" si="4"/>
        <v>328388</v>
      </c>
      <c r="S46" s="123">
        <f>+'MLS24-Budget'!S46</f>
        <v>130225277</v>
      </c>
      <c r="T46" s="123">
        <f>+'MLS24-Budget'!T46</f>
        <v>133207177</v>
      </c>
      <c r="U46" s="123">
        <f>+'MLS24-Budget'!U46</f>
        <v>130429998</v>
      </c>
      <c r="V46" s="123">
        <f>+'MLS24-Budget'!V46</f>
        <v>134022949</v>
      </c>
      <c r="W46" s="123">
        <f>+'MLS24-Budget'!W46</f>
        <v>136106935</v>
      </c>
      <c r="X46" s="123">
        <f>+'MLS24-Budget'!X46</f>
        <v>138190921</v>
      </c>
      <c r="Y46" s="123">
        <f>+'MLS24-Budget'!Y46</f>
        <v>140565903</v>
      </c>
      <c r="Z46" s="123">
        <f>+'MLS24-Budget'!Z46</f>
        <v>141728190</v>
      </c>
      <c r="AA46" s="123">
        <f>+'MLS24-Budget'!AA46</f>
        <v>142924806</v>
      </c>
      <c r="AB46" s="123">
        <f>+'MLS24-Budget'!AB46</f>
        <v>144513520</v>
      </c>
      <c r="AC46" s="123">
        <f>+'MLS24-Budget'!AC46</f>
        <v>145703487</v>
      </c>
      <c r="AD46" s="123">
        <f>+'MLS24-Budget'!AD46</f>
        <v>146893453</v>
      </c>
      <c r="AE46" s="123">
        <f t="shared" si="5"/>
        <v>1664512616</v>
      </c>
    </row>
    <row r="47" spans="1:31" s="37" customFormat="1">
      <c r="A47" s="32" t="s">
        <v>684</v>
      </c>
      <c r="B47" s="123">
        <f>+'MLS24-Budget'!B47</f>
        <v>0</v>
      </c>
      <c r="C47" s="123">
        <f>+'MLS24-Budget'!C47</f>
        <v>0</v>
      </c>
      <c r="D47" s="123">
        <f>+'MLS24-Budget'!D47</f>
        <v>0</v>
      </c>
      <c r="E47" s="123">
        <f>+'MLS24-Budget'!E47</f>
        <v>0</v>
      </c>
      <c r="F47" s="123">
        <f>+'MLS24-Budget'!F47</f>
        <v>0</v>
      </c>
      <c r="G47" s="123">
        <f>+'MLS24-Budget'!G47</f>
        <v>0</v>
      </c>
      <c r="H47" s="123">
        <f>+'MLS24-Budget'!H47</f>
        <v>0</v>
      </c>
      <c r="I47" s="123">
        <f>+'MLS24-Budget'!I47</f>
        <v>0</v>
      </c>
      <c r="J47" s="123">
        <f>+'MLS24-Budget'!J47</f>
        <v>0</v>
      </c>
      <c r="K47" s="123">
        <f>+'MLS24-Budget'!K47</f>
        <v>0</v>
      </c>
      <c r="L47" s="123">
        <f>+'MLS24-Budget'!L47</f>
        <v>0</v>
      </c>
      <c r="M47" s="123">
        <f>+'MLS24-Budget'!M47</f>
        <v>0</v>
      </c>
      <c r="N47" s="123">
        <f t="shared" si="4"/>
        <v>0</v>
      </c>
      <c r="S47" s="123">
        <f>+'MLS24-Budget'!S47</f>
        <v>0</v>
      </c>
      <c r="T47" s="123">
        <f>+'MLS24-Budget'!T47</f>
        <v>0</v>
      </c>
      <c r="U47" s="123">
        <f>+'MLS24-Budget'!U47</f>
        <v>0</v>
      </c>
      <c r="V47" s="123">
        <f>+'MLS24-Budget'!V47</f>
        <v>0</v>
      </c>
      <c r="W47" s="123">
        <f>+'MLS24-Budget'!W47</f>
        <v>0</v>
      </c>
      <c r="X47" s="123">
        <f>+'MLS24-Budget'!X47</f>
        <v>0</v>
      </c>
      <c r="Y47" s="123">
        <f>+'MLS24-Budget'!Y47</f>
        <v>0</v>
      </c>
      <c r="Z47" s="123">
        <f>+'MLS24-Budget'!Z47</f>
        <v>0</v>
      </c>
      <c r="AA47" s="123">
        <f>+'MLS24-Budget'!AA47</f>
        <v>0</v>
      </c>
      <c r="AB47" s="123">
        <f>+'MLS24-Budget'!AB47</f>
        <v>0</v>
      </c>
      <c r="AC47" s="123">
        <f>+'MLS24-Budget'!AC47</f>
        <v>0</v>
      </c>
      <c r="AD47" s="123">
        <f>+'MLS24-Budget'!AD47</f>
        <v>0</v>
      </c>
      <c r="AE47" s="123">
        <f t="shared" si="5"/>
        <v>0</v>
      </c>
    </row>
    <row r="48" spans="1:31" s="4" customFormat="1">
      <c r="A48" s="757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5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5"/>
    </row>
    <row r="49" spans="1:31" s="1" customFormat="1" ht="13.5" thickBot="1">
      <c r="A49" s="6" t="s">
        <v>407</v>
      </c>
      <c r="B49" s="16">
        <f t="shared" ref="B49:N49" si="6">SUM(B16:B48)</f>
        <v>564305</v>
      </c>
      <c r="C49" s="16">
        <f t="shared" si="6"/>
        <v>486794</v>
      </c>
      <c r="D49" s="16">
        <f t="shared" si="6"/>
        <v>423369</v>
      </c>
      <c r="E49" s="16">
        <f t="shared" si="6"/>
        <v>462779</v>
      </c>
      <c r="F49" s="16">
        <f t="shared" si="6"/>
        <v>426188</v>
      </c>
      <c r="G49" s="16">
        <f t="shared" si="6"/>
        <v>547536</v>
      </c>
      <c r="H49" s="16">
        <f t="shared" si="6"/>
        <v>544105</v>
      </c>
      <c r="I49" s="16">
        <f t="shared" si="6"/>
        <v>527900</v>
      </c>
      <c r="J49" s="16">
        <f t="shared" si="6"/>
        <v>557440</v>
      </c>
      <c r="K49" s="16">
        <f t="shared" si="6"/>
        <v>493520</v>
      </c>
      <c r="L49" s="16">
        <f t="shared" si="6"/>
        <v>446195</v>
      </c>
      <c r="M49" s="16">
        <f t="shared" si="6"/>
        <v>470941</v>
      </c>
      <c r="N49" s="16">
        <f t="shared" si="6"/>
        <v>5951072</v>
      </c>
      <c r="S49" s="16">
        <f t="shared" ref="S49:AE49" si="7">SUM(S16:S48)</f>
        <v>2613973879</v>
      </c>
      <c r="T49" s="16">
        <f t="shared" si="7"/>
        <v>2340578938</v>
      </c>
      <c r="U49" s="16">
        <f t="shared" si="7"/>
        <v>1959041560</v>
      </c>
      <c r="V49" s="16">
        <f t="shared" si="7"/>
        <v>2313881002</v>
      </c>
      <c r="W49" s="16">
        <f t="shared" si="7"/>
        <v>2130925961</v>
      </c>
      <c r="X49" s="16">
        <f t="shared" si="7"/>
        <v>2737679802</v>
      </c>
      <c r="Y49" s="16">
        <f t="shared" si="7"/>
        <v>2829346279</v>
      </c>
      <c r="Z49" s="16">
        <f t="shared" si="7"/>
        <v>2745073975</v>
      </c>
      <c r="AA49" s="16">
        <f t="shared" si="7"/>
        <v>2898684763</v>
      </c>
      <c r="AB49" s="16">
        <f t="shared" si="7"/>
        <v>2664994319</v>
      </c>
      <c r="AC49" s="16">
        <f t="shared" si="7"/>
        <v>2409452149</v>
      </c>
      <c r="AD49" s="16">
        <f t="shared" si="7"/>
        <v>2543087976</v>
      </c>
      <c r="AE49" s="16">
        <f t="shared" si="7"/>
        <v>30186720603</v>
      </c>
    </row>
    <row r="50" spans="1:31" ht="13.5" thickTop="1">
      <c r="A50" s="757" t="s">
        <v>59</v>
      </c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15"/>
      <c r="P50" s="8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15"/>
    </row>
    <row r="51" spans="1:31">
      <c r="A51" s="757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8"/>
      <c r="N51" s="22"/>
      <c r="P51" s="8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8"/>
      <c r="AE51" s="22"/>
    </row>
    <row r="52" spans="1:31">
      <c r="A52" s="6" t="s">
        <v>594</v>
      </c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8"/>
      <c r="N52" s="15">
        <v>0</v>
      </c>
      <c r="P52" s="8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8"/>
      <c r="AE52" s="15">
        <v>0</v>
      </c>
    </row>
    <row r="53" spans="1:31">
      <c r="A53" s="757" t="s">
        <v>595</v>
      </c>
      <c r="B53" s="14">
        <v>16917</v>
      </c>
      <c r="C53" s="14">
        <v>17318</v>
      </c>
      <c r="D53" s="14">
        <v>18476</v>
      </c>
      <c r="E53" s="14">
        <v>23824</v>
      </c>
      <c r="F53" s="14">
        <v>23824</v>
      </c>
      <c r="G53" s="14">
        <v>23824</v>
      </c>
      <c r="H53" s="14">
        <v>22908</v>
      </c>
      <c r="I53" s="14">
        <v>22908</v>
      </c>
      <c r="J53" s="14">
        <v>22908</v>
      </c>
      <c r="K53" s="14">
        <v>22059</v>
      </c>
      <c r="L53" s="14">
        <v>22059</v>
      </c>
      <c r="M53" s="14">
        <v>22059</v>
      </c>
      <c r="N53" s="15">
        <f t="shared" ref="N53:N70" si="8">SUM(B53,C53,D53,E53,F53,G53,H53,I53,J53,K53,L53,M53)</f>
        <v>259084</v>
      </c>
      <c r="P53" s="80"/>
      <c r="S53" s="14">
        <v>78364581</v>
      </c>
      <c r="T53" s="14">
        <v>83267363</v>
      </c>
      <c r="U53" s="14">
        <v>85493775</v>
      </c>
      <c r="V53" s="14">
        <v>119119894</v>
      </c>
      <c r="W53" s="14">
        <v>119119894</v>
      </c>
      <c r="X53" s="14">
        <v>119119894</v>
      </c>
      <c r="Y53" s="14">
        <v>119119894</v>
      </c>
      <c r="Z53" s="14">
        <v>119119894</v>
      </c>
      <c r="AA53" s="14">
        <v>119119894</v>
      </c>
      <c r="AB53" s="14">
        <v>119119894</v>
      </c>
      <c r="AC53" s="14">
        <v>119119894</v>
      </c>
      <c r="AD53" s="14">
        <v>119119894</v>
      </c>
      <c r="AE53" s="15">
        <f t="shared" ref="AE53:AE70" si="9">SUM(S53,T53,U53,V53,W53,X53,Y53,Z53,AA53,AB53,AC53,AD53)</f>
        <v>1319204765</v>
      </c>
    </row>
    <row r="54" spans="1:31">
      <c r="A54" s="757" t="s">
        <v>596</v>
      </c>
      <c r="B54" s="14">
        <v>12963</v>
      </c>
      <c r="C54" s="14">
        <v>14251</v>
      </c>
      <c r="D54" s="14">
        <v>14149</v>
      </c>
      <c r="E54" s="14">
        <v>16694</v>
      </c>
      <c r="F54" s="14">
        <v>16694</v>
      </c>
      <c r="G54" s="14">
        <v>16694</v>
      </c>
      <c r="H54" s="14">
        <v>16052</v>
      </c>
      <c r="I54" s="14">
        <v>16052</v>
      </c>
      <c r="J54" s="14">
        <v>16052</v>
      </c>
      <c r="K54" s="14">
        <v>15457</v>
      </c>
      <c r="L54" s="14">
        <v>15457</v>
      </c>
      <c r="M54" s="14">
        <v>15457</v>
      </c>
      <c r="N54" s="15">
        <f t="shared" si="8"/>
        <v>185972</v>
      </c>
      <c r="P54" s="80"/>
      <c r="S54" s="14">
        <v>60045691</v>
      </c>
      <c r="T54" s="14">
        <v>68522982</v>
      </c>
      <c r="U54" s="14">
        <v>65472571</v>
      </c>
      <c r="V54" s="14">
        <v>83468108</v>
      </c>
      <c r="W54" s="14">
        <v>83468108</v>
      </c>
      <c r="X54" s="14">
        <v>83468108</v>
      </c>
      <c r="Y54" s="14">
        <v>83468108</v>
      </c>
      <c r="Z54" s="14">
        <v>83468108</v>
      </c>
      <c r="AA54" s="14">
        <v>83468108</v>
      </c>
      <c r="AB54" s="14">
        <v>83468108</v>
      </c>
      <c r="AC54" s="14">
        <v>83468108</v>
      </c>
      <c r="AD54" s="14">
        <v>83468108</v>
      </c>
      <c r="AE54" s="15">
        <f t="shared" si="9"/>
        <v>945254216</v>
      </c>
    </row>
    <row r="55" spans="1:31" s="4" customFormat="1">
      <c r="A55" s="757" t="s">
        <v>597</v>
      </c>
      <c r="B55" s="14">
        <v>381</v>
      </c>
      <c r="C55" s="14">
        <v>655</v>
      </c>
      <c r="D55" s="14">
        <v>5470</v>
      </c>
      <c r="E55" s="14">
        <v>100</v>
      </c>
      <c r="F55" s="14">
        <v>1538</v>
      </c>
      <c r="G55" s="14">
        <v>470</v>
      </c>
      <c r="H55" s="14">
        <v>5736</v>
      </c>
      <c r="I55" s="14">
        <v>1923</v>
      </c>
      <c r="J55" s="14">
        <v>192</v>
      </c>
      <c r="K55" s="14">
        <v>370</v>
      </c>
      <c r="L55" s="14">
        <v>1481</v>
      </c>
      <c r="M55" s="14">
        <v>1481</v>
      </c>
      <c r="N55" s="15">
        <f t="shared" si="8"/>
        <v>19797</v>
      </c>
      <c r="O55" s="5"/>
      <c r="P55" s="81"/>
      <c r="S55" s="14">
        <v>1767000</v>
      </c>
      <c r="T55" s="14">
        <v>3151500</v>
      </c>
      <c r="U55" s="14">
        <v>25313000</v>
      </c>
      <c r="V55" s="14">
        <v>500000</v>
      </c>
      <c r="W55" s="14">
        <v>7692400</v>
      </c>
      <c r="X55" s="14">
        <v>2350000</v>
      </c>
      <c r="Y55" s="14">
        <v>29826440</v>
      </c>
      <c r="Z55" s="14">
        <v>10000000</v>
      </c>
      <c r="AA55" s="14">
        <v>1000000</v>
      </c>
      <c r="AB55" s="14">
        <v>2000000</v>
      </c>
      <c r="AC55" s="14">
        <v>8000000</v>
      </c>
      <c r="AD55" s="14">
        <v>8000000</v>
      </c>
      <c r="AE55" s="15">
        <f t="shared" si="9"/>
        <v>99600340</v>
      </c>
    </row>
    <row r="56" spans="1:31" s="4" customFormat="1">
      <c r="A56" s="757" t="s">
        <v>598</v>
      </c>
      <c r="B56" s="14">
        <v>4615</v>
      </c>
      <c r="C56" s="14">
        <v>5027</v>
      </c>
      <c r="D56" s="14">
        <v>7343</v>
      </c>
      <c r="E56" s="14">
        <v>27075</v>
      </c>
      <c r="F56" s="14">
        <v>6806</v>
      </c>
      <c r="G56" s="14">
        <v>3144</v>
      </c>
      <c r="H56" s="14">
        <v>12572</v>
      </c>
      <c r="I56" s="14">
        <v>7692</v>
      </c>
      <c r="J56" s="14">
        <v>7692</v>
      </c>
      <c r="K56" s="14">
        <v>7407</v>
      </c>
      <c r="L56" s="14">
        <v>7407</v>
      </c>
      <c r="M56" s="14">
        <v>7407</v>
      </c>
      <c r="N56" s="15">
        <f t="shared" si="8"/>
        <v>104187</v>
      </c>
      <c r="O56" s="5"/>
      <c r="P56" s="81"/>
      <c r="S56" s="14">
        <v>21375900</v>
      </c>
      <c r="T56" s="14">
        <v>24171606</v>
      </c>
      <c r="U56" s="14">
        <v>33977460</v>
      </c>
      <c r="V56" s="14">
        <v>135376399</v>
      </c>
      <c r="W56" s="14">
        <v>34028994</v>
      </c>
      <c r="X56" s="14">
        <v>15719602</v>
      </c>
      <c r="Y56" s="14">
        <v>65372575</v>
      </c>
      <c r="Z56" s="14">
        <v>40000000</v>
      </c>
      <c r="AA56" s="14">
        <v>40000000</v>
      </c>
      <c r="AB56" s="14">
        <v>40000000</v>
      </c>
      <c r="AC56" s="14">
        <v>40000000</v>
      </c>
      <c r="AD56" s="14">
        <v>40000000</v>
      </c>
      <c r="AE56" s="15">
        <f t="shared" si="9"/>
        <v>530022536</v>
      </c>
    </row>
    <row r="57" spans="1:31" s="4" customFormat="1">
      <c r="A57" s="757" t="s">
        <v>599</v>
      </c>
      <c r="B57" s="14">
        <v>490</v>
      </c>
      <c r="C57" s="14">
        <v>154</v>
      </c>
      <c r="D57" s="14">
        <v>228</v>
      </c>
      <c r="E57" s="14">
        <v>171</v>
      </c>
      <c r="F57" s="14">
        <v>158</v>
      </c>
      <c r="G57" s="14">
        <v>135</v>
      </c>
      <c r="H57" s="14">
        <v>244</v>
      </c>
      <c r="I57" s="14">
        <v>244</v>
      </c>
      <c r="J57" s="14">
        <v>192</v>
      </c>
      <c r="K57" s="14">
        <v>185</v>
      </c>
      <c r="L57" s="14">
        <v>185</v>
      </c>
      <c r="M57" s="14">
        <v>185</v>
      </c>
      <c r="N57" s="15">
        <f t="shared" si="8"/>
        <v>2571</v>
      </c>
      <c r="O57" s="5"/>
      <c r="P57" s="81"/>
      <c r="S57" s="14">
        <v>2270188</v>
      </c>
      <c r="T57" s="14">
        <v>741140</v>
      </c>
      <c r="U57" s="14">
        <v>1053911</v>
      </c>
      <c r="V57" s="14">
        <v>853408</v>
      </c>
      <c r="W57" s="14">
        <v>790657</v>
      </c>
      <c r="X57" s="14">
        <v>676877</v>
      </c>
      <c r="Y57" s="14">
        <v>1267585</v>
      </c>
      <c r="Z57" s="14">
        <v>1267585</v>
      </c>
      <c r="AA57" s="14">
        <v>1000000</v>
      </c>
      <c r="AB57" s="14">
        <v>1000000</v>
      </c>
      <c r="AC57" s="14">
        <v>1000000</v>
      </c>
      <c r="AD57" s="14">
        <v>1000000</v>
      </c>
      <c r="AE57" s="15">
        <f t="shared" si="9"/>
        <v>12921351</v>
      </c>
    </row>
    <row r="58" spans="1:31" s="4" customFormat="1">
      <c r="A58" s="757" t="s">
        <v>600</v>
      </c>
      <c r="B58" s="14">
        <v>405</v>
      </c>
      <c r="C58" s="14">
        <v>152</v>
      </c>
      <c r="D58" s="14">
        <v>172</v>
      </c>
      <c r="E58" s="14">
        <v>111</v>
      </c>
      <c r="F58" s="14">
        <v>126</v>
      </c>
      <c r="G58" s="14">
        <v>128</v>
      </c>
      <c r="H58" s="14">
        <v>25</v>
      </c>
      <c r="I58" s="14">
        <v>192</v>
      </c>
      <c r="J58" s="14">
        <v>192</v>
      </c>
      <c r="K58" s="14">
        <v>185</v>
      </c>
      <c r="L58" s="14">
        <v>185</v>
      </c>
      <c r="M58" s="14">
        <v>185</v>
      </c>
      <c r="N58" s="15">
        <f t="shared" si="8"/>
        <v>2058</v>
      </c>
      <c r="O58" s="5"/>
      <c r="P58" s="81"/>
      <c r="S58" s="14">
        <v>1874392</v>
      </c>
      <c r="T58" s="14">
        <v>728822</v>
      </c>
      <c r="U58" s="14">
        <v>797906</v>
      </c>
      <c r="V58" s="14">
        <v>553903</v>
      </c>
      <c r="W58" s="14">
        <v>632138</v>
      </c>
      <c r="X58" s="14">
        <v>637957</v>
      </c>
      <c r="Y58" s="14">
        <v>130769</v>
      </c>
      <c r="Z58" s="14">
        <v>1000000</v>
      </c>
      <c r="AA58" s="14">
        <v>1000000</v>
      </c>
      <c r="AB58" s="14">
        <v>1000000</v>
      </c>
      <c r="AC58" s="14">
        <v>1000000</v>
      </c>
      <c r="AD58" s="14">
        <v>1000000</v>
      </c>
      <c r="AE58" s="15">
        <f t="shared" si="9"/>
        <v>10355887</v>
      </c>
    </row>
    <row r="59" spans="1:31" s="4" customFormat="1">
      <c r="A59" s="757" t="s">
        <v>601</v>
      </c>
      <c r="B59" s="14">
        <v>224</v>
      </c>
      <c r="C59" s="14">
        <v>67</v>
      </c>
      <c r="D59" s="14">
        <v>13</v>
      </c>
      <c r="E59" s="14">
        <v>245</v>
      </c>
      <c r="F59" s="14">
        <v>134</v>
      </c>
      <c r="G59" s="14">
        <v>382</v>
      </c>
      <c r="H59" s="14">
        <v>180</v>
      </c>
      <c r="I59" s="14">
        <v>180</v>
      </c>
      <c r="J59" s="14">
        <v>173</v>
      </c>
      <c r="K59" s="14">
        <v>167</v>
      </c>
      <c r="L59" s="14">
        <v>167</v>
      </c>
      <c r="M59" s="14">
        <v>167</v>
      </c>
      <c r="N59" s="15">
        <f t="shared" si="8"/>
        <v>2099</v>
      </c>
      <c r="O59" s="5"/>
      <c r="P59" s="81"/>
      <c r="S59" s="14">
        <v>1038437</v>
      </c>
      <c r="T59" s="14">
        <v>323000</v>
      </c>
      <c r="U59" s="14">
        <v>60500</v>
      </c>
      <c r="V59" s="14">
        <v>1224250</v>
      </c>
      <c r="W59" s="14">
        <v>670750</v>
      </c>
      <c r="X59" s="14">
        <v>1907600</v>
      </c>
      <c r="Y59" s="14">
        <v>936109</v>
      </c>
      <c r="Z59" s="14">
        <v>936109</v>
      </c>
      <c r="AA59" s="14">
        <v>900000</v>
      </c>
      <c r="AB59" s="14">
        <v>900000</v>
      </c>
      <c r="AC59" s="14">
        <v>900000</v>
      </c>
      <c r="AD59" s="14">
        <v>900000</v>
      </c>
      <c r="AE59" s="15">
        <f t="shared" si="9"/>
        <v>10696755</v>
      </c>
    </row>
    <row r="60" spans="1:31" s="4" customFormat="1">
      <c r="A60" s="757" t="s">
        <v>602</v>
      </c>
      <c r="B60" s="14">
        <v>3548</v>
      </c>
      <c r="C60" s="14">
        <v>4724</v>
      </c>
      <c r="D60" s="14">
        <v>9138</v>
      </c>
      <c r="E60" s="14">
        <v>2738</v>
      </c>
      <c r="F60" s="14">
        <v>2174</v>
      </c>
      <c r="G60" s="14">
        <v>5041</v>
      </c>
      <c r="H60" s="14">
        <v>3149</v>
      </c>
      <c r="I60" s="14">
        <v>6346</v>
      </c>
      <c r="J60" s="14">
        <v>7380</v>
      </c>
      <c r="K60" s="14">
        <v>5811</v>
      </c>
      <c r="L60" s="14">
        <v>5811</v>
      </c>
      <c r="M60" s="14">
        <v>5811</v>
      </c>
      <c r="N60" s="15">
        <f t="shared" si="8"/>
        <v>61671</v>
      </c>
      <c r="O60" s="5"/>
      <c r="P60" s="81"/>
      <c r="S60" s="14">
        <v>16433507</v>
      </c>
      <c r="T60" s="14">
        <v>22712678</v>
      </c>
      <c r="U60" s="14">
        <v>42282146</v>
      </c>
      <c r="V60" s="14">
        <v>13690246</v>
      </c>
      <c r="W60" s="14">
        <v>10868195</v>
      </c>
      <c r="X60" s="14">
        <v>25204901</v>
      </c>
      <c r="Y60" s="14">
        <v>16376921</v>
      </c>
      <c r="Z60" s="14">
        <v>33000000</v>
      </c>
      <c r="AA60" s="14">
        <v>38376921</v>
      </c>
      <c r="AB60" s="14">
        <v>31376921</v>
      </c>
      <c r="AC60" s="14">
        <v>31376921</v>
      </c>
      <c r="AD60" s="14">
        <v>31376921</v>
      </c>
      <c r="AE60" s="15">
        <f t="shared" si="9"/>
        <v>313076278</v>
      </c>
    </row>
    <row r="61" spans="1:31" s="4" customFormat="1">
      <c r="A61" s="757" t="s">
        <v>603</v>
      </c>
      <c r="B61" s="14">
        <v>6642</v>
      </c>
      <c r="C61" s="14">
        <v>2524</v>
      </c>
      <c r="D61" s="14">
        <v>4370</v>
      </c>
      <c r="E61" s="14">
        <v>379</v>
      </c>
      <c r="F61" s="14">
        <v>2089</v>
      </c>
      <c r="G61" s="14">
        <v>1912</v>
      </c>
      <c r="H61" s="14">
        <v>7481</v>
      </c>
      <c r="I61" s="14">
        <v>2115</v>
      </c>
      <c r="J61" s="14">
        <v>1346</v>
      </c>
      <c r="K61" s="14">
        <v>1296</v>
      </c>
      <c r="L61" s="14">
        <v>1296</v>
      </c>
      <c r="M61" s="14">
        <v>1296</v>
      </c>
      <c r="N61" s="15">
        <f t="shared" si="8"/>
        <v>32746</v>
      </c>
      <c r="O61" s="5"/>
      <c r="P61" s="81"/>
      <c r="S61" s="14">
        <v>30765913</v>
      </c>
      <c r="T61" s="14">
        <v>12133591</v>
      </c>
      <c r="U61" s="14">
        <v>20219690</v>
      </c>
      <c r="V61" s="14">
        <v>1894316</v>
      </c>
      <c r="W61" s="14">
        <v>10445617</v>
      </c>
      <c r="X61" s="14">
        <v>9559900</v>
      </c>
      <c r="Y61" s="14">
        <v>38900311</v>
      </c>
      <c r="Z61" s="14">
        <v>11000000</v>
      </c>
      <c r="AA61" s="14">
        <v>7000000</v>
      </c>
      <c r="AB61" s="14">
        <v>7000000</v>
      </c>
      <c r="AC61" s="14">
        <v>7000000</v>
      </c>
      <c r="AD61" s="14">
        <v>7000000</v>
      </c>
      <c r="AE61" s="15">
        <f t="shared" si="9"/>
        <v>162919338</v>
      </c>
    </row>
    <row r="62" spans="1:31" s="4" customFormat="1">
      <c r="A62" s="757" t="s">
        <v>604</v>
      </c>
      <c r="B62" s="14">
        <v>0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5">
        <f t="shared" si="8"/>
        <v>0</v>
      </c>
      <c r="O62" s="5"/>
      <c r="P62" s="81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5">
        <f t="shared" si="9"/>
        <v>0</v>
      </c>
    </row>
    <row r="63" spans="1:31" s="4" customFormat="1">
      <c r="A63" s="757" t="s">
        <v>605</v>
      </c>
      <c r="B63" s="14">
        <v>3109</v>
      </c>
      <c r="C63" s="14">
        <v>2059</v>
      </c>
      <c r="D63" s="14">
        <v>1556</v>
      </c>
      <c r="E63" s="14">
        <v>2400</v>
      </c>
      <c r="F63" s="14">
        <v>4000</v>
      </c>
      <c r="G63" s="14">
        <v>3958</v>
      </c>
      <c r="H63" s="14">
        <v>3846</v>
      </c>
      <c r="I63" s="14">
        <v>3846</v>
      </c>
      <c r="J63" s="14">
        <v>3846</v>
      </c>
      <c r="K63" s="14">
        <v>3704</v>
      </c>
      <c r="L63" s="14">
        <v>3704</v>
      </c>
      <c r="M63" s="14">
        <v>3704</v>
      </c>
      <c r="N63" s="15">
        <f t="shared" si="8"/>
        <v>39732</v>
      </c>
      <c r="O63" s="5"/>
      <c r="P63" s="81"/>
      <c r="S63" s="14">
        <v>14400000</v>
      </c>
      <c r="T63" s="14">
        <v>9900000</v>
      </c>
      <c r="U63" s="14">
        <v>7200000</v>
      </c>
      <c r="V63" s="14">
        <v>12000000</v>
      </c>
      <c r="W63" s="14">
        <v>20000000</v>
      </c>
      <c r="X63" s="14">
        <v>19789548</v>
      </c>
      <c r="Y63" s="14">
        <v>20000000</v>
      </c>
      <c r="Z63" s="14">
        <v>20000000</v>
      </c>
      <c r="AA63" s="14">
        <v>20000000</v>
      </c>
      <c r="AB63" s="14">
        <v>20000000</v>
      </c>
      <c r="AC63" s="14">
        <v>20000000</v>
      </c>
      <c r="AD63" s="14">
        <v>20000000</v>
      </c>
      <c r="AE63" s="15">
        <f t="shared" si="9"/>
        <v>203289548</v>
      </c>
    </row>
    <row r="64" spans="1:31" s="4" customFormat="1">
      <c r="A64" s="757" t="s">
        <v>606</v>
      </c>
      <c r="B64" s="14">
        <v>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5">
        <f t="shared" si="8"/>
        <v>0</v>
      </c>
      <c r="O64" s="5"/>
      <c r="P64" s="81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5">
        <f t="shared" si="9"/>
        <v>0</v>
      </c>
    </row>
    <row r="65" spans="1:31" s="4" customFormat="1">
      <c r="A65" t="s">
        <v>607</v>
      </c>
      <c r="B65" s="14">
        <v>1240</v>
      </c>
      <c r="C65" s="14">
        <v>1132</v>
      </c>
      <c r="D65" s="14">
        <v>1201</v>
      </c>
      <c r="E65" s="14">
        <v>919</v>
      </c>
      <c r="F65" s="14">
        <v>899</v>
      </c>
      <c r="G65" s="14">
        <v>990</v>
      </c>
      <c r="H65" s="14">
        <v>1368</v>
      </c>
      <c r="I65" s="14">
        <v>962</v>
      </c>
      <c r="J65" s="14">
        <v>962</v>
      </c>
      <c r="K65" s="14">
        <v>926</v>
      </c>
      <c r="L65" s="14">
        <v>926</v>
      </c>
      <c r="M65" s="14">
        <v>926</v>
      </c>
      <c r="N65" s="15">
        <f t="shared" si="8"/>
        <v>12451</v>
      </c>
      <c r="O65" s="5"/>
      <c r="P65" s="81"/>
      <c r="S65" s="14">
        <v>5744317</v>
      </c>
      <c r="T65" s="14">
        <v>5441986</v>
      </c>
      <c r="U65" s="14">
        <v>5555861</v>
      </c>
      <c r="V65" s="14">
        <v>4593899</v>
      </c>
      <c r="W65" s="14">
        <v>4496553</v>
      </c>
      <c r="X65" s="14">
        <v>4950636</v>
      </c>
      <c r="Y65" s="14">
        <v>7111287</v>
      </c>
      <c r="Z65" s="14">
        <v>5000000</v>
      </c>
      <c r="AA65" s="14">
        <v>5000000</v>
      </c>
      <c r="AB65" s="14">
        <v>5000000</v>
      </c>
      <c r="AC65" s="14">
        <v>5000000</v>
      </c>
      <c r="AD65" s="14">
        <v>5000000</v>
      </c>
      <c r="AE65" s="15">
        <f t="shared" si="9"/>
        <v>62894539</v>
      </c>
    </row>
    <row r="66" spans="1:31" s="4" customFormat="1">
      <c r="A66" s="757" t="s">
        <v>608</v>
      </c>
      <c r="B66" s="14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5">
        <f t="shared" si="8"/>
        <v>0</v>
      </c>
      <c r="O66" s="5"/>
      <c r="P66" s="81"/>
      <c r="S66" s="14"/>
      <c r="T66" s="14"/>
      <c r="U66" s="14"/>
      <c r="V66" s="14"/>
      <c r="W66" s="14"/>
      <c r="X66" s="14"/>
      <c r="Y66" s="14"/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5">
        <f t="shared" si="9"/>
        <v>0</v>
      </c>
    </row>
    <row r="67" spans="1:31" s="4" customFormat="1">
      <c r="A67" t="s">
        <v>609</v>
      </c>
      <c r="B67" s="14">
        <v>4934</v>
      </c>
      <c r="C67" s="14">
        <v>6643</v>
      </c>
      <c r="D67" s="14">
        <v>8175</v>
      </c>
      <c r="E67" s="14">
        <v>3225</v>
      </c>
      <c r="F67" s="14">
        <v>3338</v>
      </c>
      <c r="G67" s="14">
        <v>1928</v>
      </c>
      <c r="H67" s="14">
        <v>3742</v>
      </c>
      <c r="I67" s="14">
        <v>2981</v>
      </c>
      <c r="J67" s="14">
        <v>2981</v>
      </c>
      <c r="K67" s="14">
        <v>2870</v>
      </c>
      <c r="L67" s="14">
        <v>2870</v>
      </c>
      <c r="M67" s="14">
        <v>2870</v>
      </c>
      <c r="N67" s="15">
        <f t="shared" si="8"/>
        <v>46557</v>
      </c>
      <c r="O67" s="5"/>
      <c r="P67" s="81"/>
      <c r="S67" s="14">
        <v>22857322</v>
      </c>
      <c r="T67" s="14">
        <v>31939206</v>
      </c>
      <c r="U67" s="14">
        <v>37829534</v>
      </c>
      <c r="V67" s="14">
        <v>16123615</v>
      </c>
      <c r="W67" s="14">
        <v>16690842</v>
      </c>
      <c r="X67" s="14">
        <v>9640023</v>
      </c>
      <c r="Y67" s="14">
        <v>19458847</v>
      </c>
      <c r="Z67" s="14">
        <v>15500000</v>
      </c>
      <c r="AA67" s="14">
        <v>15500000</v>
      </c>
      <c r="AB67" s="14">
        <v>15500000</v>
      </c>
      <c r="AC67" s="14">
        <v>15500000</v>
      </c>
      <c r="AD67" s="14">
        <v>15500000</v>
      </c>
      <c r="AE67" s="15">
        <f t="shared" si="9"/>
        <v>232039389</v>
      </c>
    </row>
    <row r="68" spans="1:31" s="4" customFormat="1">
      <c r="A68" t="s">
        <v>610</v>
      </c>
      <c r="B68" s="14">
        <v>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5">
        <f t="shared" si="8"/>
        <v>0</v>
      </c>
      <c r="O68" s="5"/>
      <c r="P68" s="81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5">
        <f t="shared" si="9"/>
        <v>0</v>
      </c>
    </row>
    <row r="69" spans="1:31" s="4" customFormat="1">
      <c r="A69" s="757" t="s">
        <v>611</v>
      </c>
      <c r="B69" s="14">
        <v>1896</v>
      </c>
      <c r="C69" s="14">
        <v>1826</v>
      </c>
      <c r="D69" s="14">
        <v>1881</v>
      </c>
      <c r="E69" s="14">
        <v>1691</v>
      </c>
      <c r="F69" s="14">
        <v>1691</v>
      </c>
      <c r="G69" s="14">
        <v>1691</v>
      </c>
      <c r="H69" s="14">
        <v>1630</v>
      </c>
      <c r="I69" s="14">
        <v>1635</v>
      </c>
      <c r="J69" s="14">
        <v>1635</v>
      </c>
      <c r="K69" s="14">
        <v>1574</v>
      </c>
      <c r="L69" s="14">
        <v>1574</v>
      </c>
      <c r="M69" s="14">
        <v>1574</v>
      </c>
      <c r="N69" s="15">
        <f t="shared" si="8"/>
        <v>20298</v>
      </c>
      <c r="O69" s="5"/>
      <c r="P69" s="81"/>
      <c r="S69" s="14">
        <v>8780621</v>
      </c>
      <c r="T69" s="14">
        <v>8780621</v>
      </c>
      <c r="U69" s="14">
        <v>8705447</v>
      </c>
      <c r="V69" s="14">
        <v>8455498</v>
      </c>
      <c r="W69" s="14">
        <v>8455498</v>
      </c>
      <c r="X69" s="14">
        <v>8455498</v>
      </c>
      <c r="Y69" s="14">
        <v>8476424</v>
      </c>
      <c r="Z69" s="14">
        <v>8500000</v>
      </c>
      <c r="AA69" s="14">
        <v>8500000</v>
      </c>
      <c r="AB69" s="14">
        <v>8500000</v>
      </c>
      <c r="AC69" s="14">
        <v>8500000</v>
      </c>
      <c r="AD69" s="14">
        <v>8500000</v>
      </c>
      <c r="AE69" s="15">
        <f t="shared" si="9"/>
        <v>102609607</v>
      </c>
    </row>
    <row r="70" spans="1:31" s="4" customFormat="1">
      <c r="A70" s="933" t="s">
        <v>612</v>
      </c>
      <c r="B70" s="14">
        <v>0</v>
      </c>
      <c r="C70" s="14">
        <v>0</v>
      </c>
      <c r="D70" s="14">
        <v>0</v>
      </c>
      <c r="E70" s="14">
        <v>5000</v>
      </c>
      <c r="F70" s="14">
        <v>5000</v>
      </c>
      <c r="G70" s="14">
        <v>5000</v>
      </c>
      <c r="H70" s="14">
        <v>4808</v>
      </c>
      <c r="I70" s="14">
        <v>4808</v>
      </c>
      <c r="J70" s="14">
        <v>4808</v>
      </c>
      <c r="K70" s="14">
        <v>4630</v>
      </c>
      <c r="L70" s="14">
        <v>4630</v>
      </c>
      <c r="M70" s="14">
        <v>4630</v>
      </c>
      <c r="N70" s="15">
        <f t="shared" si="8"/>
        <v>43314</v>
      </c>
      <c r="O70" s="5"/>
      <c r="P70" s="81"/>
      <c r="S70" s="14"/>
      <c r="T70" s="14"/>
      <c r="U70" s="14"/>
      <c r="V70" s="14">
        <v>25000000</v>
      </c>
      <c r="W70" s="14">
        <v>25000000</v>
      </c>
      <c r="X70" s="14">
        <v>25000000</v>
      </c>
      <c r="Y70" s="14">
        <v>25000000</v>
      </c>
      <c r="Z70" s="14">
        <v>25000000</v>
      </c>
      <c r="AA70" s="14">
        <v>25000000</v>
      </c>
      <c r="AB70" s="14">
        <v>25000000</v>
      </c>
      <c r="AC70" s="14">
        <v>25000000</v>
      </c>
      <c r="AD70" s="14">
        <v>25000000</v>
      </c>
      <c r="AE70" s="15">
        <f t="shared" si="9"/>
        <v>225000000</v>
      </c>
    </row>
    <row r="71" spans="1:31">
      <c r="A71" s="757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5">
        <f>SUM(B71:M71)</f>
        <v>0</v>
      </c>
      <c r="P71" s="80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5">
        <f>SUM(S71:AD71)</f>
        <v>0</v>
      </c>
    </row>
    <row r="72" spans="1:31" ht="13.5" thickBot="1">
      <c r="A72" s="6" t="s">
        <v>613</v>
      </c>
      <c r="B72" s="38">
        <f t="shared" ref="B72:M72" si="10">SUM(B53:B71)</f>
        <v>57364</v>
      </c>
      <c r="C72" s="38">
        <f t="shared" si="10"/>
        <v>56532</v>
      </c>
      <c r="D72" s="38">
        <f t="shared" si="10"/>
        <v>72172</v>
      </c>
      <c r="E72" s="38">
        <f t="shared" si="10"/>
        <v>84572</v>
      </c>
      <c r="F72" s="38">
        <f t="shared" si="10"/>
        <v>68471</v>
      </c>
      <c r="G72" s="38">
        <f t="shared" si="10"/>
        <v>65297</v>
      </c>
      <c r="H72" s="38">
        <f t="shared" si="10"/>
        <v>83741</v>
      </c>
      <c r="I72" s="38">
        <f t="shared" si="10"/>
        <v>71884</v>
      </c>
      <c r="J72" s="38">
        <f t="shared" si="10"/>
        <v>70359</v>
      </c>
      <c r="K72" s="38">
        <f t="shared" si="10"/>
        <v>66641</v>
      </c>
      <c r="L72" s="38">
        <f t="shared" si="10"/>
        <v>67752</v>
      </c>
      <c r="M72" s="38">
        <f t="shared" si="10"/>
        <v>67752</v>
      </c>
      <c r="N72" s="16">
        <f>SUM(N52:N71)</f>
        <v>832537</v>
      </c>
      <c r="P72" s="80"/>
      <c r="S72" s="38">
        <f t="shared" ref="S72:AD72" si="11">SUM(S53:S71)</f>
        <v>265717869</v>
      </c>
      <c r="T72" s="38">
        <f t="shared" si="11"/>
        <v>271814495</v>
      </c>
      <c r="U72" s="38">
        <f t="shared" si="11"/>
        <v>333961801</v>
      </c>
      <c r="V72" s="38">
        <f t="shared" si="11"/>
        <v>422853536</v>
      </c>
      <c r="W72" s="38">
        <f t="shared" si="11"/>
        <v>342359646</v>
      </c>
      <c r="X72" s="38">
        <f t="shared" si="11"/>
        <v>326480544</v>
      </c>
      <c r="Y72" s="38">
        <f t="shared" si="11"/>
        <v>435445270</v>
      </c>
      <c r="Z72" s="38">
        <f t="shared" si="11"/>
        <v>373791696</v>
      </c>
      <c r="AA72" s="38">
        <f t="shared" si="11"/>
        <v>365864923</v>
      </c>
      <c r="AB72" s="38">
        <f t="shared" si="11"/>
        <v>359864923</v>
      </c>
      <c r="AC72" s="38">
        <f t="shared" si="11"/>
        <v>365864923</v>
      </c>
      <c r="AD72" s="38">
        <f t="shared" si="11"/>
        <v>365864923</v>
      </c>
      <c r="AE72" s="16">
        <f>SUM(AE52:AE71)</f>
        <v>4229884549</v>
      </c>
    </row>
    <row r="73" spans="1:31" ht="13.5" thickTop="1">
      <c r="A73" s="6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5"/>
      <c r="P73" s="80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5"/>
    </row>
    <row r="74" spans="1:31">
      <c r="A74" s="757"/>
      <c r="B74" s="82"/>
      <c r="C74" s="82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P74" s="80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</row>
    <row r="75" spans="1:31">
      <c r="A75" s="6" t="s">
        <v>411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7"/>
      <c r="P75" s="80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7"/>
    </row>
    <row r="76" spans="1:31" s="4" customFormat="1">
      <c r="A76" s="757" t="s">
        <v>614</v>
      </c>
      <c r="B76" s="17">
        <v>-1056</v>
      </c>
      <c r="C76" s="17">
        <v>-618</v>
      </c>
      <c r="D76" s="17">
        <v>-419</v>
      </c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5">
        <f t="shared" ref="N76:N82" si="12">SUM(B76,C76,D76,E76,F76,G76,H76,I76,J76,K76,L76,M76)</f>
        <v>-2093</v>
      </c>
      <c r="O76" s="5"/>
      <c r="P76" s="81"/>
      <c r="S76" s="14">
        <v>-4893315</v>
      </c>
      <c r="T76" s="17">
        <v>-2970886</v>
      </c>
      <c r="U76" s="17">
        <v>-1940190</v>
      </c>
      <c r="V76" s="17"/>
      <c r="W76" s="17"/>
      <c r="X76" s="17"/>
      <c r="Y76" s="17"/>
      <c r="Z76" s="17"/>
      <c r="AA76" s="17"/>
      <c r="AB76" s="17"/>
      <c r="AC76" s="17"/>
      <c r="AD76" s="17"/>
      <c r="AE76" s="15">
        <f t="shared" ref="AE76:AE82" si="13">SUM(S76,T76,U76,V76,W76,X76,Y76,Z76,AA76,AB76,AC76,AD76)</f>
        <v>-9804391</v>
      </c>
    </row>
    <row r="77" spans="1:31" s="4" customFormat="1">
      <c r="A77" s="757" t="s">
        <v>615</v>
      </c>
      <c r="B77" s="17">
        <v>0</v>
      </c>
      <c r="C77" s="17">
        <v>0</v>
      </c>
      <c r="D77" s="17">
        <v>0</v>
      </c>
      <c r="E77" s="17">
        <v>0</v>
      </c>
      <c r="F77" s="17">
        <v>0</v>
      </c>
      <c r="G77" s="17">
        <v>0</v>
      </c>
      <c r="H77" s="17">
        <v>0</v>
      </c>
      <c r="I77" s="17">
        <v>0</v>
      </c>
      <c r="J77" s="17">
        <v>0</v>
      </c>
      <c r="K77" s="17">
        <v>0</v>
      </c>
      <c r="L77" s="17">
        <v>0</v>
      </c>
      <c r="M77" s="17">
        <v>0</v>
      </c>
      <c r="N77" s="15">
        <f t="shared" si="12"/>
        <v>0</v>
      </c>
      <c r="O77" s="5"/>
      <c r="P77" s="81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5">
        <f t="shared" si="13"/>
        <v>0</v>
      </c>
    </row>
    <row r="78" spans="1:31" s="4" customFormat="1">
      <c r="A78" s="757" t="s">
        <v>72</v>
      </c>
      <c r="B78" s="17">
        <v>5543</v>
      </c>
      <c r="C78" s="17">
        <v>6956</v>
      </c>
      <c r="D78" s="17">
        <v>10280</v>
      </c>
      <c r="E78" s="17">
        <v>7514</v>
      </c>
      <c r="F78" s="17">
        <v>7514</v>
      </c>
      <c r="G78" s="17">
        <v>7514</v>
      </c>
      <c r="H78" s="17">
        <v>7225</v>
      </c>
      <c r="I78" s="17">
        <v>7225</v>
      </c>
      <c r="J78" s="17">
        <v>7225</v>
      </c>
      <c r="K78" s="17">
        <v>6957</v>
      </c>
      <c r="L78" s="17">
        <v>6957</v>
      </c>
      <c r="M78" s="17">
        <v>6957</v>
      </c>
      <c r="N78" s="15">
        <f t="shared" si="12"/>
        <v>87867</v>
      </c>
      <c r="O78" s="5"/>
      <c r="P78" s="81"/>
      <c r="S78" s="14">
        <v>25677144</v>
      </c>
      <c r="T78" s="14">
        <v>33444183</v>
      </c>
      <c r="U78" s="14">
        <v>47568695</v>
      </c>
      <c r="V78" s="14">
        <v>37568695</v>
      </c>
      <c r="W78" s="14">
        <v>37568695</v>
      </c>
      <c r="X78" s="14">
        <v>37568695</v>
      </c>
      <c r="Y78" s="14">
        <v>37568695</v>
      </c>
      <c r="Z78" s="14">
        <v>37568695</v>
      </c>
      <c r="AA78" s="14">
        <v>37568695</v>
      </c>
      <c r="AB78" s="14">
        <v>37568695</v>
      </c>
      <c r="AC78" s="14">
        <v>37568695</v>
      </c>
      <c r="AD78" s="14">
        <v>37568695</v>
      </c>
      <c r="AE78" s="15">
        <f t="shared" si="13"/>
        <v>444808277</v>
      </c>
    </row>
    <row r="79" spans="1:31" s="4" customFormat="1">
      <c r="A79" s="757" t="s">
        <v>616</v>
      </c>
      <c r="B79" s="17">
        <v>88487</v>
      </c>
      <c r="C79" s="17">
        <v>-82699</v>
      </c>
      <c r="D79" s="17">
        <v>115862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5">
        <f t="shared" si="12"/>
        <v>121650</v>
      </c>
      <c r="O79" s="5"/>
      <c r="P79" s="81"/>
      <c r="S79" s="14">
        <v>409888941</v>
      </c>
      <c r="T79" s="17">
        <v>-397626234</v>
      </c>
      <c r="U79" s="17">
        <v>536124020</v>
      </c>
      <c r="V79" s="17"/>
      <c r="W79" s="17"/>
      <c r="X79" s="17"/>
      <c r="Y79" s="17"/>
      <c r="Z79" s="17"/>
      <c r="AA79" s="17"/>
      <c r="AB79" s="17"/>
      <c r="AC79" s="17"/>
      <c r="AD79" s="17"/>
      <c r="AE79" s="15">
        <f t="shared" si="13"/>
        <v>548386727</v>
      </c>
    </row>
    <row r="80" spans="1:31" s="4" customFormat="1">
      <c r="A80" s="757" t="s">
        <v>617</v>
      </c>
      <c r="B80" s="17">
        <v>0</v>
      </c>
      <c r="C80" s="17">
        <v>0</v>
      </c>
      <c r="D80" s="1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15">
        <f t="shared" si="12"/>
        <v>0</v>
      </c>
      <c r="O80" s="5"/>
      <c r="P80" s="81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5">
        <f t="shared" si="13"/>
        <v>0</v>
      </c>
    </row>
    <row r="81" spans="1:31" s="4" customFormat="1">
      <c r="A81" s="757" t="s">
        <v>685</v>
      </c>
      <c r="B81" s="17">
        <v>0</v>
      </c>
      <c r="C81" s="17">
        <v>0</v>
      </c>
      <c r="D81" s="17">
        <v>0</v>
      </c>
      <c r="E81" s="17">
        <v>0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7">
        <v>0</v>
      </c>
      <c r="N81" s="15">
        <f t="shared" si="12"/>
        <v>0</v>
      </c>
      <c r="O81" s="5"/>
      <c r="P81" s="81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5">
        <f t="shared" si="13"/>
        <v>0</v>
      </c>
    </row>
    <row r="82" spans="1:31">
      <c r="A82" s="757" t="s">
        <v>75</v>
      </c>
      <c r="B82" s="17">
        <v>35</v>
      </c>
      <c r="C82" s="17">
        <v>0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5">
        <f t="shared" si="12"/>
        <v>35</v>
      </c>
      <c r="P82" s="80"/>
      <c r="S82" s="14">
        <v>161221</v>
      </c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5">
        <f t="shared" si="13"/>
        <v>161221</v>
      </c>
    </row>
    <row r="83" spans="1:31" ht="13.5" thickBot="1">
      <c r="A83" s="6" t="s">
        <v>412</v>
      </c>
      <c r="B83" s="38">
        <f t="shared" ref="B83:M83" si="14">SUM(B76:B82)</f>
        <v>93009</v>
      </c>
      <c r="C83" s="38">
        <f t="shared" si="14"/>
        <v>-76361</v>
      </c>
      <c r="D83" s="38">
        <f t="shared" si="14"/>
        <v>125723</v>
      </c>
      <c r="E83" s="38">
        <f t="shared" si="14"/>
        <v>7514</v>
      </c>
      <c r="F83" s="38">
        <f t="shared" si="14"/>
        <v>7514</v>
      </c>
      <c r="G83" s="38">
        <f t="shared" si="14"/>
        <v>7514</v>
      </c>
      <c r="H83" s="38">
        <f t="shared" si="14"/>
        <v>7225</v>
      </c>
      <c r="I83" s="38">
        <f t="shared" si="14"/>
        <v>7225</v>
      </c>
      <c r="J83" s="38">
        <f t="shared" si="14"/>
        <v>7225</v>
      </c>
      <c r="K83" s="38">
        <f t="shared" si="14"/>
        <v>6957</v>
      </c>
      <c r="L83" s="38">
        <f t="shared" si="14"/>
        <v>6957</v>
      </c>
      <c r="M83" s="38">
        <f t="shared" si="14"/>
        <v>6957</v>
      </c>
      <c r="N83" s="16">
        <f>SUM(N76:N82)</f>
        <v>207459</v>
      </c>
      <c r="P83" s="80"/>
      <c r="S83" s="38">
        <f>SUM(S76:S82)</f>
        <v>430833991</v>
      </c>
      <c r="T83" s="38">
        <f t="shared" ref="T83:AD83" si="15">SUM(T76:T82)</f>
        <v>-367152937</v>
      </c>
      <c r="U83" s="38">
        <f t="shared" si="15"/>
        <v>581752525</v>
      </c>
      <c r="V83" s="38">
        <f t="shared" si="15"/>
        <v>37568695</v>
      </c>
      <c r="W83" s="38">
        <f t="shared" si="15"/>
        <v>37568695</v>
      </c>
      <c r="X83" s="38">
        <f t="shared" si="15"/>
        <v>37568695</v>
      </c>
      <c r="Y83" s="38">
        <f t="shared" si="15"/>
        <v>37568695</v>
      </c>
      <c r="Z83" s="38">
        <f t="shared" si="15"/>
        <v>37568695</v>
      </c>
      <c r="AA83" s="38">
        <f t="shared" si="15"/>
        <v>37568695</v>
      </c>
      <c r="AB83" s="38">
        <f t="shared" si="15"/>
        <v>37568695</v>
      </c>
      <c r="AC83" s="38">
        <f t="shared" si="15"/>
        <v>37568695</v>
      </c>
      <c r="AD83" s="38">
        <f t="shared" si="15"/>
        <v>37568695</v>
      </c>
      <c r="AE83" s="16">
        <f>SUM(AE76:AE82)</f>
        <v>983551834</v>
      </c>
    </row>
    <row r="84" spans="1:31" ht="13.5" thickTop="1">
      <c r="A84" s="757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5"/>
      <c r="P84" s="80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5"/>
    </row>
    <row r="85" spans="1:31" s="4" customFormat="1">
      <c r="A85" s="6" t="s">
        <v>415</v>
      </c>
      <c r="B85" s="14">
        <v>165297</v>
      </c>
      <c r="C85" s="14">
        <v>132993</v>
      </c>
      <c r="D85" s="14">
        <v>18091</v>
      </c>
      <c r="E85" s="14">
        <v>46850</v>
      </c>
      <c r="F85" s="14">
        <v>33880</v>
      </c>
      <c r="G85" s="14">
        <v>114191</v>
      </c>
      <c r="H85" s="14">
        <v>97907</v>
      </c>
      <c r="I85" s="14">
        <v>99981</v>
      </c>
      <c r="J85" s="14">
        <v>118723</v>
      </c>
      <c r="K85" s="14">
        <v>84403</v>
      </c>
      <c r="L85" s="14">
        <v>65597</v>
      </c>
      <c r="M85" s="14">
        <v>81920</v>
      </c>
      <c r="N85" s="15">
        <f>SUM(B85,C85,D85,E85,F85,G85,H85,I85,J85,K85,L85,M85)</f>
        <v>1059833</v>
      </c>
      <c r="O85" s="5"/>
      <c r="P85" s="81"/>
      <c r="S85" s="14">
        <v>765691000</v>
      </c>
      <c r="T85" s="14">
        <v>639451000</v>
      </c>
      <c r="U85" s="14">
        <v>83710000</v>
      </c>
      <c r="V85" s="14">
        <v>234250971</v>
      </c>
      <c r="W85" s="14">
        <v>169401200</v>
      </c>
      <c r="X85" s="14">
        <v>570954647</v>
      </c>
      <c r="Y85" s="14">
        <v>509116330</v>
      </c>
      <c r="Z85" s="14">
        <v>519902639</v>
      </c>
      <c r="AA85" s="14">
        <v>617359907</v>
      </c>
      <c r="AB85" s="14">
        <v>455775995</v>
      </c>
      <c r="AC85" s="14">
        <v>354225253</v>
      </c>
      <c r="AD85" s="14">
        <v>442370466</v>
      </c>
      <c r="AE85" s="15">
        <f>SUM(S85,T85,U85,V85,W85,X85,Y85,Z85,AA85,AB85,AC85,AD85)</f>
        <v>5362209408</v>
      </c>
    </row>
    <row r="86" spans="1:31">
      <c r="A86" s="757" t="s">
        <v>59</v>
      </c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15"/>
      <c r="P86" s="8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15"/>
    </row>
    <row r="87" spans="1:31" s="1" customFormat="1" ht="13.5" thickBot="1">
      <c r="A87" s="6" t="s">
        <v>416</v>
      </c>
      <c r="B87" s="26">
        <f t="shared" ref="B87:N87" si="16">B13-B49-B72-B83-B85</f>
        <v>257039</v>
      </c>
      <c r="C87" s="26">
        <f t="shared" si="16"/>
        <v>290828</v>
      </c>
      <c r="D87" s="26">
        <f t="shared" si="16"/>
        <v>24774</v>
      </c>
      <c r="E87" s="26">
        <f t="shared" si="16"/>
        <v>87003</v>
      </c>
      <c r="F87" s="26">
        <f t="shared" si="16"/>
        <v>62919</v>
      </c>
      <c r="G87" s="26">
        <f t="shared" si="16"/>
        <v>212068</v>
      </c>
      <c r="H87" s="26">
        <f t="shared" si="16"/>
        <v>181826</v>
      </c>
      <c r="I87" s="26">
        <f t="shared" si="16"/>
        <v>185677</v>
      </c>
      <c r="J87" s="26">
        <f t="shared" si="16"/>
        <v>220485</v>
      </c>
      <c r="K87" s="26">
        <f t="shared" si="16"/>
        <v>156747</v>
      </c>
      <c r="L87" s="26">
        <f t="shared" si="16"/>
        <v>121825</v>
      </c>
      <c r="M87" s="26">
        <f t="shared" si="16"/>
        <v>152141</v>
      </c>
      <c r="N87" s="26">
        <f t="shared" si="16"/>
        <v>1953332</v>
      </c>
      <c r="O87" s="3"/>
      <c r="P87" s="85"/>
      <c r="S87" s="26">
        <f t="shared" ref="S87:AE87" si="17">S13-S49-S72-S83-S85</f>
        <v>1190659625</v>
      </c>
      <c r="T87" s="26">
        <f t="shared" si="17"/>
        <v>1398332553</v>
      </c>
      <c r="U87" s="26">
        <f t="shared" si="17"/>
        <v>114635829</v>
      </c>
      <c r="V87" s="26">
        <f t="shared" si="17"/>
        <v>435037518</v>
      </c>
      <c r="W87" s="26">
        <f t="shared" si="17"/>
        <v>314602233</v>
      </c>
      <c r="X87" s="26">
        <f t="shared" si="17"/>
        <v>1060344348</v>
      </c>
      <c r="Y87" s="26">
        <f t="shared" si="17"/>
        <v>945501757</v>
      </c>
      <c r="Z87" s="26">
        <f t="shared" si="17"/>
        <v>965533477</v>
      </c>
      <c r="AA87" s="26">
        <f t="shared" si="17"/>
        <v>1146525545</v>
      </c>
      <c r="AB87" s="26">
        <f t="shared" si="17"/>
        <v>846441132</v>
      </c>
      <c r="AC87" s="26">
        <f t="shared" si="17"/>
        <v>657846900</v>
      </c>
      <c r="AD87" s="26">
        <f t="shared" si="17"/>
        <v>821545153</v>
      </c>
      <c r="AE87" s="26">
        <f t="shared" si="17"/>
        <v>9897006070</v>
      </c>
    </row>
    <row r="88" spans="1:31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7"/>
      <c r="P88" s="80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7"/>
    </row>
    <row r="89" spans="1:31">
      <c r="B89" s="20">
        <f>+B13-B49-B72-B83</f>
        <v>422336</v>
      </c>
      <c r="C89" s="20">
        <f t="shared" ref="C89:N89" si="18">+C13-C49-C72-C83</f>
        <v>423821</v>
      </c>
      <c r="D89" s="20">
        <f t="shared" si="18"/>
        <v>42865</v>
      </c>
      <c r="E89" s="20">
        <f t="shared" si="18"/>
        <v>133853</v>
      </c>
      <c r="F89" s="20">
        <f t="shared" si="18"/>
        <v>96799</v>
      </c>
      <c r="G89" s="20">
        <f t="shared" si="18"/>
        <v>326259</v>
      </c>
      <c r="H89" s="20">
        <f t="shared" si="18"/>
        <v>279733</v>
      </c>
      <c r="I89" s="20">
        <f t="shared" si="18"/>
        <v>285658</v>
      </c>
      <c r="J89" s="20">
        <f t="shared" si="18"/>
        <v>339208</v>
      </c>
      <c r="K89" s="20">
        <f t="shared" si="18"/>
        <v>241150</v>
      </c>
      <c r="L89" s="20">
        <f t="shared" si="18"/>
        <v>187422</v>
      </c>
      <c r="M89" s="20">
        <f t="shared" si="18"/>
        <v>234061</v>
      </c>
      <c r="N89" s="20">
        <f t="shared" si="18"/>
        <v>3013165</v>
      </c>
      <c r="P89" s="80"/>
      <c r="AE89" s="137"/>
    </row>
    <row r="90" spans="1:31" s="138" customFormat="1">
      <c r="A90" s="138" t="s">
        <v>541</v>
      </c>
      <c r="B90" s="139">
        <v>82282</v>
      </c>
      <c r="C90" s="139">
        <v>134026</v>
      </c>
      <c r="D90" s="139">
        <v>158692</v>
      </c>
      <c r="E90" s="139">
        <v>171767</v>
      </c>
      <c r="F90" s="139">
        <v>165489</v>
      </c>
      <c r="G90" s="139">
        <v>146099</v>
      </c>
      <c r="H90" s="139">
        <v>131389</v>
      </c>
      <c r="I90" s="139">
        <v>111798</v>
      </c>
      <c r="J90" s="139">
        <v>89749</v>
      </c>
      <c r="K90" s="139">
        <v>88607</v>
      </c>
      <c r="L90" s="139">
        <v>116096</v>
      </c>
      <c r="M90" s="139">
        <v>78409</v>
      </c>
      <c r="N90" s="139">
        <f>N87+N85+N78+N69+N46+N45+N70</f>
        <v>3493032</v>
      </c>
      <c r="O90" s="140"/>
      <c r="P90" s="86"/>
      <c r="S90" s="14">
        <f t="shared" ref="S90:AD90" si="19">+(B90*S$2)/1000</f>
        <v>0</v>
      </c>
      <c r="T90" s="14">
        <f t="shared" si="19"/>
        <v>0</v>
      </c>
      <c r="U90" s="14">
        <f t="shared" si="19"/>
        <v>0</v>
      </c>
      <c r="V90" s="14">
        <f t="shared" si="19"/>
        <v>0</v>
      </c>
      <c r="W90" s="14">
        <f t="shared" si="19"/>
        <v>0</v>
      </c>
      <c r="X90" s="14">
        <f t="shared" si="19"/>
        <v>0</v>
      </c>
      <c r="Y90" s="14">
        <f t="shared" si="19"/>
        <v>0</v>
      </c>
      <c r="Z90" s="14">
        <f t="shared" si="19"/>
        <v>0</v>
      </c>
      <c r="AA90" s="14">
        <f t="shared" si="19"/>
        <v>0</v>
      </c>
      <c r="AB90" s="14">
        <f t="shared" si="19"/>
        <v>0</v>
      </c>
      <c r="AC90" s="14">
        <f t="shared" si="19"/>
        <v>0</v>
      </c>
      <c r="AD90" s="14">
        <f t="shared" si="19"/>
        <v>0</v>
      </c>
      <c r="AE90" s="139">
        <f>AE87+AE85+AE78+AE69+AE46+AE45+AE70</f>
        <v>17696145978</v>
      </c>
    </row>
    <row r="91" spans="1:31">
      <c r="P91" s="80"/>
    </row>
    <row r="92" spans="1:31">
      <c r="B92" s="162">
        <v>0.16</v>
      </c>
      <c r="C92" s="162">
        <v>0.22</v>
      </c>
      <c r="D92" s="162">
        <v>0.26</v>
      </c>
      <c r="E92" s="162">
        <v>0.28999999999999998</v>
      </c>
      <c r="F92" s="162">
        <v>0.28000000000000003</v>
      </c>
      <c r="G92" s="162">
        <v>0.26</v>
      </c>
      <c r="H92" s="162">
        <v>0.23</v>
      </c>
      <c r="I92" s="162">
        <v>0.2</v>
      </c>
      <c r="J92" s="162">
        <v>0.17</v>
      </c>
      <c r="K92" s="162">
        <v>0.16</v>
      </c>
      <c r="L92" s="162">
        <v>0.2</v>
      </c>
      <c r="M92" s="162">
        <v>0.14000000000000001</v>
      </c>
      <c r="N92" s="162">
        <v>0.22</v>
      </c>
      <c r="P92" s="80"/>
      <c r="S92" s="162">
        <v>0.16</v>
      </c>
      <c r="T92" s="162">
        <v>0.22</v>
      </c>
      <c r="U92" s="162">
        <v>0.26</v>
      </c>
      <c r="V92" s="162">
        <v>0.28999999999999998</v>
      </c>
      <c r="W92" s="162">
        <v>0.28000000000000003</v>
      </c>
      <c r="X92" s="162">
        <v>0.26</v>
      </c>
      <c r="Y92" s="162">
        <v>0.23</v>
      </c>
      <c r="Z92" s="162">
        <v>0.2</v>
      </c>
      <c r="AA92" s="162">
        <v>0.17</v>
      </c>
      <c r="AB92" s="162">
        <v>0.16</v>
      </c>
      <c r="AC92" s="162">
        <v>0.2</v>
      </c>
      <c r="AD92" s="162">
        <v>0.14000000000000001</v>
      </c>
      <c r="AE92" s="162">
        <v>0.22</v>
      </c>
    </row>
    <row r="93" spans="1:31">
      <c r="P93" s="80"/>
    </row>
    <row r="94" spans="1:31">
      <c r="P94" s="80"/>
    </row>
    <row r="95" spans="1:31">
      <c r="P95" s="80"/>
    </row>
    <row r="96" spans="1:31">
      <c r="P96" s="80"/>
    </row>
    <row r="97" spans="1:31">
      <c r="A97" s="1" t="s">
        <v>376</v>
      </c>
      <c r="B97" s="20">
        <f>+B13</f>
        <v>1137014</v>
      </c>
      <c r="C97" s="20">
        <f t="shared" ref="C97:N97" si="20">+C13</f>
        <v>890786</v>
      </c>
      <c r="D97" s="20">
        <f t="shared" si="20"/>
        <v>664129</v>
      </c>
      <c r="E97" s="20">
        <f t="shared" si="20"/>
        <v>688718</v>
      </c>
      <c r="F97" s="20">
        <f t="shared" si="20"/>
        <v>598972</v>
      </c>
      <c r="G97" s="20">
        <f t="shared" si="20"/>
        <v>946606</v>
      </c>
      <c r="H97" s="20">
        <f t="shared" si="20"/>
        <v>914804</v>
      </c>
      <c r="I97" s="20">
        <f t="shared" si="20"/>
        <v>892667</v>
      </c>
      <c r="J97" s="20">
        <f t="shared" si="20"/>
        <v>974232</v>
      </c>
      <c r="K97" s="20">
        <f t="shared" si="20"/>
        <v>808268</v>
      </c>
      <c r="L97" s="20">
        <f t="shared" si="20"/>
        <v>708326</v>
      </c>
      <c r="M97" s="20">
        <f t="shared" si="20"/>
        <v>779711</v>
      </c>
      <c r="N97" s="20">
        <f t="shared" si="20"/>
        <v>10004233</v>
      </c>
      <c r="P97" s="80"/>
      <c r="S97" s="20">
        <f>+S13</f>
        <v>5266876364</v>
      </c>
      <c r="T97" s="20">
        <f t="shared" ref="T97:AE97" si="21">+T13</f>
        <v>4283024049</v>
      </c>
      <c r="U97" s="20">
        <f t="shared" si="21"/>
        <v>3073101715</v>
      </c>
      <c r="V97" s="20">
        <f t="shared" si="21"/>
        <v>3443591722</v>
      </c>
      <c r="W97" s="20">
        <f t="shared" si="21"/>
        <v>2994857735</v>
      </c>
      <c r="X97" s="20">
        <f t="shared" si="21"/>
        <v>4733028036</v>
      </c>
      <c r="Y97" s="20">
        <f t="shared" si="21"/>
        <v>4756978331</v>
      </c>
      <c r="Z97" s="20">
        <f t="shared" si="21"/>
        <v>4641870482</v>
      </c>
      <c r="AA97" s="20">
        <f t="shared" si="21"/>
        <v>5066003833</v>
      </c>
      <c r="AB97" s="20">
        <f t="shared" si="21"/>
        <v>4364645064</v>
      </c>
      <c r="AC97" s="20">
        <f t="shared" si="21"/>
        <v>3824957920</v>
      </c>
      <c r="AD97" s="20">
        <f t="shared" si="21"/>
        <v>4210437213</v>
      </c>
      <c r="AE97" s="20">
        <f t="shared" si="21"/>
        <v>50659372464</v>
      </c>
    </row>
    <row r="98" spans="1:31">
      <c r="P98" s="80"/>
    </row>
    <row r="99" spans="1:31">
      <c r="P99" s="80"/>
    </row>
    <row r="100" spans="1:31">
      <c r="A100" s="21" t="s">
        <v>54</v>
      </c>
      <c r="B100" s="21" t="s">
        <v>3</v>
      </c>
      <c r="C100" s="21" t="s">
        <v>4</v>
      </c>
      <c r="D100" s="21" t="s">
        <v>5</v>
      </c>
      <c r="E100" s="21" t="s">
        <v>6</v>
      </c>
      <c r="F100" s="21" t="s">
        <v>7</v>
      </c>
      <c r="G100" s="21" t="s">
        <v>8</v>
      </c>
      <c r="H100" s="21" t="s">
        <v>9</v>
      </c>
      <c r="I100" s="21" t="s">
        <v>10</v>
      </c>
      <c r="J100" s="21" t="s">
        <v>11</v>
      </c>
      <c r="K100" s="21" t="s">
        <v>12</v>
      </c>
      <c r="L100" s="21" t="s">
        <v>13</v>
      </c>
      <c r="M100" s="21" t="s">
        <v>14</v>
      </c>
      <c r="N100" s="21" t="s">
        <v>51</v>
      </c>
      <c r="P100" s="80"/>
      <c r="S100" s="21" t="s">
        <v>3</v>
      </c>
      <c r="T100" s="21" t="s">
        <v>4</v>
      </c>
      <c r="U100" s="21" t="s">
        <v>5</v>
      </c>
      <c r="V100" s="21" t="s">
        <v>6</v>
      </c>
      <c r="W100" s="21" t="s">
        <v>7</v>
      </c>
      <c r="X100" s="21" t="s">
        <v>8</v>
      </c>
      <c r="Y100" s="21" t="s">
        <v>9</v>
      </c>
      <c r="Z100" s="21" t="s">
        <v>10</v>
      </c>
      <c r="AA100" s="21" t="s">
        <v>11</v>
      </c>
      <c r="AB100" s="21" t="s">
        <v>12</v>
      </c>
      <c r="AC100" s="21" t="s">
        <v>13</v>
      </c>
      <c r="AD100" s="21" t="s">
        <v>14</v>
      </c>
      <c r="AE100" s="21" t="s">
        <v>51</v>
      </c>
    </row>
    <row r="101" spans="1:31">
      <c r="A101" s="172" t="s">
        <v>424</v>
      </c>
      <c r="B101" s="20">
        <f t="shared" ref="B101:N101" si="22">+B16+B17+B18+B19+B20+B21+B22+B23+B24+B25+B26+B37</f>
        <v>327391</v>
      </c>
      <c r="C101" s="20">
        <f t="shared" si="22"/>
        <v>311588</v>
      </c>
      <c r="D101" s="20">
        <f t="shared" si="22"/>
        <v>270005</v>
      </c>
      <c r="E101" s="20">
        <f t="shared" si="22"/>
        <v>300621</v>
      </c>
      <c r="F101" s="20">
        <f t="shared" si="22"/>
        <v>279576</v>
      </c>
      <c r="G101" s="20">
        <f t="shared" si="22"/>
        <v>334806</v>
      </c>
      <c r="H101" s="20">
        <f t="shared" si="22"/>
        <v>339191</v>
      </c>
      <c r="I101" s="20">
        <f t="shared" si="22"/>
        <v>326945</v>
      </c>
      <c r="J101" s="20">
        <f t="shared" si="22"/>
        <v>340840</v>
      </c>
      <c r="K101" s="20">
        <f t="shared" si="22"/>
        <v>309194</v>
      </c>
      <c r="L101" s="20">
        <f t="shared" si="22"/>
        <v>280540</v>
      </c>
      <c r="M101" s="20">
        <f t="shared" si="22"/>
        <v>291575</v>
      </c>
      <c r="N101" s="20">
        <f t="shared" si="22"/>
        <v>3712272</v>
      </c>
      <c r="P101" s="80"/>
      <c r="S101" s="20">
        <f t="shared" ref="S101:AE101" si="23">+S16+S17+S18+S19+S20+S21+S22+S23+S24+S25+S26+S37</f>
        <v>1516544154</v>
      </c>
      <c r="T101" s="20">
        <f t="shared" si="23"/>
        <v>1498163486</v>
      </c>
      <c r="U101" s="20">
        <f t="shared" si="23"/>
        <v>1249384956</v>
      </c>
      <c r="V101" s="20">
        <f t="shared" si="23"/>
        <v>1503098679</v>
      </c>
      <c r="W101" s="20">
        <f t="shared" si="23"/>
        <v>1397870378</v>
      </c>
      <c r="X101" s="20">
        <f t="shared" si="23"/>
        <v>1674026046</v>
      </c>
      <c r="Y101" s="20">
        <f t="shared" si="23"/>
        <v>1763790934</v>
      </c>
      <c r="Z101" s="20">
        <f t="shared" si="23"/>
        <v>1700111726</v>
      </c>
      <c r="AA101" s="20">
        <f t="shared" si="23"/>
        <v>1772364695</v>
      </c>
      <c r="AB101" s="20">
        <f t="shared" si="23"/>
        <v>1669642342</v>
      </c>
      <c r="AC101" s="20">
        <f t="shared" si="23"/>
        <v>1514911078</v>
      </c>
      <c r="AD101" s="20">
        <f t="shared" si="23"/>
        <v>1574501352</v>
      </c>
      <c r="AE101" s="20">
        <f t="shared" si="23"/>
        <v>18834409826</v>
      </c>
    </row>
    <row r="102" spans="1:31">
      <c r="A102" s="172" t="s">
        <v>425</v>
      </c>
      <c r="B102" s="20">
        <f t="shared" ref="B102:N102" si="24">+B29+B30+B31+B32+B33+B35+B36+B28</f>
        <v>190574</v>
      </c>
      <c r="C102" s="20">
        <f t="shared" si="24"/>
        <v>129199</v>
      </c>
      <c r="D102" s="20">
        <f t="shared" si="24"/>
        <v>109544</v>
      </c>
      <c r="E102" s="20">
        <f t="shared" si="24"/>
        <v>121472</v>
      </c>
      <c r="F102" s="20">
        <f t="shared" si="24"/>
        <v>107125</v>
      </c>
      <c r="G102" s="20">
        <f t="shared" si="24"/>
        <v>166569</v>
      </c>
      <c r="H102" s="20">
        <f t="shared" si="24"/>
        <v>159989</v>
      </c>
      <c r="I102" s="20">
        <f t="shared" si="24"/>
        <v>156205</v>
      </c>
      <c r="J102" s="20">
        <f t="shared" si="24"/>
        <v>170151</v>
      </c>
      <c r="K102" s="20">
        <f t="shared" si="24"/>
        <v>141641</v>
      </c>
      <c r="L102" s="20">
        <f t="shared" si="24"/>
        <v>124549</v>
      </c>
      <c r="M102" s="20">
        <f t="shared" si="24"/>
        <v>136755</v>
      </c>
      <c r="N102" s="20">
        <f t="shared" si="24"/>
        <v>1713773</v>
      </c>
      <c r="P102" s="80"/>
      <c r="S102" s="20">
        <f t="shared" ref="S102:AE102" si="25">+S29+S30+S31+S32+S33+S35+S36+S28</f>
        <v>882774832</v>
      </c>
      <c r="T102" s="20">
        <f t="shared" si="25"/>
        <v>621213163</v>
      </c>
      <c r="U102" s="20">
        <f t="shared" si="25"/>
        <v>506890307</v>
      </c>
      <c r="V102" s="20">
        <f t="shared" si="25"/>
        <v>607354185</v>
      </c>
      <c r="W102" s="20">
        <f t="shared" si="25"/>
        <v>535620671</v>
      </c>
      <c r="X102" s="20">
        <f t="shared" si="25"/>
        <v>832847793</v>
      </c>
      <c r="Y102" s="20">
        <f t="shared" si="25"/>
        <v>831943294</v>
      </c>
      <c r="Z102" s="20">
        <f t="shared" si="25"/>
        <v>812259852</v>
      </c>
      <c r="AA102" s="20">
        <f t="shared" si="25"/>
        <v>884786655</v>
      </c>
      <c r="AB102" s="20">
        <f t="shared" si="25"/>
        <v>764854307</v>
      </c>
      <c r="AC102" s="20">
        <f t="shared" si="25"/>
        <v>672567804</v>
      </c>
      <c r="AD102" s="20">
        <f t="shared" si="25"/>
        <v>738484763</v>
      </c>
      <c r="AE102" s="20">
        <f t="shared" si="25"/>
        <v>8691597626</v>
      </c>
    </row>
    <row r="103" spans="1:31">
      <c r="A103" s="172" t="s">
        <v>426</v>
      </c>
      <c r="B103" s="20">
        <f t="shared" ref="B103:N103" si="26">+B34+B38+B42</f>
        <v>18408</v>
      </c>
      <c r="C103" s="20">
        <f t="shared" si="26"/>
        <v>18127</v>
      </c>
      <c r="D103" s="20">
        <f t="shared" si="26"/>
        <v>15633</v>
      </c>
      <c r="E103" s="20">
        <f t="shared" si="26"/>
        <v>13881</v>
      </c>
      <c r="F103" s="20">
        <f t="shared" si="26"/>
        <v>12266</v>
      </c>
      <c r="G103" s="20">
        <f t="shared" si="26"/>
        <v>18523</v>
      </c>
      <c r="H103" s="20">
        <f t="shared" si="26"/>
        <v>17893</v>
      </c>
      <c r="I103" s="20">
        <f t="shared" si="26"/>
        <v>17495</v>
      </c>
      <c r="J103" s="20">
        <f t="shared" si="26"/>
        <v>18963</v>
      </c>
      <c r="K103" s="20">
        <f t="shared" si="26"/>
        <v>15923</v>
      </c>
      <c r="L103" s="20">
        <f t="shared" si="26"/>
        <v>14124</v>
      </c>
      <c r="M103" s="20">
        <f t="shared" si="26"/>
        <v>15409</v>
      </c>
      <c r="N103" s="20">
        <f t="shared" si="26"/>
        <v>196645</v>
      </c>
      <c r="P103" s="80"/>
      <c r="S103" s="20">
        <f t="shared" ref="S103:AE103" si="27">+S34+S38+S42</f>
        <v>85269722</v>
      </c>
      <c r="T103" s="20">
        <f t="shared" si="27"/>
        <v>87155006</v>
      </c>
      <c r="U103" s="20">
        <f t="shared" si="27"/>
        <v>72336299</v>
      </c>
      <c r="V103" s="20">
        <f t="shared" si="27"/>
        <v>69405189</v>
      </c>
      <c r="W103" s="20">
        <f t="shared" si="27"/>
        <v>61327977</v>
      </c>
      <c r="X103" s="20">
        <f t="shared" si="27"/>
        <v>92615042</v>
      </c>
      <c r="Y103" s="20">
        <f t="shared" si="27"/>
        <v>93046148</v>
      </c>
      <c r="Z103" s="20">
        <f t="shared" si="27"/>
        <v>90974207</v>
      </c>
      <c r="AA103" s="20">
        <f t="shared" si="27"/>
        <v>98608607</v>
      </c>
      <c r="AB103" s="20">
        <f t="shared" si="27"/>
        <v>85984150</v>
      </c>
      <c r="AC103" s="20">
        <f t="shared" si="27"/>
        <v>76269780</v>
      </c>
      <c r="AD103" s="20">
        <f t="shared" si="27"/>
        <v>83208408</v>
      </c>
      <c r="AE103" s="20">
        <f t="shared" si="27"/>
        <v>996200535</v>
      </c>
    </row>
    <row r="104" spans="1:31">
      <c r="A104" s="172" t="s">
        <v>427</v>
      </c>
      <c r="B104" s="20">
        <f t="shared" ref="B104:N104" si="28">+B46</f>
        <v>28113</v>
      </c>
      <c r="C104" s="20">
        <f t="shared" si="28"/>
        <v>27705</v>
      </c>
      <c r="D104" s="20">
        <f t="shared" si="28"/>
        <v>28187</v>
      </c>
      <c r="E104" s="20">
        <f t="shared" si="28"/>
        <v>26805</v>
      </c>
      <c r="F104" s="20">
        <f t="shared" si="28"/>
        <v>27221</v>
      </c>
      <c r="G104" s="20">
        <f t="shared" si="28"/>
        <v>27638</v>
      </c>
      <c r="H104" s="20">
        <f t="shared" si="28"/>
        <v>27032</v>
      </c>
      <c r="I104" s="20">
        <f t="shared" si="28"/>
        <v>27255</v>
      </c>
      <c r="J104" s="20">
        <f t="shared" si="28"/>
        <v>27486</v>
      </c>
      <c r="K104" s="20">
        <f t="shared" si="28"/>
        <v>26762</v>
      </c>
      <c r="L104" s="20">
        <f t="shared" si="28"/>
        <v>26982</v>
      </c>
      <c r="M104" s="20">
        <f t="shared" si="28"/>
        <v>27202</v>
      </c>
      <c r="N104" s="20">
        <f t="shared" si="28"/>
        <v>328388</v>
      </c>
      <c r="P104" s="80"/>
      <c r="S104" s="20">
        <f t="shared" ref="S104:AE104" si="29">+S46</f>
        <v>130225277</v>
      </c>
      <c r="T104" s="20">
        <f t="shared" si="29"/>
        <v>133207177</v>
      </c>
      <c r="U104" s="20">
        <f t="shared" si="29"/>
        <v>130429998</v>
      </c>
      <c r="V104" s="20">
        <f t="shared" si="29"/>
        <v>134022949</v>
      </c>
      <c r="W104" s="20">
        <f t="shared" si="29"/>
        <v>136106935</v>
      </c>
      <c r="X104" s="20">
        <f t="shared" si="29"/>
        <v>138190921</v>
      </c>
      <c r="Y104" s="20">
        <f t="shared" si="29"/>
        <v>140565903</v>
      </c>
      <c r="Z104" s="20">
        <f t="shared" si="29"/>
        <v>141728190</v>
      </c>
      <c r="AA104" s="20">
        <f t="shared" si="29"/>
        <v>142924806</v>
      </c>
      <c r="AB104" s="20">
        <f t="shared" si="29"/>
        <v>144513520</v>
      </c>
      <c r="AC104" s="20">
        <f t="shared" si="29"/>
        <v>145703487</v>
      </c>
      <c r="AD104" s="20">
        <f t="shared" si="29"/>
        <v>146893453</v>
      </c>
      <c r="AE104" s="20">
        <f t="shared" si="29"/>
        <v>1664512616</v>
      </c>
    </row>
    <row r="105" spans="1:31">
      <c r="A105" s="1" t="s">
        <v>428</v>
      </c>
      <c r="B105" s="20">
        <f t="shared" ref="B105:N105" si="30">+B43+B44+B41+B47+B39</f>
        <v>-181</v>
      </c>
      <c r="C105" s="20">
        <f t="shared" si="30"/>
        <v>175</v>
      </c>
      <c r="D105" s="20">
        <f t="shared" si="30"/>
        <v>0</v>
      </c>
      <c r="E105" s="20">
        <f t="shared" si="30"/>
        <v>0</v>
      </c>
      <c r="F105" s="20">
        <f t="shared" si="30"/>
        <v>0</v>
      </c>
      <c r="G105" s="20">
        <f t="shared" si="30"/>
        <v>0</v>
      </c>
      <c r="H105" s="20">
        <f t="shared" si="30"/>
        <v>0</v>
      </c>
      <c r="I105" s="20">
        <f t="shared" si="30"/>
        <v>0</v>
      </c>
      <c r="J105" s="20">
        <f t="shared" si="30"/>
        <v>0</v>
      </c>
      <c r="K105" s="20">
        <f t="shared" si="30"/>
        <v>0</v>
      </c>
      <c r="L105" s="20">
        <f t="shared" si="30"/>
        <v>0</v>
      </c>
      <c r="M105" s="20">
        <f t="shared" si="30"/>
        <v>0</v>
      </c>
      <c r="N105" s="20">
        <f t="shared" si="30"/>
        <v>-6</v>
      </c>
      <c r="P105" s="80"/>
      <c r="S105" s="20">
        <f t="shared" ref="S105:AE105" si="31">+S43+S44+S41+S47+S39</f>
        <v>-840106</v>
      </c>
      <c r="T105" s="20">
        <f t="shared" si="31"/>
        <v>840106</v>
      </c>
      <c r="U105" s="20">
        <f t="shared" si="31"/>
        <v>0</v>
      </c>
      <c r="V105" s="20">
        <f t="shared" si="31"/>
        <v>0</v>
      </c>
      <c r="W105" s="20">
        <f t="shared" si="31"/>
        <v>0</v>
      </c>
      <c r="X105" s="20">
        <f t="shared" si="31"/>
        <v>0</v>
      </c>
      <c r="Y105" s="20">
        <f t="shared" si="31"/>
        <v>0</v>
      </c>
      <c r="Z105" s="20">
        <f t="shared" si="31"/>
        <v>0</v>
      </c>
      <c r="AA105" s="20">
        <f t="shared" si="31"/>
        <v>0</v>
      </c>
      <c r="AB105" s="20">
        <f t="shared" si="31"/>
        <v>0</v>
      </c>
      <c r="AC105" s="20">
        <f t="shared" si="31"/>
        <v>0</v>
      </c>
      <c r="AD105" s="20">
        <f t="shared" si="31"/>
        <v>0</v>
      </c>
      <c r="AE105" s="20">
        <f t="shared" si="31"/>
        <v>0</v>
      </c>
    </row>
    <row r="106" spans="1:31" ht="13.5" thickBot="1">
      <c r="B106" s="173">
        <f>SUM(B101:B105)</f>
        <v>564305</v>
      </c>
      <c r="C106" s="173">
        <f t="shared" ref="C106:N106" si="32">SUM(C101:C105)</f>
        <v>486794</v>
      </c>
      <c r="D106" s="173">
        <f t="shared" si="32"/>
        <v>423369</v>
      </c>
      <c r="E106" s="173">
        <f t="shared" si="32"/>
        <v>462779</v>
      </c>
      <c r="F106" s="173">
        <f t="shared" si="32"/>
        <v>426188</v>
      </c>
      <c r="G106" s="173">
        <f t="shared" si="32"/>
        <v>547536</v>
      </c>
      <c r="H106" s="173">
        <f t="shared" si="32"/>
        <v>544105</v>
      </c>
      <c r="I106" s="173">
        <f t="shared" si="32"/>
        <v>527900</v>
      </c>
      <c r="J106" s="173">
        <f t="shared" si="32"/>
        <v>557440</v>
      </c>
      <c r="K106" s="173">
        <f t="shared" si="32"/>
        <v>493520</v>
      </c>
      <c r="L106" s="173">
        <f t="shared" si="32"/>
        <v>446195</v>
      </c>
      <c r="M106" s="173">
        <f t="shared" si="32"/>
        <v>470941</v>
      </c>
      <c r="N106" s="173">
        <f t="shared" si="32"/>
        <v>5951072</v>
      </c>
      <c r="P106" s="80"/>
      <c r="S106" s="173">
        <f>SUM(S101:S105)</f>
        <v>2613973879</v>
      </c>
      <c r="T106" s="173">
        <f t="shared" ref="T106:AE106" si="33">SUM(T101:T105)</f>
        <v>2340578938</v>
      </c>
      <c r="U106" s="173">
        <f t="shared" si="33"/>
        <v>1959041560</v>
      </c>
      <c r="V106" s="173">
        <f t="shared" si="33"/>
        <v>2313881002</v>
      </c>
      <c r="W106" s="173">
        <f t="shared" si="33"/>
        <v>2130925961</v>
      </c>
      <c r="X106" s="173">
        <f t="shared" si="33"/>
        <v>2737679802</v>
      </c>
      <c r="Y106" s="173">
        <f t="shared" si="33"/>
        <v>2829346279</v>
      </c>
      <c r="Z106" s="173">
        <f t="shared" si="33"/>
        <v>2745073975</v>
      </c>
      <c r="AA106" s="173">
        <f t="shared" si="33"/>
        <v>2898684763</v>
      </c>
      <c r="AB106" s="173">
        <f t="shared" si="33"/>
        <v>2664994319</v>
      </c>
      <c r="AC106" s="173">
        <f t="shared" si="33"/>
        <v>2409452149</v>
      </c>
      <c r="AD106" s="173">
        <f t="shared" si="33"/>
        <v>2543087976</v>
      </c>
      <c r="AE106" s="173">
        <f t="shared" si="33"/>
        <v>30186720603</v>
      </c>
    </row>
    <row r="108" spans="1:31">
      <c r="A108" s="187"/>
      <c r="B108" s="179">
        <f>+B106-B49</f>
        <v>0</v>
      </c>
      <c r="C108" s="179">
        <f t="shared" ref="C108:N108" si="34">+C106-C49</f>
        <v>0</v>
      </c>
      <c r="D108" s="179">
        <f t="shared" si="34"/>
        <v>0</v>
      </c>
      <c r="E108" s="179">
        <f t="shared" si="34"/>
        <v>0</v>
      </c>
      <c r="F108" s="179">
        <f t="shared" si="34"/>
        <v>0</v>
      </c>
      <c r="G108" s="179">
        <f t="shared" si="34"/>
        <v>0</v>
      </c>
      <c r="H108" s="179">
        <f t="shared" si="34"/>
        <v>0</v>
      </c>
      <c r="I108" s="179">
        <f t="shared" si="34"/>
        <v>0</v>
      </c>
      <c r="J108" s="179">
        <f t="shared" si="34"/>
        <v>0</v>
      </c>
      <c r="K108" s="179">
        <f t="shared" si="34"/>
        <v>0</v>
      </c>
      <c r="L108" s="179">
        <f t="shared" si="34"/>
        <v>0</v>
      </c>
      <c r="M108" s="179">
        <f t="shared" si="34"/>
        <v>0</v>
      </c>
      <c r="N108" s="179">
        <f t="shared" si="34"/>
        <v>0</v>
      </c>
      <c r="S108" s="179">
        <f>+S106-S49</f>
        <v>0</v>
      </c>
      <c r="T108" s="179">
        <f t="shared" ref="T108:AE108" si="35">+T106-T49</f>
        <v>0</v>
      </c>
      <c r="U108" s="179">
        <f t="shared" si="35"/>
        <v>0</v>
      </c>
      <c r="V108" s="179">
        <f t="shared" si="35"/>
        <v>0</v>
      </c>
      <c r="W108" s="179">
        <f t="shared" si="35"/>
        <v>0</v>
      </c>
      <c r="X108" s="179">
        <f t="shared" si="35"/>
        <v>0</v>
      </c>
      <c r="Y108" s="179">
        <f t="shared" si="35"/>
        <v>0</v>
      </c>
      <c r="Z108" s="179">
        <f t="shared" si="35"/>
        <v>0</v>
      </c>
      <c r="AA108" s="179">
        <f t="shared" si="35"/>
        <v>0</v>
      </c>
      <c r="AB108" s="179">
        <f t="shared" si="35"/>
        <v>0</v>
      </c>
      <c r="AC108" s="179">
        <f t="shared" si="35"/>
        <v>0</v>
      </c>
      <c r="AD108" s="179">
        <f t="shared" si="35"/>
        <v>0</v>
      </c>
      <c r="AE108" s="179">
        <f t="shared" si="35"/>
        <v>0</v>
      </c>
    </row>
    <row r="109" spans="1:31">
      <c r="A109" s="199" t="s">
        <v>619</v>
      </c>
    </row>
    <row r="111" spans="1:31">
      <c r="A111" s="172" t="s">
        <v>424</v>
      </c>
      <c r="B111" s="20">
        <f>+B53+B54+B55+B56+B70</f>
        <v>34876</v>
      </c>
      <c r="C111" s="20">
        <f t="shared" ref="C111:N111" si="36">+C53+C54+C55+C56+C70</f>
        <v>37251</v>
      </c>
      <c r="D111" s="20">
        <f t="shared" si="36"/>
        <v>45438</v>
      </c>
      <c r="E111" s="20">
        <f t="shared" si="36"/>
        <v>72693</v>
      </c>
      <c r="F111" s="20">
        <f t="shared" si="36"/>
        <v>53862</v>
      </c>
      <c r="G111" s="20">
        <f t="shared" si="36"/>
        <v>49132</v>
      </c>
      <c r="H111" s="20">
        <f t="shared" si="36"/>
        <v>62076</v>
      </c>
      <c r="I111" s="20">
        <f t="shared" si="36"/>
        <v>53383</v>
      </c>
      <c r="J111" s="20">
        <f t="shared" si="36"/>
        <v>51652</v>
      </c>
      <c r="K111" s="20">
        <f t="shared" si="36"/>
        <v>49923</v>
      </c>
      <c r="L111" s="20">
        <f t="shared" si="36"/>
        <v>51034</v>
      </c>
      <c r="M111" s="20">
        <f t="shared" si="36"/>
        <v>51034</v>
      </c>
      <c r="N111" s="20">
        <f t="shared" si="36"/>
        <v>612354</v>
      </c>
      <c r="S111" s="20">
        <f>+S53+S54+S55+S56+S70</f>
        <v>161553172</v>
      </c>
      <c r="T111" s="20">
        <f t="shared" ref="T111:AE111" si="37">+T53+T54+T55+T56+T70</f>
        <v>179113451</v>
      </c>
      <c r="U111" s="20">
        <f t="shared" si="37"/>
        <v>210256806</v>
      </c>
      <c r="V111" s="20">
        <f t="shared" si="37"/>
        <v>363464401</v>
      </c>
      <c r="W111" s="20">
        <f t="shared" si="37"/>
        <v>269309396</v>
      </c>
      <c r="X111" s="20">
        <f t="shared" si="37"/>
        <v>245657604</v>
      </c>
      <c r="Y111" s="20">
        <f t="shared" si="37"/>
        <v>322787017</v>
      </c>
      <c r="Z111" s="20">
        <f t="shared" si="37"/>
        <v>277588002</v>
      </c>
      <c r="AA111" s="20">
        <f t="shared" si="37"/>
        <v>268588002</v>
      </c>
      <c r="AB111" s="20">
        <f t="shared" si="37"/>
        <v>269588002</v>
      </c>
      <c r="AC111" s="20">
        <f t="shared" si="37"/>
        <v>275588002</v>
      </c>
      <c r="AD111" s="20">
        <f t="shared" si="37"/>
        <v>275588002</v>
      </c>
      <c r="AE111" s="20">
        <f t="shared" si="37"/>
        <v>3119081857</v>
      </c>
    </row>
    <row r="112" spans="1:31">
      <c r="A112" s="172" t="s">
        <v>64</v>
      </c>
      <c r="B112" s="20">
        <f t="shared" ref="B112:N112" si="38">+B59+B60+B61+B64+B65+B68</f>
        <v>11654</v>
      </c>
      <c r="C112" s="20">
        <f t="shared" si="38"/>
        <v>8447</v>
      </c>
      <c r="D112" s="20">
        <f t="shared" si="38"/>
        <v>14722</v>
      </c>
      <c r="E112" s="20">
        <f t="shared" si="38"/>
        <v>4281</v>
      </c>
      <c r="F112" s="20">
        <f t="shared" si="38"/>
        <v>5296</v>
      </c>
      <c r="G112" s="20">
        <f t="shared" si="38"/>
        <v>8325</v>
      </c>
      <c r="H112" s="20">
        <f t="shared" si="38"/>
        <v>12178</v>
      </c>
      <c r="I112" s="20">
        <f t="shared" si="38"/>
        <v>9603</v>
      </c>
      <c r="J112" s="20">
        <f t="shared" si="38"/>
        <v>9861</v>
      </c>
      <c r="K112" s="20">
        <f t="shared" si="38"/>
        <v>8200</v>
      </c>
      <c r="L112" s="20">
        <f t="shared" si="38"/>
        <v>8200</v>
      </c>
      <c r="M112" s="20">
        <f t="shared" si="38"/>
        <v>8200</v>
      </c>
      <c r="N112" s="20">
        <f t="shared" si="38"/>
        <v>108967</v>
      </c>
      <c r="S112" s="20">
        <f t="shared" ref="S112:AE112" si="39">+S59+S60+S61+S64+S65+S68</f>
        <v>53982174</v>
      </c>
      <c r="T112" s="20">
        <f t="shared" si="39"/>
        <v>40611255</v>
      </c>
      <c r="U112" s="20">
        <f t="shared" si="39"/>
        <v>68118197</v>
      </c>
      <c r="V112" s="20">
        <f t="shared" si="39"/>
        <v>21402711</v>
      </c>
      <c r="W112" s="20">
        <f t="shared" si="39"/>
        <v>26481115</v>
      </c>
      <c r="X112" s="20">
        <f t="shared" si="39"/>
        <v>41623037</v>
      </c>
      <c r="Y112" s="20">
        <f t="shared" si="39"/>
        <v>63324628</v>
      </c>
      <c r="Z112" s="20">
        <f t="shared" si="39"/>
        <v>49936109</v>
      </c>
      <c r="AA112" s="20">
        <f t="shared" si="39"/>
        <v>51276921</v>
      </c>
      <c r="AB112" s="20">
        <f t="shared" si="39"/>
        <v>44276921</v>
      </c>
      <c r="AC112" s="20">
        <f t="shared" si="39"/>
        <v>44276921</v>
      </c>
      <c r="AD112" s="20">
        <f t="shared" si="39"/>
        <v>44276921</v>
      </c>
      <c r="AE112" s="20">
        <f t="shared" si="39"/>
        <v>549586910</v>
      </c>
    </row>
    <row r="113" spans="1:31">
      <c r="A113" s="172" t="s">
        <v>430</v>
      </c>
      <c r="B113" s="20">
        <f>+B63</f>
        <v>3109</v>
      </c>
      <c r="C113" s="20">
        <f t="shared" ref="C113:N113" si="40">+C63</f>
        <v>2059</v>
      </c>
      <c r="D113" s="20">
        <f t="shared" si="40"/>
        <v>1556</v>
      </c>
      <c r="E113" s="20">
        <f t="shared" si="40"/>
        <v>2400</v>
      </c>
      <c r="F113" s="20">
        <f t="shared" si="40"/>
        <v>4000</v>
      </c>
      <c r="G113" s="20">
        <f t="shared" si="40"/>
        <v>3958</v>
      </c>
      <c r="H113" s="20">
        <f t="shared" si="40"/>
        <v>3846</v>
      </c>
      <c r="I113" s="20">
        <f t="shared" si="40"/>
        <v>3846</v>
      </c>
      <c r="J113" s="20">
        <f t="shared" si="40"/>
        <v>3846</v>
      </c>
      <c r="K113" s="20">
        <f t="shared" si="40"/>
        <v>3704</v>
      </c>
      <c r="L113" s="20">
        <f t="shared" si="40"/>
        <v>3704</v>
      </c>
      <c r="M113" s="20">
        <f t="shared" si="40"/>
        <v>3704</v>
      </c>
      <c r="N113" s="20">
        <f t="shared" si="40"/>
        <v>39732</v>
      </c>
      <c r="S113" s="20">
        <f>+S63</f>
        <v>14400000</v>
      </c>
      <c r="T113" s="20">
        <f t="shared" ref="T113:AE113" si="41">+T63</f>
        <v>9900000</v>
      </c>
      <c r="U113" s="20">
        <f t="shared" si="41"/>
        <v>7200000</v>
      </c>
      <c r="V113" s="20">
        <f t="shared" si="41"/>
        <v>12000000</v>
      </c>
      <c r="W113" s="20">
        <f t="shared" si="41"/>
        <v>20000000</v>
      </c>
      <c r="X113" s="20">
        <f t="shared" si="41"/>
        <v>19789548</v>
      </c>
      <c r="Y113" s="20">
        <f t="shared" si="41"/>
        <v>20000000</v>
      </c>
      <c r="Z113" s="20">
        <f t="shared" si="41"/>
        <v>20000000</v>
      </c>
      <c r="AA113" s="20">
        <f t="shared" si="41"/>
        <v>20000000</v>
      </c>
      <c r="AB113" s="20">
        <f t="shared" si="41"/>
        <v>20000000</v>
      </c>
      <c r="AC113" s="20">
        <f t="shared" si="41"/>
        <v>20000000</v>
      </c>
      <c r="AD113" s="20">
        <f t="shared" si="41"/>
        <v>20000000</v>
      </c>
      <c r="AE113" s="20">
        <f t="shared" si="41"/>
        <v>203289548</v>
      </c>
    </row>
    <row r="114" spans="1:31">
      <c r="A114" s="172" t="s">
        <v>63</v>
      </c>
      <c r="B114" s="20">
        <f t="shared" ref="B114:N114" si="42">+B57+B58</f>
        <v>895</v>
      </c>
      <c r="C114" s="20">
        <f t="shared" si="42"/>
        <v>306</v>
      </c>
      <c r="D114" s="20">
        <f t="shared" si="42"/>
        <v>400</v>
      </c>
      <c r="E114" s="20">
        <f t="shared" si="42"/>
        <v>282</v>
      </c>
      <c r="F114" s="20">
        <f t="shared" si="42"/>
        <v>284</v>
      </c>
      <c r="G114" s="20">
        <f t="shared" si="42"/>
        <v>263</v>
      </c>
      <c r="H114" s="20">
        <f t="shared" si="42"/>
        <v>269</v>
      </c>
      <c r="I114" s="20">
        <f t="shared" si="42"/>
        <v>436</v>
      </c>
      <c r="J114" s="20">
        <f t="shared" si="42"/>
        <v>384</v>
      </c>
      <c r="K114" s="20">
        <f t="shared" si="42"/>
        <v>370</v>
      </c>
      <c r="L114" s="20">
        <f t="shared" si="42"/>
        <v>370</v>
      </c>
      <c r="M114" s="20">
        <f t="shared" si="42"/>
        <v>370</v>
      </c>
      <c r="N114" s="20">
        <f t="shared" si="42"/>
        <v>4629</v>
      </c>
      <c r="S114" s="20">
        <f t="shared" ref="S114:AE114" si="43">+S57+S58</f>
        <v>4144580</v>
      </c>
      <c r="T114" s="20">
        <f t="shared" si="43"/>
        <v>1469962</v>
      </c>
      <c r="U114" s="20">
        <f t="shared" si="43"/>
        <v>1851817</v>
      </c>
      <c r="V114" s="20">
        <f t="shared" si="43"/>
        <v>1407311</v>
      </c>
      <c r="W114" s="20">
        <f t="shared" si="43"/>
        <v>1422795</v>
      </c>
      <c r="X114" s="20">
        <f t="shared" si="43"/>
        <v>1314834</v>
      </c>
      <c r="Y114" s="20">
        <f t="shared" si="43"/>
        <v>1398354</v>
      </c>
      <c r="Z114" s="20">
        <f t="shared" si="43"/>
        <v>2267585</v>
      </c>
      <c r="AA114" s="20">
        <f t="shared" si="43"/>
        <v>2000000</v>
      </c>
      <c r="AB114" s="20">
        <f t="shared" si="43"/>
        <v>2000000</v>
      </c>
      <c r="AC114" s="20">
        <f t="shared" si="43"/>
        <v>2000000</v>
      </c>
      <c r="AD114" s="20">
        <f t="shared" si="43"/>
        <v>2000000</v>
      </c>
      <c r="AE114" s="20">
        <f t="shared" si="43"/>
        <v>23277238</v>
      </c>
    </row>
    <row r="115" spans="1:31">
      <c r="A115" s="172" t="s">
        <v>431</v>
      </c>
      <c r="B115" s="20">
        <f t="shared" ref="B115:N115" si="44">+B66+B67</f>
        <v>4934</v>
      </c>
      <c r="C115" s="20">
        <f t="shared" si="44"/>
        <v>6643</v>
      </c>
      <c r="D115" s="20">
        <f t="shared" si="44"/>
        <v>8175</v>
      </c>
      <c r="E115" s="20">
        <f t="shared" si="44"/>
        <v>3225</v>
      </c>
      <c r="F115" s="20">
        <f t="shared" si="44"/>
        <v>3338</v>
      </c>
      <c r="G115" s="20">
        <f t="shared" si="44"/>
        <v>1928</v>
      </c>
      <c r="H115" s="20">
        <f t="shared" si="44"/>
        <v>3742</v>
      </c>
      <c r="I115" s="20">
        <f t="shared" si="44"/>
        <v>2981</v>
      </c>
      <c r="J115" s="20">
        <f t="shared" si="44"/>
        <v>2981</v>
      </c>
      <c r="K115" s="20">
        <f t="shared" si="44"/>
        <v>2870</v>
      </c>
      <c r="L115" s="20">
        <f t="shared" si="44"/>
        <v>2870</v>
      </c>
      <c r="M115" s="20">
        <f t="shared" si="44"/>
        <v>2870</v>
      </c>
      <c r="N115" s="20">
        <f t="shared" si="44"/>
        <v>46557</v>
      </c>
      <c r="S115" s="20">
        <f t="shared" ref="S115:AE115" si="45">+S66+S67</f>
        <v>22857322</v>
      </c>
      <c r="T115" s="20">
        <f t="shared" si="45"/>
        <v>31939206</v>
      </c>
      <c r="U115" s="20">
        <f t="shared" si="45"/>
        <v>37829534</v>
      </c>
      <c r="V115" s="20">
        <f t="shared" si="45"/>
        <v>16123615</v>
      </c>
      <c r="W115" s="20">
        <f t="shared" si="45"/>
        <v>16690842</v>
      </c>
      <c r="X115" s="20">
        <f t="shared" si="45"/>
        <v>9640023</v>
      </c>
      <c r="Y115" s="20">
        <f t="shared" si="45"/>
        <v>19458847</v>
      </c>
      <c r="Z115" s="20">
        <f t="shared" si="45"/>
        <v>15500000</v>
      </c>
      <c r="AA115" s="20">
        <f t="shared" si="45"/>
        <v>15500000</v>
      </c>
      <c r="AB115" s="20">
        <f t="shared" si="45"/>
        <v>15500000</v>
      </c>
      <c r="AC115" s="20">
        <f t="shared" si="45"/>
        <v>15500000</v>
      </c>
      <c r="AD115" s="20">
        <f t="shared" si="45"/>
        <v>15500000</v>
      </c>
      <c r="AE115" s="20">
        <f t="shared" si="45"/>
        <v>232039389</v>
      </c>
    </row>
    <row r="116" spans="1:31">
      <c r="A116" s="172" t="s">
        <v>427</v>
      </c>
      <c r="B116" s="20">
        <f>+B69</f>
        <v>1896</v>
      </c>
      <c r="C116" s="20">
        <f t="shared" ref="C116:N116" si="46">+C69</f>
        <v>1826</v>
      </c>
      <c r="D116" s="20">
        <f t="shared" si="46"/>
        <v>1881</v>
      </c>
      <c r="E116" s="20">
        <f t="shared" si="46"/>
        <v>1691</v>
      </c>
      <c r="F116" s="20">
        <f t="shared" si="46"/>
        <v>1691</v>
      </c>
      <c r="G116" s="20">
        <f t="shared" si="46"/>
        <v>1691</v>
      </c>
      <c r="H116" s="20">
        <f t="shared" si="46"/>
        <v>1630</v>
      </c>
      <c r="I116" s="20">
        <f t="shared" si="46"/>
        <v>1635</v>
      </c>
      <c r="J116" s="20">
        <f t="shared" si="46"/>
        <v>1635</v>
      </c>
      <c r="K116" s="20">
        <f t="shared" si="46"/>
        <v>1574</v>
      </c>
      <c r="L116" s="20">
        <f t="shared" si="46"/>
        <v>1574</v>
      </c>
      <c r="M116" s="20">
        <f t="shared" si="46"/>
        <v>1574</v>
      </c>
      <c r="N116" s="20">
        <f t="shared" si="46"/>
        <v>20298</v>
      </c>
      <c r="S116" s="20">
        <f>+S69</f>
        <v>8780621</v>
      </c>
      <c r="T116" s="20">
        <f t="shared" ref="T116:AE116" si="47">+T69</f>
        <v>8780621</v>
      </c>
      <c r="U116" s="20">
        <f t="shared" si="47"/>
        <v>8705447</v>
      </c>
      <c r="V116" s="20">
        <f t="shared" si="47"/>
        <v>8455498</v>
      </c>
      <c r="W116" s="20">
        <f t="shared" si="47"/>
        <v>8455498</v>
      </c>
      <c r="X116" s="20">
        <f t="shared" si="47"/>
        <v>8455498</v>
      </c>
      <c r="Y116" s="20">
        <f t="shared" si="47"/>
        <v>8476424</v>
      </c>
      <c r="Z116" s="20">
        <f t="shared" si="47"/>
        <v>8500000</v>
      </c>
      <c r="AA116" s="20">
        <f t="shared" si="47"/>
        <v>8500000</v>
      </c>
      <c r="AB116" s="20">
        <f t="shared" si="47"/>
        <v>8500000</v>
      </c>
      <c r="AC116" s="20">
        <f t="shared" si="47"/>
        <v>8500000</v>
      </c>
      <c r="AD116" s="20">
        <f t="shared" si="47"/>
        <v>8500000</v>
      </c>
      <c r="AE116" s="20">
        <f t="shared" si="47"/>
        <v>102609607</v>
      </c>
    </row>
    <row r="117" spans="1:31" ht="13.5" thickBot="1">
      <c r="B117" s="173">
        <f>SUM(B111:B116)</f>
        <v>57364</v>
      </c>
      <c r="C117" s="173">
        <f t="shared" ref="C117:N117" si="48">SUM(C111:C116)</f>
        <v>56532</v>
      </c>
      <c r="D117" s="173">
        <f t="shared" si="48"/>
        <v>72172</v>
      </c>
      <c r="E117" s="173">
        <f t="shared" si="48"/>
        <v>84572</v>
      </c>
      <c r="F117" s="173">
        <f t="shared" si="48"/>
        <v>68471</v>
      </c>
      <c r="G117" s="173">
        <f t="shared" si="48"/>
        <v>65297</v>
      </c>
      <c r="H117" s="173">
        <f t="shared" si="48"/>
        <v>83741</v>
      </c>
      <c r="I117" s="173">
        <f t="shared" si="48"/>
        <v>71884</v>
      </c>
      <c r="J117" s="173">
        <f t="shared" si="48"/>
        <v>70359</v>
      </c>
      <c r="K117" s="173">
        <f t="shared" si="48"/>
        <v>66641</v>
      </c>
      <c r="L117" s="173">
        <f t="shared" si="48"/>
        <v>67752</v>
      </c>
      <c r="M117" s="173">
        <f t="shared" si="48"/>
        <v>67752</v>
      </c>
      <c r="N117" s="173">
        <f t="shared" si="48"/>
        <v>832537</v>
      </c>
      <c r="S117" s="173">
        <f>SUM(S111:S116)</f>
        <v>265717869</v>
      </c>
      <c r="T117" s="173">
        <f t="shared" ref="T117:AE117" si="49">SUM(T111:T116)</f>
        <v>271814495</v>
      </c>
      <c r="U117" s="173">
        <f t="shared" si="49"/>
        <v>333961801</v>
      </c>
      <c r="V117" s="173">
        <f t="shared" si="49"/>
        <v>422853536</v>
      </c>
      <c r="W117" s="173">
        <f t="shared" si="49"/>
        <v>342359646</v>
      </c>
      <c r="X117" s="173">
        <f t="shared" si="49"/>
        <v>326480544</v>
      </c>
      <c r="Y117" s="173">
        <f t="shared" si="49"/>
        <v>435445270</v>
      </c>
      <c r="Z117" s="173">
        <f t="shared" si="49"/>
        <v>373791696</v>
      </c>
      <c r="AA117" s="173">
        <f t="shared" si="49"/>
        <v>365864923</v>
      </c>
      <c r="AB117" s="173">
        <f t="shared" si="49"/>
        <v>359864923</v>
      </c>
      <c r="AC117" s="173">
        <f t="shared" si="49"/>
        <v>365864923</v>
      </c>
      <c r="AD117" s="173">
        <f t="shared" si="49"/>
        <v>365864923</v>
      </c>
      <c r="AE117" s="173">
        <f t="shared" si="49"/>
        <v>4229884549</v>
      </c>
    </row>
    <row r="119" spans="1:31">
      <c r="A119" s="187"/>
      <c r="B119" s="179">
        <f t="shared" ref="B119:N119" si="50">+B72-B117</f>
        <v>0</v>
      </c>
      <c r="C119" s="179">
        <f t="shared" si="50"/>
        <v>0</v>
      </c>
      <c r="D119" s="179">
        <f t="shared" si="50"/>
        <v>0</v>
      </c>
      <c r="E119" s="179">
        <f t="shared" si="50"/>
        <v>0</v>
      </c>
      <c r="F119" s="179">
        <f t="shared" si="50"/>
        <v>0</v>
      </c>
      <c r="G119" s="179">
        <f t="shared" si="50"/>
        <v>0</v>
      </c>
      <c r="H119" s="179">
        <f t="shared" si="50"/>
        <v>0</v>
      </c>
      <c r="I119" s="179">
        <f t="shared" si="50"/>
        <v>0</v>
      </c>
      <c r="J119" s="179">
        <f t="shared" si="50"/>
        <v>0</v>
      </c>
      <c r="K119" s="179">
        <f t="shared" si="50"/>
        <v>0</v>
      </c>
      <c r="L119" s="179">
        <f t="shared" si="50"/>
        <v>0</v>
      </c>
      <c r="M119" s="179">
        <f t="shared" si="50"/>
        <v>0</v>
      </c>
      <c r="N119" s="179">
        <f t="shared" si="50"/>
        <v>0</v>
      </c>
      <c r="S119" s="179">
        <f t="shared" ref="S119:AE119" si="51">+S72-S117</f>
        <v>0</v>
      </c>
      <c r="T119" s="179">
        <f t="shared" si="51"/>
        <v>0</v>
      </c>
      <c r="U119" s="179">
        <f t="shared" si="51"/>
        <v>0</v>
      </c>
      <c r="V119" s="179">
        <f t="shared" si="51"/>
        <v>0</v>
      </c>
      <c r="W119" s="179">
        <f t="shared" si="51"/>
        <v>0</v>
      </c>
      <c r="X119" s="179">
        <f t="shared" si="51"/>
        <v>0</v>
      </c>
      <c r="Y119" s="179">
        <f t="shared" si="51"/>
        <v>0</v>
      </c>
      <c r="Z119" s="179">
        <f t="shared" si="51"/>
        <v>0</v>
      </c>
      <c r="AA119" s="179">
        <f t="shared" si="51"/>
        <v>0</v>
      </c>
      <c r="AB119" s="179">
        <f t="shared" si="51"/>
        <v>0</v>
      </c>
      <c r="AC119" s="179">
        <f t="shared" si="51"/>
        <v>0</v>
      </c>
      <c r="AD119" s="179">
        <f t="shared" si="51"/>
        <v>0</v>
      </c>
      <c r="AE119" s="179">
        <f t="shared" si="51"/>
        <v>0</v>
      </c>
    </row>
  </sheetData>
  <phoneticPr fontId="29" type="noConversion"/>
  <pageMargins left="0.75" right="0.75" top="1" bottom="1" header="0.5" footer="0.5"/>
  <pageSetup paperSize="9" scale="35" fitToHeight="3" orientation="landscape" horizontalDpi="300" verticalDpi="300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3">
    <tabColor theme="1"/>
    <pageSetUpPr fitToPage="1"/>
  </sheetPr>
  <dimension ref="A1:AH129"/>
  <sheetViews>
    <sheetView workbookViewId="0"/>
  </sheetViews>
  <sheetFormatPr baseColWidth="10" defaultColWidth="9.140625" defaultRowHeight="12.75"/>
  <cols>
    <col min="1" max="1" width="39.140625" style="63" bestFit="1" customWidth="1"/>
    <col min="2" max="2" width="10.42578125" style="63" customWidth="1"/>
    <col min="3" max="12" width="10.42578125" style="63" bestFit="1" customWidth="1"/>
    <col min="13" max="13" width="10" style="63" customWidth="1"/>
    <col min="14" max="14" width="11.42578125" style="71" bestFit="1" customWidth="1"/>
    <col min="15" max="18" width="9.140625" style="63"/>
    <col min="19" max="30" width="13.42578125" style="63" bestFit="1" customWidth="1"/>
    <col min="31" max="31" width="16.42578125" style="63" customWidth="1"/>
    <col min="32" max="32" width="9.140625" style="63"/>
    <col min="33" max="33" width="14.42578125" style="63" customWidth="1"/>
    <col min="34" max="34" width="10.5703125" style="63" customWidth="1"/>
    <col min="35" max="16384" width="9.140625" style="63"/>
  </cols>
  <sheetData>
    <row r="1" spans="1:34" ht="15.75">
      <c r="A1" s="70" t="s">
        <v>804</v>
      </c>
    </row>
    <row r="2" spans="1:34" s="72" customFormat="1" ht="15.75">
      <c r="A2" s="70" t="s">
        <v>807</v>
      </c>
      <c r="B2" s="64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71"/>
      <c r="S2">
        <v>3960</v>
      </c>
      <c r="T2">
        <f>+S2</f>
        <v>3960</v>
      </c>
      <c r="U2">
        <f t="shared" ref="U2:AD2" si="0">+T2</f>
        <v>3960</v>
      </c>
      <c r="V2">
        <f t="shared" si="0"/>
        <v>3960</v>
      </c>
      <c r="W2">
        <f t="shared" si="0"/>
        <v>3960</v>
      </c>
      <c r="X2">
        <f t="shared" si="0"/>
        <v>3960</v>
      </c>
      <c r="Y2">
        <f t="shared" si="0"/>
        <v>3960</v>
      </c>
      <c r="Z2">
        <f t="shared" si="0"/>
        <v>3960</v>
      </c>
      <c r="AA2">
        <f t="shared" si="0"/>
        <v>3960</v>
      </c>
      <c r="AB2">
        <f t="shared" si="0"/>
        <v>3960</v>
      </c>
      <c r="AC2">
        <f t="shared" si="0"/>
        <v>3960</v>
      </c>
      <c r="AD2">
        <f t="shared" si="0"/>
        <v>3960</v>
      </c>
    </row>
    <row r="3" spans="1:34" ht="15.75">
      <c r="A3" s="61" t="s">
        <v>373</v>
      </c>
      <c r="N3" s="65"/>
    </row>
    <row r="4" spans="1:34">
      <c r="B4" s="73">
        <v>2023</v>
      </c>
      <c r="C4" s="73">
        <f t="shared" ref="C4:N4" si="1">+B4</f>
        <v>2023</v>
      </c>
      <c r="D4" s="73">
        <f t="shared" si="1"/>
        <v>2023</v>
      </c>
      <c r="E4" s="73">
        <f t="shared" si="1"/>
        <v>2023</v>
      </c>
      <c r="F4" s="73">
        <f t="shared" si="1"/>
        <v>2023</v>
      </c>
      <c r="G4" s="73">
        <f t="shared" si="1"/>
        <v>2023</v>
      </c>
      <c r="H4" s="73">
        <f t="shared" si="1"/>
        <v>2023</v>
      </c>
      <c r="I4" s="73">
        <f t="shared" si="1"/>
        <v>2023</v>
      </c>
      <c r="J4" s="73">
        <f t="shared" si="1"/>
        <v>2023</v>
      </c>
      <c r="K4" s="73">
        <f t="shared" si="1"/>
        <v>2023</v>
      </c>
      <c r="L4" s="73">
        <f t="shared" si="1"/>
        <v>2023</v>
      </c>
      <c r="M4" s="73">
        <f t="shared" si="1"/>
        <v>2023</v>
      </c>
      <c r="N4" s="73">
        <f t="shared" si="1"/>
        <v>2023</v>
      </c>
      <c r="S4" s="73">
        <v>2023</v>
      </c>
      <c r="T4" s="73">
        <f t="shared" ref="T4:AE4" si="2">+S4</f>
        <v>2023</v>
      </c>
      <c r="U4" s="73">
        <f t="shared" si="2"/>
        <v>2023</v>
      </c>
      <c r="V4" s="73">
        <f t="shared" si="2"/>
        <v>2023</v>
      </c>
      <c r="W4" s="73">
        <f t="shared" si="2"/>
        <v>2023</v>
      </c>
      <c r="X4" s="73">
        <f t="shared" si="2"/>
        <v>2023</v>
      </c>
      <c r="Y4" s="73">
        <f t="shared" si="2"/>
        <v>2023</v>
      </c>
      <c r="Z4" s="73">
        <f t="shared" si="2"/>
        <v>2023</v>
      </c>
      <c r="AA4" s="73">
        <f t="shared" si="2"/>
        <v>2023</v>
      </c>
      <c r="AB4" s="73">
        <f t="shared" si="2"/>
        <v>2023</v>
      </c>
      <c r="AC4" s="73">
        <f t="shared" si="2"/>
        <v>2023</v>
      </c>
      <c r="AD4" s="73">
        <f t="shared" si="2"/>
        <v>2023</v>
      </c>
      <c r="AE4" s="73">
        <f t="shared" si="2"/>
        <v>2023</v>
      </c>
    </row>
    <row r="5" spans="1:34" ht="15.75">
      <c r="A5" s="61" t="s">
        <v>2</v>
      </c>
      <c r="B5" s="73" t="s">
        <v>3</v>
      </c>
      <c r="C5" s="73" t="s">
        <v>4</v>
      </c>
      <c r="D5" s="73" t="s">
        <v>5</v>
      </c>
      <c r="E5" s="73" t="s">
        <v>6</v>
      </c>
      <c r="F5" s="73" t="s">
        <v>7</v>
      </c>
      <c r="G5" s="73" t="s">
        <v>8</v>
      </c>
      <c r="H5" s="73" t="s">
        <v>9</v>
      </c>
      <c r="I5" s="73" t="s">
        <v>10</v>
      </c>
      <c r="J5" s="73" t="s">
        <v>11</v>
      </c>
      <c r="K5" s="73" t="s">
        <v>12</v>
      </c>
      <c r="L5" s="73" t="s">
        <v>13</v>
      </c>
      <c r="M5" s="73" t="s">
        <v>14</v>
      </c>
      <c r="N5" s="73" t="s">
        <v>51</v>
      </c>
      <c r="S5" s="73" t="s">
        <v>3</v>
      </c>
      <c r="T5" s="73" t="s">
        <v>4</v>
      </c>
      <c r="U5" s="73" t="s">
        <v>5</v>
      </c>
      <c r="V5" s="73" t="s">
        <v>6</v>
      </c>
      <c r="W5" s="73" t="s">
        <v>7</v>
      </c>
      <c r="X5" s="73" t="s">
        <v>8</v>
      </c>
      <c r="Y5" s="73" t="s">
        <v>9</v>
      </c>
      <c r="Z5" s="73" t="s">
        <v>10</v>
      </c>
      <c r="AA5" s="73" t="s">
        <v>11</v>
      </c>
      <c r="AB5" s="73" t="s">
        <v>12</v>
      </c>
      <c r="AC5" s="73" t="s">
        <v>13</v>
      </c>
      <c r="AD5" s="73" t="s">
        <v>14</v>
      </c>
      <c r="AE5" s="73" t="s">
        <v>51</v>
      </c>
    </row>
    <row r="6" spans="1:34">
      <c r="A6" s="74" t="s">
        <v>376</v>
      </c>
      <c r="AE6" s="71"/>
    </row>
    <row r="7" spans="1:34">
      <c r="A7" s="75" t="s">
        <v>669</v>
      </c>
      <c r="B7" s="122">
        <v>1137014</v>
      </c>
      <c r="C7" s="122">
        <v>890786</v>
      </c>
      <c r="D7" s="122">
        <v>622274</v>
      </c>
      <c r="E7" s="122">
        <v>688718</v>
      </c>
      <c r="F7" s="122">
        <v>598972</v>
      </c>
      <c r="G7" s="122">
        <v>946606</v>
      </c>
      <c r="H7" s="122">
        <v>914804</v>
      </c>
      <c r="I7" s="122">
        <v>892667</v>
      </c>
      <c r="J7" s="122">
        <v>974232</v>
      </c>
      <c r="K7" s="122">
        <v>808268</v>
      </c>
      <c r="L7" s="122">
        <v>708326</v>
      </c>
      <c r="M7" s="122">
        <v>779711</v>
      </c>
      <c r="N7" s="123">
        <f>SUM(B7:M7)</f>
        <v>9962378</v>
      </c>
      <c r="S7" s="122">
        <v>5266876364</v>
      </c>
      <c r="T7" s="122">
        <v>4283024049</v>
      </c>
      <c r="U7" s="122">
        <v>2879428080</v>
      </c>
      <c r="V7" s="122">
        <v>3443591722</v>
      </c>
      <c r="W7" s="122">
        <v>2994857735</v>
      </c>
      <c r="X7" s="122">
        <v>4733028036</v>
      </c>
      <c r="Y7" s="122">
        <v>4756978331</v>
      </c>
      <c r="Z7" s="122">
        <v>4641870482</v>
      </c>
      <c r="AA7" s="122">
        <v>5066003833</v>
      </c>
      <c r="AB7" s="122">
        <v>4364645064</v>
      </c>
      <c r="AC7" s="122">
        <v>3824957920</v>
      </c>
      <c r="AD7" s="122">
        <v>4210437213</v>
      </c>
      <c r="AE7" s="123">
        <f>SUM(S7:AD7)</f>
        <v>50465698829</v>
      </c>
    </row>
    <row r="8" spans="1:34">
      <c r="A8" s="75" t="s">
        <v>377</v>
      </c>
      <c r="B8" s="122"/>
      <c r="C8" s="122"/>
      <c r="D8" s="122">
        <v>0</v>
      </c>
      <c r="E8" s="122"/>
      <c r="F8" s="122">
        <v>0</v>
      </c>
      <c r="G8" s="122">
        <v>0</v>
      </c>
      <c r="H8" s="122">
        <v>0</v>
      </c>
      <c r="I8" s="122">
        <v>0</v>
      </c>
      <c r="J8" s="122">
        <v>0</v>
      </c>
      <c r="K8" s="122">
        <v>0</v>
      </c>
      <c r="L8" s="122">
        <v>0</v>
      </c>
      <c r="M8" s="122">
        <v>0</v>
      </c>
      <c r="N8" s="123">
        <f>SUM(B8:M8)</f>
        <v>0</v>
      </c>
      <c r="S8" s="122">
        <v>0</v>
      </c>
      <c r="T8" s="122">
        <v>0</v>
      </c>
      <c r="U8" s="122">
        <v>0</v>
      </c>
      <c r="V8" s="122">
        <v>0</v>
      </c>
      <c r="W8" s="122">
        <v>0</v>
      </c>
      <c r="X8" s="122">
        <v>0</v>
      </c>
      <c r="Y8" s="122">
        <v>0</v>
      </c>
      <c r="Z8" s="122">
        <v>0</v>
      </c>
      <c r="AA8" s="122">
        <v>0</v>
      </c>
      <c r="AB8" s="122">
        <v>0</v>
      </c>
      <c r="AC8" s="122">
        <v>0</v>
      </c>
      <c r="AD8" s="122">
        <v>0</v>
      </c>
      <c r="AE8" s="123">
        <f>SUM(S8:AD8)</f>
        <v>0</v>
      </c>
    </row>
    <row r="9" spans="1:34">
      <c r="A9" s="757" t="s">
        <v>378</v>
      </c>
      <c r="B9" s="122"/>
      <c r="C9" s="122"/>
      <c r="D9" s="122">
        <v>0</v>
      </c>
      <c r="E9" s="122"/>
      <c r="F9" s="122">
        <v>0</v>
      </c>
      <c r="G9" s="122">
        <v>0</v>
      </c>
      <c r="H9" s="122">
        <v>0</v>
      </c>
      <c r="I9" s="122">
        <v>0</v>
      </c>
      <c r="J9" s="122">
        <v>0</v>
      </c>
      <c r="K9" s="122">
        <v>0</v>
      </c>
      <c r="L9" s="122">
        <v>0</v>
      </c>
      <c r="M9" s="122">
        <v>0</v>
      </c>
      <c r="N9" s="123">
        <f>SUM(B9:M9)</f>
        <v>0</v>
      </c>
      <c r="S9" s="122">
        <v>0</v>
      </c>
      <c r="T9" s="122">
        <v>0</v>
      </c>
      <c r="U9" s="122">
        <v>0</v>
      </c>
      <c r="V9" s="122">
        <v>0</v>
      </c>
      <c r="W9" s="122">
        <v>0</v>
      </c>
      <c r="X9" s="122">
        <v>0</v>
      </c>
      <c r="Y9" s="122">
        <v>0</v>
      </c>
      <c r="Z9" s="122">
        <v>0</v>
      </c>
      <c r="AA9" s="122">
        <v>0</v>
      </c>
      <c r="AB9" s="122">
        <v>0</v>
      </c>
      <c r="AC9" s="122">
        <v>0</v>
      </c>
      <c r="AD9" s="122">
        <v>0</v>
      </c>
      <c r="AE9" s="123">
        <f>SUM(S9:AD9)</f>
        <v>0</v>
      </c>
    </row>
    <row r="10" spans="1:34">
      <c r="A10" s="75" t="s">
        <v>379</v>
      </c>
      <c r="B10" s="122"/>
      <c r="C10" s="122"/>
      <c r="D10" s="122">
        <v>0</v>
      </c>
      <c r="E10" s="122"/>
      <c r="F10" s="122"/>
      <c r="G10" s="122"/>
      <c r="H10" s="122"/>
      <c r="I10" s="122"/>
      <c r="J10" s="122"/>
      <c r="K10" s="122"/>
      <c r="L10" s="122"/>
      <c r="M10" s="122"/>
      <c r="N10" s="123">
        <f>SUM(B10:M10)</f>
        <v>0</v>
      </c>
      <c r="S10" s="122">
        <v>0</v>
      </c>
      <c r="T10" s="122">
        <v>0</v>
      </c>
      <c r="U10" s="122">
        <v>0</v>
      </c>
      <c r="V10" s="122">
        <v>0</v>
      </c>
      <c r="W10" s="122">
        <v>0</v>
      </c>
      <c r="X10" s="122">
        <v>0</v>
      </c>
      <c r="Y10" s="122">
        <v>0</v>
      </c>
      <c r="Z10" s="122">
        <v>0</v>
      </c>
      <c r="AA10" s="122">
        <v>0</v>
      </c>
      <c r="AB10" s="122">
        <v>0</v>
      </c>
      <c r="AC10" s="122">
        <v>0</v>
      </c>
      <c r="AD10" s="122">
        <v>0</v>
      </c>
      <c r="AE10" s="123">
        <f>SUM(S10:AD10)</f>
        <v>0</v>
      </c>
    </row>
    <row r="11" spans="1:34" s="77" customFormat="1">
      <c r="A11" s="76" t="s">
        <v>380</v>
      </c>
      <c r="B11" s="135"/>
      <c r="C11" s="135"/>
      <c r="D11" s="135">
        <v>41855</v>
      </c>
      <c r="E11" s="135"/>
      <c r="F11" s="135"/>
      <c r="G11" s="135"/>
      <c r="H11" s="135"/>
      <c r="I11" s="135"/>
      <c r="J11" s="135"/>
      <c r="K11" s="135"/>
      <c r="L11" s="135"/>
      <c r="M11" s="135"/>
      <c r="N11" s="123">
        <f>SUM(B11:M11)</f>
        <v>41855</v>
      </c>
      <c r="S11" s="135"/>
      <c r="T11" s="135"/>
      <c r="U11" s="135">
        <v>193673635</v>
      </c>
      <c r="V11" s="135"/>
      <c r="W11" s="135"/>
      <c r="X11" s="135"/>
      <c r="Y11" s="135"/>
      <c r="Z11" s="135"/>
      <c r="AA11" s="135"/>
      <c r="AB11" s="135"/>
      <c r="AC11" s="135"/>
      <c r="AD11" s="135"/>
      <c r="AE11" s="123">
        <f>SUM(S11:AD11)</f>
        <v>193673635</v>
      </c>
    </row>
    <row r="12" spans="1:34">
      <c r="A12" s="75" t="s">
        <v>59</v>
      </c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67">
        <v>0</v>
      </c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67">
        <v>0</v>
      </c>
    </row>
    <row r="13" spans="1:34" s="64" customFormat="1" ht="13.5" thickBot="1">
      <c r="A13" s="74" t="s">
        <v>381</v>
      </c>
      <c r="B13" s="38">
        <f>SUM(B7:B12)</f>
        <v>1137014</v>
      </c>
      <c r="C13" s="38">
        <f t="shared" ref="C13:M13" si="3">SUM(C7:C12)</f>
        <v>890786</v>
      </c>
      <c r="D13" s="38">
        <f t="shared" si="3"/>
        <v>664129</v>
      </c>
      <c r="E13" s="38">
        <f t="shared" si="3"/>
        <v>688718</v>
      </c>
      <c r="F13" s="38">
        <f t="shared" si="3"/>
        <v>598972</v>
      </c>
      <c r="G13" s="38">
        <f t="shared" si="3"/>
        <v>946606</v>
      </c>
      <c r="H13" s="38">
        <f t="shared" si="3"/>
        <v>914804</v>
      </c>
      <c r="I13" s="38">
        <f t="shared" si="3"/>
        <v>892667</v>
      </c>
      <c r="J13" s="38">
        <f t="shared" si="3"/>
        <v>974232</v>
      </c>
      <c r="K13" s="38">
        <f t="shared" si="3"/>
        <v>808268</v>
      </c>
      <c r="L13" s="38">
        <f t="shared" si="3"/>
        <v>708326</v>
      </c>
      <c r="M13" s="38">
        <f t="shared" si="3"/>
        <v>779711</v>
      </c>
      <c r="N13" s="16">
        <f>SUM(N7:N11)</f>
        <v>10004233</v>
      </c>
      <c r="P13" s="78">
        <f>SUM(B13:I13)</f>
        <v>6733696</v>
      </c>
      <c r="S13" s="38">
        <f>SUM(S7:S12)</f>
        <v>5266876364</v>
      </c>
      <c r="T13" s="38">
        <f t="shared" ref="T13:AD13" si="4">SUM(T7:T12)</f>
        <v>4283024049</v>
      </c>
      <c r="U13" s="38">
        <f t="shared" si="4"/>
        <v>3073101715</v>
      </c>
      <c r="V13" s="38">
        <f t="shared" si="4"/>
        <v>3443591722</v>
      </c>
      <c r="W13" s="38">
        <f t="shared" si="4"/>
        <v>2994857735</v>
      </c>
      <c r="X13" s="38">
        <f t="shared" si="4"/>
        <v>4733028036</v>
      </c>
      <c r="Y13" s="38">
        <f t="shared" si="4"/>
        <v>4756978331</v>
      </c>
      <c r="Z13" s="38">
        <f t="shared" si="4"/>
        <v>4641870482</v>
      </c>
      <c r="AA13" s="38">
        <f t="shared" si="4"/>
        <v>5066003833</v>
      </c>
      <c r="AB13" s="38">
        <f t="shared" si="4"/>
        <v>4364645064</v>
      </c>
      <c r="AC13" s="38">
        <f t="shared" si="4"/>
        <v>3824957920</v>
      </c>
      <c r="AD13" s="38">
        <f t="shared" si="4"/>
        <v>4210437213</v>
      </c>
      <c r="AE13" s="16">
        <f>SUM(AE7:AE11)</f>
        <v>50659372464</v>
      </c>
      <c r="AG13" s="78">
        <f>SUM(S13:AD13)</f>
        <v>50659372464</v>
      </c>
    </row>
    <row r="14" spans="1:34" ht="13.5" thickTop="1">
      <c r="A14" s="75"/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67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67"/>
    </row>
    <row r="15" spans="1:34">
      <c r="A15" s="74" t="s">
        <v>382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67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67"/>
    </row>
    <row r="16" spans="1:34">
      <c r="A16" s="75" t="s">
        <v>266</v>
      </c>
      <c r="B16" s="14">
        <v>162958</v>
      </c>
      <c r="C16" s="14">
        <v>153297</v>
      </c>
      <c r="D16" s="14">
        <v>130995</v>
      </c>
      <c r="E16" s="14">
        <v>142340</v>
      </c>
      <c r="F16" s="14">
        <v>130591</v>
      </c>
      <c r="G16" s="14">
        <v>167377</v>
      </c>
      <c r="H16" s="14">
        <v>171193</v>
      </c>
      <c r="I16" s="14">
        <v>164066</v>
      </c>
      <c r="J16" s="14">
        <v>164636</v>
      </c>
      <c r="K16" s="14">
        <v>147371</v>
      </c>
      <c r="L16" s="14">
        <v>138917</v>
      </c>
      <c r="M16" s="14">
        <v>144847</v>
      </c>
      <c r="N16" s="123">
        <f t="shared" ref="N16:N47" si="5">SUM(B16:M16)</f>
        <v>1818588</v>
      </c>
      <c r="P16" s="327">
        <f>SUM(B16:M16)</f>
        <v>1818588</v>
      </c>
      <c r="Q16" s="328">
        <f>+P16/$P$13</f>
        <v>0.27</v>
      </c>
      <c r="S16" s="14">
        <v>754855181</v>
      </c>
      <c r="T16" s="14">
        <v>737074033</v>
      </c>
      <c r="U16" s="14">
        <v>606150126</v>
      </c>
      <c r="V16" s="14">
        <v>711698359</v>
      </c>
      <c r="W16" s="14">
        <v>652953180</v>
      </c>
      <c r="X16" s="14">
        <v>836886640</v>
      </c>
      <c r="Y16" s="14">
        <v>890201584</v>
      </c>
      <c r="Z16" s="14">
        <v>853143254</v>
      </c>
      <c r="AA16" s="14">
        <v>856105912</v>
      </c>
      <c r="AB16" s="14">
        <v>795801202</v>
      </c>
      <c r="AC16" s="14">
        <v>750152027</v>
      </c>
      <c r="AD16" s="14">
        <v>782171142</v>
      </c>
      <c r="AE16" s="123">
        <f>SUM(S16:AD16)</f>
        <v>9227192640</v>
      </c>
      <c r="AG16" s="327">
        <f>SUM(S16:AD16)</f>
        <v>9227192640</v>
      </c>
      <c r="AH16" s="328">
        <f>+AG16/$P$13</f>
        <v>1370.3009999999999</v>
      </c>
    </row>
    <row r="17" spans="1:34">
      <c r="A17" s="75" t="s">
        <v>268</v>
      </c>
      <c r="B17" s="14">
        <v>111689</v>
      </c>
      <c r="C17" s="14">
        <v>99410</v>
      </c>
      <c r="D17" s="14">
        <v>89082</v>
      </c>
      <c r="E17" s="14">
        <v>95352</v>
      </c>
      <c r="F17" s="14">
        <v>87043</v>
      </c>
      <c r="G17" s="14">
        <v>113663</v>
      </c>
      <c r="H17" s="14">
        <v>116250</v>
      </c>
      <c r="I17" s="14">
        <v>111238</v>
      </c>
      <c r="J17" s="14">
        <v>112127</v>
      </c>
      <c r="K17" s="14">
        <v>99696</v>
      </c>
      <c r="L17" s="14">
        <v>93558</v>
      </c>
      <c r="M17" s="14">
        <v>97878</v>
      </c>
      <c r="N17" s="123">
        <f t="shared" si="5"/>
        <v>1226986</v>
      </c>
      <c r="P17" s="327">
        <f>SUM(B17:M17)</f>
        <v>1226986</v>
      </c>
      <c r="Q17" s="328">
        <f t="shared" ref="Q17:Q46" si="6">+P17/$P$13</f>
        <v>0.182</v>
      </c>
      <c r="S17" s="14">
        <v>517366297</v>
      </c>
      <c r="T17" s="14">
        <v>477978003</v>
      </c>
      <c r="U17" s="14">
        <v>412206787</v>
      </c>
      <c r="V17" s="14">
        <v>476759734</v>
      </c>
      <c r="W17" s="14">
        <v>435212686</v>
      </c>
      <c r="X17" s="14">
        <v>568315021</v>
      </c>
      <c r="Y17" s="14">
        <v>604501511</v>
      </c>
      <c r="Z17" s="14">
        <v>578435820</v>
      </c>
      <c r="AA17" s="14">
        <v>583060664</v>
      </c>
      <c r="AB17" s="14">
        <v>538357967</v>
      </c>
      <c r="AC17" s="14">
        <v>505212437</v>
      </c>
      <c r="AD17" s="14">
        <v>528543324</v>
      </c>
      <c r="AE17" s="123">
        <f t="shared" ref="AE17:AE45" si="7">SUM(S17:AD17)</f>
        <v>6225950251</v>
      </c>
      <c r="AG17" s="327">
        <f>SUM(S17:AD17)</f>
        <v>6225950251</v>
      </c>
      <c r="AH17" s="328">
        <f t="shared" ref="AH17:AH46" si="8">+AG17/$P$13</f>
        <v>924.596</v>
      </c>
    </row>
    <row r="18" spans="1:34">
      <c r="A18" s="933" t="s">
        <v>806</v>
      </c>
      <c r="B18" s="14">
        <v>0</v>
      </c>
      <c r="C18" s="14">
        <v>0</v>
      </c>
      <c r="D18" s="14">
        <v>0</v>
      </c>
      <c r="E18" s="14">
        <v>12000</v>
      </c>
      <c r="F18" s="14">
        <v>12000</v>
      </c>
      <c r="G18" s="14">
        <v>0</v>
      </c>
      <c r="H18" s="14">
        <v>0</v>
      </c>
      <c r="I18" s="14">
        <v>0</v>
      </c>
      <c r="J18" s="14">
        <v>13462</v>
      </c>
      <c r="K18" s="14">
        <v>12963</v>
      </c>
      <c r="L18" s="14">
        <v>0</v>
      </c>
      <c r="M18" s="14">
        <v>0</v>
      </c>
      <c r="N18" s="123">
        <f t="shared" si="5"/>
        <v>50425</v>
      </c>
      <c r="P18" s="327">
        <f>SUM(B18:I18)</f>
        <v>24000</v>
      </c>
      <c r="Q18" s="328">
        <f t="shared" si="6"/>
        <v>4.0000000000000001E-3</v>
      </c>
      <c r="S18" s="14">
        <v>0</v>
      </c>
      <c r="T18" s="14">
        <v>0</v>
      </c>
      <c r="U18" s="14">
        <v>0</v>
      </c>
      <c r="V18" s="14">
        <v>60000000</v>
      </c>
      <c r="W18" s="14">
        <v>60000000</v>
      </c>
      <c r="X18" s="14">
        <v>0</v>
      </c>
      <c r="Y18" s="14">
        <v>0</v>
      </c>
      <c r="Z18" s="14">
        <v>0</v>
      </c>
      <c r="AA18" s="14">
        <v>70000000</v>
      </c>
      <c r="AB18" s="14">
        <v>70000000</v>
      </c>
      <c r="AC18" s="14">
        <v>0</v>
      </c>
      <c r="AD18" s="14">
        <v>0</v>
      </c>
      <c r="AE18" s="123">
        <f t="shared" si="7"/>
        <v>260000000</v>
      </c>
      <c r="AG18" s="327">
        <f>SUM(S18:AA18)</f>
        <v>190000000</v>
      </c>
      <c r="AH18" s="328">
        <f t="shared" si="8"/>
        <v>28.216000000000001</v>
      </c>
    </row>
    <row r="19" spans="1:34">
      <c r="A19" s="933" t="s">
        <v>269</v>
      </c>
      <c r="B19" s="14">
        <v>16039</v>
      </c>
      <c r="C19" s="14">
        <v>15452</v>
      </c>
      <c r="D19" s="14">
        <v>16056</v>
      </c>
      <c r="E19" s="14">
        <v>12738</v>
      </c>
      <c r="F19" s="14">
        <v>12738</v>
      </c>
      <c r="G19" s="14">
        <v>12738</v>
      </c>
      <c r="H19" s="14">
        <v>12248</v>
      </c>
      <c r="I19" s="14">
        <v>12248</v>
      </c>
      <c r="J19" s="14">
        <v>12248</v>
      </c>
      <c r="K19" s="14">
        <v>11795</v>
      </c>
      <c r="L19" s="14">
        <v>11795</v>
      </c>
      <c r="M19" s="14">
        <v>11795</v>
      </c>
      <c r="N19" s="123">
        <f t="shared" si="5"/>
        <v>157890</v>
      </c>
      <c r="P19" s="327">
        <f t="shared" ref="P19:P26" si="9">SUM(B19:M19)</f>
        <v>157890</v>
      </c>
      <c r="Q19" s="328">
        <f t="shared" si="6"/>
        <v>2.3E-2</v>
      </c>
      <c r="S19" s="14">
        <v>74296000</v>
      </c>
      <c r="T19" s="14">
        <v>74296000</v>
      </c>
      <c r="U19" s="14">
        <v>74296000</v>
      </c>
      <c r="V19" s="14">
        <v>63690400</v>
      </c>
      <c r="W19" s="14">
        <v>63690400</v>
      </c>
      <c r="X19" s="14">
        <v>63690400</v>
      </c>
      <c r="Y19" s="14">
        <v>63690400</v>
      </c>
      <c r="Z19" s="14">
        <v>63690400</v>
      </c>
      <c r="AA19" s="14">
        <v>63690400</v>
      </c>
      <c r="AB19" s="14">
        <v>63690400</v>
      </c>
      <c r="AC19" s="14">
        <v>63690400</v>
      </c>
      <c r="AD19" s="14">
        <v>63690400</v>
      </c>
      <c r="AE19" s="123">
        <f t="shared" si="7"/>
        <v>796101600</v>
      </c>
      <c r="AG19" s="327">
        <f t="shared" ref="AG19:AG25" si="10">SUM(S19:AD19)</f>
        <v>796101600</v>
      </c>
      <c r="AH19" s="328">
        <f t="shared" si="8"/>
        <v>118.227</v>
      </c>
    </row>
    <row r="20" spans="1:34">
      <c r="A20" s="933" t="s">
        <v>384</v>
      </c>
      <c r="B20" s="14">
        <v>4465</v>
      </c>
      <c r="C20" s="14">
        <v>4487</v>
      </c>
      <c r="D20" s="14">
        <v>4164</v>
      </c>
      <c r="E20" s="14">
        <v>4771</v>
      </c>
      <c r="F20" s="14">
        <v>4771</v>
      </c>
      <c r="G20" s="14">
        <v>4771</v>
      </c>
      <c r="H20" s="14">
        <v>4587</v>
      </c>
      <c r="I20" s="14">
        <v>4724</v>
      </c>
      <c r="J20" s="14">
        <v>4724</v>
      </c>
      <c r="K20" s="14">
        <v>4549</v>
      </c>
      <c r="L20" s="14">
        <v>4549</v>
      </c>
      <c r="M20" s="14">
        <v>4549</v>
      </c>
      <c r="N20" s="123">
        <f t="shared" si="5"/>
        <v>55111</v>
      </c>
      <c r="P20" s="327">
        <f t="shared" si="9"/>
        <v>55111</v>
      </c>
      <c r="Q20" s="328">
        <f t="shared" si="6"/>
        <v>8.0000000000000002E-3</v>
      </c>
      <c r="S20" s="14">
        <v>20683576</v>
      </c>
      <c r="T20" s="14">
        <v>21576520</v>
      </c>
      <c r="U20" s="14">
        <v>19266076</v>
      </c>
      <c r="V20" s="14">
        <v>23853410</v>
      </c>
      <c r="W20" s="14">
        <v>23853410</v>
      </c>
      <c r="X20" s="14">
        <v>23853410</v>
      </c>
      <c r="Y20" s="14">
        <v>23853410</v>
      </c>
      <c r="Z20" s="14">
        <v>24564410</v>
      </c>
      <c r="AA20" s="14">
        <v>24564410</v>
      </c>
      <c r="AB20" s="14">
        <v>24564410</v>
      </c>
      <c r="AC20" s="14">
        <v>24564410</v>
      </c>
      <c r="AD20" s="14">
        <v>24564410</v>
      </c>
      <c r="AE20" s="123">
        <f t="shared" si="7"/>
        <v>279761862</v>
      </c>
      <c r="AG20" s="327">
        <f t="shared" si="10"/>
        <v>279761862</v>
      </c>
      <c r="AH20" s="328">
        <f t="shared" si="8"/>
        <v>41.546999999999997</v>
      </c>
    </row>
    <row r="21" spans="1:34">
      <c r="A21" s="75" t="s">
        <v>385</v>
      </c>
      <c r="B21" s="14">
        <v>5979</v>
      </c>
      <c r="C21" s="14">
        <v>7233</v>
      </c>
      <c r="D21" s="14">
        <v>6829</v>
      </c>
      <c r="E21" s="14">
        <v>7235</v>
      </c>
      <c r="F21" s="14">
        <v>7235</v>
      </c>
      <c r="G21" s="14">
        <v>7235</v>
      </c>
      <c r="H21" s="14">
        <v>6957</v>
      </c>
      <c r="I21" s="14">
        <v>6957</v>
      </c>
      <c r="J21" s="14">
        <v>6957</v>
      </c>
      <c r="K21" s="14">
        <v>6699</v>
      </c>
      <c r="L21" s="14">
        <v>6699</v>
      </c>
      <c r="M21" s="14">
        <v>6699</v>
      </c>
      <c r="N21" s="123">
        <f t="shared" si="5"/>
        <v>82714</v>
      </c>
      <c r="P21" s="327">
        <f t="shared" si="9"/>
        <v>82714</v>
      </c>
      <c r="Q21" s="328">
        <f t="shared" si="6"/>
        <v>1.2E-2</v>
      </c>
      <c r="S21" s="14">
        <v>27695988</v>
      </c>
      <c r="T21" s="14">
        <v>34775253</v>
      </c>
      <c r="U21" s="14">
        <v>31599198</v>
      </c>
      <c r="V21" s="14">
        <v>36176880</v>
      </c>
      <c r="W21" s="14">
        <v>36176880</v>
      </c>
      <c r="X21" s="14">
        <v>36176880</v>
      </c>
      <c r="Y21" s="14">
        <v>36176880</v>
      </c>
      <c r="Z21" s="14">
        <v>36176880</v>
      </c>
      <c r="AA21" s="14">
        <v>36176880</v>
      </c>
      <c r="AB21" s="14">
        <v>36176880</v>
      </c>
      <c r="AC21" s="14">
        <v>36176880</v>
      </c>
      <c r="AD21" s="14">
        <v>36176880</v>
      </c>
      <c r="AE21" s="123">
        <f t="shared" si="7"/>
        <v>419662359</v>
      </c>
      <c r="AG21" s="327">
        <f t="shared" si="10"/>
        <v>419662359</v>
      </c>
      <c r="AH21" s="328">
        <f t="shared" si="8"/>
        <v>62.323</v>
      </c>
    </row>
    <row r="22" spans="1:34">
      <c r="A22" s="75" t="s">
        <v>386</v>
      </c>
      <c r="B22" s="14">
        <v>3068</v>
      </c>
      <c r="C22" s="14">
        <v>3454</v>
      </c>
      <c r="D22" s="14">
        <v>3407</v>
      </c>
      <c r="E22" s="14">
        <v>3241</v>
      </c>
      <c r="F22" s="14">
        <v>3241</v>
      </c>
      <c r="G22" s="14">
        <v>3241</v>
      </c>
      <c r="H22" s="14">
        <v>3116</v>
      </c>
      <c r="I22" s="14">
        <v>3116</v>
      </c>
      <c r="J22" s="14">
        <v>3116</v>
      </c>
      <c r="K22" s="14">
        <v>3001</v>
      </c>
      <c r="L22" s="14">
        <v>3001</v>
      </c>
      <c r="M22" s="14">
        <v>3001</v>
      </c>
      <c r="N22" s="123">
        <f t="shared" si="5"/>
        <v>38003</v>
      </c>
      <c r="P22" s="327">
        <f t="shared" si="9"/>
        <v>38003</v>
      </c>
      <c r="Q22" s="328">
        <f t="shared" si="6"/>
        <v>6.0000000000000001E-3</v>
      </c>
      <c r="S22" s="14">
        <v>14213445</v>
      </c>
      <c r="T22" s="14">
        <v>16608996</v>
      </c>
      <c r="U22" s="14">
        <v>15763147</v>
      </c>
      <c r="V22" s="14">
        <v>16203241</v>
      </c>
      <c r="W22" s="14">
        <v>16203241</v>
      </c>
      <c r="X22" s="14">
        <v>16203241</v>
      </c>
      <c r="Y22" s="14">
        <v>16203241</v>
      </c>
      <c r="Z22" s="14">
        <v>16203241</v>
      </c>
      <c r="AA22" s="14">
        <v>16203241</v>
      </c>
      <c r="AB22" s="14">
        <v>16203241</v>
      </c>
      <c r="AC22" s="14">
        <v>16203241</v>
      </c>
      <c r="AD22" s="14">
        <v>16203241</v>
      </c>
      <c r="AE22" s="123">
        <f t="shared" si="7"/>
        <v>192414757</v>
      </c>
      <c r="AG22" s="327">
        <f t="shared" si="10"/>
        <v>192414757</v>
      </c>
      <c r="AH22" s="328">
        <f t="shared" si="8"/>
        <v>28.574999999999999</v>
      </c>
    </row>
    <row r="23" spans="1:34">
      <c r="A23" s="933" t="s">
        <v>387</v>
      </c>
      <c r="B23" s="14">
        <v>5086</v>
      </c>
      <c r="C23" s="14">
        <v>4900</v>
      </c>
      <c r="D23" s="14">
        <v>5092</v>
      </c>
      <c r="E23" s="14">
        <v>5655</v>
      </c>
      <c r="F23" s="14">
        <v>5655</v>
      </c>
      <c r="G23" s="14">
        <v>5655</v>
      </c>
      <c r="H23" s="14">
        <v>5437</v>
      </c>
      <c r="I23" s="14">
        <v>5437</v>
      </c>
      <c r="J23" s="14">
        <v>5437</v>
      </c>
      <c r="K23" s="14">
        <v>5236</v>
      </c>
      <c r="L23" s="14">
        <v>5236</v>
      </c>
      <c r="M23" s="14">
        <v>5236</v>
      </c>
      <c r="N23" s="123">
        <f t="shared" si="5"/>
        <v>64062</v>
      </c>
      <c r="P23" s="327">
        <f t="shared" si="9"/>
        <v>64062</v>
      </c>
      <c r="Q23" s="328">
        <f t="shared" si="6"/>
        <v>0.01</v>
      </c>
      <c r="S23" s="14">
        <v>23560877</v>
      </c>
      <c r="T23" s="14">
        <v>23560877</v>
      </c>
      <c r="U23" s="14">
        <v>23560877</v>
      </c>
      <c r="V23" s="14">
        <v>28273052</v>
      </c>
      <c r="W23" s="14">
        <v>28273052</v>
      </c>
      <c r="X23" s="14">
        <v>28273052</v>
      </c>
      <c r="Y23" s="14">
        <v>28273052</v>
      </c>
      <c r="Z23" s="14">
        <v>28273052</v>
      </c>
      <c r="AA23" s="14">
        <v>28273052</v>
      </c>
      <c r="AB23" s="14">
        <v>28273052</v>
      </c>
      <c r="AC23" s="14">
        <v>28273052</v>
      </c>
      <c r="AD23" s="14">
        <v>28273052</v>
      </c>
      <c r="AE23" s="123">
        <f t="shared" si="7"/>
        <v>325140099</v>
      </c>
      <c r="AG23" s="327">
        <f t="shared" si="10"/>
        <v>325140099</v>
      </c>
      <c r="AH23" s="328">
        <f t="shared" si="8"/>
        <v>48.286000000000001</v>
      </c>
    </row>
    <row r="24" spans="1:34">
      <c r="A24" s="933" t="s">
        <v>388</v>
      </c>
      <c r="B24" s="14">
        <v>3346</v>
      </c>
      <c r="C24" s="14">
        <v>3224</v>
      </c>
      <c r="D24" s="14">
        <v>3350</v>
      </c>
      <c r="E24" s="14">
        <v>3100</v>
      </c>
      <c r="F24" s="14">
        <v>3100</v>
      </c>
      <c r="G24" s="14">
        <v>3100</v>
      </c>
      <c r="H24" s="14">
        <v>2981</v>
      </c>
      <c r="I24" s="14">
        <v>2981</v>
      </c>
      <c r="J24" s="14">
        <v>2981</v>
      </c>
      <c r="K24" s="14">
        <v>2870</v>
      </c>
      <c r="L24" s="14">
        <v>2870</v>
      </c>
      <c r="M24" s="14">
        <v>2870</v>
      </c>
      <c r="N24" s="123">
        <f t="shared" si="5"/>
        <v>36773</v>
      </c>
      <c r="P24" s="327">
        <f t="shared" si="9"/>
        <v>36773</v>
      </c>
      <c r="Q24" s="328">
        <f t="shared" si="6"/>
        <v>5.0000000000000001E-3</v>
      </c>
      <c r="S24" s="14">
        <v>15500000</v>
      </c>
      <c r="T24" s="14">
        <v>15500000</v>
      </c>
      <c r="U24" s="14">
        <v>15500000</v>
      </c>
      <c r="V24" s="14">
        <v>15500000</v>
      </c>
      <c r="W24" s="14">
        <v>15500000</v>
      </c>
      <c r="X24" s="14">
        <v>15500000</v>
      </c>
      <c r="Y24" s="14">
        <v>15500000</v>
      </c>
      <c r="Z24" s="14">
        <v>15500000</v>
      </c>
      <c r="AA24" s="14">
        <v>15500000</v>
      </c>
      <c r="AB24" s="14">
        <v>15500000</v>
      </c>
      <c r="AC24" s="14">
        <v>15500000</v>
      </c>
      <c r="AD24" s="14">
        <v>15500000</v>
      </c>
      <c r="AE24" s="123">
        <f t="shared" si="7"/>
        <v>186000000</v>
      </c>
      <c r="AG24" s="327">
        <f t="shared" si="10"/>
        <v>186000000</v>
      </c>
      <c r="AH24" s="328">
        <f t="shared" si="8"/>
        <v>27.622</v>
      </c>
    </row>
    <row r="25" spans="1:34">
      <c r="A25" s="933" t="s">
        <v>389</v>
      </c>
      <c r="B25" s="14">
        <v>2331</v>
      </c>
      <c r="C25" s="14">
        <v>2246</v>
      </c>
      <c r="D25" s="14">
        <v>2333</v>
      </c>
      <c r="E25" s="14">
        <v>3613</v>
      </c>
      <c r="F25" s="14">
        <v>3613</v>
      </c>
      <c r="G25" s="14">
        <v>3613</v>
      </c>
      <c r="H25" s="14">
        <v>3474</v>
      </c>
      <c r="I25" s="14">
        <v>3474</v>
      </c>
      <c r="J25" s="14">
        <v>3474</v>
      </c>
      <c r="K25" s="14">
        <v>3345</v>
      </c>
      <c r="L25" s="14">
        <v>3345</v>
      </c>
      <c r="M25" s="14">
        <v>3345</v>
      </c>
      <c r="N25" s="123">
        <f t="shared" si="5"/>
        <v>38206</v>
      </c>
      <c r="P25" s="327">
        <f t="shared" si="9"/>
        <v>38206</v>
      </c>
      <c r="Q25" s="328">
        <f t="shared" si="6"/>
        <v>6.0000000000000001E-3</v>
      </c>
      <c r="S25" s="14">
        <v>10797257</v>
      </c>
      <c r="T25" s="14">
        <v>10797257</v>
      </c>
      <c r="U25" s="14">
        <v>10797257</v>
      </c>
      <c r="V25" s="14">
        <v>18064094</v>
      </c>
      <c r="W25" s="14">
        <v>18064094</v>
      </c>
      <c r="X25" s="14">
        <v>18064094</v>
      </c>
      <c r="Y25" s="14">
        <v>18064094</v>
      </c>
      <c r="Z25" s="14">
        <v>18064094</v>
      </c>
      <c r="AA25" s="14">
        <v>18064094</v>
      </c>
      <c r="AB25" s="14">
        <v>18064094</v>
      </c>
      <c r="AC25" s="14">
        <v>18064094</v>
      </c>
      <c r="AD25" s="14">
        <v>18064094</v>
      </c>
      <c r="AE25" s="123">
        <f t="shared" si="7"/>
        <v>194968617</v>
      </c>
      <c r="AG25" s="327">
        <f t="shared" si="10"/>
        <v>194968617</v>
      </c>
      <c r="AH25" s="328">
        <f t="shared" si="8"/>
        <v>28.954000000000001</v>
      </c>
    </row>
    <row r="26" spans="1:34" s="72" customFormat="1">
      <c r="A26" s="75" t="s">
        <v>390</v>
      </c>
      <c r="B26" s="14">
        <v>7313</v>
      </c>
      <c r="C26" s="14">
        <v>3111</v>
      </c>
      <c r="D26" s="14">
        <v>2595</v>
      </c>
      <c r="E26" s="14">
        <v>3000</v>
      </c>
      <c r="F26" s="14">
        <v>3000</v>
      </c>
      <c r="G26" s="14">
        <v>3000</v>
      </c>
      <c r="H26" s="14">
        <v>2885</v>
      </c>
      <c r="I26" s="14">
        <v>2885</v>
      </c>
      <c r="J26" s="14">
        <v>2885</v>
      </c>
      <c r="K26" s="14">
        <v>2778</v>
      </c>
      <c r="L26" s="14">
        <v>2778</v>
      </c>
      <c r="M26" s="14">
        <v>2778</v>
      </c>
      <c r="N26" s="123">
        <f t="shared" si="5"/>
        <v>39008</v>
      </c>
      <c r="P26" s="78">
        <f t="shared" si="9"/>
        <v>39008</v>
      </c>
      <c r="Q26" s="725">
        <f t="shared" si="6"/>
        <v>6.0000000000000001E-3</v>
      </c>
      <c r="S26" s="14">
        <v>33874706</v>
      </c>
      <c r="T26" s="14">
        <v>14960350</v>
      </c>
      <c r="U26" s="14">
        <v>12008175</v>
      </c>
      <c r="V26" s="14">
        <v>15000000</v>
      </c>
      <c r="W26" s="14">
        <v>15000000</v>
      </c>
      <c r="X26" s="14">
        <v>15000000</v>
      </c>
      <c r="Y26" s="14">
        <v>15000000</v>
      </c>
      <c r="Z26" s="14">
        <v>15000000</v>
      </c>
      <c r="AA26" s="14">
        <v>15000000</v>
      </c>
      <c r="AB26" s="14">
        <v>15000000</v>
      </c>
      <c r="AC26" s="14">
        <v>15000000</v>
      </c>
      <c r="AD26" s="14">
        <v>15000000</v>
      </c>
      <c r="AE26" s="123">
        <f t="shared" si="7"/>
        <v>195843231</v>
      </c>
      <c r="AG26" s="454">
        <f>SUM(S26:AD26)</f>
        <v>195843231</v>
      </c>
      <c r="AH26" s="725">
        <f t="shared" si="8"/>
        <v>29.084</v>
      </c>
    </row>
    <row r="27" spans="1:34" s="72" customFormat="1">
      <c r="A27" s="75" t="s">
        <v>391</v>
      </c>
      <c r="B27" s="14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23">
        <f t="shared" si="5"/>
        <v>0</v>
      </c>
      <c r="P27" s="78">
        <f>SUM(B27:I27)</f>
        <v>0</v>
      </c>
      <c r="Q27" s="725">
        <f t="shared" si="6"/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23">
        <f t="shared" si="7"/>
        <v>0</v>
      </c>
      <c r="AG27" s="78">
        <f>SUM(S27:Z27)</f>
        <v>0</v>
      </c>
      <c r="AH27" s="725">
        <f t="shared" si="8"/>
        <v>0</v>
      </c>
    </row>
    <row r="28" spans="1:34" s="72" customFormat="1">
      <c r="A28" s="75" t="s">
        <v>392</v>
      </c>
      <c r="B28" s="14">
        <v>7319</v>
      </c>
      <c r="C28" s="14">
        <v>4209</v>
      </c>
      <c r="D28" s="14">
        <v>4678</v>
      </c>
      <c r="E28" s="14">
        <v>5000</v>
      </c>
      <c r="F28" s="14">
        <v>6000</v>
      </c>
      <c r="G28" s="14">
        <v>6000</v>
      </c>
      <c r="H28" s="14">
        <v>4808</v>
      </c>
      <c r="I28" s="14">
        <v>4808</v>
      </c>
      <c r="J28" s="14">
        <v>4808</v>
      </c>
      <c r="K28" s="14">
        <v>4630</v>
      </c>
      <c r="L28" s="14">
        <v>4630</v>
      </c>
      <c r="M28" s="14">
        <v>4630</v>
      </c>
      <c r="N28" s="123">
        <f t="shared" si="5"/>
        <v>61520</v>
      </c>
      <c r="P28" s="78">
        <f t="shared" ref="P28:P38" si="11">SUM(B28:M28)</f>
        <v>61520</v>
      </c>
      <c r="Q28" s="725">
        <f t="shared" si="6"/>
        <v>8.9999999999999993E-3</v>
      </c>
      <c r="S28" s="14">
        <v>33902662</v>
      </c>
      <c r="T28" s="14">
        <v>20235662</v>
      </c>
      <c r="U28" s="14">
        <v>21644888</v>
      </c>
      <c r="V28" s="14">
        <v>25000000</v>
      </c>
      <c r="W28" s="14">
        <v>30000000</v>
      </c>
      <c r="X28" s="14">
        <v>30000000</v>
      </c>
      <c r="Y28" s="14">
        <v>25000000</v>
      </c>
      <c r="Z28" s="14">
        <v>25000000</v>
      </c>
      <c r="AA28" s="14">
        <v>25000000</v>
      </c>
      <c r="AB28" s="14">
        <v>25000000</v>
      </c>
      <c r="AC28" s="14">
        <v>25000000</v>
      </c>
      <c r="AD28" s="14">
        <v>25000000</v>
      </c>
      <c r="AE28" s="123">
        <f t="shared" si="7"/>
        <v>310783212</v>
      </c>
      <c r="AG28" s="78">
        <f>SUM(S28:AD28)</f>
        <v>310783212</v>
      </c>
      <c r="AH28" s="725">
        <f t="shared" si="8"/>
        <v>46.152999999999999</v>
      </c>
    </row>
    <row r="29" spans="1:34" s="72" customFormat="1">
      <c r="A29" s="75" t="s">
        <v>501</v>
      </c>
      <c r="B29" s="14">
        <v>45565</v>
      </c>
      <c r="C29" s="14">
        <v>28075</v>
      </c>
      <c r="D29" s="14">
        <v>28306</v>
      </c>
      <c r="E29" s="14">
        <v>27549</v>
      </c>
      <c r="F29" s="14">
        <v>23959</v>
      </c>
      <c r="G29" s="14">
        <v>37864</v>
      </c>
      <c r="H29" s="14">
        <v>36592</v>
      </c>
      <c r="I29" s="14">
        <v>35707</v>
      </c>
      <c r="J29" s="14">
        <v>38969</v>
      </c>
      <c r="K29" s="14">
        <v>32331</v>
      </c>
      <c r="L29" s="14">
        <v>28333</v>
      </c>
      <c r="M29" s="14">
        <v>31188</v>
      </c>
      <c r="N29" s="123">
        <f t="shared" si="5"/>
        <v>394438</v>
      </c>
      <c r="P29" s="78">
        <f t="shared" si="11"/>
        <v>394438</v>
      </c>
      <c r="Q29" s="725">
        <f t="shared" si="6"/>
        <v>5.8999999999999997E-2</v>
      </c>
      <c r="S29" s="14">
        <v>211065026</v>
      </c>
      <c r="T29" s="14">
        <v>134990764</v>
      </c>
      <c r="U29" s="14">
        <v>130979976</v>
      </c>
      <c r="V29" s="14">
        <v>137743669</v>
      </c>
      <c r="W29" s="14">
        <v>119794309</v>
      </c>
      <c r="X29" s="14">
        <v>189321121</v>
      </c>
      <c r="Y29" s="14">
        <v>190279133</v>
      </c>
      <c r="Z29" s="14">
        <v>185674819</v>
      </c>
      <c r="AA29" s="14">
        <v>202640153</v>
      </c>
      <c r="AB29" s="14">
        <v>174585803</v>
      </c>
      <c r="AC29" s="14">
        <v>152998317</v>
      </c>
      <c r="AD29" s="14">
        <v>168417489</v>
      </c>
      <c r="AE29" s="123">
        <f t="shared" si="7"/>
        <v>1998490579</v>
      </c>
      <c r="AG29" s="78">
        <f t="shared" ref="AG29:AG38" si="12">SUM(S29:AD29)</f>
        <v>1998490579</v>
      </c>
      <c r="AH29" s="725">
        <f t="shared" si="8"/>
        <v>296.79000000000002</v>
      </c>
    </row>
    <row r="30" spans="1:34" s="72" customFormat="1">
      <c r="A30" s="75" t="s">
        <v>393</v>
      </c>
      <c r="B30" s="14">
        <v>2492</v>
      </c>
      <c r="C30" s="14">
        <v>682</v>
      </c>
      <c r="D30" s="14">
        <v>-1405</v>
      </c>
      <c r="E30" s="14">
        <v>-1300</v>
      </c>
      <c r="F30" s="14">
        <v>-1300</v>
      </c>
      <c r="G30" s="14">
        <v>-1300</v>
      </c>
      <c r="H30" s="14">
        <v>-1250</v>
      </c>
      <c r="I30" s="14">
        <v>-1250</v>
      </c>
      <c r="J30" s="14">
        <v>-1250</v>
      </c>
      <c r="K30" s="14">
        <v>-1204</v>
      </c>
      <c r="L30" s="14">
        <v>-1204</v>
      </c>
      <c r="M30" s="14">
        <v>-1204</v>
      </c>
      <c r="N30" s="123">
        <f t="shared" si="5"/>
        <v>-9493</v>
      </c>
      <c r="P30" s="78">
        <f t="shared" si="11"/>
        <v>-9493</v>
      </c>
      <c r="Q30" s="725">
        <f t="shared" si="6"/>
        <v>-1E-3</v>
      </c>
      <c r="S30" s="14">
        <v>11543344</v>
      </c>
      <c r="T30" s="14">
        <v>3280000</v>
      </c>
      <c r="U30" s="14">
        <v>-6500000</v>
      </c>
      <c r="V30" s="14">
        <v>-6500000</v>
      </c>
      <c r="W30" s="14">
        <v>-6500000</v>
      </c>
      <c r="X30" s="14">
        <v>-6500000</v>
      </c>
      <c r="Y30" s="14">
        <v>-6500000</v>
      </c>
      <c r="Z30" s="14">
        <v>-6500000</v>
      </c>
      <c r="AA30" s="14">
        <v>-6500000</v>
      </c>
      <c r="AB30" s="14">
        <v>-6500000</v>
      </c>
      <c r="AC30" s="14">
        <v>-6500000</v>
      </c>
      <c r="AD30" s="14">
        <v>-6500000</v>
      </c>
      <c r="AE30" s="123">
        <f t="shared" si="7"/>
        <v>-50176656</v>
      </c>
      <c r="AG30" s="78">
        <f t="shared" si="12"/>
        <v>-50176656</v>
      </c>
      <c r="AH30" s="725">
        <f t="shared" si="8"/>
        <v>-7.452</v>
      </c>
    </row>
    <row r="31" spans="1:34" s="72" customFormat="1">
      <c r="A31" s="75" t="s">
        <v>394</v>
      </c>
      <c r="B31" s="14">
        <v>42907</v>
      </c>
      <c r="C31" s="14">
        <v>28008</v>
      </c>
      <c r="D31" s="14">
        <v>10711</v>
      </c>
      <c r="E31" s="14">
        <v>30304</v>
      </c>
      <c r="F31" s="14">
        <v>26355</v>
      </c>
      <c r="G31" s="14">
        <v>41651</v>
      </c>
      <c r="H31" s="14">
        <v>40251</v>
      </c>
      <c r="I31" s="14">
        <v>39277</v>
      </c>
      <c r="J31" s="14">
        <v>42866</v>
      </c>
      <c r="K31" s="14">
        <v>35564</v>
      </c>
      <c r="L31" s="14">
        <v>31166</v>
      </c>
      <c r="M31" s="14">
        <v>34307</v>
      </c>
      <c r="N31" s="123">
        <f t="shared" si="5"/>
        <v>403367</v>
      </c>
      <c r="P31" s="78">
        <f t="shared" si="11"/>
        <v>403367</v>
      </c>
      <c r="Q31" s="725">
        <f t="shared" si="6"/>
        <v>0.06</v>
      </c>
      <c r="S31" s="14">
        <v>198753375</v>
      </c>
      <c r="T31" s="14">
        <v>134667628</v>
      </c>
      <c r="U31" s="14">
        <v>49563180</v>
      </c>
      <c r="V31" s="14">
        <v>151518036</v>
      </c>
      <c r="W31" s="14">
        <v>131773740</v>
      </c>
      <c r="X31" s="14">
        <v>208253234</v>
      </c>
      <c r="Y31" s="14">
        <v>209307047</v>
      </c>
      <c r="Z31" s="14">
        <v>204242301</v>
      </c>
      <c r="AA31" s="14">
        <v>222904169</v>
      </c>
      <c r="AB31" s="14">
        <v>192044383</v>
      </c>
      <c r="AC31" s="14">
        <v>168298148</v>
      </c>
      <c r="AD31" s="14">
        <v>185259237</v>
      </c>
      <c r="AE31" s="123">
        <f t="shared" si="7"/>
        <v>2056584478</v>
      </c>
      <c r="AG31" s="78">
        <f t="shared" si="12"/>
        <v>2056584478</v>
      </c>
      <c r="AH31" s="725">
        <f t="shared" si="8"/>
        <v>305.41699999999997</v>
      </c>
    </row>
    <row r="32" spans="1:34" s="72" customFormat="1">
      <c r="A32" s="75" t="s">
        <v>307</v>
      </c>
      <c r="B32" s="14">
        <v>13259</v>
      </c>
      <c r="C32" s="14">
        <v>12900</v>
      </c>
      <c r="D32" s="14">
        <v>27569</v>
      </c>
      <c r="E32" s="14">
        <v>20662</v>
      </c>
      <c r="F32" s="14">
        <v>17969</v>
      </c>
      <c r="G32" s="14">
        <v>28398</v>
      </c>
      <c r="H32" s="14">
        <v>27444</v>
      </c>
      <c r="I32" s="14">
        <v>26780</v>
      </c>
      <c r="J32" s="14">
        <v>29227</v>
      </c>
      <c r="K32" s="14">
        <v>24248</v>
      </c>
      <c r="L32" s="14">
        <v>21250</v>
      </c>
      <c r="M32" s="14">
        <v>23391</v>
      </c>
      <c r="N32" s="123">
        <f t="shared" si="5"/>
        <v>273097</v>
      </c>
      <c r="P32" s="78">
        <f t="shared" si="11"/>
        <v>273097</v>
      </c>
      <c r="Q32" s="725">
        <f t="shared" si="6"/>
        <v>4.1000000000000002E-2</v>
      </c>
      <c r="S32" s="14">
        <v>61419219</v>
      </c>
      <c r="T32" s="14">
        <v>62024912</v>
      </c>
      <c r="U32" s="14">
        <v>127570196</v>
      </c>
      <c r="V32" s="14">
        <v>103307752</v>
      </c>
      <c r="W32" s="14">
        <v>89845732</v>
      </c>
      <c r="X32" s="14">
        <v>141990841</v>
      </c>
      <c r="Y32" s="14">
        <v>142709350</v>
      </c>
      <c r="Z32" s="14">
        <v>139256114</v>
      </c>
      <c r="AA32" s="14">
        <v>151980115</v>
      </c>
      <c r="AB32" s="14">
        <v>130939352</v>
      </c>
      <c r="AC32" s="14">
        <v>114748738</v>
      </c>
      <c r="AD32" s="14">
        <v>126313116</v>
      </c>
      <c r="AE32" s="123">
        <f t="shared" si="7"/>
        <v>1392105437</v>
      </c>
      <c r="AG32" s="78">
        <f t="shared" si="12"/>
        <v>1392105437</v>
      </c>
      <c r="AH32" s="725">
        <f t="shared" si="8"/>
        <v>206.73699999999999</v>
      </c>
    </row>
    <row r="33" spans="1:34" s="72" customFormat="1">
      <c r="A33" s="75" t="s">
        <v>395</v>
      </c>
      <c r="B33" s="14">
        <v>58875</v>
      </c>
      <c r="C33" s="14">
        <v>41364</v>
      </c>
      <c r="D33" s="14">
        <v>26469</v>
      </c>
      <c r="E33" s="14">
        <v>25483</v>
      </c>
      <c r="F33" s="14">
        <v>22162</v>
      </c>
      <c r="G33" s="14">
        <v>35024</v>
      </c>
      <c r="H33" s="14">
        <v>33848</v>
      </c>
      <c r="I33" s="14">
        <v>33029</v>
      </c>
      <c r="J33" s="14">
        <v>36047</v>
      </c>
      <c r="K33" s="14">
        <v>29906</v>
      </c>
      <c r="L33" s="14">
        <v>26208</v>
      </c>
      <c r="M33" s="14">
        <v>28849</v>
      </c>
      <c r="N33" s="123">
        <f t="shared" si="5"/>
        <v>397264</v>
      </c>
      <c r="P33" s="78">
        <f t="shared" si="11"/>
        <v>397264</v>
      </c>
      <c r="Q33" s="725">
        <f t="shared" si="6"/>
        <v>5.8999999999999997E-2</v>
      </c>
      <c r="S33" s="14">
        <v>272719172</v>
      </c>
      <c r="T33" s="14">
        <v>198885382</v>
      </c>
      <c r="U33" s="14">
        <v>122478806</v>
      </c>
      <c r="V33" s="14">
        <v>127412894</v>
      </c>
      <c r="W33" s="14">
        <v>110809736</v>
      </c>
      <c r="X33" s="14">
        <v>175122037</v>
      </c>
      <c r="Y33" s="14">
        <v>176008198</v>
      </c>
      <c r="Z33" s="14">
        <v>171749208</v>
      </c>
      <c r="AA33" s="14">
        <v>187442142</v>
      </c>
      <c r="AB33" s="14">
        <v>161491867</v>
      </c>
      <c r="AC33" s="14">
        <v>141523443</v>
      </c>
      <c r="AD33" s="14">
        <v>155786177</v>
      </c>
      <c r="AE33" s="123">
        <f t="shared" si="7"/>
        <v>2001429062</v>
      </c>
      <c r="AG33" s="78">
        <f t="shared" si="12"/>
        <v>2001429062</v>
      </c>
      <c r="AH33" s="725">
        <f t="shared" si="8"/>
        <v>297.226</v>
      </c>
    </row>
    <row r="34" spans="1:34" s="72" customFormat="1">
      <c r="A34" s="75" t="s">
        <v>396</v>
      </c>
      <c r="B34" s="14">
        <v>1874</v>
      </c>
      <c r="C34" s="14">
        <v>1414</v>
      </c>
      <c r="D34" s="14">
        <v>1604</v>
      </c>
      <c r="E34" s="14">
        <v>1484</v>
      </c>
      <c r="F34" s="14">
        <v>1484</v>
      </c>
      <c r="G34" s="14">
        <v>1484</v>
      </c>
      <c r="H34" s="14">
        <v>1427</v>
      </c>
      <c r="I34" s="14">
        <v>1427</v>
      </c>
      <c r="J34" s="14">
        <v>1427</v>
      </c>
      <c r="K34" s="14">
        <v>1374</v>
      </c>
      <c r="L34" s="14">
        <v>1374</v>
      </c>
      <c r="M34" s="14">
        <v>1374</v>
      </c>
      <c r="N34" s="123">
        <f t="shared" si="5"/>
        <v>17747</v>
      </c>
      <c r="P34" s="78">
        <f t="shared" si="11"/>
        <v>17747</v>
      </c>
      <c r="Q34" s="725">
        <f t="shared" si="6"/>
        <v>3.0000000000000001E-3</v>
      </c>
      <c r="S34" s="14">
        <v>8679596</v>
      </c>
      <c r="T34" s="14">
        <v>6796539</v>
      </c>
      <c r="U34" s="14">
        <v>7420538</v>
      </c>
      <c r="V34" s="14">
        <v>7420538</v>
      </c>
      <c r="W34" s="14">
        <v>7420538</v>
      </c>
      <c r="X34" s="14">
        <v>7420538</v>
      </c>
      <c r="Y34" s="14">
        <v>7420538</v>
      </c>
      <c r="Z34" s="14">
        <v>7420538</v>
      </c>
      <c r="AA34" s="14">
        <v>7420538</v>
      </c>
      <c r="AB34" s="14">
        <v>7420538</v>
      </c>
      <c r="AC34" s="14">
        <v>7420538</v>
      </c>
      <c r="AD34" s="14">
        <v>7420538</v>
      </c>
      <c r="AE34" s="123">
        <f t="shared" si="7"/>
        <v>89681515</v>
      </c>
      <c r="AG34" s="78">
        <f t="shared" si="12"/>
        <v>89681515</v>
      </c>
      <c r="AH34" s="725">
        <f t="shared" si="8"/>
        <v>13.318</v>
      </c>
    </row>
    <row r="35" spans="1:34" s="72" customFormat="1">
      <c r="A35" s="75" t="s">
        <v>290</v>
      </c>
      <c r="B35" s="14">
        <v>13638</v>
      </c>
      <c r="C35" s="14">
        <v>6589</v>
      </c>
      <c r="D35" s="14">
        <v>5000</v>
      </c>
      <c r="E35" s="14">
        <v>6887</v>
      </c>
      <c r="F35" s="14">
        <v>5990</v>
      </c>
      <c r="G35" s="14">
        <v>9466</v>
      </c>
      <c r="H35" s="14">
        <v>9148</v>
      </c>
      <c r="I35" s="14">
        <v>8927</v>
      </c>
      <c r="J35" s="14">
        <v>9742</v>
      </c>
      <c r="K35" s="14">
        <v>8083</v>
      </c>
      <c r="L35" s="14">
        <v>7083</v>
      </c>
      <c r="M35" s="14">
        <v>7797</v>
      </c>
      <c r="N35" s="123">
        <f t="shared" si="5"/>
        <v>98350</v>
      </c>
      <c r="P35" s="78">
        <f t="shared" si="11"/>
        <v>98350</v>
      </c>
      <c r="Q35" s="725">
        <f t="shared" si="6"/>
        <v>1.4999999999999999E-2</v>
      </c>
      <c r="S35" s="14">
        <v>63175299</v>
      </c>
      <c r="T35" s="14">
        <v>31683131</v>
      </c>
      <c r="U35" s="14">
        <v>23136674</v>
      </c>
      <c r="V35" s="14">
        <v>34435917</v>
      </c>
      <c r="W35" s="14">
        <v>29948577</v>
      </c>
      <c r="X35" s="14">
        <v>47330280</v>
      </c>
      <c r="Y35" s="14">
        <v>47569783</v>
      </c>
      <c r="Z35" s="14">
        <v>46418705</v>
      </c>
      <c r="AA35" s="14">
        <v>50660038</v>
      </c>
      <c r="AB35" s="14">
        <v>43646451</v>
      </c>
      <c r="AC35" s="14">
        <v>38249579</v>
      </c>
      <c r="AD35" s="14">
        <v>42104372</v>
      </c>
      <c r="AE35" s="123">
        <f>SUM(S35:AD35)</f>
        <v>498358806</v>
      </c>
      <c r="AG35" s="78">
        <f t="shared" si="12"/>
        <v>498358806</v>
      </c>
      <c r="AH35" s="725">
        <f t="shared" si="8"/>
        <v>74.010000000000005</v>
      </c>
    </row>
    <row r="36" spans="1:34" s="72" customFormat="1">
      <c r="A36" s="75" t="s">
        <v>297</v>
      </c>
      <c r="B36" s="14">
        <v>6519</v>
      </c>
      <c r="C36" s="14">
        <v>7372</v>
      </c>
      <c r="D36" s="14">
        <v>8216</v>
      </c>
      <c r="E36" s="14">
        <v>6887</v>
      </c>
      <c r="F36" s="14">
        <v>5990</v>
      </c>
      <c r="G36" s="14">
        <v>9466</v>
      </c>
      <c r="H36" s="14">
        <v>9148</v>
      </c>
      <c r="I36" s="14">
        <v>8927</v>
      </c>
      <c r="J36" s="14">
        <v>9742</v>
      </c>
      <c r="K36" s="14">
        <v>8083</v>
      </c>
      <c r="L36" s="14">
        <v>7083</v>
      </c>
      <c r="M36" s="14">
        <v>7797</v>
      </c>
      <c r="N36" s="123">
        <f t="shared" si="5"/>
        <v>95230</v>
      </c>
      <c r="P36" s="78">
        <f t="shared" si="11"/>
        <v>95230</v>
      </c>
      <c r="Q36" s="725">
        <f t="shared" si="6"/>
        <v>1.4E-2</v>
      </c>
      <c r="S36" s="14">
        <v>30196735</v>
      </c>
      <c r="T36" s="14">
        <v>35445684</v>
      </c>
      <c r="U36" s="14">
        <v>38016587</v>
      </c>
      <c r="V36" s="14">
        <v>34435917</v>
      </c>
      <c r="W36" s="14">
        <v>29948577</v>
      </c>
      <c r="X36" s="14">
        <v>47330280</v>
      </c>
      <c r="Y36" s="14">
        <v>47569783</v>
      </c>
      <c r="Z36" s="14">
        <v>46418705</v>
      </c>
      <c r="AA36" s="14">
        <v>50660038</v>
      </c>
      <c r="AB36" s="14">
        <v>43646451</v>
      </c>
      <c r="AC36" s="14">
        <v>38249579</v>
      </c>
      <c r="AD36" s="14">
        <v>42104372</v>
      </c>
      <c r="AE36" s="123">
        <f t="shared" si="7"/>
        <v>484022708</v>
      </c>
      <c r="AG36" s="78">
        <f t="shared" si="12"/>
        <v>484022708</v>
      </c>
      <c r="AH36" s="725">
        <f t="shared" si="8"/>
        <v>71.881</v>
      </c>
    </row>
    <row r="37" spans="1:34" s="72" customFormat="1">
      <c r="A37" s="75" t="s">
        <v>299</v>
      </c>
      <c r="B37" s="14">
        <v>5117</v>
      </c>
      <c r="C37" s="14">
        <v>14774</v>
      </c>
      <c r="D37" s="14">
        <v>6102</v>
      </c>
      <c r="E37" s="14">
        <v>7576</v>
      </c>
      <c r="F37" s="14">
        <v>6589</v>
      </c>
      <c r="G37" s="14">
        <v>10413</v>
      </c>
      <c r="H37" s="14">
        <v>10063</v>
      </c>
      <c r="I37" s="14">
        <v>9819</v>
      </c>
      <c r="J37" s="14">
        <v>8793</v>
      </c>
      <c r="K37" s="14">
        <v>8891</v>
      </c>
      <c r="L37" s="14">
        <v>7792</v>
      </c>
      <c r="M37" s="14">
        <v>8577</v>
      </c>
      <c r="N37" s="123">
        <f t="shared" si="5"/>
        <v>104506</v>
      </c>
      <c r="P37" s="78">
        <f t="shared" si="11"/>
        <v>104506</v>
      </c>
      <c r="Q37" s="725">
        <f t="shared" si="6"/>
        <v>1.6E-2</v>
      </c>
      <c r="S37" s="14">
        <v>23700827</v>
      </c>
      <c r="T37" s="14">
        <v>71036197</v>
      </c>
      <c r="U37" s="14">
        <v>28237313</v>
      </c>
      <c r="V37" s="14">
        <v>37879509</v>
      </c>
      <c r="W37" s="14">
        <v>32943435</v>
      </c>
      <c r="X37" s="14">
        <v>52063308</v>
      </c>
      <c r="Y37" s="14">
        <v>52326762</v>
      </c>
      <c r="Z37" s="14">
        <v>51060575</v>
      </c>
      <c r="AA37" s="14">
        <v>45726042</v>
      </c>
      <c r="AB37" s="14">
        <v>48011096</v>
      </c>
      <c r="AC37" s="14">
        <v>42074537</v>
      </c>
      <c r="AD37" s="14">
        <v>46314809</v>
      </c>
      <c r="AE37" s="123">
        <f t="shared" si="7"/>
        <v>531374410</v>
      </c>
      <c r="AG37" s="78">
        <f t="shared" si="12"/>
        <v>531374410</v>
      </c>
      <c r="AH37" s="725">
        <f t="shared" si="8"/>
        <v>78.912999999999997</v>
      </c>
    </row>
    <row r="38" spans="1:34" s="72" customFormat="1">
      <c r="A38" s="75" t="s">
        <v>397</v>
      </c>
      <c r="B38" s="14">
        <v>7628</v>
      </c>
      <c r="C38" s="14">
        <v>8493</v>
      </c>
      <c r="D38" s="14">
        <v>6555</v>
      </c>
      <c r="E38" s="14">
        <v>6887</v>
      </c>
      <c r="F38" s="14">
        <v>5990</v>
      </c>
      <c r="G38" s="14">
        <v>9466</v>
      </c>
      <c r="H38" s="14">
        <v>9148</v>
      </c>
      <c r="I38" s="14">
        <v>8927</v>
      </c>
      <c r="J38" s="14">
        <v>9742</v>
      </c>
      <c r="K38" s="14">
        <v>8083</v>
      </c>
      <c r="L38" s="14">
        <v>7083</v>
      </c>
      <c r="M38" s="14">
        <v>7797</v>
      </c>
      <c r="N38" s="123">
        <f t="shared" si="5"/>
        <v>95799</v>
      </c>
      <c r="P38" s="78">
        <f t="shared" si="11"/>
        <v>95799</v>
      </c>
      <c r="Q38" s="725">
        <f t="shared" si="6"/>
        <v>1.4E-2</v>
      </c>
      <c r="S38" s="14">
        <v>35333771</v>
      </c>
      <c r="T38" s="14">
        <v>40833773</v>
      </c>
      <c r="U38" s="14">
        <v>30330810</v>
      </c>
      <c r="V38" s="14">
        <v>34435917</v>
      </c>
      <c r="W38" s="14">
        <v>29948577</v>
      </c>
      <c r="X38" s="14">
        <v>47330280</v>
      </c>
      <c r="Y38" s="14">
        <v>47569783</v>
      </c>
      <c r="Z38" s="14">
        <v>46418705</v>
      </c>
      <c r="AA38" s="14">
        <v>50660038</v>
      </c>
      <c r="AB38" s="14">
        <v>43646451</v>
      </c>
      <c r="AC38" s="14">
        <v>38249579</v>
      </c>
      <c r="AD38" s="14">
        <v>42104372</v>
      </c>
      <c r="AE38" s="123">
        <f t="shared" si="7"/>
        <v>486862056</v>
      </c>
      <c r="AG38" s="78">
        <f t="shared" si="12"/>
        <v>486862056</v>
      </c>
      <c r="AH38" s="725">
        <f t="shared" si="8"/>
        <v>72.302000000000007</v>
      </c>
    </row>
    <row r="39" spans="1:34" s="72" customFormat="1">
      <c r="A39" s="75" t="s">
        <v>593</v>
      </c>
      <c r="B39" s="14">
        <v>-181</v>
      </c>
      <c r="C39" s="14">
        <v>175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23">
        <f t="shared" si="5"/>
        <v>-6</v>
      </c>
      <c r="P39" s="78">
        <f>SUM(B39:I39)</f>
        <v>-6</v>
      </c>
      <c r="Q39" s="725">
        <f t="shared" si="6"/>
        <v>0</v>
      </c>
      <c r="S39" s="14">
        <v>-840106</v>
      </c>
      <c r="T39" s="14">
        <v>840106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23">
        <f t="shared" si="7"/>
        <v>0</v>
      </c>
      <c r="AG39" s="78">
        <f>SUM(S39:Z39)</f>
        <v>0</v>
      </c>
      <c r="AH39" s="725">
        <f t="shared" si="8"/>
        <v>0</v>
      </c>
    </row>
    <row r="40" spans="1:34" s="72" customFormat="1">
      <c r="A40" s="75" t="s">
        <v>399</v>
      </c>
      <c r="B40" s="14">
        <v>0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23">
        <f t="shared" si="5"/>
        <v>0</v>
      </c>
      <c r="P40" s="78">
        <f>SUM(B40:I40)</f>
        <v>0</v>
      </c>
      <c r="Q40" s="725">
        <f t="shared" si="6"/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23">
        <f t="shared" si="7"/>
        <v>0</v>
      </c>
      <c r="AG40" s="78">
        <f>SUM(S40:Z40)</f>
        <v>0</v>
      </c>
      <c r="AH40" s="725">
        <f t="shared" si="8"/>
        <v>0</v>
      </c>
    </row>
    <row r="41" spans="1:34" s="72" customFormat="1">
      <c r="A41" s="75" t="s">
        <v>400</v>
      </c>
      <c r="B41" s="14">
        <v>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23">
        <f t="shared" si="5"/>
        <v>0</v>
      </c>
      <c r="P41" s="78">
        <f>SUM(B41:I41)</f>
        <v>0</v>
      </c>
      <c r="Q41" s="725">
        <f t="shared" si="6"/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23">
        <f t="shared" si="7"/>
        <v>0</v>
      </c>
      <c r="AG41" s="78">
        <f>SUM(S41:Z41)</f>
        <v>0</v>
      </c>
      <c r="AH41" s="725">
        <f t="shared" si="8"/>
        <v>0</v>
      </c>
    </row>
    <row r="42" spans="1:34" s="72" customFormat="1">
      <c r="A42" s="75" t="s">
        <v>66</v>
      </c>
      <c r="B42" s="14">
        <v>8906</v>
      </c>
      <c r="C42" s="14">
        <v>8220</v>
      </c>
      <c r="D42" s="14">
        <v>7474</v>
      </c>
      <c r="E42" s="14">
        <v>5510</v>
      </c>
      <c r="F42" s="14">
        <v>4792</v>
      </c>
      <c r="G42" s="14">
        <v>7573</v>
      </c>
      <c r="H42" s="14">
        <v>7318</v>
      </c>
      <c r="I42" s="14">
        <v>7141</v>
      </c>
      <c r="J42" s="14">
        <v>7794</v>
      </c>
      <c r="K42" s="14">
        <v>6466</v>
      </c>
      <c r="L42" s="14">
        <v>5667</v>
      </c>
      <c r="M42" s="14">
        <v>6238</v>
      </c>
      <c r="N42" s="123">
        <f t="shared" si="5"/>
        <v>83099</v>
      </c>
      <c r="O42" s="88"/>
      <c r="P42" s="78">
        <f>SUM(B42:M42)</f>
        <v>83099</v>
      </c>
      <c r="Q42" s="725">
        <f t="shared" si="6"/>
        <v>1.2E-2</v>
      </c>
      <c r="S42" s="14">
        <v>41256355</v>
      </c>
      <c r="T42" s="14">
        <v>39524694</v>
      </c>
      <c r="U42" s="14">
        <v>34584951</v>
      </c>
      <c r="V42" s="14">
        <v>27548734</v>
      </c>
      <c r="W42" s="14">
        <v>23958862</v>
      </c>
      <c r="X42" s="14">
        <v>37864224</v>
      </c>
      <c r="Y42" s="14">
        <v>38055827</v>
      </c>
      <c r="Z42" s="14">
        <v>37134964</v>
      </c>
      <c r="AA42" s="14">
        <v>40528031</v>
      </c>
      <c r="AB42" s="14">
        <v>34917161</v>
      </c>
      <c r="AC42" s="14">
        <v>30599663</v>
      </c>
      <c r="AD42" s="14">
        <v>33683498</v>
      </c>
      <c r="AE42" s="123">
        <f t="shared" si="7"/>
        <v>419656964</v>
      </c>
      <c r="AF42" s="88"/>
      <c r="AG42" s="78">
        <f>SUM(S42:AD42)</f>
        <v>419656964</v>
      </c>
      <c r="AH42" s="725">
        <f t="shared" si="8"/>
        <v>62.322000000000003</v>
      </c>
    </row>
    <row r="43" spans="1:34" s="72" customFormat="1">
      <c r="A43" s="75" t="s">
        <v>401</v>
      </c>
      <c r="B43" s="14">
        <v>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23">
        <f t="shared" si="5"/>
        <v>0</v>
      </c>
      <c r="P43" s="78">
        <f>SUM(B43:I43)</f>
        <v>0</v>
      </c>
      <c r="Q43" s="725">
        <f t="shared" si="6"/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23">
        <f t="shared" si="7"/>
        <v>0</v>
      </c>
      <c r="AG43" s="78">
        <f>SUM(S43:Z43)</f>
        <v>0</v>
      </c>
      <c r="AH43" s="725">
        <f t="shared" si="8"/>
        <v>0</v>
      </c>
    </row>
    <row r="44" spans="1:34" s="72" customFormat="1">
      <c r="A44" s="75" t="s">
        <v>402</v>
      </c>
      <c r="B44" s="14">
        <v>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23">
        <f t="shared" si="5"/>
        <v>0</v>
      </c>
      <c r="P44" s="78">
        <f>SUM(B44:I44)</f>
        <v>0</v>
      </c>
      <c r="Q44" s="725">
        <f t="shared" si="6"/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23">
        <f>SUM(S44:AD44)</f>
        <v>0</v>
      </c>
      <c r="AG44" s="78">
        <f>SUM(S44:AA44)</f>
        <v>0</v>
      </c>
      <c r="AH44" s="725">
        <f t="shared" si="8"/>
        <v>0</v>
      </c>
    </row>
    <row r="45" spans="1:34" s="72" customFormat="1">
      <c r="A45" s="75" t="s">
        <v>403</v>
      </c>
      <c r="B45" s="14">
        <v>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23">
        <f t="shared" si="5"/>
        <v>0</v>
      </c>
      <c r="P45" s="78">
        <f>SUM(B45:I45)</f>
        <v>0</v>
      </c>
      <c r="Q45" s="725">
        <f t="shared" si="6"/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23">
        <f t="shared" si="7"/>
        <v>0</v>
      </c>
      <c r="AG45" s="78">
        <f>SUM(S45:Z45)</f>
        <v>0</v>
      </c>
      <c r="AH45" s="725">
        <f t="shared" si="8"/>
        <v>0</v>
      </c>
    </row>
    <row r="46" spans="1:34" s="72" customFormat="1">
      <c r="A46" s="75" t="s">
        <v>404</v>
      </c>
      <c r="B46" s="14">
        <v>28113</v>
      </c>
      <c r="C46" s="14">
        <v>27705</v>
      </c>
      <c r="D46" s="14">
        <v>28187</v>
      </c>
      <c r="E46" s="14">
        <v>26805</v>
      </c>
      <c r="F46" s="14">
        <v>27221</v>
      </c>
      <c r="G46" s="14">
        <v>27638</v>
      </c>
      <c r="H46" s="14">
        <v>27032</v>
      </c>
      <c r="I46" s="14">
        <v>27255</v>
      </c>
      <c r="J46" s="14">
        <v>27486</v>
      </c>
      <c r="K46" s="14">
        <v>26762</v>
      </c>
      <c r="L46" s="14">
        <v>26982</v>
      </c>
      <c r="M46" s="14">
        <v>27202</v>
      </c>
      <c r="N46" s="123">
        <f t="shared" si="5"/>
        <v>328388</v>
      </c>
      <c r="P46" s="78">
        <f>SUM(B46:M46)</f>
        <v>328388</v>
      </c>
      <c r="Q46" s="725">
        <f t="shared" si="6"/>
        <v>4.9000000000000002E-2</v>
      </c>
      <c r="S46" s="14">
        <v>130225277</v>
      </c>
      <c r="T46" s="14">
        <v>133207177</v>
      </c>
      <c r="U46" s="14">
        <v>130429998</v>
      </c>
      <c r="V46" s="14">
        <v>134022949</v>
      </c>
      <c r="W46" s="14">
        <v>136106935</v>
      </c>
      <c r="X46" s="14">
        <v>138190921</v>
      </c>
      <c r="Y46" s="14">
        <v>140565903</v>
      </c>
      <c r="Z46" s="14">
        <v>141728190</v>
      </c>
      <c r="AA46" s="14">
        <v>142924806</v>
      </c>
      <c r="AB46" s="14">
        <v>144513520</v>
      </c>
      <c r="AC46" s="14">
        <v>145703487</v>
      </c>
      <c r="AD46" s="14">
        <v>146893453</v>
      </c>
      <c r="AE46" s="123">
        <f>SUM(S46:AD46)</f>
        <v>1664512616</v>
      </c>
      <c r="AG46" s="78">
        <f>SUM(S46:AD46)</f>
        <v>1664512616</v>
      </c>
      <c r="AH46" s="725">
        <f t="shared" si="8"/>
        <v>247.19200000000001</v>
      </c>
    </row>
    <row r="47" spans="1:34" s="79" customFormat="1">
      <c r="A47" s="76" t="s">
        <v>684</v>
      </c>
      <c r="B47" s="14">
        <v>0</v>
      </c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24">
        <f t="shared" si="5"/>
        <v>0</v>
      </c>
      <c r="P47" s="78">
        <f>SUM(B47:I47)</f>
        <v>0</v>
      </c>
      <c r="S47" s="14">
        <v>0</v>
      </c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24">
        <f>SUM(S47:AD47)</f>
        <v>0</v>
      </c>
      <c r="AG47" s="78">
        <f>SUM(S47:Z47)</f>
        <v>0</v>
      </c>
    </row>
    <row r="48" spans="1:34" s="72" customFormat="1">
      <c r="A48" s="75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5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5"/>
    </row>
    <row r="49" spans="1:31" s="64" customFormat="1" ht="13.5" thickBot="1">
      <c r="A49" s="74" t="s">
        <v>407</v>
      </c>
      <c r="B49" s="16">
        <f>SUM(B16:B48)</f>
        <v>564305</v>
      </c>
      <c r="C49" s="16">
        <f t="shared" ref="C49:M49" si="13">SUM(C16:C48)</f>
        <v>486794</v>
      </c>
      <c r="D49" s="16">
        <f t="shared" si="13"/>
        <v>423369</v>
      </c>
      <c r="E49" s="16">
        <f t="shared" si="13"/>
        <v>462779</v>
      </c>
      <c r="F49" s="16">
        <f t="shared" si="13"/>
        <v>426188</v>
      </c>
      <c r="G49" s="16">
        <f t="shared" si="13"/>
        <v>547536</v>
      </c>
      <c r="H49" s="16">
        <f t="shared" si="13"/>
        <v>544105</v>
      </c>
      <c r="I49" s="16">
        <f t="shared" si="13"/>
        <v>527900</v>
      </c>
      <c r="J49" s="16">
        <f t="shared" si="13"/>
        <v>557440</v>
      </c>
      <c r="K49" s="16">
        <f t="shared" si="13"/>
        <v>493520</v>
      </c>
      <c r="L49" s="16">
        <f t="shared" si="13"/>
        <v>446195</v>
      </c>
      <c r="M49" s="16">
        <f t="shared" si="13"/>
        <v>470941</v>
      </c>
      <c r="N49" s="16">
        <f>SUM(N16:N48)</f>
        <v>5951072</v>
      </c>
      <c r="S49" s="16">
        <f>SUM(S16:S48)</f>
        <v>2613973879</v>
      </c>
      <c r="T49" s="16">
        <f t="shared" ref="T49:AD49" si="14">SUM(T16:T48)</f>
        <v>2340578938</v>
      </c>
      <c r="U49" s="16">
        <f t="shared" si="14"/>
        <v>1959041560</v>
      </c>
      <c r="V49" s="16">
        <f t="shared" si="14"/>
        <v>2313881002</v>
      </c>
      <c r="W49" s="16">
        <f t="shared" si="14"/>
        <v>2130925961</v>
      </c>
      <c r="X49" s="16">
        <f t="shared" si="14"/>
        <v>2737679802</v>
      </c>
      <c r="Y49" s="16">
        <f t="shared" si="14"/>
        <v>2829346279</v>
      </c>
      <c r="Z49" s="16">
        <f t="shared" si="14"/>
        <v>2745073975</v>
      </c>
      <c r="AA49" s="16">
        <f t="shared" si="14"/>
        <v>2898684763</v>
      </c>
      <c r="AB49" s="16">
        <f t="shared" si="14"/>
        <v>2664994319</v>
      </c>
      <c r="AC49" s="16">
        <f t="shared" si="14"/>
        <v>2409452149</v>
      </c>
      <c r="AD49" s="16">
        <f t="shared" si="14"/>
        <v>2543087976</v>
      </c>
      <c r="AE49" s="143">
        <f>+SUM(S49:AD49)</f>
        <v>30186720603</v>
      </c>
    </row>
    <row r="50" spans="1:31" s="64" customFormat="1" ht="13.5" thickTop="1">
      <c r="A50" s="74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</row>
    <row r="51" spans="1:31" s="64" customFormat="1">
      <c r="A51" s="74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</row>
    <row r="52" spans="1:31" ht="13.5" thickBot="1">
      <c r="A52" s="74"/>
      <c r="B52" s="90"/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143"/>
    </row>
    <row r="53" spans="1:31" s="64" customFormat="1">
      <c r="A53" s="74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</row>
    <row r="54" spans="1:31" s="64" customFormat="1">
      <c r="A54" s="74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</row>
    <row r="55" spans="1:31" s="64" customFormat="1" ht="13.5" thickBot="1">
      <c r="A55" s="74"/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143"/>
    </row>
    <row r="56" spans="1:31">
      <c r="A56" s="74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</row>
    <row r="57" spans="1:31" s="64" customFormat="1">
      <c r="A57" s="74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</row>
    <row r="58" spans="1:31" s="64" customFormat="1">
      <c r="A58" s="74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</row>
    <row r="59" spans="1:31" s="64" customFormat="1">
      <c r="A59" s="74"/>
      <c r="B59" s="170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S59" s="170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</row>
    <row r="60" spans="1:31" s="64" customFormat="1">
      <c r="A60" s="74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</row>
    <row r="61" spans="1:31" s="64" customFormat="1">
      <c r="A61" s="74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</row>
    <row r="62" spans="1:31" s="64" customFormat="1">
      <c r="A62" s="75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43"/>
    </row>
    <row r="63" spans="1:31" s="64" customFormat="1">
      <c r="A63" s="75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pans="1:31" s="64" customFormat="1" ht="6" customHeight="1">
      <c r="A64" s="74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pans="1:31" s="64" customFormat="1">
      <c r="A65" s="75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43"/>
    </row>
    <row r="66" spans="1:31" s="64" customFormat="1">
      <c r="A66" s="75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pans="1:31" s="64" customFormat="1" ht="6.2" customHeight="1">
      <c r="A67" s="75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pans="1:31" s="64" customFormat="1">
      <c r="A68" s="75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</row>
    <row r="69" spans="1:31" s="64" customFormat="1">
      <c r="A69" s="75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pans="1:31" s="64" customFormat="1" ht="6.2" customHeight="1">
      <c r="A70" s="75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pans="1:31" s="64" customFormat="1">
      <c r="A71" s="75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</row>
    <row r="72" spans="1:31" s="64" customFormat="1">
      <c r="A72" s="75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pans="1:31" s="64" customFormat="1" ht="6.2" customHeight="1">
      <c r="A73" s="75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spans="1:31">
      <c r="B74"/>
      <c r="C74"/>
      <c r="D74"/>
      <c r="E74"/>
      <c r="F74"/>
      <c r="G74"/>
      <c r="H74"/>
      <c r="I74"/>
      <c r="J74"/>
      <c r="K74"/>
      <c r="L74"/>
      <c r="M74"/>
      <c r="N74" s="8"/>
      <c r="S74"/>
      <c r="T74"/>
      <c r="U74"/>
      <c r="V74"/>
      <c r="W74"/>
      <c r="X74"/>
      <c r="Y74"/>
      <c r="Z74"/>
      <c r="AA74"/>
      <c r="AB74"/>
      <c r="AC74"/>
      <c r="AD74"/>
      <c r="AE74" s="8"/>
    </row>
    <row r="75" spans="1:31">
      <c r="A75" s="64"/>
      <c r="B75" s="143"/>
      <c r="C75" s="143"/>
      <c r="D75" s="143"/>
      <c r="E75" s="143"/>
      <c r="F75" s="143"/>
      <c r="G75" s="143"/>
      <c r="H75" s="143"/>
      <c r="I75" s="143"/>
      <c r="J75" s="143"/>
      <c r="K75" s="143"/>
      <c r="L75" s="143"/>
      <c r="M75" s="143"/>
      <c r="N75" s="143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43"/>
    </row>
    <row r="76" spans="1:31">
      <c r="N76" s="67"/>
      <c r="P76" s="80"/>
    </row>
    <row r="77" spans="1:31">
      <c r="P77" s="80"/>
    </row>
    <row r="78" spans="1:31">
      <c r="P78" s="80"/>
    </row>
    <row r="79" spans="1:31">
      <c r="P79" s="80"/>
    </row>
    <row r="80" spans="1:31">
      <c r="P80" s="80"/>
    </row>
    <row r="81" spans="16:16">
      <c r="P81" s="80"/>
    </row>
    <row r="82" spans="16:16">
      <c r="P82" s="80"/>
    </row>
    <row r="83" spans="16:16">
      <c r="P83" s="80"/>
    </row>
    <row r="84" spans="16:16">
      <c r="P84" s="80"/>
    </row>
    <row r="85" spans="16:16">
      <c r="P85" s="80"/>
    </row>
    <row r="86" spans="16:16">
      <c r="P86" s="80"/>
    </row>
    <row r="87" spans="16:16">
      <c r="P87" s="80"/>
    </row>
    <row r="88" spans="16:16">
      <c r="P88" s="80"/>
    </row>
    <row r="89" spans="16:16">
      <c r="P89" s="80"/>
    </row>
    <row r="90" spans="16:16">
      <c r="P90" s="80"/>
    </row>
    <row r="91" spans="16:16">
      <c r="P91" s="80"/>
    </row>
    <row r="92" spans="16:16">
      <c r="P92" s="80"/>
    </row>
    <row r="93" spans="16:16">
      <c r="P93" s="80"/>
    </row>
    <row r="94" spans="16:16">
      <c r="P94" s="80"/>
    </row>
    <row r="95" spans="16:16">
      <c r="P95" s="80"/>
    </row>
    <row r="96" spans="16:16">
      <c r="P96" s="80"/>
    </row>
    <row r="97" spans="16:16">
      <c r="P97" s="80"/>
    </row>
    <row r="98" spans="16:16">
      <c r="P98" s="80"/>
    </row>
    <row r="99" spans="16:16">
      <c r="P99" s="80"/>
    </row>
    <row r="100" spans="16:16">
      <c r="P100" s="80"/>
    </row>
    <row r="101" spans="16:16">
      <c r="P101" s="80"/>
    </row>
    <row r="102" spans="16:16">
      <c r="P102" s="80"/>
    </row>
    <row r="103" spans="16:16">
      <c r="P103" s="80"/>
    </row>
    <row r="104" spans="16:16">
      <c r="P104" s="80"/>
    </row>
    <row r="105" spans="16:16">
      <c r="P105" s="80"/>
    </row>
    <row r="106" spans="16:16">
      <c r="P106" s="80"/>
    </row>
    <row r="107" spans="16:16">
      <c r="P107" s="80"/>
    </row>
    <row r="108" spans="16:16">
      <c r="P108" s="80"/>
    </row>
    <row r="109" spans="16:16">
      <c r="P109" s="80"/>
    </row>
    <row r="110" spans="16:16">
      <c r="P110" s="80"/>
    </row>
    <row r="111" spans="16:16">
      <c r="P111" s="80"/>
    </row>
    <row r="112" spans="16:16">
      <c r="P112" s="80"/>
    </row>
    <row r="113" spans="16:16">
      <c r="P113" s="80"/>
    </row>
    <row r="114" spans="16:16">
      <c r="P114" s="80"/>
    </row>
    <row r="115" spans="16:16">
      <c r="P115" s="80"/>
    </row>
    <row r="116" spans="16:16">
      <c r="P116" s="80"/>
    </row>
    <row r="117" spans="16:16">
      <c r="P117" s="80"/>
    </row>
    <row r="118" spans="16:16">
      <c r="P118" s="80"/>
    </row>
    <row r="119" spans="16:16">
      <c r="P119" s="80"/>
    </row>
    <row r="120" spans="16:16">
      <c r="P120" s="80"/>
    </row>
    <row r="121" spans="16:16">
      <c r="P121" s="80"/>
    </row>
    <row r="122" spans="16:16">
      <c r="P122" s="80"/>
    </row>
    <row r="123" spans="16:16">
      <c r="P123" s="80"/>
    </row>
    <row r="124" spans="16:16">
      <c r="P124" s="80"/>
    </row>
    <row r="125" spans="16:16">
      <c r="P125" s="80"/>
    </row>
    <row r="126" spans="16:16">
      <c r="P126" s="80"/>
    </row>
    <row r="127" spans="16:16">
      <c r="P127" s="80"/>
    </row>
    <row r="128" spans="16:16">
      <c r="P128" s="80"/>
    </row>
    <row r="129" spans="16:16">
      <c r="P129" s="80"/>
    </row>
  </sheetData>
  <phoneticPr fontId="29" type="noConversion"/>
  <pageMargins left="0.75" right="0.75" top="0.54" bottom="0.55000000000000004" header="0.5" footer="0.5"/>
  <pageSetup scale="29" orientation="landscape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5">
    <tabColor theme="1"/>
  </sheetPr>
  <dimension ref="A1:P45"/>
  <sheetViews>
    <sheetView workbookViewId="0"/>
  </sheetViews>
  <sheetFormatPr baseColWidth="10" defaultColWidth="9.140625" defaultRowHeight="12.75"/>
  <cols>
    <col min="1" max="1" width="40.42578125" customWidth="1"/>
    <col min="2" max="2" width="10.85546875" style="2" customWidth="1"/>
    <col min="3" max="9" width="10.42578125" customWidth="1"/>
    <col min="10" max="10" width="11" customWidth="1"/>
    <col min="11" max="13" width="10.42578125" customWidth="1"/>
    <col min="14" max="14" width="11.42578125" style="1" bestFit="1" customWidth="1"/>
    <col min="15" max="15" width="4.42578125" customWidth="1"/>
  </cols>
  <sheetData>
    <row r="1" spans="1:14" ht="15.75">
      <c r="A1" s="18" t="s">
        <v>808</v>
      </c>
    </row>
    <row r="2" spans="1:14" ht="15.75">
      <c r="A2" s="11" t="s">
        <v>0</v>
      </c>
    </row>
    <row r="3" spans="1:14" ht="15.75">
      <c r="A3" s="18" t="s">
        <v>49</v>
      </c>
    </row>
    <row r="4" spans="1:14" ht="18">
      <c r="A4" s="19"/>
      <c r="B4" s="29">
        <v>2023</v>
      </c>
      <c r="C4" s="29">
        <f>+B4</f>
        <v>2023</v>
      </c>
      <c r="D4" s="29">
        <f t="shared" ref="D4:N4" si="0">+C4</f>
        <v>2023</v>
      </c>
      <c r="E4" s="29">
        <f t="shared" si="0"/>
        <v>2023</v>
      </c>
      <c r="F4" s="29">
        <f t="shared" si="0"/>
        <v>2023</v>
      </c>
      <c r="G4" s="29">
        <f t="shared" si="0"/>
        <v>2023</v>
      </c>
      <c r="H4" s="29">
        <f t="shared" si="0"/>
        <v>2023</v>
      </c>
      <c r="I4" s="29">
        <f t="shared" si="0"/>
        <v>2023</v>
      </c>
      <c r="J4" s="29">
        <f t="shared" si="0"/>
        <v>2023</v>
      </c>
      <c r="K4" s="29">
        <f t="shared" si="0"/>
        <v>2023</v>
      </c>
      <c r="L4" s="29">
        <f t="shared" si="0"/>
        <v>2023</v>
      </c>
      <c r="M4" s="29">
        <f t="shared" si="0"/>
        <v>2023</v>
      </c>
      <c r="N4" s="29">
        <f t="shared" si="0"/>
        <v>2023</v>
      </c>
    </row>
    <row r="5" spans="1:14" ht="15.75">
      <c r="A5" s="18" t="s">
        <v>2</v>
      </c>
      <c r="B5" s="23" t="s">
        <v>3</v>
      </c>
      <c r="C5" s="9" t="s">
        <v>4</v>
      </c>
      <c r="D5" s="9" t="s">
        <v>5</v>
      </c>
      <c r="E5" s="9" t="s">
        <v>6</v>
      </c>
      <c r="F5" s="9" t="s">
        <v>7</v>
      </c>
      <c r="G5" s="9" t="s">
        <v>8</v>
      </c>
      <c r="H5" s="9" t="s">
        <v>9</v>
      </c>
      <c r="I5" s="9" t="s">
        <v>10</v>
      </c>
      <c r="J5" s="9" t="s">
        <v>11</v>
      </c>
      <c r="K5" s="9" t="s">
        <v>12</v>
      </c>
      <c r="L5" s="9" t="s">
        <v>13</v>
      </c>
      <c r="M5" s="9" t="s">
        <v>14</v>
      </c>
      <c r="N5" s="9" t="s">
        <v>51</v>
      </c>
    </row>
    <row r="7" spans="1:14" s="1" customFormat="1" ht="13.5" thickBot="1">
      <c r="A7" s="24" t="s">
        <v>53</v>
      </c>
      <c r="B7" s="41">
        <v>658790</v>
      </c>
      <c r="C7" s="41">
        <v>467311</v>
      </c>
      <c r="D7" s="41">
        <v>634050</v>
      </c>
      <c r="E7" s="41">
        <v>780291</v>
      </c>
      <c r="F7" s="41">
        <v>875940</v>
      </c>
      <c r="G7" s="41">
        <v>752976</v>
      </c>
      <c r="H7" s="41">
        <v>904971</v>
      </c>
      <c r="I7" s="41">
        <v>912732</v>
      </c>
      <c r="J7" s="41">
        <v>803365</v>
      </c>
      <c r="K7" s="41">
        <v>1021797</v>
      </c>
      <c r="L7" s="41">
        <v>1092616</v>
      </c>
      <c r="M7" s="41">
        <v>1020540</v>
      </c>
      <c r="N7" s="41">
        <f>SUM(B7:M7)</f>
        <v>9925379</v>
      </c>
    </row>
    <row r="8" spans="1:14" ht="13.5" thickTop="1">
      <c r="A8" s="493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5"/>
    </row>
    <row r="9" spans="1:14">
      <c r="A9" s="1" t="s">
        <v>54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5"/>
    </row>
    <row r="10" spans="1:14">
      <c r="A10" s="744" t="s">
        <v>55</v>
      </c>
      <c r="B10" s="14">
        <v>352959</v>
      </c>
      <c r="C10" s="14">
        <v>298178</v>
      </c>
      <c r="D10" s="14">
        <v>427781</v>
      </c>
      <c r="E10" s="14">
        <v>405252</v>
      </c>
      <c r="F10" s="14">
        <v>503964</v>
      </c>
      <c r="G10" s="14">
        <v>478152</v>
      </c>
      <c r="H10" s="14">
        <v>435523</v>
      </c>
      <c r="I10" s="14">
        <v>519817</v>
      </c>
      <c r="J10" s="14">
        <v>477305</v>
      </c>
      <c r="K10" s="14">
        <v>566646</v>
      </c>
      <c r="L10" s="14">
        <v>615057</v>
      </c>
      <c r="M10" s="14">
        <v>652087</v>
      </c>
      <c r="N10" s="15">
        <f>SUM(B10:M10)</f>
        <v>5732721</v>
      </c>
    </row>
    <row r="11" spans="1:14">
      <c r="A11" s="744" t="s">
        <v>56</v>
      </c>
      <c r="B11" s="14">
        <v>23109</v>
      </c>
      <c r="C11" s="14">
        <v>23478</v>
      </c>
      <c r="D11" s="14">
        <v>24888</v>
      </c>
      <c r="E11" s="14">
        <v>25956</v>
      </c>
      <c r="F11" s="14">
        <v>27165</v>
      </c>
      <c r="G11" s="14">
        <v>25836</v>
      </c>
      <c r="H11" s="14">
        <v>26091</v>
      </c>
      <c r="I11" s="14">
        <v>26253</v>
      </c>
      <c r="J11" s="14">
        <v>27982</v>
      </c>
      <c r="K11" s="14">
        <v>26553</v>
      </c>
      <c r="L11" s="14">
        <v>26924</v>
      </c>
      <c r="M11" s="14">
        <v>27592</v>
      </c>
      <c r="N11" s="15">
        <f>SUM(B11:M11)</f>
        <v>311827</v>
      </c>
    </row>
    <row r="12" spans="1:14" s="1" customFormat="1" ht="13.5" thickBot="1">
      <c r="A12" s="1" t="s">
        <v>57</v>
      </c>
      <c r="B12" s="38">
        <f>SUM(B10:B11)</f>
        <v>376068</v>
      </c>
      <c r="C12" s="38">
        <f t="shared" ref="C12:M12" si="1">SUM(C10:C11)</f>
        <v>321656</v>
      </c>
      <c r="D12" s="38">
        <f t="shared" si="1"/>
        <v>452669</v>
      </c>
      <c r="E12" s="38">
        <f t="shared" si="1"/>
        <v>431208</v>
      </c>
      <c r="F12" s="38">
        <f t="shared" si="1"/>
        <v>531129</v>
      </c>
      <c r="G12" s="38">
        <f t="shared" si="1"/>
        <v>503988</v>
      </c>
      <c r="H12" s="38">
        <f t="shared" si="1"/>
        <v>461614</v>
      </c>
      <c r="I12" s="38">
        <f t="shared" si="1"/>
        <v>546070</v>
      </c>
      <c r="J12" s="38">
        <f t="shared" si="1"/>
        <v>505287</v>
      </c>
      <c r="K12" s="38">
        <f t="shared" si="1"/>
        <v>593199</v>
      </c>
      <c r="L12" s="38">
        <f t="shared" si="1"/>
        <v>641981</v>
      </c>
      <c r="M12" s="38">
        <f t="shared" si="1"/>
        <v>679679</v>
      </c>
      <c r="N12" s="16">
        <f>SUM(N10:N11)</f>
        <v>6044548</v>
      </c>
    </row>
    <row r="13" spans="1:14" s="1" customFormat="1" ht="13.5" thickTop="1"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5"/>
    </row>
    <row r="14" spans="1:14" s="49" customFormat="1">
      <c r="A14" s="49" t="s">
        <v>58</v>
      </c>
      <c r="B14" s="50">
        <f>IF(B$7=0,0,(B7-B12)/B$7)</f>
        <v>0.43</v>
      </c>
      <c r="C14" s="50">
        <f t="shared" ref="C14:N14" si="2">IF(C$7=0,0,(C7-C12)/C$7)</f>
        <v>0.31</v>
      </c>
      <c r="D14" s="50">
        <f t="shared" si="2"/>
        <v>0.28999999999999998</v>
      </c>
      <c r="E14" s="50">
        <f t="shared" si="2"/>
        <v>0.45</v>
      </c>
      <c r="F14" s="50">
        <f t="shared" si="2"/>
        <v>0.39</v>
      </c>
      <c r="G14" s="50">
        <f t="shared" si="2"/>
        <v>0.33</v>
      </c>
      <c r="H14" s="50">
        <f t="shared" si="2"/>
        <v>0.49</v>
      </c>
      <c r="I14" s="50">
        <f t="shared" si="2"/>
        <v>0.4</v>
      </c>
      <c r="J14" s="50">
        <f t="shared" si="2"/>
        <v>0.37</v>
      </c>
      <c r="K14" s="50">
        <f t="shared" si="2"/>
        <v>0.42</v>
      </c>
      <c r="L14" s="50">
        <f t="shared" si="2"/>
        <v>0.41</v>
      </c>
      <c r="M14" s="50">
        <f t="shared" si="2"/>
        <v>0.33</v>
      </c>
      <c r="N14" s="50">
        <f t="shared" si="2"/>
        <v>0.39</v>
      </c>
    </row>
    <row r="15" spans="1:14">
      <c r="A15" s="493" t="s">
        <v>59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5"/>
    </row>
    <row r="16" spans="1:14">
      <c r="A16" s="1" t="s">
        <v>60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5"/>
    </row>
    <row r="17" spans="1:16">
      <c r="A17" s="744" t="s">
        <v>61</v>
      </c>
      <c r="B17" s="14">
        <v>22888</v>
      </c>
      <c r="C17" s="14">
        <v>24982</v>
      </c>
      <c r="D17" s="14">
        <v>25347</v>
      </c>
      <c r="E17" s="14">
        <v>26233</v>
      </c>
      <c r="F17" s="14">
        <v>27768</v>
      </c>
      <c r="G17" s="14">
        <v>25053</v>
      </c>
      <c r="H17" s="14">
        <v>30731</v>
      </c>
      <c r="I17" s="14">
        <v>28172</v>
      </c>
      <c r="J17" s="14">
        <v>31831</v>
      </c>
      <c r="K17" s="14">
        <v>30547</v>
      </c>
      <c r="L17" s="14">
        <v>30923</v>
      </c>
      <c r="M17" s="14">
        <v>42004</v>
      </c>
      <c r="N17" s="15">
        <f t="shared" ref="N17:N24" si="3">SUM(B17:M17)</f>
        <v>346479</v>
      </c>
      <c r="P17" s="117"/>
    </row>
    <row r="18" spans="1:16">
      <c r="A18" s="744" t="s">
        <v>62</v>
      </c>
      <c r="B18" s="14">
        <v>3574</v>
      </c>
      <c r="C18" s="14">
        <v>3754</v>
      </c>
      <c r="D18" s="14">
        <v>12017</v>
      </c>
      <c r="E18" s="14">
        <v>34132</v>
      </c>
      <c r="F18" s="14">
        <v>8698</v>
      </c>
      <c r="G18" s="14">
        <v>3809</v>
      </c>
      <c r="H18" s="14">
        <v>15202</v>
      </c>
      <c r="I18" s="14">
        <v>8893</v>
      </c>
      <c r="J18" s="14">
        <v>25107</v>
      </c>
      <c r="K18" s="14">
        <v>7934</v>
      </c>
      <c r="L18" s="14">
        <v>12947</v>
      </c>
      <c r="M18" s="14">
        <v>22369</v>
      </c>
      <c r="N18" s="15">
        <f t="shared" si="3"/>
        <v>158436</v>
      </c>
      <c r="P18" s="117"/>
    </row>
    <row r="19" spans="1:16">
      <c r="A19" s="744" t="s">
        <v>63</v>
      </c>
      <c r="B19" s="14">
        <v>163</v>
      </c>
      <c r="C19" s="14">
        <v>315</v>
      </c>
      <c r="D19" s="14">
        <v>350</v>
      </c>
      <c r="E19" s="14">
        <v>355</v>
      </c>
      <c r="F19" s="14">
        <v>364</v>
      </c>
      <c r="G19" s="14">
        <v>319</v>
      </c>
      <c r="H19" s="14">
        <v>325</v>
      </c>
      <c r="I19" s="14">
        <v>278</v>
      </c>
      <c r="J19" s="14">
        <v>1005</v>
      </c>
      <c r="K19" s="14">
        <v>354</v>
      </c>
      <c r="L19" s="14">
        <v>159</v>
      </c>
      <c r="M19" s="14">
        <v>113</v>
      </c>
      <c r="N19" s="15">
        <f t="shared" si="3"/>
        <v>4100</v>
      </c>
      <c r="P19" s="117"/>
    </row>
    <row r="20" spans="1:16">
      <c r="A20" s="744" t="s">
        <v>64</v>
      </c>
      <c r="B20" s="14">
        <v>5531</v>
      </c>
      <c r="C20" s="14">
        <v>9038</v>
      </c>
      <c r="D20" s="14">
        <v>6875</v>
      </c>
      <c r="E20" s="14">
        <v>5402</v>
      </c>
      <c r="F20" s="14">
        <v>6768</v>
      </c>
      <c r="G20" s="14">
        <v>10084</v>
      </c>
      <c r="H20" s="14">
        <v>14726</v>
      </c>
      <c r="I20" s="14">
        <v>11672</v>
      </c>
      <c r="J20" s="14">
        <v>17997</v>
      </c>
      <c r="K20" s="14">
        <v>10945</v>
      </c>
      <c r="L20" s="14">
        <v>13914</v>
      </c>
      <c r="M20" s="14">
        <v>12788</v>
      </c>
      <c r="N20" s="15">
        <f t="shared" si="3"/>
        <v>125740</v>
      </c>
      <c r="P20" s="117"/>
    </row>
    <row r="21" spans="1:16">
      <c r="A21" s="744" t="s">
        <v>65</v>
      </c>
      <c r="B21" s="14">
        <v>2688</v>
      </c>
      <c r="C21" s="14">
        <v>2503</v>
      </c>
      <c r="D21" s="14">
        <v>2612</v>
      </c>
      <c r="E21" s="14">
        <v>504</v>
      </c>
      <c r="F21" s="14">
        <v>0</v>
      </c>
      <c r="G21" s="14">
        <v>2372</v>
      </c>
      <c r="H21" s="14">
        <v>0</v>
      </c>
      <c r="I21" s="14">
        <v>0</v>
      </c>
      <c r="J21" s="14">
        <v>1331</v>
      </c>
      <c r="K21" s="14">
        <v>6808</v>
      </c>
      <c r="L21" s="14">
        <v>6995</v>
      </c>
      <c r="M21" s="14">
        <v>8233</v>
      </c>
      <c r="N21" s="15">
        <f t="shared" si="3"/>
        <v>34046</v>
      </c>
      <c r="P21" s="117"/>
    </row>
    <row r="22" spans="1:16">
      <c r="A22" s="744" t="s">
        <v>66</v>
      </c>
      <c r="B22" s="14">
        <v>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5">
        <f t="shared" si="3"/>
        <v>0</v>
      </c>
      <c r="P22" s="117"/>
    </row>
    <row r="23" spans="1:16">
      <c r="A23" s="744" t="s">
        <v>67</v>
      </c>
      <c r="B23" s="14">
        <v>1221</v>
      </c>
      <c r="C23" s="14">
        <v>4606</v>
      </c>
      <c r="D23" s="14">
        <v>4469</v>
      </c>
      <c r="E23" s="14">
        <v>4065</v>
      </c>
      <c r="F23" s="14">
        <v>4266</v>
      </c>
      <c r="G23" s="14">
        <v>2336</v>
      </c>
      <c r="H23" s="14">
        <v>4525</v>
      </c>
      <c r="I23" s="14">
        <v>3507</v>
      </c>
      <c r="J23" s="14">
        <v>3789</v>
      </c>
      <c r="K23" s="14">
        <v>4111</v>
      </c>
      <c r="L23" s="14">
        <v>4333</v>
      </c>
      <c r="M23" s="14">
        <v>6546</v>
      </c>
      <c r="N23" s="15">
        <f t="shared" si="3"/>
        <v>47774</v>
      </c>
      <c r="P23" s="117"/>
    </row>
    <row r="24" spans="1:16">
      <c r="A24" s="744" t="s">
        <v>68</v>
      </c>
      <c r="B24" s="14">
        <v>2010</v>
      </c>
      <c r="C24" s="14">
        <v>2073</v>
      </c>
      <c r="D24" s="14">
        <v>2162</v>
      </c>
      <c r="E24" s="14">
        <v>2132</v>
      </c>
      <c r="F24" s="14">
        <v>2161</v>
      </c>
      <c r="G24" s="14">
        <v>2049</v>
      </c>
      <c r="H24" s="14">
        <v>1971</v>
      </c>
      <c r="I24" s="14">
        <v>1926</v>
      </c>
      <c r="J24" s="14">
        <v>1894</v>
      </c>
      <c r="K24" s="14">
        <v>1824</v>
      </c>
      <c r="L24" s="14">
        <v>1828</v>
      </c>
      <c r="M24" s="14">
        <v>1431</v>
      </c>
      <c r="N24" s="15">
        <f t="shared" si="3"/>
        <v>23461</v>
      </c>
      <c r="P24" s="117"/>
    </row>
    <row r="25" spans="1:16" ht="13.5" thickBot="1">
      <c r="A25" s="1" t="s">
        <v>69</v>
      </c>
      <c r="B25" s="38">
        <f>SUM(B17:B24)</f>
        <v>38075</v>
      </c>
      <c r="C25" s="38">
        <f t="shared" ref="C25:M25" si="4">SUM(C17:C24)</f>
        <v>47271</v>
      </c>
      <c r="D25" s="38">
        <f t="shared" si="4"/>
        <v>53832</v>
      </c>
      <c r="E25" s="38">
        <f t="shared" si="4"/>
        <v>72823</v>
      </c>
      <c r="F25" s="38">
        <f t="shared" si="4"/>
        <v>50025</v>
      </c>
      <c r="G25" s="38">
        <f t="shared" si="4"/>
        <v>46022</v>
      </c>
      <c r="H25" s="38">
        <f t="shared" si="4"/>
        <v>67480</v>
      </c>
      <c r="I25" s="38">
        <f t="shared" si="4"/>
        <v>54448</v>
      </c>
      <c r="J25" s="38">
        <f t="shared" si="4"/>
        <v>82954</v>
      </c>
      <c r="K25" s="38">
        <f t="shared" si="4"/>
        <v>62523</v>
      </c>
      <c r="L25" s="38">
        <f t="shared" si="4"/>
        <v>71099</v>
      </c>
      <c r="M25" s="38">
        <f t="shared" si="4"/>
        <v>93484</v>
      </c>
      <c r="N25" s="16">
        <f>SUM(N17:N24)</f>
        <v>740036</v>
      </c>
    </row>
    <row r="26" spans="1:16" ht="11.25" customHeight="1" thickTop="1"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5"/>
    </row>
    <row r="27" spans="1:16" ht="13.5" thickBot="1">
      <c r="A27" s="1" t="s">
        <v>70</v>
      </c>
      <c r="B27" s="26">
        <f>+B7-B12-B25</f>
        <v>244647</v>
      </c>
      <c r="C27" s="26">
        <f t="shared" ref="C27:N27" si="5">+C7-C12-C25</f>
        <v>98384</v>
      </c>
      <c r="D27" s="26">
        <f t="shared" si="5"/>
        <v>127549</v>
      </c>
      <c r="E27" s="26">
        <f t="shared" si="5"/>
        <v>276260</v>
      </c>
      <c r="F27" s="26">
        <f t="shared" si="5"/>
        <v>294786</v>
      </c>
      <c r="G27" s="26">
        <f t="shared" si="5"/>
        <v>202966</v>
      </c>
      <c r="H27" s="26">
        <f t="shared" si="5"/>
        <v>375877</v>
      </c>
      <c r="I27" s="26">
        <f t="shared" si="5"/>
        <v>312214</v>
      </c>
      <c r="J27" s="26">
        <f t="shared" si="5"/>
        <v>215124</v>
      </c>
      <c r="K27" s="26">
        <f t="shared" si="5"/>
        <v>366075</v>
      </c>
      <c r="L27" s="26">
        <f t="shared" si="5"/>
        <v>379536</v>
      </c>
      <c r="M27" s="26">
        <f t="shared" si="5"/>
        <v>247377</v>
      </c>
      <c r="N27" s="26">
        <f t="shared" si="5"/>
        <v>3140795</v>
      </c>
    </row>
    <row r="28" spans="1:16"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5"/>
    </row>
    <row r="29" spans="1:16">
      <c r="A29" s="744" t="s">
        <v>71</v>
      </c>
      <c r="B29" s="14">
        <v>-27</v>
      </c>
      <c r="C29" s="14">
        <v>-49</v>
      </c>
      <c r="D29" s="14">
        <v>-42</v>
      </c>
      <c r="E29" s="14">
        <v>-81</v>
      </c>
      <c r="F29" s="14">
        <v>-53</v>
      </c>
      <c r="G29" s="14">
        <v>-43</v>
      </c>
      <c r="H29" s="14">
        <v>-70</v>
      </c>
      <c r="I29" s="14">
        <v>-233</v>
      </c>
      <c r="J29" s="14">
        <v>-97</v>
      </c>
      <c r="K29" s="14">
        <v>-892</v>
      </c>
      <c r="L29" s="14">
        <v>-1122</v>
      </c>
      <c r="M29" s="14">
        <v>-1441</v>
      </c>
      <c r="N29" s="15">
        <f>SUM(B29:M29)</f>
        <v>-4150</v>
      </c>
      <c r="P29" s="117"/>
    </row>
    <row r="30" spans="1:16">
      <c r="A30" s="744" t="s">
        <v>72</v>
      </c>
      <c r="B30" s="14">
        <v>2799</v>
      </c>
      <c r="C30" s="14">
        <v>3809</v>
      </c>
      <c r="D30" s="14">
        <v>4151</v>
      </c>
      <c r="E30" s="14">
        <v>3936</v>
      </c>
      <c r="F30" s="14">
        <v>9576</v>
      </c>
      <c r="G30" s="14">
        <v>13349</v>
      </c>
      <c r="H30" s="14">
        <v>4158</v>
      </c>
      <c r="I30" s="14">
        <v>4760</v>
      </c>
      <c r="J30" s="14">
        <v>5858</v>
      </c>
      <c r="K30" s="14">
        <v>6054</v>
      </c>
      <c r="L30" s="14">
        <v>4465</v>
      </c>
      <c r="M30" s="14">
        <v>32166</v>
      </c>
      <c r="N30" s="15">
        <f>SUM(B30:M30)</f>
        <v>95081</v>
      </c>
      <c r="P30" s="117"/>
    </row>
    <row r="31" spans="1:16">
      <c r="A31" s="744" t="s">
        <v>73</v>
      </c>
      <c r="B31" s="14">
        <v>-1449</v>
      </c>
      <c r="C31" s="14">
        <v>29591</v>
      </c>
      <c r="D31" s="14">
        <v>39261</v>
      </c>
      <c r="E31" s="14">
        <v>-74836</v>
      </c>
      <c r="F31" s="14">
        <v>36239</v>
      </c>
      <c r="G31" s="14">
        <v>-43478</v>
      </c>
      <c r="H31" s="14">
        <v>-1914</v>
      </c>
      <c r="I31" s="14">
        <v>-9246</v>
      </c>
      <c r="J31" s="14">
        <v>-1695</v>
      </c>
      <c r="K31" s="14">
        <v>-36954</v>
      </c>
      <c r="L31" s="14">
        <v>35096</v>
      </c>
      <c r="M31" s="14">
        <v>10400</v>
      </c>
      <c r="N31" s="15">
        <f>SUM(B31:M31)</f>
        <v>-18985</v>
      </c>
      <c r="P31" s="117"/>
    </row>
    <row r="32" spans="1:16">
      <c r="A32" s="744" t="s">
        <v>685</v>
      </c>
      <c r="B32" s="14">
        <v>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5">
        <f>SUM(B32:M32)</f>
        <v>0</v>
      </c>
      <c r="P32" s="117"/>
    </row>
    <row r="33" spans="1:16">
      <c r="A33" s="840" t="s">
        <v>75</v>
      </c>
      <c r="B33" s="27">
        <v>-104</v>
      </c>
      <c r="C33" s="27">
        <v>92</v>
      </c>
      <c r="D33" s="27">
        <v>513</v>
      </c>
      <c r="E33" s="27">
        <v>692</v>
      </c>
      <c r="F33" s="27">
        <v>0</v>
      </c>
      <c r="G33" s="27">
        <v>0</v>
      </c>
      <c r="H33" s="27">
        <v>0</v>
      </c>
      <c r="I33" s="27">
        <v>-12787</v>
      </c>
      <c r="J33" s="27">
        <v>0</v>
      </c>
      <c r="K33" s="27">
        <v>63</v>
      </c>
      <c r="L33" s="27">
        <v>0</v>
      </c>
      <c r="M33" s="27">
        <v>2222</v>
      </c>
      <c r="N33" s="15">
        <f>SUM(B33:M33)</f>
        <v>-9309</v>
      </c>
      <c r="P33" s="117"/>
    </row>
    <row r="34" spans="1:16" ht="13.5" thickBot="1">
      <c r="B34" s="38">
        <f>SUM(B29:B33)</f>
        <v>1219</v>
      </c>
      <c r="C34" s="38">
        <f t="shared" ref="C34:N34" si="6">SUM(C29:C33)</f>
        <v>33443</v>
      </c>
      <c r="D34" s="38">
        <f t="shared" si="6"/>
        <v>43883</v>
      </c>
      <c r="E34" s="38">
        <f t="shared" si="6"/>
        <v>-70289</v>
      </c>
      <c r="F34" s="38">
        <f t="shared" si="6"/>
        <v>45762</v>
      </c>
      <c r="G34" s="38">
        <f t="shared" si="6"/>
        <v>-30172</v>
      </c>
      <c r="H34" s="38">
        <f t="shared" si="6"/>
        <v>2174</v>
      </c>
      <c r="I34" s="38">
        <f>SUM(I29:I33)</f>
        <v>-17506</v>
      </c>
      <c r="J34" s="38">
        <f t="shared" si="6"/>
        <v>4066</v>
      </c>
      <c r="K34" s="38">
        <f t="shared" si="6"/>
        <v>-31729</v>
      </c>
      <c r="L34" s="38">
        <f t="shared" si="6"/>
        <v>38439</v>
      </c>
      <c r="M34" s="38">
        <f t="shared" si="6"/>
        <v>43347</v>
      </c>
      <c r="N34" s="38">
        <f t="shared" si="6"/>
        <v>62637</v>
      </c>
    </row>
    <row r="35" spans="1:16" ht="13.5" thickTop="1"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5"/>
    </row>
    <row r="36" spans="1:16" s="1" customFormat="1" ht="13.5" thickBot="1">
      <c r="A36" s="1" t="s">
        <v>76</v>
      </c>
      <c r="B36" s="26">
        <f>+B27-B34</f>
        <v>243428</v>
      </c>
      <c r="C36" s="26">
        <f t="shared" ref="C36:N36" si="7">+C27-C34</f>
        <v>64941</v>
      </c>
      <c r="D36" s="26">
        <f t="shared" si="7"/>
        <v>83666</v>
      </c>
      <c r="E36" s="26">
        <f t="shared" si="7"/>
        <v>346549</v>
      </c>
      <c r="F36" s="26">
        <f t="shared" si="7"/>
        <v>249024</v>
      </c>
      <c r="G36" s="26">
        <f t="shared" si="7"/>
        <v>233138</v>
      </c>
      <c r="H36" s="26">
        <f t="shared" si="7"/>
        <v>373703</v>
      </c>
      <c r="I36" s="26">
        <f t="shared" si="7"/>
        <v>329720</v>
      </c>
      <c r="J36" s="26">
        <f t="shared" si="7"/>
        <v>211058</v>
      </c>
      <c r="K36" s="26">
        <f t="shared" si="7"/>
        <v>397804</v>
      </c>
      <c r="L36" s="26">
        <f t="shared" si="7"/>
        <v>341097</v>
      </c>
      <c r="M36" s="26">
        <f t="shared" si="7"/>
        <v>204030</v>
      </c>
      <c r="N36" s="26">
        <f t="shared" si="7"/>
        <v>3078158</v>
      </c>
    </row>
    <row r="37" spans="1:16"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5"/>
    </row>
    <row r="38" spans="1:16" ht="13.5" thickBot="1">
      <c r="A38" s="1" t="s">
        <v>77</v>
      </c>
      <c r="B38" s="42">
        <v>94072</v>
      </c>
      <c r="C38" s="42">
        <v>35482</v>
      </c>
      <c r="D38" s="42">
        <v>36959</v>
      </c>
      <c r="E38" s="42">
        <v>104091</v>
      </c>
      <c r="F38" s="42">
        <v>114324</v>
      </c>
      <c r="G38" s="42">
        <v>84562</v>
      </c>
      <c r="H38" s="42">
        <v>149949</v>
      </c>
      <c r="I38" s="42">
        <v>78881</v>
      </c>
      <c r="J38" s="42">
        <v>116593</v>
      </c>
      <c r="K38" s="42">
        <v>155787</v>
      </c>
      <c r="L38" s="42">
        <v>94124</v>
      </c>
      <c r="M38" s="42">
        <v>72077</v>
      </c>
      <c r="N38" s="15">
        <f>SUM(B38:M38)</f>
        <v>1136901</v>
      </c>
    </row>
    <row r="39" spans="1:16" ht="13.5" thickTop="1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5"/>
    </row>
    <row r="40" spans="1:16" ht="13.5" thickBot="1">
      <c r="A40" s="1" t="s">
        <v>78</v>
      </c>
      <c r="B40" s="26">
        <f>+B36-B38</f>
        <v>149356</v>
      </c>
      <c r="C40" s="26">
        <f t="shared" ref="C40:N40" si="8">+C36-C38</f>
        <v>29459</v>
      </c>
      <c r="D40" s="26">
        <f t="shared" si="8"/>
        <v>46707</v>
      </c>
      <c r="E40" s="26">
        <f t="shared" si="8"/>
        <v>242458</v>
      </c>
      <c r="F40" s="26">
        <f t="shared" si="8"/>
        <v>134700</v>
      </c>
      <c r="G40" s="26">
        <f t="shared" si="8"/>
        <v>148576</v>
      </c>
      <c r="H40" s="26">
        <f t="shared" si="8"/>
        <v>223754</v>
      </c>
      <c r="I40" s="26">
        <f t="shared" si="8"/>
        <v>250839</v>
      </c>
      <c r="J40" s="26">
        <f t="shared" si="8"/>
        <v>94465</v>
      </c>
      <c r="K40" s="26">
        <f t="shared" si="8"/>
        <v>242017</v>
      </c>
      <c r="L40" s="26">
        <f t="shared" si="8"/>
        <v>246973</v>
      </c>
      <c r="M40" s="26">
        <f t="shared" si="8"/>
        <v>131953</v>
      </c>
      <c r="N40" s="26">
        <f t="shared" si="8"/>
        <v>1941257</v>
      </c>
    </row>
    <row r="41" spans="1:16"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5"/>
    </row>
    <row r="42" spans="1:16"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5"/>
    </row>
    <row r="43" spans="1:16"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5"/>
    </row>
    <row r="44" spans="1:16">
      <c r="A44" s="44" t="s">
        <v>79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</row>
    <row r="45" spans="1:16">
      <c r="A45" s="43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5"/>
    </row>
  </sheetData>
  <phoneticPr fontId="29" type="noConversion"/>
  <printOptions horizontalCentered="1"/>
  <pageMargins left="0.25" right="0" top="1" bottom="1" header="0.5" footer="0.5"/>
  <pageSetup scale="60" orientation="landscape" horizontalDpi="300" verticalDpi="300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4">
    <tabColor theme="1"/>
    <pageSetUpPr fitToPage="1"/>
  </sheetPr>
  <dimension ref="A1:N79"/>
  <sheetViews>
    <sheetView workbookViewId="0"/>
  </sheetViews>
  <sheetFormatPr baseColWidth="10" defaultColWidth="9.140625" defaultRowHeight="12.75"/>
  <cols>
    <col min="1" max="1" width="39.140625" style="63" bestFit="1" customWidth="1"/>
    <col min="2" max="2" width="10.42578125" style="63" customWidth="1"/>
    <col min="3" max="3" width="10.42578125" style="63" bestFit="1" customWidth="1"/>
    <col min="4" max="5" width="9.140625" style="63" customWidth="1"/>
    <col min="6" max="6" width="10.42578125" style="63" bestFit="1" customWidth="1"/>
    <col min="7" max="7" width="9.42578125" style="63" bestFit="1" customWidth="1"/>
    <col min="8" max="9" width="10.42578125" style="63" bestFit="1" customWidth="1"/>
    <col min="10" max="10" width="10" style="63" bestFit="1" customWidth="1"/>
    <col min="11" max="12" width="10.42578125" style="63" bestFit="1" customWidth="1"/>
    <col min="13" max="13" width="10" style="63" customWidth="1"/>
    <col min="14" max="14" width="11.42578125" style="71" bestFit="1" customWidth="1"/>
    <col min="15" max="16384" width="9.140625" style="63"/>
  </cols>
  <sheetData>
    <row r="1" spans="1:14" ht="15.75">
      <c r="A1" s="70" t="s">
        <v>809</v>
      </c>
    </row>
    <row r="2" spans="1:14" s="72" customFormat="1" ht="15.75">
      <c r="A2" s="70" t="s">
        <v>687</v>
      </c>
      <c r="B2" s="64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71"/>
    </row>
    <row r="3" spans="1:14" ht="15.75">
      <c r="A3" s="61" t="s">
        <v>373</v>
      </c>
      <c r="N3" s="65"/>
    </row>
    <row r="4" spans="1:14">
      <c r="B4" s="73">
        <v>2023</v>
      </c>
      <c r="C4" s="73">
        <f>+B4</f>
        <v>2023</v>
      </c>
      <c r="D4" s="73">
        <f t="shared" ref="D4:N4" si="0">+C4</f>
        <v>2023</v>
      </c>
      <c r="E4" s="73">
        <f t="shared" si="0"/>
        <v>2023</v>
      </c>
      <c r="F4" s="73">
        <f t="shared" si="0"/>
        <v>2023</v>
      </c>
      <c r="G4" s="73">
        <f t="shared" si="0"/>
        <v>2023</v>
      </c>
      <c r="H4" s="73">
        <f t="shared" si="0"/>
        <v>2023</v>
      </c>
      <c r="I4" s="73">
        <f t="shared" si="0"/>
        <v>2023</v>
      </c>
      <c r="J4" s="73">
        <f t="shared" si="0"/>
        <v>2023</v>
      </c>
      <c r="K4" s="73">
        <f t="shared" si="0"/>
        <v>2023</v>
      </c>
      <c r="L4" s="73">
        <f t="shared" si="0"/>
        <v>2023</v>
      </c>
      <c r="M4" s="73">
        <f t="shared" si="0"/>
        <v>2023</v>
      </c>
      <c r="N4" s="73">
        <f t="shared" si="0"/>
        <v>2023</v>
      </c>
    </row>
    <row r="5" spans="1:14" ht="15.75">
      <c r="A5" s="61" t="s">
        <v>2</v>
      </c>
      <c r="B5" s="73" t="s">
        <v>3</v>
      </c>
      <c r="C5" s="73" t="s">
        <v>4</v>
      </c>
      <c r="D5" s="73" t="s">
        <v>5</v>
      </c>
      <c r="E5" s="73" t="s">
        <v>6</v>
      </c>
      <c r="F5" s="73" t="s">
        <v>7</v>
      </c>
      <c r="G5" s="73" t="s">
        <v>8</v>
      </c>
      <c r="H5" s="73" t="s">
        <v>9</v>
      </c>
      <c r="I5" s="73" t="s">
        <v>10</v>
      </c>
      <c r="J5" s="73" t="s">
        <v>11</v>
      </c>
      <c r="K5" s="73" t="s">
        <v>12</v>
      </c>
      <c r="L5" s="73" t="s">
        <v>13</v>
      </c>
      <c r="M5" s="73" t="s">
        <v>14</v>
      </c>
      <c r="N5" s="73" t="s">
        <v>51</v>
      </c>
    </row>
    <row r="6" spans="1:14">
      <c r="A6" s="74" t="s">
        <v>376</v>
      </c>
    </row>
    <row r="7" spans="1:14">
      <c r="A7" s="75" t="s">
        <v>688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7">
        <f t="shared" ref="N7:N12" si="1">SUM(B7:M7)</f>
        <v>0</v>
      </c>
    </row>
    <row r="8" spans="1:14">
      <c r="A8" s="75" t="s">
        <v>689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7">
        <f t="shared" si="1"/>
        <v>0</v>
      </c>
    </row>
    <row r="9" spans="1:14">
      <c r="A9" s="75" t="s">
        <v>690</v>
      </c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7">
        <f t="shared" si="1"/>
        <v>0</v>
      </c>
    </row>
    <row r="10" spans="1:14" s="77" customFormat="1">
      <c r="A10" s="76" t="s">
        <v>380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67">
        <f t="shared" si="1"/>
        <v>0</v>
      </c>
    </row>
    <row r="11" spans="1:14" s="77" customFormat="1">
      <c r="A11" s="76"/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67">
        <f t="shared" si="1"/>
        <v>0</v>
      </c>
    </row>
    <row r="12" spans="1:14">
      <c r="A12" s="75" t="s">
        <v>59</v>
      </c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67">
        <f t="shared" si="1"/>
        <v>0</v>
      </c>
    </row>
    <row r="13" spans="1:14" s="64" customFormat="1" ht="13.5" thickBot="1">
      <c r="A13" s="74" t="s">
        <v>381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>
        <f>SUM(N7:N12)</f>
        <v>0</v>
      </c>
    </row>
    <row r="14" spans="1:14" ht="13.5" thickTop="1">
      <c r="A14" s="75"/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67"/>
    </row>
    <row r="15" spans="1:14">
      <c r="A15" s="74" t="s">
        <v>382</v>
      </c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67"/>
    </row>
    <row r="16" spans="1:14">
      <c r="A16" s="75" t="s">
        <v>266</v>
      </c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7">
        <f t="shared" ref="N16:N48" si="2">SUM(B16:M16)</f>
        <v>0</v>
      </c>
    </row>
    <row r="17" spans="1:14">
      <c r="A17" s="75" t="s">
        <v>268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7">
        <f t="shared" si="2"/>
        <v>0</v>
      </c>
    </row>
    <row r="18" spans="1:14">
      <c r="A18" s="75" t="s">
        <v>806</v>
      </c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7">
        <f t="shared" si="2"/>
        <v>0</v>
      </c>
    </row>
    <row r="19" spans="1:14">
      <c r="A19" s="75" t="s">
        <v>269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7">
        <f t="shared" si="2"/>
        <v>0</v>
      </c>
    </row>
    <row r="20" spans="1:14" s="72" customFormat="1">
      <c r="A20" s="75" t="s">
        <v>384</v>
      </c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7">
        <f t="shared" si="2"/>
        <v>0</v>
      </c>
    </row>
    <row r="21" spans="1:14" s="72" customFormat="1">
      <c r="A21" s="75" t="s">
        <v>385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7">
        <f t="shared" si="2"/>
        <v>0</v>
      </c>
    </row>
    <row r="22" spans="1:14" s="72" customFormat="1">
      <c r="A22" s="75" t="s">
        <v>386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7">
        <f t="shared" si="2"/>
        <v>0</v>
      </c>
    </row>
    <row r="23" spans="1:14" s="72" customFormat="1">
      <c r="A23" s="75" t="s">
        <v>387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7">
        <f t="shared" si="2"/>
        <v>0</v>
      </c>
    </row>
    <row r="24" spans="1:14" s="72" customFormat="1">
      <c r="A24" s="75" t="s">
        <v>388</v>
      </c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7">
        <f t="shared" si="2"/>
        <v>0</v>
      </c>
    </row>
    <row r="25" spans="1:14" s="72" customFormat="1">
      <c r="A25" s="75" t="s">
        <v>389</v>
      </c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7">
        <f t="shared" si="2"/>
        <v>0</v>
      </c>
    </row>
    <row r="26" spans="1:14" s="72" customFormat="1">
      <c r="A26" s="75" t="s">
        <v>390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7">
        <f t="shared" si="2"/>
        <v>0</v>
      </c>
    </row>
    <row r="27" spans="1:14" s="72" customFormat="1">
      <c r="A27" s="75" t="s">
        <v>391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7">
        <f t="shared" si="2"/>
        <v>0</v>
      </c>
    </row>
    <row r="28" spans="1:14" s="72" customFormat="1">
      <c r="A28" s="75" t="s">
        <v>392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7">
        <f t="shared" si="2"/>
        <v>0</v>
      </c>
    </row>
    <row r="29" spans="1:14" s="72" customFormat="1">
      <c r="A29" s="75" t="s">
        <v>501</v>
      </c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7">
        <f t="shared" si="2"/>
        <v>0</v>
      </c>
    </row>
    <row r="30" spans="1:14" s="72" customFormat="1">
      <c r="A30" s="75" t="s">
        <v>393</v>
      </c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7">
        <f t="shared" si="2"/>
        <v>0</v>
      </c>
    </row>
    <row r="31" spans="1:14" s="72" customFormat="1">
      <c r="A31" s="75" t="s">
        <v>394</v>
      </c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7">
        <f t="shared" si="2"/>
        <v>0</v>
      </c>
    </row>
    <row r="32" spans="1:14" s="72" customFormat="1">
      <c r="A32" s="75" t="s">
        <v>307</v>
      </c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7">
        <f t="shared" si="2"/>
        <v>0</v>
      </c>
    </row>
    <row r="33" spans="1:14" s="72" customFormat="1">
      <c r="A33" s="75" t="s">
        <v>395</v>
      </c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7">
        <f t="shared" si="2"/>
        <v>0</v>
      </c>
    </row>
    <row r="34" spans="1:14" s="72" customFormat="1">
      <c r="A34" s="75" t="s">
        <v>396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7">
        <f t="shared" si="2"/>
        <v>0</v>
      </c>
    </row>
    <row r="35" spans="1:14" s="72" customFormat="1">
      <c r="A35" s="75" t="s">
        <v>290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7">
        <f t="shared" si="2"/>
        <v>0</v>
      </c>
    </row>
    <row r="36" spans="1:14" s="72" customFormat="1">
      <c r="A36" s="75" t="s">
        <v>297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7">
        <f t="shared" si="2"/>
        <v>0</v>
      </c>
    </row>
    <row r="37" spans="1:14" s="72" customFormat="1">
      <c r="A37" s="75" t="s">
        <v>299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7">
        <f t="shared" si="2"/>
        <v>0</v>
      </c>
    </row>
    <row r="38" spans="1:14" s="72" customFormat="1">
      <c r="A38" s="75" t="s">
        <v>397</v>
      </c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7">
        <f t="shared" si="2"/>
        <v>0</v>
      </c>
    </row>
    <row r="39" spans="1:14" s="72" customFormat="1">
      <c r="A39" s="75" t="s">
        <v>593</v>
      </c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7">
        <f t="shared" si="2"/>
        <v>0</v>
      </c>
    </row>
    <row r="40" spans="1:14" s="72" customFormat="1">
      <c r="A40" s="75" t="s">
        <v>399</v>
      </c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7">
        <f t="shared" si="2"/>
        <v>0</v>
      </c>
    </row>
    <row r="41" spans="1:14" s="72" customFormat="1">
      <c r="A41" s="75" t="s">
        <v>400</v>
      </c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7">
        <f t="shared" si="2"/>
        <v>0</v>
      </c>
    </row>
    <row r="42" spans="1:14" s="72" customFormat="1">
      <c r="A42" s="75" t="s">
        <v>66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67">
        <f t="shared" si="2"/>
        <v>0</v>
      </c>
    </row>
    <row r="43" spans="1:14" s="72" customFormat="1">
      <c r="A43" s="75" t="s">
        <v>401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67">
        <f t="shared" si="2"/>
        <v>0</v>
      </c>
    </row>
    <row r="44" spans="1:14" s="72" customFormat="1">
      <c r="A44" s="75" t="s">
        <v>402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67">
        <f t="shared" si="2"/>
        <v>0</v>
      </c>
    </row>
    <row r="45" spans="1:14" s="72" customFormat="1">
      <c r="A45" s="75" t="s">
        <v>403</v>
      </c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67">
        <f t="shared" si="2"/>
        <v>0</v>
      </c>
    </row>
    <row r="46" spans="1:14" s="79" customFormat="1">
      <c r="A46" s="76" t="s">
        <v>404</v>
      </c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67">
        <f t="shared" si="2"/>
        <v>0</v>
      </c>
    </row>
    <row r="47" spans="1:14" s="79" customFormat="1">
      <c r="A47" s="76" t="s">
        <v>684</v>
      </c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67">
        <f t="shared" si="2"/>
        <v>0</v>
      </c>
    </row>
    <row r="48" spans="1:14" s="72" customFormat="1">
      <c r="A48" s="75"/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7">
        <f t="shared" si="2"/>
        <v>0</v>
      </c>
    </row>
    <row r="49" spans="1:14" s="64" customFormat="1" ht="13.5" thickBot="1">
      <c r="A49" s="74" t="s">
        <v>407</v>
      </c>
      <c r="B49" s="68">
        <v>0</v>
      </c>
      <c r="C49" s="68">
        <v>0</v>
      </c>
      <c r="D49" s="68">
        <v>0</v>
      </c>
      <c r="E49" s="68">
        <v>0</v>
      </c>
      <c r="F49" s="68">
        <v>0</v>
      </c>
      <c r="G49" s="68">
        <v>0</v>
      </c>
      <c r="H49" s="68">
        <v>0</v>
      </c>
      <c r="I49" s="68">
        <v>0</v>
      </c>
      <c r="J49" s="68">
        <v>0</v>
      </c>
      <c r="K49" s="68">
        <v>0</v>
      </c>
      <c r="L49" s="68">
        <v>0</v>
      </c>
      <c r="M49" s="68">
        <v>0</v>
      </c>
      <c r="N49" s="68">
        <f>SUM(N16:N48)</f>
        <v>0</v>
      </c>
    </row>
    <row r="50" spans="1:14" s="64" customFormat="1" ht="13.5" thickTop="1">
      <c r="A50" s="74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</row>
    <row r="51" spans="1:14" s="64" customFormat="1">
      <c r="A51" s="74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</row>
    <row r="52" spans="1:14" ht="13.5" thickBot="1">
      <c r="A52" s="74" t="s">
        <v>410</v>
      </c>
      <c r="B52" s="90">
        <v>0</v>
      </c>
      <c r="C52" s="90">
        <v>0</v>
      </c>
      <c r="D52" s="90">
        <v>0</v>
      </c>
      <c r="E52" s="90">
        <v>0</v>
      </c>
      <c r="F52" s="90">
        <v>0</v>
      </c>
      <c r="G52" s="90">
        <v>0</v>
      </c>
      <c r="H52" s="90">
        <v>0</v>
      </c>
      <c r="I52" s="90">
        <v>0</v>
      </c>
      <c r="J52" s="90">
        <v>0</v>
      </c>
      <c r="K52" s="90">
        <v>0</v>
      </c>
      <c r="L52" s="90">
        <v>0</v>
      </c>
      <c r="M52" s="90">
        <v>0</v>
      </c>
      <c r="N52" s="90">
        <v>0</v>
      </c>
    </row>
    <row r="53" spans="1:14" s="64" customFormat="1">
      <c r="A53" s="74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</row>
    <row r="54" spans="1:14" s="64" customFormat="1">
      <c r="A54" s="74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</row>
    <row r="55" spans="1:14" s="64" customFormat="1" ht="13.5" thickBot="1">
      <c r="A55" s="74" t="s">
        <v>432</v>
      </c>
      <c r="B55" s="69">
        <v>0</v>
      </c>
      <c r="C55" s="69">
        <v>0</v>
      </c>
      <c r="D55" s="69">
        <v>0</v>
      </c>
      <c r="E55" s="69">
        <v>0</v>
      </c>
      <c r="F55" s="69">
        <v>0</v>
      </c>
      <c r="G55" s="69">
        <v>0</v>
      </c>
      <c r="H55" s="69">
        <v>0</v>
      </c>
      <c r="I55" s="69">
        <v>0</v>
      </c>
      <c r="J55" s="69">
        <v>0</v>
      </c>
      <c r="K55" s="69">
        <v>0</v>
      </c>
      <c r="L55" s="69">
        <v>0</v>
      </c>
      <c r="M55" s="69">
        <v>0</v>
      </c>
      <c r="N55" s="69">
        <v>0</v>
      </c>
    </row>
    <row r="56" spans="1:14">
      <c r="A56" s="74" t="s">
        <v>433</v>
      </c>
      <c r="B56" s="82">
        <v>0</v>
      </c>
      <c r="C56" s="82">
        <v>0</v>
      </c>
      <c r="D56" s="82">
        <v>0</v>
      </c>
      <c r="E56" s="94">
        <v>0</v>
      </c>
      <c r="F56" s="82">
        <v>0</v>
      </c>
      <c r="G56" s="82">
        <v>0</v>
      </c>
      <c r="H56" s="82">
        <v>0</v>
      </c>
      <c r="I56" s="82">
        <v>0</v>
      </c>
      <c r="J56" s="94">
        <v>0</v>
      </c>
      <c r="K56" s="94">
        <v>0</v>
      </c>
      <c r="L56" s="94">
        <v>0</v>
      </c>
      <c r="M56" s="82">
        <v>0</v>
      </c>
      <c r="N56" s="82">
        <v>0</v>
      </c>
    </row>
    <row r="57" spans="1:14" s="64" customFormat="1">
      <c r="A57" s="74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</row>
    <row r="58" spans="1:14" s="64" customFormat="1">
      <c r="A58" s="74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</row>
    <row r="59" spans="1:14" s="64" customFormat="1">
      <c r="A59" s="74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</row>
    <row r="60" spans="1:14" s="64" customFormat="1">
      <c r="A60" s="74" t="s">
        <v>671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</row>
    <row r="61" spans="1:14" s="64" customFormat="1">
      <c r="A61" s="74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</row>
    <row r="62" spans="1:14" s="64" customFormat="1">
      <c r="A62" s="75" t="s">
        <v>672</v>
      </c>
      <c r="B62" s="95">
        <v>0</v>
      </c>
      <c r="C62" s="95">
        <v>0</v>
      </c>
      <c r="D62" s="95">
        <v>0</v>
      </c>
      <c r="E62" s="95">
        <v>0</v>
      </c>
      <c r="F62" s="95">
        <v>0</v>
      </c>
      <c r="G62" s="95">
        <v>0</v>
      </c>
      <c r="H62" s="95">
        <v>0</v>
      </c>
      <c r="I62" s="95">
        <v>0</v>
      </c>
      <c r="J62" s="95">
        <v>0</v>
      </c>
      <c r="K62" s="95">
        <v>0</v>
      </c>
      <c r="L62" s="95">
        <v>0</v>
      </c>
      <c r="M62" s="95">
        <v>0</v>
      </c>
      <c r="N62" s="95">
        <v>0</v>
      </c>
    </row>
    <row r="63" spans="1:14" s="64" customFormat="1">
      <c r="A63" s="75" t="s">
        <v>673</v>
      </c>
      <c r="B63" s="92">
        <v>0</v>
      </c>
      <c r="C63" s="92">
        <v>0</v>
      </c>
      <c r="D63" s="92">
        <v>0</v>
      </c>
      <c r="E63" s="94">
        <v>0</v>
      </c>
      <c r="F63" s="92">
        <v>0</v>
      </c>
      <c r="G63" s="92">
        <v>0</v>
      </c>
      <c r="H63" s="92">
        <v>0</v>
      </c>
      <c r="I63" s="92">
        <v>0</v>
      </c>
      <c r="J63" s="94">
        <v>0</v>
      </c>
      <c r="K63" s="94">
        <v>0</v>
      </c>
      <c r="L63" s="94">
        <v>0</v>
      </c>
      <c r="M63" s="92">
        <v>0</v>
      </c>
      <c r="N63" s="92">
        <v>0</v>
      </c>
    </row>
    <row r="64" spans="1:14" s="64" customFormat="1" ht="6" customHeight="1">
      <c r="A64" s="74"/>
      <c r="B64" s="92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</row>
    <row r="65" spans="1:14" s="64" customFormat="1">
      <c r="A65" s="75" t="s">
        <v>674</v>
      </c>
      <c r="B65" s="95">
        <v>0</v>
      </c>
      <c r="C65" s="95">
        <v>0</v>
      </c>
      <c r="D65" s="95">
        <v>0</v>
      </c>
      <c r="E65" s="95">
        <v>0</v>
      </c>
      <c r="F65" s="95">
        <v>0</v>
      </c>
      <c r="G65" s="95">
        <v>0</v>
      </c>
      <c r="H65" s="95">
        <v>0</v>
      </c>
      <c r="I65" s="95">
        <v>0</v>
      </c>
      <c r="J65" s="95">
        <v>0</v>
      </c>
      <c r="K65" s="95">
        <v>0</v>
      </c>
      <c r="L65" s="95">
        <v>0</v>
      </c>
      <c r="M65" s="95">
        <v>0</v>
      </c>
      <c r="N65" s="95">
        <v>0</v>
      </c>
    </row>
    <row r="66" spans="1:14" s="64" customFormat="1">
      <c r="A66" s="75" t="s">
        <v>675</v>
      </c>
      <c r="B66" s="92">
        <v>0</v>
      </c>
      <c r="C66" s="92">
        <v>0</v>
      </c>
      <c r="D66" s="92">
        <v>0</v>
      </c>
      <c r="E66" s="94">
        <v>0</v>
      </c>
      <c r="F66" s="92">
        <v>0</v>
      </c>
      <c r="G66" s="92">
        <v>0</v>
      </c>
      <c r="H66" s="92">
        <v>0</v>
      </c>
      <c r="I66" s="92">
        <v>0</v>
      </c>
      <c r="J66" s="94">
        <v>0</v>
      </c>
      <c r="K66" s="94">
        <v>0</v>
      </c>
      <c r="L66" s="94">
        <v>0</v>
      </c>
      <c r="M66" s="92">
        <v>0</v>
      </c>
      <c r="N66" s="92">
        <v>0</v>
      </c>
    </row>
    <row r="67" spans="1:14" s="64" customFormat="1" ht="6.2" customHeight="1">
      <c r="A67" s="75"/>
      <c r="B67" s="92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</row>
    <row r="68" spans="1:14" s="64" customFormat="1">
      <c r="A68" s="75" t="s">
        <v>676</v>
      </c>
      <c r="B68" s="91">
        <v>0</v>
      </c>
      <c r="C68" s="91">
        <v>0</v>
      </c>
      <c r="D68" s="91">
        <v>0</v>
      </c>
      <c r="E68" s="91">
        <v>0</v>
      </c>
      <c r="F68" s="91">
        <v>0</v>
      </c>
      <c r="G68" s="91">
        <v>0</v>
      </c>
      <c r="H68" s="91">
        <v>0</v>
      </c>
      <c r="I68" s="91">
        <v>0</v>
      </c>
      <c r="J68" s="91">
        <v>0</v>
      </c>
      <c r="K68" s="91">
        <v>0</v>
      </c>
      <c r="L68" s="91">
        <v>0</v>
      </c>
      <c r="M68" s="91">
        <v>0</v>
      </c>
      <c r="N68" s="91">
        <v>0</v>
      </c>
    </row>
    <row r="69" spans="1:14" s="64" customFormat="1">
      <c r="A69" s="75" t="s">
        <v>677</v>
      </c>
      <c r="B69" s="92">
        <v>0</v>
      </c>
      <c r="C69" s="92">
        <v>0</v>
      </c>
      <c r="D69" s="92">
        <v>0</v>
      </c>
      <c r="E69" s="92">
        <v>0</v>
      </c>
      <c r="F69" s="92">
        <v>0</v>
      </c>
      <c r="G69" s="92">
        <v>0</v>
      </c>
      <c r="H69" s="92">
        <v>0</v>
      </c>
      <c r="I69" s="92">
        <v>0</v>
      </c>
      <c r="J69" s="92">
        <v>0</v>
      </c>
      <c r="K69" s="92">
        <v>0</v>
      </c>
      <c r="L69" s="92">
        <v>0</v>
      </c>
      <c r="M69" s="92">
        <v>0</v>
      </c>
      <c r="N69" s="92">
        <v>0</v>
      </c>
    </row>
    <row r="70" spans="1:14" s="64" customFormat="1" ht="6.2" customHeight="1">
      <c r="A70" s="75"/>
      <c r="B70" s="92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</row>
    <row r="71" spans="1:14" s="64" customFormat="1">
      <c r="A71" s="75" t="s">
        <v>678</v>
      </c>
      <c r="B71" s="91">
        <v>0</v>
      </c>
      <c r="C71" s="91">
        <v>0</v>
      </c>
      <c r="D71" s="91">
        <v>0</v>
      </c>
      <c r="E71" s="91">
        <v>0</v>
      </c>
      <c r="F71" s="91">
        <v>0</v>
      </c>
      <c r="G71" s="91">
        <v>0</v>
      </c>
      <c r="H71" s="91">
        <v>0</v>
      </c>
      <c r="I71" s="91">
        <v>0</v>
      </c>
      <c r="J71" s="91">
        <v>0</v>
      </c>
      <c r="K71" s="91">
        <v>0</v>
      </c>
      <c r="L71" s="91">
        <v>0</v>
      </c>
      <c r="M71" s="91">
        <v>0</v>
      </c>
      <c r="N71" s="91">
        <v>0</v>
      </c>
    </row>
    <row r="72" spans="1:14" s="64" customFormat="1">
      <c r="A72" s="75" t="s">
        <v>679</v>
      </c>
      <c r="B72" s="92">
        <v>0</v>
      </c>
      <c r="C72" s="92">
        <v>0</v>
      </c>
      <c r="D72" s="92">
        <v>0</v>
      </c>
      <c r="E72" s="92">
        <v>0</v>
      </c>
      <c r="F72" s="92">
        <v>0</v>
      </c>
      <c r="G72" s="92">
        <v>0</v>
      </c>
      <c r="H72" s="92">
        <v>0</v>
      </c>
      <c r="I72" s="92">
        <v>0</v>
      </c>
      <c r="J72" s="92">
        <v>0</v>
      </c>
      <c r="K72" s="92">
        <v>0</v>
      </c>
      <c r="L72" s="92">
        <v>0</v>
      </c>
      <c r="M72" s="92">
        <v>0</v>
      </c>
      <c r="N72" s="92">
        <v>0</v>
      </c>
    </row>
    <row r="73" spans="1:14" s="64" customFormat="1" ht="6.2" customHeight="1">
      <c r="A73" s="75"/>
      <c r="B73" s="92"/>
      <c r="C73" s="92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</row>
    <row r="75" spans="1:14">
      <c r="A75" s="64" t="s">
        <v>541</v>
      </c>
      <c r="B75" s="95">
        <v>0</v>
      </c>
      <c r="C75" s="95">
        <v>0</v>
      </c>
      <c r="D75" s="95">
        <v>0</v>
      </c>
      <c r="E75" s="95">
        <v>0</v>
      </c>
      <c r="F75" s="95">
        <v>0</v>
      </c>
      <c r="G75" s="95">
        <v>0</v>
      </c>
      <c r="H75" s="95">
        <v>0</v>
      </c>
      <c r="I75" s="95">
        <v>0</v>
      </c>
      <c r="J75" s="95">
        <v>0</v>
      </c>
      <c r="K75" s="95">
        <v>0</v>
      </c>
      <c r="L75" s="95">
        <v>0</v>
      </c>
      <c r="M75" s="95">
        <v>0</v>
      </c>
      <c r="N75" s="93">
        <v>0</v>
      </c>
    </row>
    <row r="76" spans="1:14" s="64" customFormat="1">
      <c r="A76" s="74"/>
      <c r="B76" s="92"/>
      <c r="C76" s="92"/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</row>
    <row r="77" spans="1:14">
      <c r="A77" s="75"/>
      <c r="B77" s="66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</row>
    <row r="78" spans="1:14"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83"/>
    </row>
    <row r="79" spans="1:14">
      <c r="N79" s="67"/>
    </row>
  </sheetData>
  <phoneticPr fontId="29" type="noConversion"/>
  <pageMargins left="0.75" right="0.75" top="0.57999999999999996" bottom="0.52" header="0.5" footer="0.5"/>
  <pageSetup scale="55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7A07A8E81036945954E757DBAA08FC6" ma:contentTypeVersion="12" ma:contentTypeDescription="Crear nuevo documento." ma:contentTypeScope="" ma:versionID="50a4ca7318f1432c6d1bb9c59435d65e">
  <xsd:schema xmlns:xsd="http://www.w3.org/2001/XMLSchema" xmlns:xs="http://www.w3.org/2001/XMLSchema" xmlns:p="http://schemas.microsoft.com/office/2006/metadata/properties" xmlns:ns2="69216bca-08e5-4e78-a644-8cc793a694c9" xmlns:ns3="43afd733-4e67-45aa-a7c8-d5d27d50cb80" targetNamespace="http://schemas.microsoft.com/office/2006/metadata/properties" ma:root="true" ma:fieldsID="3ffe4697e1cebc8a5d821f5eea08b96c" ns2:_="" ns3:_="">
    <xsd:import namespace="69216bca-08e5-4e78-a644-8cc793a694c9"/>
    <xsd:import namespace="43afd733-4e67-45aa-a7c8-d5d27d50cb8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216bca-08e5-4e78-a644-8cc793a694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d57cae01-22d1-4383-a0bf-52a8c550124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afd733-4e67-45aa-a7c8-d5d27d50cb8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214fce7-1633-47ca-9d1c-55bb8b137a2f}" ma:internalName="TaxCatchAll" ma:showField="CatchAllData" ma:web="43afd733-4e67-45aa-a7c8-d5d27d50cb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9216bca-08e5-4e78-a644-8cc793a694c9">
      <Terms xmlns="http://schemas.microsoft.com/office/infopath/2007/PartnerControls"/>
    </lcf76f155ced4ddcb4097134ff3c332f>
    <TaxCatchAll xmlns="43afd733-4e67-45aa-a7c8-d5d27d50cb80" xsi:nil="true"/>
  </documentManagement>
</p:properties>
</file>

<file path=customXml/itemProps1.xml><?xml version="1.0" encoding="utf-8"?>
<ds:datastoreItem xmlns:ds="http://schemas.openxmlformats.org/officeDocument/2006/customXml" ds:itemID="{8F2C304F-3ED8-4DF9-9917-214FC8690F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92592C-B5DC-41A3-95AE-A72C0AAAE4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9216bca-08e5-4e78-a644-8cc793a694c9"/>
    <ds:schemaRef ds:uri="43afd733-4e67-45aa-a7c8-d5d27d50cb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6FA394-1A97-4756-A2AD-6DAC8B1EF681}">
  <ds:schemaRefs>
    <ds:schemaRef ds:uri="http://schemas.microsoft.com/office/infopath/2007/PartnerControls"/>
    <ds:schemaRef ds:uri="http://purl.org/dc/terms/"/>
    <ds:schemaRef ds:uri="http://purl.org/dc/dcmitype/"/>
    <ds:schemaRef ds:uri="http://schemas.openxmlformats.org/package/2006/metadata/core-properties"/>
    <ds:schemaRef ds:uri="http://purl.org/dc/elements/1.1/"/>
    <ds:schemaRef ds:uri="43afd733-4e67-45aa-a7c8-d5d27d50cb80"/>
    <ds:schemaRef ds:uri="http://schemas.microsoft.com/office/2006/documentManagement/types"/>
    <ds:schemaRef ds:uri="69216bca-08e5-4e78-a644-8cc793a694c9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44</vt:i4>
      </vt:variant>
      <vt:variant>
        <vt:lpstr>Rangos con nombre</vt:lpstr>
      </vt:variant>
      <vt:variant>
        <vt:i4>7</vt:i4>
      </vt:variant>
    </vt:vector>
  </HeadingPairs>
  <TitlesOfParts>
    <vt:vector size="51" baseType="lpstr">
      <vt:lpstr>Balance Sheet USD</vt:lpstr>
      <vt:lpstr> Balance Sheet COP$</vt:lpstr>
      <vt:lpstr>SPL 25 USD</vt:lpstr>
      <vt:lpstr>Presupuesto Inversión</vt:lpstr>
      <vt:lpstr>Depreciación</vt:lpstr>
      <vt:lpstr>Amortización</vt:lpstr>
      <vt:lpstr>Staff_shift</vt:lpstr>
      <vt:lpstr>Sales</vt:lpstr>
      <vt:lpstr>Profile</vt:lpstr>
      <vt:lpstr>Cost</vt:lpstr>
      <vt:lpstr>TIO</vt:lpstr>
      <vt:lpstr>Proyección mensual</vt:lpstr>
      <vt:lpstr>Q&amp;KPIs USD2024</vt:lpstr>
      <vt:lpstr>FCL_mensual</vt:lpstr>
      <vt:lpstr>Proyección Anual</vt:lpstr>
      <vt:lpstr>FCL_Anual</vt:lpstr>
      <vt:lpstr>SPL24Comp. USD</vt:lpstr>
      <vt:lpstr>Flujos de caja</vt:lpstr>
      <vt:lpstr>Q&amp;KPIs USD2025</vt:lpstr>
      <vt:lpstr>DPL25 Summary USD</vt:lpstr>
      <vt:lpstr>DPL24 Summary USD</vt:lpstr>
      <vt:lpstr>Personnel</vt:lpstr>
      <vt:lpstr>DPL25Summary</vt:lpstr>
      <vt:lpstr>DPL25 MLS</vt:lpstr>
      <vt:lpstr>SummaryQ USD</vt:lpstr>
      <vt:lpstr>DPL24 MLS USD</vt:lpstr>
      <vt:lpstr>DPL23Downhole USD</vt:lpstr>
      <vt:lpstr>DPL23Downhole</vt:lpstr>
      <vt:lpstr>SummaryQ COP$</vt:lpstr>
      <vt:lpstr>Sales-OPD-2025</vt:lpstr>
      <vt:lpstr>Gtos Export</vt:lpstr>
      <vt:lpstr>Honorarios</vt:lpstr>
      <vt:lpstr>Transporte Person</vt:lpstr>
      <vt:lpstr>Consumibles</vt:lpstr>
      <vt:lpstr>Alquiler de Equipo</vt:lpstr>
      <vt:lpstr>Transp Craga</vt:lpstr>
      <vt:lpstr>Serv Telef</vt:lpstr>
      <vt:lpstr>Training</vt:lpstr>
      <vt:lpstr>Polizas</vt:lpstr>
      <vt:lpstr>FX Rates</vt:lpstr>
      <vt:lpstr>DPL24-Budget</vt:lpstr>
      <vt:lpstr>MLS24-Budget</vt:lpstr>
      <vt:lpstr>SPL 23 USD</vt:lpstr>
      <vt:lpstr>Downhole23-Budget</vt:lpstr>
      <vt:lpstr>'DPL25 MLS'!Área_de_impresión</vt:lpstr>
      <vt:lpstr>'Proyección Anual'!Área_de_impresión</vt:lpstr>
      <vt:lpstr>'Proyección mensual'!Área_de_impresión</vt:lpstr>
      <vt:lpstr>'DPL24 Summary USD'!Títulos_a_imprimir</vt:lpstr>
      <vt:lpstr>'DPL24-Budget'!Títulos_a_imprimir</vt:lpstr>
      <vt:lpstr>'DPL25 Summary USD'!Títulos_a_imprimir</vt:lpstr>
      <vt:lpstr>DPL25Summary!Títulos_a_imprimir</vt:lpstr>
    </vt:vector>
  </TitlesOfParts>
  <Manager/>
  <Company>datalog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Gordon Marshall</dc:creator>
  <cp:keywords/>
  <dc:description/>
  <cp:lastModifiedBy>YORLENNY ZAMBRANO RODRÍGUEZ</cp:lastModifiedBy>
  <cp:revision/>
  <dcterms:created xsi:type="dcterms:W3CDTF">1998-09-17T20:26:11Z</dcterms:created>
  <dcterms:modified xsi:type="dcterms:W3CDTF">2025-06-01T19:18:58Z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0x010100A7A07A8E81036945954E757DBAA08FC6</vt:lpwstr>
  </property>
  <property fmtid="{D5CDD505-2E9C-101B-9397-08002B2CF9AE}" pid="3" name="MediaServiceImageTags">
    <vt:lpwstr/>
  </property>
</Properties>
</file>