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DIPLOMADO\ENTREGA FINAL\"/>
    </mc:Choice>
  </mc:AlternateContent>
  <xr:revisionPtr revIDLastSave="0" documentId="8_{3F44956C-622D-4552-BAC2-6C0CB263EF6C}" xr6:coauthVersionLast="47" xr6:coauthVersionMax="47" xr10:uidLastSave="{00000000-0000-0000-0000-000000000000}"/>
  <bookViews>
    <workbookView xWindow="-108" yWindow="-108" windowWidth="23256" windowHeight="12456" tabRatio="731" firstSheet="1" activeTab="1" xr2:uid="{00000000-000D-0000-FFFF-FFFF00000000}"/>
  </bookViews>
  <sheets>
    <sheet name="ESCENARIO 2" sheetId="4" state="hidden" r:id="rId1"/>
    <sheet name="InputsV2" sheetId="7" r:id="rId2"/>
    <sheet name="EscenarioConPrestamo(SI)" sheetId="6" r:id="rId3"/>
    <sheet name="Indicadores" sheetId="8" r:id="rId4"/>
    <sheet name="EscenarioSinPrestamo(NO)" sheetId="9" r:id="rId5"/>
    <sheet name="ChurnElevadoal15(NO)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0" l="1"/>
  <c r="F5" i="10" s="1"/>
  <c r="G5" i="10" s="1"/>
  <c r="H5" i="10" s="1"/>
  <c r="I5" i="10" s="1"/>
  <c r="J5" i="10" s="1"/>
  <c r="K5" i="10" s="1"/>
  <c r="L5" i="10" s="1"/>
  <c r="M5" i="10" s="1"/>
  <c r="N5" i="10" s="1"/>
  <c r="O5" i="10" s="1"/>
  <c r="P5" i="10" s="1"/>
  <c r="Q5" i="10" s="1"/>
  <c r="R5" i="10" s="1"/>
  <c r="S5" i="10" s="1"/>
  <c r="T5" i="10" s="1"/>
  <c r="U5" i="10" s="1"/>
  <c r="V5" i="10" s="1"/>
  <c r="W5" i="10" s="1"/>
  <c r="X5" i="10" s="1"/>
  <c r="Y5" i="10" s="1"/>
  <c r="Z5" i="10" s="1"/>
  <c r="AA5" i="10" s="1"/>
  <c r="AB5" i="10" s="1"/>
  <c r="AC5" i="10" s="1"/>
  <c r="AD5" i="10" s="1"/>
  <c r="AE5" i="10" s="1"/>
  <c r="AF5" i="10" s="1"/>
  <c r="AG5" i="10" s="1"/>
  <c r="AH5" i="10" s="1"/>
  <c r="AI5" i="10" s="1"/>
  <c r="AJ5" i="10" s="1"/>
  <c r="AK5" i="10" s="1"/>
  <c r="AL5" i="10" s="1"/>
  <c r="D5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AH4" i="10"/>
  <c r="AH8" i="10" s="1"/>
  <c r="AG4" i="10"/>
  <c r="AG8" i="10" s="1"/>
  <c r="AF4" i="10"/>
  <c r="AF8" i="10" s="1"/>
  <c r="AD4" i="10"/>
  <c r="AD8" i="10" s="1"/>
  <c r="AC4" i="10"/>
  <c r="AC8" i="10" s="1"/>
  <c r="AB4" i="10"/>
  <c r="AB8" i="10" s="1"/>
  <c r="Z4" i="10"/>
  <c r="Z8" i="10" s="1"/>
  <c r="X4" i="10"/>
  <c r="X8" i="10" s="1"/>
  <c r="V4" i="10"/>
  <c r="V8" i="10" s="1"/>
  <c r="R4" i="10"/>
  <c r="R8" i="10" s="1"/>
  <c r="Q4" i="10"/>
  <c r="Q8" i="10" s="1"/>
  <c r="P4" i="10"/>
  <c r="P8" i="10" s="1"/>
  <c r="O4" i="10"/>
  <c r="O8" i="10" s="1"/>
  <c r="M4" i="10"/>
  <c r="M8" i="10" s="1"/>
  <c r="L4" i="10"/>
  <c r="L8" i="10" s="1"/>
  <c r="I4" i="10"/>
  <c r="I8" i="10" s="1"/>
  <c r="H4" i="10"/>
  <c r="H8" i="10" s="1"/>
  <c r="E4" i="10"/>
  <c r="E8" i="10" s="1"/>
  <c r="D4" i="10"/>
  <c r="D8" i="10" s="1"/>
  <c r="AL3" i="10"/>
  <c r="AL4" i="10" s="1"/>
  <c r="AL8" i="10" s="1"/>
  <c r="AK3" i="10"/>
  <c r="AK4" i="10" s="1"/>
  <c r="AK8" i="10" s="1"/>
  <c r="AJ3" i="10"/>
  <c r="AJ4" i="10" s="1"/>
  <c r="AJ8" i="10" s="1"/>
  <c r="AI3" i="10"/>
  <c r="AI4" i="10" s="1"/>
  <c r="AI8" i="10" s="1"/>
  <c r="AG3" i="10"/>
  <c r="AF3" i="10"/>
  <c r="AE3" i="10"/>
  <c r="AE4" i="10" s="1"/>
  <c r="AE8" i="10" s="1"/>
  <c r="AC3" i="10"/>
  <c r="AB3" i="10"/>
  <c r="AA3" i="10"/>
  <c r="AA4" i="10" s="1"/>
  <c r="AA8" i="10" s="1"/>
  <c r="Y3" i="10"/>
  <c r="Y4" i="10" s="1"/>
  <c r="Y8" i="10" s="1"/>
  <c r="X3" i="10"/>
  <c r="W3" i="10"/>
  <c r="W4" i="10" s="1"/>
  <c r="W8" i="10" s="1"/>
  <c r="U3" i="10"/>
  <c r="U4" i="10" s="1"/>
  <c r="U8" i="10" s="1"/>
  <c r="T3" i="10"/>
  <c r="T4" i="10" s="1"/>
  <c r="T8" i="10" s="1"/>
  <c r="S3" i="10"/>
  <c r="S4" i="10" s="1"/>
  <c r="S8" i="10" s="1"/>
  <c r="Q3" i="10"/>
  <c r="P3" i="10"/>
  <c r="N3" i="10"/>
  <c r="N4" i="10" s="1"/>
  <c r="N8" i="10" s="1"/>
  <c r="M3" i="10"/>
  <c r="L3" i="10"/>
  <c r="K3" i="10"/>
  <c r="K4" i="10" s="1"/>
  <c r="K8" i="10" s="1"/>
  <c r="J3" i="10"/>
  <c r="J4" i="10" s="1"/>
  <c r="J8" i="10" s="1"/>
  <c r="I3" i="10"/>
  <c r="H3" i="10"/>
  <c r="G3" i="10"/>
  <c r="G4" i="10" s="1"/>
  <c r="G8" i="10" s="1"/>
  <c r="F3" i="10"/>
  <c r="F4" i="10" s="1"/>
  <c r="F8" i="10" s="1"/>
  <c r="D3" i="10"/>
  <c r="C3" i="10"/>
  <c r="C4" i="10" s="1"/>
  <c r="C24" i="9"/>
  <c r="D24" i="9" s="1"/>
  <c r="E24" i="9" s="1"/>
  <c r="F24" i="9" s="1"/>
  <c r="G24" i="9" s="1"/>
  <c r="H24" i="9" s="1"/>
  <c r="I24" i="9" s="1"/>
  <c r="J24" i="9" s="1"/>
  <c r="K24" i="9" s="1"/>
  <c r="L24" i="9" s="1"/>
  <c r="M24" i="9" s="1"/>
  <c r="N24" i="9" s="1"/>
  <c r="O24" i="9" s="1"/>
  <c r="P24" i="9" s="1"/>
  <c r="Q24" i="9" s="1"/>
  <c r="R24" i="9" s="1"/>
  <c r="S24" i="9" s="1"/>
  <c r="T24" i="9" s="1"/>
  <c r="U24" i="9" s="1"/>
  <c r="V24" i="9" s="1"/>
  <c r="W24" i="9" s="1"/>
  <c r="X24" i="9" s="1"/>
  <c r="Y24" i="9" s="1"/>
  <c r="Z24" i="9" s="1"/>
  <c r="AA24" i="9" s="1"/>
  <c r="AB24" i="9" s="1"/>
  <c r="AC24" i="9" s="1"/>
  <c r="AD24" i="9" s="1"/>
  <c r="AE24" i="9" s="1"/>
  <c r="AF24" i="9" s="1"/>
  <c r="AG24" i="9" s="1"/>
  <c r="AH24" i="9" s="1"/>
  <c r="AI24" i="9" s="1"/>
  <c r="AJ24" i="9" s="1"/>
  <c r="AK24" i="9" s="1"/>
  <c r="AL24" i="9" s="1"/>
  <c r="C21" i="9"/>
  <c r="F24" i="6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T24" i="6" s="1"/>
  <c r="U24" i="6" s="1"/>
  <c r="V24" i="6" s="1"/>
  <c r="W24" i="6" s="1"/>
  <c r="X24" i="6" s="1"/>
  <c r="Y24" i="6" s="1"/>
  <c r="Z24" i="6" s="1"/>
  <c r="AA24" i="6" s="1"/>
  <c r="AB24" i="6" s="1"/>
  <c r="AC24" i="6" s="1"/>
  <c r="AD24" i="6" s="1"/>
  <c r="AE24" i="6" s="1"/>
  <c r="AF24" i="6" s="1"/>
  <c r="AG24" i="6" s="1"/>
  <c r="AH24" i="6" s="1"/>
  <c r="AI24" i="6" s="1"/>
  <c r="AJ24" i="6" s="1"/>
  <c r="AK24" i="6" s="1"/>
  <c r="AL24" i="6" s="1"/>
  <c r="E24" i="6"/>
  <c r="D24" i="6"/>
  <c r="C24" i="6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Q8" i="9"/>
  <c r="I8" i="9"/>
  <c r="AI4" i="9"/>
  <c r="AI8" i="9" s="1"/>
  <c r="AH4" i="9"/>
  <c r="AH8" i="9" s="1"/>
  <c r="AD4" i="9"/>
  <c r="AD8" i="9" s="1"/>
  <c r="AC4" i="9"/>
  <c r="AC8" i="9" s="1"/>
  <c r="Z4" i="9"/>
  <c r="Z8" i="9" s="1"/>
  <c r="X4" i="9"/>
  <c r="X8" i="9" s="1"/>
  <c r="V4" i="9"/>
  <c r="V8" i="9" s="1"/>
  <c r="R4" i="9"/>
  <c r="R8" i="9" s="1"/>
  <c r="Q4" i="9"/>
  <c r="P4" i="9"/>
  <c r="P8" i="9" s="1"/>
  <c r="O4" i="9"/>
  <c r="O8" i="9" s="1"/>
  <c r="M4" i="9"/>
  <c r="M8" i="9" s="1"/>
  <c r="L4" i="9"/>
  <c r="L8" i="9" s="1"/>
  <c r="I4" i="9"/>
  <c r="H4" i="9"/>
  <c r="H8" i="9" s="1"/>
  <c r="E4" i="9"/>
  <c r="E8" i="9" s="1"/>
  <c r="D4" i="9"/>
  <c r="D8" i="9" s="1"/>
  <c r="AL3" i="9"/>
  <c r="AL4" i="9" s="1"/>
  <c r="AL8" i="9" s="1"/>
  <c r="AK3" i="9"/>
  <c r="AK4" i="9" s="1"/>
  <c r="AK8" i="9" s="1"/>
  <c r="AJ3" i="9"/>
  <c r="AJ4" i="9" s="1"/>
  <c r="AJ8" i="9" s="1"/>
  <c r="AI3" i="9"/>
  <c r="AG3" i="9"/>
  <c r="AG4" i="9" s="1"/>
  <c r="AG8" i="9" s="1"/>
  <c r="AF3" i="9"/>
  <c r="AF4" i="9" s="1"/>
  <c r="AF8" i="9" s="1"/>
  <c r="AE3" i="9"/>
  <c r="AE4" i="9" s="1"/>
  <c r="AE8" i="9" s="1"/>
  <c r="AC3" i="9"/>
  <c r="AB3" i="9"/>
  <c r="AB4" i="9" s="1"/>
  <c r="AB8" i="9" s="1"/>
  <c r="AA3" i="9"/>
  <c r="AA4" i="9" s="1"/>
  <c r="AA8" i="9" s="1"/>
  <c r="Y3" i="9"/>
  <c r="Y4" i="9" s="1"/>
  <c r="Y8" i="9" s="1"/>
  <c r="X3" i="9"/>
  <c r="W3" i="9"/>
  <c r="W4" i="9" s="1"/>
  <c r="W8" i="9" s="1"/>
  <c r="U3" i="9"/>
  <c r="U4" i="9" s="1"/>
  <c r="U8" i="9" s="1"/>
  <c r="T3" i="9"/>
  <c r="T4" i="9" s="1"/>
  <c r="T8" i="9" s="1"/>
  <c r="S3" i="9"/>
  <c r="S4" i="9" s="1"/>
  <c r="S8" i="9" s="1"/>
  <c r="Q3" i="9"/>
  <c r="P3" i="9"/>
  <c r="N3" i="9"/>
  <c r="N4" i="9" s="1"/>
  <c r="N8" i="9" s="1"/>
  <c r="M3" i="9"/>
  <c r="L3" i="9"/>
  <c r="K3" i="9"/>
  <c r="K4" i="9" s="1"/>
  <c r="K8" i="9" s="1"/>
  <c r="J3" i="9"/>
  <c r="J4" i="9" s="1"/>
  <c r="J8" i="9" s="1"/>
  <c r="I3" i="9"/>
  <c r="H3" i="9"/>
  <c r="G3" i="9"/>
  <c r="G4" i="9" s="1"/>
  <c r="G8" i="9" s="1"/>
  <c r="F3" i="9"/>
  <c r="F4" i="9" s="1"/>
  <c r="F8" i="9" s="1"/>
  <c r="D3" i="9"/>
  <c r="C3" i="9"/>
  <c r="C4" i="9" s="1"/>
  <c r="AB12" i="6"/>
  <c r="AC12" i="6"/>
  <c r="AD12" i="6"/>
  <c r="AE12" i="6"/>
  <c r="AF12" i="6"/>
  <c r="AG12" i="6"/>
  <c r="AH12" i="6"/>
  <c r="AI12" i="6"/>
  <c r="AJ12" i="6"/>
  <c r="AK12" i="6"/>
  <c r="AL12" i="6"/>
  <c r="AA12" i="6"/>
  <c r="AB14" i="6"/>
  <c r="AC14" i="6"/>
  <c r="AD14" i="6"/>
  <c r="AE14" i="6"/>
  <c r="AF14" i="6"/>
  <c r="AG14" i="6"/>
  <c r="AH14" i="6"/>
  <c r="AI14" i="6"/>
  <c r="AJ14" i="6"/>
  <c r="AK14" i="6"/>
  <c r="AL14" i="6"/>
  <c r="AA14" i="6"/>
  <c r="AB13" i="6"/>
  <c r="AC13" i="6"/>
  <c r="AD13" i="6"/>
  <c r="AD11" i="6" s="1"/>
  <c r="AE13" i="6"/>
  <c r="AF13" i="6"/>
  <c r="AF11" i="6" s="1"/>
  <c r="AG13" i="6"/>
  <c r="AH13" i="6"/>
  <c r="AH11" i="6" s="1"/>
  <c r="AI13" i="6"/>
  <c r="AJ13" i="6"/>
  <c r="AK13" i="6"/>
  <c r="AL13" i="6"/>
  <c r="AL11" i="6" s="1"/>
  <c r="AA13" i="6"/>
  <c r="Z12" i="6"/>
  <c r="AB11" i="6"/>
  <c r="AD4" i="6"/>
  <c r="AD8" i="6" s="1"/>
  <c r="AH4" i="6"/>
  <c r="AH8" i="6" s="1"/>
  <c r="AB3" i="6"/>
  <c r="AB4" i="6" s="1"/>
  <c r="AB8" i="6" s="1"/>
  <c r="AC3" i="6"/>
  <c r="AC4" i="6" s="1"/>
  <c r="AC8" i="6" s="1"/>
  <c r="AE3" i="6"/>
  <c r="AE4" i="6" s="1"/>
  <c r="AE8" i="6" s="1"/>
  <c r="AF3" i="6"/>
  <c r="AF4" i="6" s="1"/>
  <c r="AF8" i="6" s="1"/>
  <c r="AG3" i="6"/>
  <c r="AG4" i="6" s="1"/>
  <c r="AG8" i="6" s="1"/>
  <c r="AI3" i="6"/>
  <c r="AI4" i="6" s="1"/>
  <c r="AI8" i="6" s="1"/>
  <c r="AJ3" i="6"/>
  <c r="AJ4" i="6" s="1"/>
  <c r="AJ8" i="6" s="1"/>
  <c r="AK3" i="6"/>
  <c r="AK4" i="6" s="1"/>
  <c r="AK8" i="6" s="1"/>
  <c r="AL3" i="6"/>
  <c r="AL4" i="6" s="1"/>
  <c r="AL8" i="6" s="1"/>
  <c r="AA3" i="6"/>
  <c r="AA4" i="6" s="1"/>
  <c r="AA8" i="6" s="1"/>
  <c r="U12" i="6"/>
  <c r="W12" i="6"/>
  <c r="X12" i="6"/>
  <c r="Y12" i="6"/>
  <c r="V12" i="6"/>
  <c r="Q12" i="6"/>
  <c r="R12" i="6"/>
  <c r="S12" i="6"/>
  <c r="T12" i="6"/>
  <c r="P12" i="6"/>
  <c r="O12" i="6"/>
  <c r="J12" i="6"/>
  <c r="K12" i="6"/>
  <c r="L12" i="6"/>
  <c r="M12" i="6"/>
  <c r="N12" i="6"/>
  <c r="I12" i="6"/>
  <c r="C19" i="7"/>
  <c r="C10" i="7"/>
  <c r="C12" i="6" s="1"/>
  <c r="C5" i="8"/>
  <c r="C6" i="8" s="1"/>
  <c r="B5" i="8"/>
  <c r="B6" i="8" s="1"/>
  <c r="C18" i="7"/>
  <c r="C13" i="6"/>
  <c r="C14" i="6"/>
  <c r="C21" i="7"/>
  <c r="C15" i="7"/>
  <c r="C8" i="10" l="1"/>
  <c r="C5" i="10"/>
  <c r="C5" i="9"/>
  <c r="C8" i="9"/>
  <c r="AC11" i="6"/>
  <c r="AI11" i="6"/>
  <c r="AK11" i="6"/>
  <c r="AG11" i="6"/>
  <c r="AJ11" i="6"/>
  <c r="AE11" i="6"/>
  <c r="AA11" i="6"/>
  <c r="C11" i="6"/>
  <c r="D12" i="6"/>
  <c r="D13" i="6"/>
  <c r="D14" i="6"/>
  <c r="C22" i="7"/>
  <c r="C13" i="7"/>
  <c r="X3" i="6"/>
  <c r="X4" i="6" s="1"/>
  <c r="X8" i="6" s="1"/>
  <c r="U3" i="6"/>
  <c r="U4" i="6" s="1"/>
  <c r="U8" i="6" s="1"/>
  <c r="E14" i="6"/>
  <c r="F14" i="6"/>
  <c r="G14" i="6"/>
  <c r="H14" i="6"/>
  <c r="I14" i="6"/>
  <c r="J14" i="6"/>
  <c r="K14" i="6"/>
  <c r="L14" i="6"/>
  <c r="M14" i="6"/>
  <c r="N14" i="6"/>
  <c r="E13" i="6"/>
  <c r="F13" i="6"/>
  <c r="G13" i="6"/>
  <c r="H13" i="6"/>
  <c r="I13" i="6"/>
  <c r="J13" i="6"/>
  <c r="K13" i="6"/>
  <c r="L13" i="6"/>
  <c r="M13" i="6"/>
  <c r="N13" i="6"/>
  <c r="E12" i="6"/>
  <c r="F12" i="6"/>
  <c r="G12" i="6"/>
  <c r="H12" i="6"/>
  <c r="E4" i="6"/>
  <c r="O4" i="6"/>
  <c r="O8" i="6" s="1"/>
  <c r="R4" i="6"/>
  <c r="R8" i="6" s="1"/>
  <c r="V4" i="6"/>
  <c r="V8" i="6" s="1"/>
  <c r="Z4" i="6"/>
  <c r="Z8" i="6" s="1"/>
  <c r="D3" i="6"/>
  <c r="D4" i="6" s="1"/>
  <c r="D8" i="6" s="1"/>
  <c r="F3" i="6"/>
  <c r="F4" i="6" s="1"/>
  <c r="F8" i="6" s="1"/>
  <c r="G3" i="6"/>
  <c r="G4" i="6" s="1"/>
  <c r="G8" i="6" s="1"/>
  <c r="H3" i="6"/>
  <c r="H4" i="6" s="1"/>
  <c r="H8" i="6" s="1"/>
  <c r="I3" i="6"/>
  <c r="I4" i="6" s="1"/>
  <c r="I8" i="6" s="1"/>
  <c r="J3" i="6"/>
  <c r="J4" i="6" s="1"/>
  <c r="J8" i="6" s="1"/>
  <c r="K3" i="6"/>
  <c r="K4" i="6" s="1"/>
  <c r="K8" i="6" s="1"/>
  <c r="L3" i="6"/>
  <c r="L4" i="6" s="1"/>
  <c r="L8" i="6" s="1"/>
  <c r="M3" i="6"/>
  <c r="M4" i="6" s="1"/>
  <c r="M8" i="6" s="1"/>
  <c r="N3" i="6"/>
  <c r="N4" i="6" s="1"/>
  <c r="N8" i="6" s="1"/>
  <c r="P3" i="6"/>
  <c r="P4" i="6" s="1"/>
  <c r="P8" i="6" s="1"/>
  <c r="Q3" i="6"/>
  <c r="Q4" i="6" s="1"/>
  <c r="Q8" i="6" s="1"/>
  <c r="S3" i="6"/>
  <c r="S4" i="6" s="1"/>
  <c r="S8" i="6" s="1"/>
  <c r="T3" i="6"/>
  <c r="T4" i="6" s="1"/>
  <c r="T8" i="6" s="1"/>
  <c r="W3" i="6"/>
  <c r="W4" i="6" s="1"/>
  <c r="W8" i="6" s="1"/>
  <c r="Y3" i="6"/>
  <c r="Y4" i="6" s="1"/>
  <c r="Y8" i="6" s="1"/>
  <c r="C3" i="6"/>
  <c r="C4" i="6" s="1"/>
  <c r="C5" i="6" s="1"/>
  <c r="C6" i="6" s="1"/>
  <c r="C9" i="6" s="1"/>
  <c r="C24" i="7"/>
  <c r="D34" i="7"/>
  <c r="C20" i="7"/>
  <c r="P14" i="6" s="1"/>
  <c r="D41" i="7"/>
  <c r="D45" i="7" s="1"/>
  <c r="R13" i="6"/>
  <c r="F13" i="4"/>
  <c r="C13" i="4"/>
  <c r="B12" i="4"/>
  <c r="C12" i="4" s="1"/>
  <c r="B11" i="4"/>
  <c r="C11" i="4" s="1"/>
  <c r="C10" i="4"/>
  <c r="F9" i="4"/>
  <c r="C9" i="4"/>
  <c r="B8" i="4"/>
  <c r="C8" i="4" s="1"/>
  <c r="F7" i="4"/>
  <c r="C7" i="4"/>
  <c r="B6" i="4"/>
  <c r="F6" i="4" s="1"/>
  <c r="F5" i="4"/>
  <c r="C5" i="4"/>
  <c r="F4" i="4"/>
  <c r="C4" i="4"/>
  <c r="B3" i="4"/>
  <c r="C3" i="4" s="1"/>
  <c r="B2" i="4"/>
  <c r="F2" i="4" s="1"/>
  <c r="C6" i="10" l="1"/>
  <c r="D5" i="9"/>
  <c r="C6" i="9"/>
  <c r="N11" i="6"/>
  <c r="J11" i="6"/>
  <c r="F11" i="6"/>
  <c r="D11" i="6"/>
  <c r="M11" i="6"/>
  <c r="I11" i="6"/>
  <c r="E11" i="6"/>
  <c r="L11" i="6"/>
  <c r="H11" i="6"/>
  <c r="K11" i="6"/>
  <c r="G11" i="6"/>
  <c r="Y14" i="6"/>
  <c r="U14" i="6"/>
  <c r="Q14" i="6"/>
  <c r="F16" i="6"/>
  <c r="C16" i="6"/>
  <c r="O14" i="6"/>
  <c r="W14" i="6"/>
  <c r="S14" i="6"/>
  <c r="Z14" i="6"/>
  <c r="V14" i="6"/>
  <c r="R14" i="6"/>
  <c r="X14" i="6"/>
  <c r="T14" i="6"/>
  <c r="C8" i="6"/>
  <c r="C7" i="6" s="1"/>
  <c r="C10" i="6" s="1"/>
  <c r="D5" i="6"/>
  <c r="E8" i="6"/>
  <c r="D16" i="6"/>
  <c r="G16" i="6"/>
  <c r="Q16" i="6"/>
  <c r="M16" i="6"/>
  <c r="I16" i="6"/>
  <c r="E16" i="6"/>
  <c r="T16" i="6"/>
  <c r="P16" i="6"/>
  <c r="L16" i="6"/>
  <c r="H16" i="6"/>
  <c r="S16" i="6"/>
  <c r="O16" i="6"/>
  <c r="K16" i="6"/>
  <c r="R16" i="6"/>
  <c r="N16" i="6"/>
  <c r="J16" i="6"/>
  <c r="U13" i="6"/>
  <c r="Q13" i="6"/>
  <c r="Y13" i="6"/>
  <c r="X13" i="6"/>
  <c r="X11" i="6" s="1"/>
  <c r="T13" i="6"/>
  <c r="P13" i="6"/>
  <c r="O13" i="6"/>
  <c r="W13" i="6"/>
  <c r="S13" i="6"/>
  <c r="Z13" i="6"/>
  <c r="V13" i="6"/>
  <c r="F11" i="4"/>
  <c r="F12" i="4"/>
  <c r="F8" i="4"/>
  <c r="C6" i="4"/>
  <c r="C2" i="4"/>
  <c r="D2" i="4" s="1"/>
  <c r="F10" i="4"/>
  <c r="F3" i="4"/>
  <c r="D6" i="10" l="1"/>
  <c r="C9" i="10"/>
  <c r="C7" i="10" s="1"/>
  <c r="C10" i="10" s="1"/>
  <c r="C15" i="10" s="1"/>
  <c r="Z11" i="6"/>
  <c r="Q11" i="6"/>
  <c r="W11" i="6"/>
  <c r="C9" i="9"/>
  <c r="C7" i="9" s="1"/>
  <c r="C10" i="9" s="1"/>
  <c r="C15" i="9" s="1"/>
  <c r="D6" i="9"/>
  <c r="E5" i="9"/>
  <c r="C15" i="6"/>
  <c r="V11" i="6"/>
  <c r="Y11" i="6"/>
  <c r="D6" i="6"/>
  <c r="D9" i="6" s="1"/>
  <c r="D7" i="6" s="1"/>
  <c r="D10" i="6" s="1"/>
  <c r="D15" i="6" s="1"/>
  <c r="D17" i="6" s="1"/>
  <c r="E5" i="6"/>
  <c r="F5" i="6" s="1"/>
  <c r="G5" i="6" s="1"/>
  <c r="T11" i="6"/>
  <c r="S11" i="6"/>
  <c r="U11" i="6"/>
  <c r="P11" i="6"/>
  <c r="O11" i="6"/>
  <c r="R11" i="6"/>
  <c r="E2" i="4"/>
  <c r="D3" i="4"/>
  <c r="C17" i="10" l="1"/>
  <c r="E6" i="10"/>
  <c r="D9" i="10"/>
  <c r="D7" i="10" s="1"/>
  <c r="D10" i="10" s="1"/>
  <c r="D15" i="10" s="1"/>
  <c r="C17" i="9"/>
  <c r="D9" i="9"/>
  <c r="D7" i="9" s="1"/>
  <c r="D10" i="9" s="1"/>
  <c r="D15" i="9" s="1"/>
  <c r="F5" i="9"/>
  <c r="E6" i="9"/>
  <c r="C17" i="6"/>
  <c r="D18" i="6"/>
  <c r="F6" i="6"/>
  <c r="F9" i="6" s="1"/>
  <c r="F7" i="6" s="1"/>
  <c r="F10" i="6" s="1"/>
  <c r="F15" i="6" s="1"/>
  <c r="F17" i="6" s="1"/>
  <c r="E6" i="6"/>
  <c r="E9" i="6" s="1"/>
  <c r="E7" i="6" s="1"/>
  <c r="E10" i="6" s="1"/>
  <c r="E15" i="6" s="1"/>
  <c r="H5" i="6"/>
  <c r="G6" i="6"/>
  <c r="G9" i="6" s="1"/>
  <c r="G7" i="6" s="1"/>
  <c r="G10" i="6" s="1"/>
  <c r="G15" i="6" s="1"/>
  <c r="G17" i="6" s="1"/>
  <c r="E3" i="4"/>
  <c r="G3" i="4" s="1"/>
  <c r="D4" i="4"/>
  <c r="G2" i="4"/>
  <c r="D17" i="10" l="1"/>
  <c r="F6" i="10"/>
  <c r="E9" i="10"/>
  <c r="E7" i="10" s="1"/>
  <c r="E10" i="10" s="1"/>
  <c r="E15" i="10" s="1"/>
  <c r="C18" i="10"/>
  <c r="C24" i="10"/>
  <c r="C18" i="6"/>
  <c r="D17" i="9"/>
  <c r="D18" i="9" s="1"/>
  <c r="F6" i="9"/>
  <c r="G5" i="9"/>
  <c r="E9" i="9"/>
  <c r="E7" i="9" s="1"/>
  <c r="E10" i="9" s="1"/>
  <c r="E15" i="9" s="1"/>
  <c r="C18" i="9"/>
  <c r="E17" i="6"/>
  <c r="I5" i="6"/>
  <c r="H6" i="6"/>
  <c r="H9" i="6" s="1"/>
  <c r="H7" i="6" s="1"/>
  <c r="H10" i="6" s="1"/>
  <c r="H15" i="6" s="1"/>
  <c r="H17" i="6" s="1"/>
  <c r="D5" i="4"/>
  <c r="E4" i="4"/>
  <c r="E17" i="10" l="1"/>
  <c r="F9" i="10"/>
  <c r="F7" i="10" s="1"/>
  <c r="F10" i="10" s="1"/>
  <c r="F15" i="10" s="1"/>
  <c r="G6" i="10"/>
  <c r="D24" i="10"/>
  <c r="D18" i="10"/>
  <c r="E17" i="9"/>
  <c r="E18" i="9" s="1"/>
  <c r="H5" i="9"/>
  <c r="G6" i="9"/>
  <c r="F9" i="9"/>
  <c r="F7" i="9" s="1"/>
  <c r="F10" i="9" s="1"/>
  <c r="F15" i="9" s="1"/>
  <c r="E18" i="6"/>
  <c r="F18" i="6"/>
  <c r="G18" i="6"/>
  <c r="J5" i="6"/>
  <c r="I6" i="6"/>
  <c r="I9" i="6" s="1"/>
  <c r="I7" i="6" s="1"/>
  <c r="I10" i="6" s="1"/>
  <c r="I15" i="6" s="1"/>
  <c r="G4" i="4"/>
  <c r="E5" i="4"/>
  <c r="G5" i="4" s="1"/>
  <c r="D6" i="4"/>
  <c r="F17" i="10" l="1"/>
  <c r="H6" i="10"/>
  <c r="G9" i="10"/>
  <c r="G7" i="10" s="1"/>
  <c r="G10" i="10" s="1"/>
  <c r="G15" i="10" s="1"/>
  <c r="E18" i="10"/>
  <c r="E24" i="10"/>
  <c r="F17" i="9"/>
  <c r="G10" i="9"/>
  <c r="G15" i="9" s="1"/>
  <c r="G17" i="9" s="1"/>
  <c r="G18" i="9" s="1"/>
  <c r="G9" i="9"/>
  <c r="G7" i="9" s="1"/>
  <c r="H6" i="9"/>
  <c r="I5" i="9"/>
  <c r="I17" i="6"/>
  <c r="H18" i="6"/>
  <c r="K5" i="6"/>
  <c r="J6" i="6"/>
  <c r="J9" i="6" s="1"/>
  <c r="J7" i="6" s="1"/>
  <c r="J10" i="6" s="1"/>
  <c r="J15" i="6" s="1"/>
  <c r="J17" i="6" s="1"/>
  <c r="E6" i="4"/>
  <c r="G6" i="4" s="1"/>
  <c r="D7" i="4"/>
  <c r="G17" i="10" l="1"/>
  <c r="I6" i="10"/>
  <c r="H9" i="10"/>
  <c r="H7" i="10" s="1"/>
  <c r="H10" i="10" s="1"/>
  <c r="H15" i="10" s="1"/>
  <c r="H17" i="10" s="1"/>
  <c r="F24" i="10"/>
  <c r="F18" i="10"/>
  <c r="J5" i="9"/>
  <c r="I6" i="9"/>
  <c r="H10" i="9"/>
  <c r="H15" i="9" s="1"/>
  <c r="H9" i="9"/>
  <c r="H7" i="9" s="1"/>
  <c r="F18" i="9"/>
  <c r="I18" i="6"/>
  <c r="L5" i="6"/>
  <c r="K6" i="6"/>
  <c r="K9" i="6" s="1"/>
  <c r="K7" i="6" s="1"/>
  <c r="K10" i="6" s="1"/>
  <c r="K15" i="6" s="1"/>
  <c r="D8" i="4"/>
  <c r="E7" i="4"/>
  <c r="J6" i="10" l="1"/>
  <c r="I9" i="10"/>
  <c r="I7" i="10" s="1"/>
  <c r="I10" i="10" s="1"/>
  <c r="I15" i="10" s="1"/>
  <c r="I17" i="10" s="1"/>
  <c r="H18" i="10"/>
  <c r="G18" i="10"/>
  <c r="G24" i="10"/>
  <c r="H24" i="10" s="1"/>
  <c r="I9" i="9"/>
  <c r="I7" i="9" s="1"/>
  <c r="I10" i="9" s="1"/>
  <c r="I15" i="9" s="1"/>
  <c r="I17" i="9" s="1"/>
  <c r="I18" i="9" s="1"/>
  <c r="J6" i="9"/>
  <c r="K5" i="9"/>
  <c r="H17" i="9"/>
  <c r="K17" i="6"/>
  <c r="J18" i="6"/>
  <c r="M5" i="6"/>
  <c r="L6" i="6"/>
  <c r="G7" i="4"/>
  <c r="E8" i="4"/>
  <c r="G8" i="4" s="1"/>
  <c r="D9" i="4"/>
  <c r="I18" i="10" l="1"/>
  <c r="I24" i="10"/>
  <c r="J9" i="10"/>
  <c r="J7" i="10" s="1"/>
  <c r="J10" i="10" s="1"/>
  <c r="J15" i="10" s="1"/>
  <c r="J17" i="10" s="1"/>
  <c r="K6" i="10"/>
  <c r="L5" i="9"/>
  <c r="K6" i="9"/>
  <c r="H18" i="9"/>
  <c r="J10" i="9"/>
  <c r="J15" i="9" s="1"/>
  <c r="J17" i="9" s="1"/>
  <c r="J18" i="9" s="1"/>
  <c r="J9" i="9"/>
  <c r="J7" i="9" s="1"/>
  <c r="K18" i="6"/>
  <c r="L9" i="6"/>
  <c r="L7" i="6" s="1"/>
  <c r="L10" i="6" s="1"/>
  <c r="L15" i="6" s="1"/>
  <c r="N5" i="6"/>
  <c r="M6" i="6"/>
  <c r="M9" i="6" s="1"/>
  <c r="M7" i="6" s="1"/>
  <c r="M10" i="6" s="1"/>
  <c r="M15" i="6" s="1"/>
  <c r="M17" i="6" s="1"/>
  <c r="E9" i="4"/>
  <c r="G9" i="4" s="1"/>
  <c r="D10" i="4"/>
  <c r="J24" i="10" l="1"/>
  <c r="J18" i="10"/>
  <c r="L6" i="10"/>
  <c r="K9" i="10"/>
  <c r="K7" i="10" s="1"/>
  <c r="K10" i="10" s="1"/>
  <c r="K15" i="10" s="1"/>
  <c r="K17" i="10" s="1"/>
  <c r="L6" i="9"/>
  <c r="M5" i="9"/>
  <c r="K9" i="9"/>
  <c r="K7" i="9" s="1"/>
  <c r="K10" i="9" s="1"/>
  <c r="K15" i="9" s="1"/>
  <c r="K17" i="9" s="1"/>
  <c r="K18" i="9" s="1"/>
  <c r="L17" i="6"/>
  <c r="L18" i="6" s="1"/>
  <c r="O5" i="6"/>
  <c r="O6" i="6" s="1"/>
  <c r="N6" i="6"/>
  <c r="N9" i="6" s="1"/>
  <c r="N7" i="6" s="1"/>
  <c r="N10" i="6" s="1"/>
  <c r="N15" i="6" s="1"/>
  <c r="D11" i="4"/>
  <c r="E10" i="4"/>
  <c r="G10" i="4" s="1"/>
  <c r="K18" i="10" l="1"/>
  <c r="K24" i="10"/>
  <c r="L9" i="10"/>
  <c r="L7" i="10" s="1"/>
  <c r="L10" i="10" s="1"/>
  <c r="L15" i="10" s="1"/>
  <c r="L17" i="10" s="1"/>
  <c r="M6" i="10"/>
  <c r="L9" i="9"/>
  <c r="L7" i="9" s="1"/>
  <c r="L10" i="9" s="1"/>
  <c r="L15" i="9" s="1"/>
  <c r="L17" i="9" s="1"/>
  <c r="L18" i="9" s="1"/>
  <c r="N5" i="9"/>
  <c r="M6" i="9"/>
  <c r="N17" i="6"/>
  <c r="B8" i="8" s="1"/>
  <c r="B7" i="8"/>
  <c r="M18" i="6"/>
  <c r="P5" i="6"/>
  <c r="P6" i="6" s="1"/>
  <c r="O9" i="6"/>
  <c r="O7" i="6" s="1"/>
  <c r="O10" i="6" s="1"/>
  <c r="D12" i="4"/>
  <c r="E11" i="4"/>
  <c r="G11" i="4" s="1"/>
  <c r="L24" i="10" l="1"/>
  <c r="L18" i="10"/>
  <c r="N6" i="10"/>
  <c r="M9" i="10"/>
  <c r="M7" i="10" s="1"/>
  <c r="M10" i="10" s="1"/>
  <c r="M15" i="10" s="1"/>
  <c r="M17" i="10" s="1"/>
  <c r="M9" i="9"/>
  <c r="M7" i="9" s="1"/>
  <c r="M10" i="9" s="1"/>
  <c r="M15" i="9" s="1"/>
  <c r="M17" i="9" s="1"/>
  <c r="M18" i="9" s="1"/>
  <c r="N6" i="9"/>
  <c r="O5" i="9"/>
  <c r="O15" i="6"/>
  <c r="O17" i="6" s="1"/>
  <c r="O18" i="6" s="1"/>
  <c r="N18" i="6"/>
  <c r="Q5" i="6"/>
  <c r="Q6" i="6" s="1"/>
  <c r="E12" i="4"/>
  <c r="G12" i="4" s="1"/>
  <c r="D13" i="4"/>
  <c r="E13" i="4" s="1"/>
  <c r="M18" i="10" l="1"/>
  <c r="M24" i="10"/>
  <c r="N9" i="10"/>
  <c r="N7" i="10" s="1"/>
  <c r="N10" i="10" s="1"/>
  <c r="N15" i="10" s="1"/>
  <c r="N17" i="10" s="1"/>
  <c r="O6" i="10"/>
  <c r="P5" i="9"/>
  <c r="O6" i="9"/>
  <c r="N9" i="9"/>
  <c r="N7" i="9" s="1"/>
  <c r="N10" i="9" s="1"/>
  <c r="N15" i="9" s="1"/>
  <c r="N17" i="9" s="1"/>
  <c r="N18" i="9" s="1"/>
  <c r="P9" i="6"/>
  <c r="P7" i="6" s="1"/>
  <c r="P10" i="6" s="1"/>
  <c r="R5" i="6"/>
  <c r="R6" i="6" s="1"/>
  <c r="Q9" i="6"/>
  <c r="Q7" i="6" s="1"/>
  <c r="Q10" i="6" s="1"/>
  <c r="Q15" i="6" s="1"/>
  <c r="Q17" i="6" s="1"/>
  <c r="G13" i="4"/>
  <c r="E14" i="4"/>
  <c r="N24" i="10" l="1"/>
  <c r="N18" i="10"/>
  <c r="P6" i="10"/>
  <c r="O9" i="10"/>
  <c r="O7" i="10" s="1"/>
  <c r="O10" i="10" s="1"/>
  <c r="O15" i="10" s="1"/>
  <c r="O17" i="10" s="1"/>
  <c r="O9" i="9"/>
  <c r="O7" i="9" s="1"/>
  <c r="O10" i="9" s="1"/>
  <c r="O15" i="9" s="1"/>
  <c r="O17" i="9" s="1"/>
  <c r="O18" i="9" s="1"/>
  <c r="P6" i="9"/>
  <c r="Q5" i="9"/>
  <c r="P15" i="6"/>
  <c r="P17" i="6" s="1"/>
  <c r="P18" i="6" s="1"/>
  <c r="Q18" i="6"/>
  <c r="S5" i="6"/>
  <c r="S6" i="6" s="1"/>
  <c r="O18" i="10" l="1"/>
  <c r="O24" i="10"/>
  <c r="Q6" i="10"/>
  <c r="P9" i="10"/>
  <c r="P7" i="10" s="1"/>
  <c r="P10" i="10" s="1"/>
  <c r="P15" i="10" s="1"/>
  <c r="P17" i="10" s="1"/>
  <c r="R5" i="9"/>
  <c r="Q6" i="9"/>
  <c r="P9" i="9"/>
  <c r="P7" i="9" s="1"/>
  <c r="P10" i="9" s="1"/>
  <c r="P15" i="9" s="1"/>
  <c r="P17" i="9" s="1"/>
  <c r="P18" i="9" s="1"/>
  <c r="R9" i="6"/>
  <c r="R7" i="6" s="1"/>
  <c r="R10" i="6" s="1"/>
  <c r="T5" i="6"/>
  <c r="T6" i="6" s="1"/>
  <c r="S9" i="6"/>
  <c r="S7" i="6" s="1"/>
  <c r="S10" i="6" s="1"/>
  <c r="S15" i="6" s="1"/>
  <c r="S17" i="6" s="1"/>
  <c r="P24" i="10" l="1"/>
  <c r="P18" i="10"/>
  <c r="R6" i="10"/>
  <c r="Q9" i="10"/>
  <c r="Q7" i="10" s="1"/>
  <c r="Q10" i="10" s="1"/>
  <c r="Q15" i="10" s="1"/>
  <c r="Q17" i="10" s="1"/>
  <c r="Q9" i="9"/>
  <c r="Q7" i="9" s="1"/>
  <c r="Q10" i="9"/>
  <c r="Q15" i="9" s="1"/>
  <c r="Q17" i="9" s="1"/>
  <c r="Q18" i="9" s="1"/>
  <c r="R6" i="9"/>
  <c r="S5" i="9"/>
  <c r="R15" i="6"/>
  <c r="R17" i="6" s="1"/>
  <c r="R18" i="6" s="1"/>
  <c r="S18" i="6"/>
  <c r="U5" i="6"/>
  <c r="U6" i="6" s="1"/>
  <c r="Q18" i="10" l="1"/>
  <c r="Q24" i="10"/>
  <c r="R9" i="10"/>
  <c r="R7" i="10" s="1"/>
  <c r="R10" i="10" s="1"/>
  <c r="R15" i="10" s="1"/>
  <c r="R17" i="10" s="1"/>
  <c r="S6" i="10"/>
  <c r="T5" i="9"/>
  <c r="S6" i="9"/>
  <c r="R9" i="9"/>
  <c r="R7" i="9" s="1"/>
  <c r="R10" i="9" s="1"/>
  <c r="R15" i="9" s="1"/>
  <c r="R17" i="9" s="1"/>
  <c r="R18" i="9" s="1"/>
  <c r="T9" i="6"/>
  <c r="T7" i="6" s="1"/>
  <c r="T10" i="6" s="1"/>
  <c r="V5" i="6"/>
  <c r="V6" i="6" s="1"/>
  <c r="U9" i="6"/>
  <c r="U7" i="6" s="1"/>
  <c r="U10" i="6" s="1"/>
  <c r="R24" i="10" l="1"/>
  <c r="R18" i="10"/>
  <c r="T6" i="10"/>
  <c r="S9" i="10"/>
  <c r="S7" i="10" s="1"/>
  <c r="S10" i="10" s="1"/>
  <c r="S15" i="10" s="1"/>
  <c r="S17" i="10" s="1"/>
  <c r="S9" i="9"/>
  <c r="S7" i="9" s="1"/>
  <c r="S10" i="9" s="1"/>
  <c r="S15" i="9" s="1"/>
  <c r="S17" i="9" s="1"/>
  <c r="S18" i="9" s="1"/>
  <c r="T6" i="9"/>
  <c r="U5" i="9"/>
  <c r="U15" i="6"/>
  <c r="U17" i="6" s="1"/>
  <c r="T15" i="6"/>
  <c r="T17" i="6" s="1"/>
  <c r="T18" i="6" s="1"/>
  <c r="W5" i="6"/>
  <c r="W6" i="6" s="1"/>
  <c r="V9" i="6"/>
  <c r="V7" i="6" s="1"/>
  <c r="V10" i="6" s="1"/>
  <c r="V15" i="6" s="1"/>
  <c r="V17" i="6" s="1"/>
  <c r="S18" i="10" l="1"/>
  <c r="S24" i="10"/>
  <c r="T9" i="10"/>
  <c r="T7" i="10" s="1"/>
  <c r="T10" i="10" s="1"/>
  <c r="T15" i="10" s="1"/>
  <c r="T17" i="10" s="1"/>
  <c r="U6" i="10"/>
  <c r="V5" i="9"/>
  <c r="U6" i="9"/>
  <c r="T9" i="9"/>
  <c r="T7" i="9" s="1"/>
  <c r="T10" i="9" s="1"/>
  <c r="T15" i="9" s="1"/>
  <c r="T17" i="9" s="1"/>
  <c r="T18" i="9" s="1"/>
  <c r="U18" i="6"/>
  <c r="X5" i="6"/>
  <c r="W9" i="6"/>
  <c r="W7" i="6" s="1"/>
  <c r="W10" i="6" s="1"/>
  <c r="W15" i="6" s="1"/>
  <c r="W17" i="6" s="1"/>
  <c r="V18" i="6"/>
  <c r="T24" i="10" l="1"/>
  <c r="T18" i="10"/>
  <c r="V6" i="10"/>
  <c r="U9" i="10"/>
  <c r="U7" i="10" s="1"/>
  <c r="U10" i="10" s="1"/>
  <c r="U15" i="10" s="1"/>
  <c r="U17" i="10" s="1"/>
  <c r="V6" i="9"/>
  <c r="W5" i="9"/>
  <c r="U9" i="9"/>
  <c r="U7" i="9" s="1"/>
  <c r="U10" i="9" s="1"/>
  <c r="U15" i="9" s="1"/>
  <c r="U17" i="9" s="1"/>
  <c r="U18" i="9" s="1"/>
  <c r="X6" i="6"/>
  <c r="Y5" i="6"/>
  <c r="Z5" i="6" s="1"/>
  <c r="AA5" i="6" s="1"/>
  <c r="W18" i="6"/>
  <c r="Y6" i="6"/>
  <c r="X9" i="6"/>
  <c r="X7" i="6" s="1"/>
  <c r="X10" i="6" s="1"/>
  <c r="X15" i="6" s="1"/>
  <c r="X17" i="6" s="1"/>
  <c r="U18" i="10" l="1"/>
  <c r="U24" i="10"/>
  <c r="V9" i="10"/>
  <c r="V7" i="10" s="1"/>
  <c r="V10" i="10" s="1"/>
  <c r="V15" i="10" s="1"/>
  <c r="V17" i="10" s="1"/>
  <c r="W6" i="10"/>
  <c r="X5" i="9"/>
  <c r="W6" i="9"/>
  <c r="V9" i="9"/>
  <c r="V7" i="9" s="1"/>
  <c r="V10" i="9" s="1"/>
  <c r="V15" i="9" s="1"/>
  <c r="V17" i="9" s="1"/>
  <c r="V18" i="9" s="1"/>
  <c r="AB5" i="6"/>
  <c r="AA6" i="6"/>
  <c r="X18" i="6"/>
  <c r="Z6" i="6"/>
  <c r="Y9" i="6"/>
  <c r="Y7" i="6" s="1"/>
  <c r="Y10" i="6" s="1"/>
  <c r="Y15" i="6" s="1"/>
  <c r="Y17" i="6" s="1"/>
  <c r="V24" i="10" l="1"/>
  <c r="V18" i="10"/>
  <c r="X6" i="10"/>
  <c r="W9" i="10"/>
  <c r="W7" i="10" s="1"/>
  <c r="W10" i="10" s="1"/>
  <c r="W15" i="10" s="1"/>
  <c r="W17" i="10" s="1"/>
  <c r="W9" i="9"/>
  <c r="W7" i="9" s="1"/>
  <c r="W10" i="9" s="1"/>
  <c r="W15" i="9" s="1"/>
  <c r="W17" i="9" s="1"/>
  <c r="W18" i="9" s="1"/>
  <c r="X6" i="9"/>
  <c r="Y5" i="9"/>
  <c r="AA9" i="6"/>
  <c r="AA7" i="6" s="1"/>
  <c r="AA10" i="6" s="1"/>
  <c r="AA15" i="6" s="1"/>
  <c r="AA17" i="6" s="1"/>
  <c r="AA18" i="6" s="1"/>
  <c r="AC5" i="6"/>
  <c r="AB6" i="6"/>
  <c r="Y18" i="6"/>
  <c r="Z9" i="6"/>
  <c r="Z7" i="6" s="1"/>
  <c r="Z10" i="6" s="1"/>
  <c r="Z15" i="6" s="1"/>
  <c r="X9" i="10" l="1"/>
  <c r="X7" i="10" s="1"/>
  <c r="X10" i="10" s="1"/>
  <c r="X15" i="10" s="1"/>
  <c r="X17" i="10" s="1"/>
  <c r="Y6" i="10"/>
  <c r="W18" i="10"/>
  <c r="W24" i="10"/>
  <c r="Z5" i="9"/>
  <c r="Y6" i="9"/>
  <c r="X9" i="9"/>
  <c r="X7" i="9" s="1"/>
  <c r="X10" i="9" s="1"/>
  <c r="X15" i="9" s="1"/>
  <c r="X17" i="9" s="1"/>
  <c r="X18" i="9" s="1"/>
  <c r="AB9" i="6"/>
  <c r="AB7" i="6" s="1"/>
  <c r="AB10" i="6" s="1"/>
  <c r="AB15" i="6" s="1"/>
  <c r="AB17" i="6" s="1"/>
  <c r="AB18" i="6" s="1"/>
  <c r="AC6" i="6"/>
  <c r="AD5" i="6"/>
  <c r="C7" i="8"/>
  <c r="Z17" i="6"/>
  <c r="C8" i="8" s="1"/>
  <c r="Z6" i="10" l="1"/>
  <c r="Y9" i="10"/>
  <c r="Y7" i="10" s="1"/>
  <c r="Y10" i="10" s="1"/>
  <c r="Y15" i="10" s="1"/>
  <c r="Y17" i="10" s="1"/>
  <c r="X24" i="10"/>
  <c r="X18" i="10"/>
  <c r="Y9" i="9"/>
  <c r="Y7" i="9" s="1"/>
  <c r="Y10" i="9"/>
  <c r="Y15" i="9" s="1"/>
  <c r="Y17" i="9" s="1"/>
  <c r="Y18" i="9" s="1"/>
  <c r="Z6" i="9"/>
  <c r="AA5" i="9"/>
  <c r="AE5" i="6"/>
  <c r="AD6" i="6"/>
  <c r="AC9" i="6"/>
  <c r="AC7" i="6" s="1"/>
  <c r="AC10" i="6" s="1"/>
  <c r="AC15" i="6" s="1"/>
  <c r="AC17" i="6" s="1"/>
  <c r="AC18" i="6" s="1"/>
  <c r="Z18" i="6"/>
  <c r="Y18" i="10" l="1"/>
  <c r="Y24" i="10"/>
  <c r="Z9" i="10"/>
  <c r="Z7" i="10" s="1"/>
  <c r="Z10" i="10" s="1"/>
  <c r="Z15" i="10" s="1"/>
  <c r="Z17" i="10" s="1"/>
  <c r="AA6" i="10"/>
  <c r="AB5" i="9"/>
  <c r="AA6" i="9"/>
  <c r="Z9" i="9"/>
  <c r="Z7" i="9" s="1"/>
  <c r="Z10" i="9" s="1"/>
  <c r="Z15" i="9" s="1"/>
  <c r="Z17" i="9" s="1"/>
  <c r="Z18" i="9" s="1"/>
  <c r="AD9" i="6"/>
  <c r="AD7" i="6" s="1"/>
  <c r="AD10" i="6" s="1"/>
  <c r="AD15" i="6" s="1"/>
  <c r="AD17" i="6" s="1"/>
  <c r="AD18" i="6" s="1"/>
  <c r="AF5" i="6"/>
  <c r="AE6" i="6"/>
  <c r="Z24" i="10" l="1"/>
  <c r="Z18" i="10"/>
  <c r="AB6" i="10"/>
  <c r="AA9" i="10"/>
  <c r="AA7" i="10" s="1"/>
  <c r="AA10" i="10" s="1"/>
  <c r="AA15" i="10" s="1"/>
  <c r="AA17" i="10" s="1"/>
  <c r="AA9" i="9"/>
  <c r="AA7" i="9" s="1"/>
  <c r="AA10" i="9"/>
  <c r="AA15" i="9" s="1"/>
  <c r="AA17" i="9" s="1"/>
  <c r="AA18" i="9" s="1"/>
  <c r="AB6" i="9"/>
  <c r="AC5" i="9"/>
  <c r="AG5" i="6"/>
  <c r="AF6" i="6"/>
  <c r="AE9" i="6"/>
  <c r="AE7" i="6" s="1"/>
  <c r="AE10" i="6" s="1"/>
  <c r="AE15" i="6" s="1"/>
  <c r="AE17" i="6" s="1"/>
  <c r="AE18" i="6" s="1"/>
  <c r="AA18" i="10" l="1"/>
  <c r="AA24" i="10"/>
  <c r="AC6" i="10"/>
  <c r="AB9" i="10"/>
  <c r="AB7" i="10" s="1"/>
  <c r="AB10" i="10" s="1"/>
  <c r="AB15" i="10" s="1"/>
  <c r="AB17" i="10" s="1"/>
  <c r="AD5" i="9"/>
  <c r="AC6" i="9"/>
  <c r="AB9" i="9"/>
  <c r="AB7" i="9" s="1"/>
  <c r="AB10" i="9" s="1"/>
  <c r="AB15" i="9" s="1"/>
  <c r="AB17" i="9" s="1"/>
  <c r="AB18" i="9" s="1"/>
  <c r="AF9" i="6"/>
  <c r="AF7" i="6" s="1"/>
  <c r="AF10" i="6" s="1"/>
  <c r="AF15" i="6" s="1"/>
  <c r="AF17" i="6" s="1"/>
  <c r="AF18" i="6" s="1"/>
  <c r="AH5" i="6"/>
  <c r="AG6" i="6"/>
  <c r="AB24" i="10" l="1"/>
  <c r="AB18" i="10"/>
  <c r="AD6" i="10"/>
  <c r="AC9" i="10"/>
  <c r="AC7" i="10" s="1"/>
  <c r="AC10" i="10" s="1"/>
  <c r="AC15" i="10" s="1"/>
  <c r="AC17" i="10" s="1"/>
  <c r="AC9" i="9"/>
  <c r="AC7" i="9" s="1"/>
  <c r="AC10" i="9" s="1"/>
  <c r="AC15" i="9" s="1"/>
  <c r="AC17" i="9" s="1"/>
  <c r="AC18" i="9" s="1"/>
  <c r="AD6" i="9"/>
  <c r="AE5" i="9"/>
  <c r="AG9" i="6"/>
  <c r="AG7" i="6" s="1"/>
  <c r="AG10" i="6" s="1"/>
  <c r="AG15" i="6" s="1"/>
  <c r="AG17" i="6" s="1"/>
  <c r="AG18" i="6" s="1"/>
  <c r="AI5" i="6"/>
  <c r="AH6" i="6"/>
  <c r="AD9" i="10" l="1"/>
  <c r="AD7" i="10" s="1"/>
  <c r="AD10" i="10" s="1"/>
  <c r="AD15" i="10" s="1"/>
  <c r="AD17" i="10" s="1"/>
  <c r="AE6" i="10"/>
  <c r="AC18" i="10"/>
  <c r="AC24" i="10"/>
  <c r="AF5" i="9"/>
  <c r="AE6" i="9"/>
  <c r="AD9" i="9"/>
  <c r="AD7" i="9" s="1"/>
  <c r="AD10" i="9" s="1"/>
  <c r="AD15" i="9" s="1"/>
  <c r="AD17" i="9" s="1"/>
  <c r="AD18" i="9" s="1"/>
  <c r="AJ5" i="6"/>
  <c r="AI6" i="6"/>
  <c r="AH9" i="6"/>
  <c r="AH7" i="6" s="1"/>
  <c r="AH10" i="6" s="1"/>
  <c r="AH15" i="6" s="1"/>
  <c r="AH17" i="6" s="1"/>
  <c r="AH18" i="6" s="1"/>
  <c r="AD24" i="10" l="1"/>
  <c r="AD18" i="10"/>
  <c r="AE9" i="10"/>
  <c r="AE7" i="10" s="1"/>
  <c r="AE10" i="10" s="1"/>
  <c r="AE15" i="10" s="1"/>
  <c r="AE17" i="10" s="1"/>
  <c r="AF6" i="10"/>
  <c r="AE9" i="9"/>
  <c r="AE7" i="9" s="1"/>
  <c r="AE10" i="9" s="1"/>
  <c r="AE15" i="9" s="1"/>
  <c r="AE17" i="9" s="1"/>
  <c r="AE18" i="9" s="1"/>
  <c r="AF6" i="9"/>
  <c r="AG5" i="9"/>
  <c r="AI9" i="6"/>
  <c r="AI7" i="6" s="1"/>
  <c r="AI10" i="6" s="1"/>
  <c r="AI15" i="6" s="1"/>
  <c r="AI17" i="6" s="1"/>
  <c r="AI18" i="6" s="1"/>
  <c r="AK5" i="6"/>
  <c r="AJ6" i="6"/>
  <c r="AE18" i="10" l="1"/>
  <c r="AE24" i="10"/>
  <c r="AF9" i="10"/>
  <c r="AF7" i="10" s="1"/>
  <c r="AF10" i="10" s="1"/>
  <c r="AF15" i="10" s="1"/>
  <c r="AF17" i="10" s="1"/>
  <c r="AG6" i="10"/>
  <c r="AH5" i="9"/>
  <c r="AG6" i="9"/>
  <c r="AF9" i="9"/>
  <c r="AF7" i="9" s="1"/>
  <c r="AF10" i="9" s="1"/>
  <c r="AF15" i="9" s="1"/>
  <c r="AF17" i="9" s="1"/>
  <c r="AF18" i="9" s="1"/>
  <c r="AJ9" i="6"/>
  <c r="AJ7" i="6" s="1"/>
  <c r="AJ10" i="6" s="1"/>
  <c r="AJ15" i="6" s="1"/>
  <c r="AJ17" i="6" s="1"/>
  <c r="AJ18" i="6" s="1"/>
  <c r="AL5" i="6"/>
  <c r="AL6" i="6" s="1"/>
  <c r="AK6" i="6"/>
  <c r="AF24" i="10" l="1"/>
  <c r="AF18" i="10"/>
  <c r="AH6" i="10"/>
  <c r="AG9" i="10"/>
  <c r="AG7" i="10" s="1"/>
  <c r="AG10" i="10" s="1"/>
  <c r="AG15" i="10" s="1"/>
  <c r="AG17" i="10" s="1"/>
  <c r="AG9" i="9"/>
  <c r="AG7" i="9" s="1"/>
  <c r="AG10" i="9"/>
  <c r="AG15" i="9" s="1"/>
  <c r="AG17" i="9" s="1"/>
  <c r="AG18" i="9" s="1"/>
  <c r="AH6" i="9"/>
  <c r="AI5" i="9"/>
  <c r="AK9" i="6"/>
  <c r="AK7" i="6" s="1"/>
  <c r="AK10" i="6" s="1"/>
  <c r="AK15" i="6" s="1"/>
  <c r="AK17" i="6" s="1"/>
  <c r="AK18" i="6" s="1"/>
  <c r="AL9" i="6"/>
  <c r="AL7" i="6" s="1"/>
  <c r="AL10" i="6" s="1"/>
  <c r="AL15" i="6" s="1"/>
  <c r="C19" i="6" s="1"/>
  <c r="C20" i="6" s="1"/>
  <c r="B9" i="8" s="1"/>
  <c r="AG18" i="10" l="1"/>
  <c r="AG24" i="10"/>
  <c r="AH9" i="10"/>
  <c r="AH7" i="10" s="1"/>
  <c r="AH10" i="10" s="1"/>
  <c r="AH15" i="10" s="1"/>
  <c r="AH17" i="10" s="1"/>
  <c r="AI6" i="10"/>
  <c r="AJ5" i="9"/>
  <c r="AI6" i="9"/>
  <c r="AH9" i="9"/>
  <c r="AH7" i="9" s="1"/>
  <c r="AH10" i="9" s="1"/>
  <c r="AH15" i="9" s="1"/>
  <c r="AH17" i="9" s="1"/>
  <c r="AH18" i="9" s="1"/>
  <c r="AL17" i="6"/>
  <c r="AH24" i="10" l="1"/>
  <c r="AH18" i="10"/>
  <c r="AJ6" i="10"/>
  <c r="AI9" i="10"/>
  <c r="AI7" i="10" s="1"/>
  <c r="AI10" i="10" s="1"/>
  <c r="AI15" i="10" s="1"/>
  <c r="AI17" i="10" s="1"/>
  <c r="AL18" i="6"/>
  <c r="D21" i="6"/>
  <c r="AI9" i="9"/>
  <c r="AI7" i="9" s="1"/>
  <c r="AI10" i="9"/>
  <c r="AI15" i="9" s="1"/>
  <c r="AI17" i="9" s="1"/>
  <c r="AI18" i="9" s="1"/>
  <c r="AJ6" i="9"/>
  <c r="AK5" i="9"/>
  <c r="AI18" i="10" l="1"/>
  <c r="AI24" i="10"/>
  <c r="AJ9" i="10"/>
  <c r="AJ7" i="10" s="1"/>
  <c r="AJ10" i="10" s="1"/>
  <c r="AJ15" i="10" s="1"/>
  <c r="AJ17" i="10" s="1"/>
  <c r="AK6" i="10"/>
  <c r="AL6" i="10"/>
  <c r="C21" i="6"/>
  <c r="B10" i="8" s="1"/>
  <c r="C22" i="6"/>
  <c r="B11" i="8" s="1"/>
  <c r="AL5" i="9"/>
  <c r="AL6" i="9" s="1"/>
  <c r="AK6" i="9"/>
  <c r="AJ9" i="9"/>
  <c r="AJ7" i="9" s="1"/>
  <c r="AJ10" i="9" s="1"/>
  <c r="AJ15" i="9" s="1"/>
  <c r="AJ17" i="9" s="1"/>
  <c r="AJ18" i="9" s="1"/>
  <c r="AJ24" i="10" l="1"/>
  <c r="AJ18" i="10"/>
  <c r="AL9" i="10"/>
  <c r="AL7" i="10" s="1"/>
  <c r="AL10" i="10" s="1"/>
  <c r="AL15" i="10" s="1"/>
  <c r="AK9" i="10"/>
  <c r="AK7" i="10" s="1"/>
  <c r="AK10" i="10" s="1"/>
  <c r="AK15" i="10" s="1"/>
  <c r="AK17" i="10" s="1"/>
  <c r="AK9" i="9"/>
  <c r="AK7" i="9" s="1"/>
  <c r="AK10" i="9"/>
  <c r="AK15" i="9" s="1"/>
  <c r="AK17" i="9" s="1"/>
  <c r="AK18" i="9" s="1"/>
  <c r="AL9" i="9"/>
  <c r="AL7" i="9" s="1"/>
  <c r="AL10" i="9" s="1"/>
  <c r="AL15" i="9" s="1"/>
  <c r="AL17" i="10" l="1"/>
  <c r="C19" i="10"/>
  <c r="C20" i="10" s="1"/>
  <c r="AK18" i="10"/>
  <c r="AK24" i="10"/>
  <c r="AL17" i="9"/>
  <c r="C19" i="9"/>
  <c r="C20" i="9" s="1"/>
  <c r="AL24" i="10" l="1"/>
  <c r="AL18" i="10"/>
  <c r="D21" i="10"/>
  <c r="AL18" i="9"/>
  <c r="D21" i="9"/>
  <c r="C22" i="10" l="1"/>
  <c r="C21" i="10"/>
  <c r="C2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1" authorId="0" shapeId="0" xr:uid="{5B95569D-6DCD-4F50-8053-9EB61E64BC9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Usuarios nuevos del mes menos lla pérdida de estudiantes del mes anterior + los usuarios activos del mes anterior
</t>
        </r>
      </text>
    </comment>
    <comment ref="E1" authorId="0" shapeId="0" xr:uid="{7742B98D-3EF0-4AEB-9316-F681F255944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precio por cantidad
</t>
        </r>
      </text>
    </comment>
    <comment ref="F1" authorId="0" shapeId="0" xr:uid="{79E013E9-BAE6-4DDA-9DA6-425A0DEFC50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 de adquisición - Cuánto cuesta traer 1 usuario Si pagas ads: $20.000 por usuario</t>
        </r>
      </text>
    </comment>
  </commentList>
</comments>
</file>

<file path=xl/sharedStrings.xml><?xml version="1.0" encoding="utf-8"?>
<sst xmlns="http://schemas.openxmlformats.org/spreadsheetml/2006/main" count="283" uniqueCount="130">
  <si>
    <t>Mes</t>
  </si>
  <si>
    <t>Usuarios nuevos</t>
  </si>
  <si>
    <t>Usuarios pagos nuevos</t>
  </si>
  <si>
    <t>Usuarios activos pagos</t>
  </si>
  <si>
    <t>MRR</t>
  </si>
  <si>
    <t>CAC total</t>
  </si>
  <si>
    <t>Utilidad</t>
  </si>
  <si>
    <t>*</t>
  </si>
  <si>
    <t>* CAMPAÑAS CADA 3 MESES</t>
  </si>
  <si>
    <t>Supuesto</t>
  </si>
  <si>
    <t>Valor</t>
  </si>
  <si>
    <t>Usuarios nuevos/mes</t>
  </si>
  <si>
    <t>Son las personas que entran a tu app cada mes/Vienen de ads, orgánico o referidos</t>
  </si>
  <si>
    <t>% Conversión a pago</t>
  </si>
  <si>
    <t>% de usuarios que pasan de gratis → pago- 1.000 usuarios → 5% → 50 pagos</t>
  </si>
  <si>
    <t>Precio mensual (COP)</t>
  </si>
  <si>
    <t>Lo que cobramos en la app</t>
  </si>
  <si>
    <t>Churn mensual</t>
  </si>
  <si>
    <t>% de usuarios que cancelan cada mes ( de 100 usuarios perdemos un 12%)</t>
  </si>
  <si>
    <t>CAC (COP)</t>
  </si>
  <si>
    <t>Costo de adquisición - Cuánto cuesta traer 1 usuario Si pagas ads: $20.000 por usuario → ese es tu CAC</t>
  </si>
  <si>
    <t>Costos mensuales al primer año</t>
  </si>
  <si>
    <t>Costos fijos : Equipo,tecnología,herramientas/ ya estan compartidos con la marcha de la academia</t>
  </si>
  <si>
    <t>Nomina 1 profesor</t>
  </si>
  <si>
    <t>1 profesor primeros 6 meses, luego se suma 1 mas</t>
  </si>
  <si>
    <t>Herramientas integración **</t>
  </si>
  <si>
    <t>Otros administrativos</t>
  </si>
  <si>
    <t>Servicios varios, pagos nominas administrativos</t>
  </si>
  <si>
    <t>cuota prestamo proyecto 18 meses ***</t>
  </si>
  <si>
    <t>Comisión Pasarela pagos
(Comisión ~2,65% + $700 por transacción)</t>
  </si>
  <si>
    <t>Costos  mensuales segundo año                   IPC</t>
  </si>
  <si>
    <t>Precio mensual + IPC año2</t>
  </si>
  <si>
    <t>Nomina  1 profesor + ipc</t>
  </si>
  <si>
    <t>Se adiciona 1 profesor en enero y otro en julio para completar 4</t>
  </si>
  <si>
    <t>cuota prestamo proyecto solo 6 meses ***</t>
  </si>
  <si>
    <t>** Herramientas de Integración</t>
  </si>
  <si>
    <t>Herramienta</t>
  </si>
  <si>
    <t>Función</t>
  </si>
  <si>
    <t>Mensual (Est)</t>
  </si>
  <si>
    <t>Integración total 
(Pagos -&gt; Correos -&gt; Contabilidad)</t>
  </si>
  <si>
    <t>Make (antes Zapier)</t>
  </si>
  <si>
    <t>API de WhatsApp Business 
(automatización de sesiones)</t>
  </si>
  <si>
    <t>Wati / Twilio</t>
  </si>
  <si>
    <t>Envío de correos transaccionales y marketing</t>
  </si>
  <si>
    <t>Brevo (SendGrid)</t>
  </si>
  <si>
    <t>Base de datos de estudiantes y reportes de seguimiento</t>
  </si>
  <si>
    <t>Airtable / Notion Biz</t>
  </si>
  <si>
    <t>Interacción con contabilidad</t>
  </si>
  <si>
    <t>Alegra / Siigo API</t>
  </si>
  <si>
    <t>TOTAL FIJO TECH</t>
  </si>
  <si>
    <t> </t>
  </si>
  <si>
    <t>Proyecto para integrar y dejar productivo los Cursos</t>
  </si>
  <si>
    <t xml:space="preserve">Costro proyecto </t>
  </si>
  <si>
    <t>Integración y desarrollo (3 meses)</t>
  </si>
  <si>
    <t>Fase 1</t>
  </si>
  <si>
    <t>Salida en vivo / lanzamiento (1 mes)</t>
  </si>
  <si>
    <t>Fase 2</t>
  </si>
  <si>
    <t>Estabilización (1 mes)</t>
  </si>
  <si>
    <t>Fase 3</t>
  </si>
  <si>
    <t xml:space="preserve">Total proyecto </t>
  </si>
  <si>
    <t>Se espera contar con financiación</t>
  </si>
  <si>
    <t>Valor del préstamo</t>
  </si>
  <si>
    <t>Tasa E.A</t>
  </si>
  <si>
    <t>Meses</t>
  </si>
  <si>
    <t>Valor de la cuota</t>
  </si>
  <si>
    <t>Se realiza simulación de crédito con Banco Caja Social</t>
  </si>
  <si>
    <t>AÑO   1</t>
  </si>
  <si>
    <t>AÑO  2</t>
  </si>
  <si>
    <t>Año 3</t>
  </si>
  <si>
    <t>Concepto / Mes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</si>
  <si>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</si>
  <si>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</si>
  <si>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</si>
  <si>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</si>
  <si>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</si>
  <si>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</si>
  <si>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</si>
  <si>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</si>
  <si>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</si>
  <si>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</si>
  <si>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</si>
  <si>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</si>
  <si>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Ene </t>
  </si>
  <si>
    <t>Visitas</t>
  </si>
  <si>
    <t>Estudiantes Activos (acum)</t>
  </si>
  <si>
    <t>PAGO ESTUDIANTES</t>
  </si>
  <si>
    <t>COSTOS DE VENTA</t>
  </si>
  <si>
    <t>CAC</t>
  </si>
  <si>
    <t>Pasarela pagos</t>
  </si>
  <si>
    <t>UTILIDAD BRUTA</t>
  </si>
  <si>
    <t>GASTOS PARA OPERAR</t>
  </si>
  <si>
    <t xml:space="preserve">  - Nomina</t>
  </si>
  <si>
    <t xml:space="preserve">  - Gastos fijos del período </t>
  </si>
  <si>
    <t xml:space="preserve">  - Herramientas Integración</t>
  </si>
  <si>
    <t>UTILIDAD DE LA OPERACIÓN</t>
  </si>
  <si>
    <t xml:space="preserve">  - Cuota prestamo proyecto (18 meses)</t>
  </si>
  <si>
    <t>UTILIDAD NETA</t>
  </si>
  <si>
    <t>Margen EBITDA %</t>
  </si>
  <si>
    <t>Tir mensual</t>
  </si>
  <si>
    <t>TIR EA a 3 años</t>
  </si>
  <si>
    <t>VPN a 3 años</t>
  </si>
  <si>
    <t>ROI</t>
  </si>
  <si>
    <t>Flujo de caja</t>
  </si>
  <si>
    <t>Año 1</t>
  </si>
  <si>
    <t>Año 2</t>
  </si>
  <si>
    <t>Conclusión</t>
  </si>
  <si>
    <t>ARPU; (Ingreso Promedio por Usuario):</t>
  </si>
  <si>
    <t>LT (Tiempo de Permanencia Promedio)</t>
  </si>
  <si>
    <t>(Meses) Derivado del Churn mensual proyectado del 12%. Un estudiante promedio permanece activo cerca de 3 trimestres antes de abandonar.</t>
  </si>
  <si>
    <t>CAC (Costo de Adquisición de Clientes):</t>
  </si>
  <si>
    <t>Este costo de pauta publicitaria es altamente realista y manejable para el nicho</t>
  </si>
  <si>
    <t>LTV (Lifetime Value / Valor de Vida del Cliente):</t>
  </si>
  <si>
    <t>Relación LTV : CAC:</t>
  </si>
  <si>
    <t>Indicador de retorno de inversión de tu estrategia de crecimiento. Te dice cuántas veces recuperas el dinero que gastas en marketing y ventas para conseguir a un cliente, a lo largo de todo el tiempo que ese cliente se queda pagando en tu negocio.</t>
  </si>
  <si>
    <t>EBITDA operativo (Excluyendo pago del Préstamo)</t>
  </si>
  <si>
    <t xml:space="preserve"> La operación pura es rentable desde el primer año y expande su margen de rentabilidad operativa en más de $6$ puntos porcentuales en el Año 2.</t>
  </si>
  <si>
    <t>Utilidad Neta</t>
  </si>
  <si>
    <t>TIR</t>
  </si>
  <si>
    <t>La TIR se calcula a 3 años que es cuando se tienen utilidades netas acumuladas positivas</t>
  </si>
  <si>
    <t>VPN</t>
  </si>
  <si>
    <t>La VPN se calcula trayendo a valor actual la utilidad neta durante los 3 primeros años</t>
  </si>
  <si>
    <t>CONCLUSIONES</t>
  </si>
  <si>
    <t>Punto de Equilibrio Operativo (EBITDA Mensual &gt; 0): Se alcanza en el Mes 4 (Abril del Año 1) con una utilidad operativa de +$1.226.469 COP (con 142 alumnos activos).</t>
  </si>
  <si>
    <t>Punto de Equilibrio Neto (Ingresos &gt; Gastos + Cuota del Crédito): Se alcanza en el Mes 11 (Noviembre del Año 1) con un flujo neto de +$70.700 COP, donde los ingresos recurrentes ya cubren la operación completa más la cuota mensual del crédito ($6.037.181 COP).</t>
  </si>
  <si>
    <t>Déficit de Caja Acumulado Máximo (Peak Deficit): -$48.656.965 COP, registrado en el Mes 10 (Octubre del Año 1). Este valor representa la cantidad exacta de capital de trabajo que el negocio consume antes de volverse autosuficiente.</t>
  </si>
  <si>
    <t xml:space="preserve">Recomendaciones </t>
  </si>
  <si>
    <t>Garantizar un fondo de capital de trabajo inicial mínimo de $50 millones de COP: Dado que el déficit máximo acumulado de operación es de $-48,65 millones de COP en el Mes 10,</t>
  </si>
  <si>
    <t>Sincronizar milimétricamente las contrataciones docentes (Especialmente el 4.º profesor): El modelo financiero prevé la entrada de un 4.º profesor en Julio del Año 2 (Mes 19). La gerencia académica debe monitorear el ratio de horas programadas reales frente a la capacidad ociosa del tercer profesor. S</t>
  </si>
  <si>
    <t>Foco prioritario en la fidelización y control del Churn: Un Churn mensual del 12% es funcional pero exigente, obligando a pautar de forma constante para adquirir 40 estudiantes nuevos al mes. Reducir el Churn al $9 mensual mediante planes corporativos de permanencia o micro-tutorías preventivas elevaría los estudiantes activos acumulados en el Mes 24 por encima de los 420, catapultando la caja final libre del Año 2 a más de $35 millones de COP.</t>
  </si>
  <si>
    <t>Escenario con Churn diferente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</si>
</sst>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(&quot;$&quot;\ * #,##0_);_(&quot;$&quot;\ * \(#,##0\);_(&quot;$&quot;\ * &quot;-&quot;?_);_(@_)"/>
    <numFmt numFmtId="166" formatCode="0.0"/>
    <numFmt numFmtId="167" formatCode="0.0000"/>
    <numFmt numFmtId="168" formatCode="0.0%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5" fillId="0" borderId="0" xfId="0" applyFont="1"/>
    <xf numFmtId="0" fontId="0" fillId="2" borderId="0" xfId="0" applyFill="1"/>
    <xf numFmtId="0" fontId="6" fillId="0" borderId="0" xfId="0" applyFont="1"/>
    <xf numFmtId="10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7" xfId="1" applyNumberFormat="1" applyFont="1" applyBorder="1"/>
    <xf numFmtId="0" fontId="8" fillId="0" borderId="0" xfId="0" applyFont="1"/>
    <xf numFmtId="0" fontId="5" fillId="0" borderId="4" xfId="0" applyFont="1" applyBorder="1"/>
    <xf numFmtId="164" fontId="5" fillId="0" borderId="5" xfId="1" applyNumberFormat="1" applyFont="1" applyBorder="1"/>
    <xf numFmtId="164" fontId="0" fillId="0" borderId="5" xfId="1" applyNumberFormat="1" applyFont="1" applyBorder="1"/>
    <xf numFmtId="0" fontId="1" fillId="2" borderId="3" xfId="0" applyFont="1" applyFill="1" applyBorder="1" applyAlignment="1">
      <alignment horizontal="center"/>
    </xf>
    <xf numFmtId="164" fontId="0" fillId="0" borderId="0" xfId="1" applyNumberFormat="1" applyFont="1" applyBorder="1"/>
    <xf numFmtId="0" fontId="5" fillId="0" borderId="2" xfId="0" applyFont="1" applyBorder="1"/>
    <xf numFmtId="164" fontId="5" fillId="0" borderId="3" xfId="1" applyNumberFormat="1" applyFont="1" applyBorder="1"/>
    <xf numFmtId="10" fontId="0" fillId="0" borderId="5" xfId="0" applyNumberFormat="1" applyBorder="1"/>
    <xf numFmtId="0" fontId="6" fillId="0" borderId="4" xfId="0" applyFont="1" applyBorder="1"/>
    <xf numFmtId="164" fontId="6" fillId="0" borderId="0" xfId="1" applyNumberFormat="1" applyFont="1" applyBorder="1"/>
    <xf numFmtId="0" fontId="6" fillId="0" borderId="5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vertical="center"/>
    </xf>
    <xf numFmtId="6" fontId="0" fillId="0" borderId="5" xfId="0" applyNumberFormat="1" applyBorder="1" applyAlignment="1">
      <alignment vertical="center"/>
    </xf>
    <xf numFmtId="0" fontId="6" fillId="0" borderId="6" xfId="0" applyFont="1" applyBorder="1"/>
    <xf numFmtId="0" fontId="6" fillId="0" borderId="9" xfId="0" applyFont="1" applyBorder="1"/>
    <xf numFmtId="6" fontId="6" fillId="2" borderId="7" xfId="0" applyNumberFormat="1" applyFont="1" applyFill="1" applyBorder="1"/>
    <xf numFmtId="6" fontId="0" fillId="0" borderId="5" xfId="0" applyNumberFormat="1" applyBorder="1"/>
    <xf numFmtId="0" fontId="0" fillId="0" borderId="9" xfId="0" applyBorder="1"/>
    <xf numFmtId="6" fontId="6" fillId="2" borderId="5" xfId="1" applyNumberFormat="1" applyFont="1" applyFill="1" applyBorder="1"/>
    <xf numFmtId="0" fontId="0" fillId="2" borderId="4" xfId="0" applyFill="1" applyBorder="1"/>
    <xf numFmtId="0" fontId="0" fillId="2" borderId="5" xfId="0" applyFill="1" applyBorder="1"/>
    <xf numFmtId="0" fontId="6" fillId="2" borderId="2" xfId="0" applyFont="1" applyFill="1" applyBorder="1"/>
    <xf numFmtId="9" fontId="6" fillId="2" borderId="3" xfId="0" applyNumberFormat="1" applyFont="1" applyFill="1" applyBorder="1" applyAlignment="1">
      <alignment horizontal="center"/>
    </xf>
    <xf numFmtId="0" fontId="0" fillId="0" borderId="10" xfId="0" applyBorder="1"/>
    <xf numFmtId="0" fontId="7" fillId="0" borderId="10" xfId="0" applyFont="1" applyBorder="1"/>
    <xf numFmtId="0" fontId="6" fillId="0" borderId="10" xfId="0" applyFont="1" applyBorder="1"/>
    <xf numFmtId="0" fontId="0" fillId="3" borderId="0" xfId="0" applyFill="1"/>
    <xf numFmtId="165" fontId="6" fillId="3" borderId="1" xfId="0" applyNumberFormat="1" applyFont="1" applyFill="1" applyBorder="1" applyProtection="1">
      <protection hidden="1"/>
    </xf>
    <xf numFmtId="0" fontId="0" fillId="4" borderId="0" xfId="0" applyFill="1"/>
    <xf numFmtId="0" fontId="6" fillId="4" borderId="0" xfId="0" applyFont="1" applyFill="1"/>
    <xf numFmtId="0" fontId="1" fillId="4" borderId="11" xfId="0" applyFont="1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164" fontId="6" fillId="4" borderId="4" xfId="1" applyNumberFormat="1" applyFont="1" applyFill="1" applyBorder="1"/>
    <xf numFmtId="164" fontId="6" fillId="4" borderId="0" xfId="1" applyNumberFormat="1" applyFont="1" applyFill="1" applyBorder="1"/>
    <xf numFmtId="164" fontId="6" fillId="4" borderId="5" xfId="1" applyNumberFormat="1" applyFont="1" applyFill="1" applyBorder="1"/>
    <xf numFmtId="164" fontId="6" fillId="4" borderId="4" xfId="0" applyNumberFormat="1" applyFont="1" applyFill="1" applyBorder="1"/>
    <xf numFmtId="164" fontId="6" fillId="4" borderId="5" xfId="0" applyNumberFormat="1" applyFont="1" applyFill="1" applyBorder="1"/>
    <xf numFmtId="164" fontId="2" fillId="4" borderId="4" xfId="1" applyNumberFormat="1" applyFont="1" applyFill="1" applyBorder="1"/>
    <xf numFmtId="164" fontId="2" fillId="4" borderId="0" xfId="1" applyNumberFormat="1" applyFont="1" applyFill="1" applyBorder="1"/>
    <xf numFmtId="164" fontId="2" fillId="4" borderId="5" xfId="1" applyNumberFormat="1" applyFont="1" applyFill="1" applyBorder="1"/>
    <xf numFmtId="165" fontId="6" fillId="4" borderId="14" xfId="0" applyNumberFormat="1" applyFont="1" applyFill="1" applyBorder="1" applyProtection="1">
      <protection hidden="1"/>
    </xf>
    <xf numFmtId="165" fontId="6" fillId="4" borderId="1" xfId="0" applyNumberFormat="1" applyFont="1" applyFill="1" applyBorder="1" applyProtection="1">
      <protection hidden="1"/>
    </xf>
    <xf numFmtId="165" fontId="6" fillId="4" borderId="15" xfId="0" applyNumberFormat="1" applyFont="1" applyFill="1" applyBorder="1" applyProtection="1">
      <protection hidden="1"/>
    </xf>
    <xf numFmtId="164" fontId="0" fillId="4" borderId="4" xfId="1" applyNumberFormat="1" applyFont="1" applyFill="1" applyBorder="1"/>
    <xf numFmtId="164" fontId="0" fillId="4" borderId="0" xfId="1" applyNumberFormat="1" applyFont="1" applyFill="1" applyBorder="1"/>
    <xf numFmtId="164" fontId="0" fillId="4" borderId="5" xfId="1" applyNumberFormat="1" applyFont="1" applyFill="1" applyBorder="1"/>
    <xf numFmtId="9" fontId="0" fillId="4" borderId="6" xfId="2" applyFont="1" applyFill="1" applyBorder="1"/>
    <xf numFmtId="9" fontId="0" fillId="4" borderId="9" xfId="2" applyFont="1" applyFill="1" applyBorder="1"/>
    <xf numFmtId="9" fontId="0" fillId="4" borderId="7" xfId="2" applyFont="1" applyFill="1" applyBorder="1"/>
    <xf numFmtId="0" fontId="6" fillId="3" borderId="0" xfId="0" applyFont="1" applyFill="1"/>
    <xf numFmtId="0" fontId="5" fillId="0" borderId="4" xfId="0" applyFont="1" applyBorder="1" applyAlignment="1">
      <alignment wrapText="1"/>
    </xf>
    <xf numFmtId="164" fontId="0" fillId="0" borderId="5" xfId="1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166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5" fontId="0" fillId="0" borderId="0" xfId="2" applyNumberFormat="1" applyFont="1"/>
    <xf numFmtId="165" fontId="6" fillId="4" borderId="16" xfId="0" applyNumberFormat="1" applyFont="1" applyFill="1" applyBorder="1" applyProtection="1">
      <protection hidden="1"/>
    </xf>
    <xf numFmtId="0" fontId="0" fillId="4" borderId="0" xfId="0" applyFill="1" applyAlignment="1">
      <alignment horizontal="center"/>
    </xf>
    <xf numFmtId="0" fontId="7" fillId="4" borderId="0" xfId="0" applyFont="1" applyFill="1" applyAlignment="1">
      <alignment horizontal="center"/>
    </xf>
    <xf numFmtId="1" fontId="0" fillId="4" borderId="0" xfId="0" applyNumberFormat="1" applyFill="1" applyAlignment="1">
      <alignment horizontal="center"/>
    </xf>
    <xf numFmtId="164" fontId="6" fillId="4" borderId="0" xfId="0" applyNumberFormat="1" applyFont="1" applyFill="1"/>
    <xf numFmtId="165" fontId="6" fillId="4" borderId="17" xfId="0" applyNumberFormat="1" applyFont="1" applyFill="1" applyBorder="1" applyProtection="1">
      <protection hidden="1"/>
    </xf>
    <xf numFmtId="165" fontId="6" fillId="4" borderId="18" xfId="0" applyNumberFormat="1" applyFont="1" applyFill="1" applyBorder="1" applyProtection="1">
      <protection hidden="1"/>
    </xf>
    <xf numFmtId="0" fontId="1" fillId="3" borderId="12" xfId="0" applyFont="1" applyFill="1" applyBorder="1"/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" fontId="0" fillId="3" borderId="4" xfId="0" applyNumberForma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64" fontId="6" fillId="3" borderId="4" xfId="1" applyNumberFormat="1" applyFont="1" applyFill="1" applyBorder="1"/>
    <xf numFmtId="164" fontId="6" fillId="3" borderId="0" xfId="1" applyNumberFormat="1" applyFont="1" applyFill="1" applyBorder="1"/>
    <xf numFmtId="164" fontId="6" fillId="3" borderId="4" xfId="0" applyNumberFormat="1" applyFont="1" applyFill="1" applyBorder="1"/>
    <xf numFmtId="164" fontId="6" fillId="3" borderId="0" xfId="0" applyNumberFormat="1" applyFont="1" applyFill="1"/>
    <xf numFmtId="164" fontId="2" fillId="3" borderId="4" xfId="1" applyNumberFormat="1" applyFont="1" applyFill="1" applyBorder="1"/>
    <xf numFmtId="164" fontId="2" fillId="3" borderId="0" xfId="1" applyNumberFormat="1" applyFont="1" applyFill="1" applyBorder="1"/>
    <xf numFmtId="165" fontId="6" fillId="3" borderId="14" xfId="0" applyNumberFormat="1" applyFont="1" applyFill="1" applyBorder="1" applyProtection="1">
      <protection hidden="1"/>
    </xf>
    <xf numFmtId="164" fontId="0" fillId="3" borderId="4" xfId="1" applyNumberFormat="1" applyFont="1" applyFill="1" applyBorder="1"/>
    <xf numFmtId="164" fontId="0" fillId="3" borderId="0" xfId="1" applyNumberFormat="1" applyFont="1" applyFill="1" applyBorder="1"/>
    <xf numFmtId="9" fontId="0" fillId="3" borderId="6" xfId="2" applyFont="1" applyFill="1" applyBorder="1"/>
    <xf numFmtId="9" fontId="0" fillId="3" borderId="9" xfId="2" applyFont="1" applyFill="1" applyBorder="1"/>
    <xf numFmtId="165" fontId="6" fillId="3" borderId="17" xfId="0" applyNumberFormat="1" applyFont="1" applyFill="1" applyBorder="1" applyProtection="1">
      <protection hidden="1"/>
    </xf>
    <xf numFmtId="165" fontId="6" fillId="3" borderId="16" xfId="0" applyNumberFormat="1" applyFont="1" applyFill="1" applyBorder="1" applyProtection="1">
      <protection hidden="1"/>
    </xf>
    <xf numFmtId="165" fontId="6" fillId="4" borderId="19" xfId="0" applyNumberFormat="1" applyFont="1" applyFill="1" applyBorder="1" applyProtection="1">
      <protection hidden="1"/>
    </xf>
    <xf numFmtId="165" fontId="6" fillId="4" borderId="20" xfId="0" applyNumberFormat="1" applyFont="1" applyFill="1" applyBorder="1" applyProtection="1">
      <protection hidden="1"/>
    </xf>
    <xf numFmtId="165" fontId="6" fillId="4" borderId="21" xfId="0" applyNumberFormat="1" applyFont="1" applyFill="1" applyBorder="1" applyProtection="1">
      <protection hidden="1"/>
    </xf>
    <xf numFmtId="165" fontId="6" fillId="3" borderId="19" xfId="0" applyNumberFormat="1" applyFont="1" applyFill="1" applyBorder="1" applyProtection="1">
      <protection hidden="1"/>
    </xf>
    <xf numFmtId="165" fontId="6" fillId="3" borderId="20" xfId="0" applyNumberFormat="1" applyFont="1" applyFill="1" applyBorder="1" applyProtection="1">
      <protection hidden="1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vertical="center"/>
    </xf>
    <xf numFmtId="0" fontId="0" fillId="0" borderId="23" xfId="0" applyBorder="1"/>
    <xf numFmtId="0" fontId="7" fillId="0" borderId="0" xfId="0" applyFont="1"/>
    <xf numFmtId="167" fontId="6" fillId="0" borderId="0" xfId="0" applyNumberFormat="1" applyFont="1"/>
    <xf numFmtId="0" fontId="6" fillId="6" borderId="0" xfId="0" applyFont="1" applyFill="1"/>
    <xf numFmtId="10" fontId="6" fillId="6" borderId="0" xfId="2" applyNumberFormat="1" applyFont="1" applyFill="1"/>
    <xf numFmtId="0" fontId="0" fillId="7" borderId="0" xfId="0" applyFill="1"/>
    <xf numFmtId="0" fontId="1" fillId="7" borderId="12" xfId="0" applyFont="1" applyFill="1" applyBorder="1"/>
    <xf numFmtId="0" fontId="1" fillId="7" borderId="13" xfId="0" applyFont="1" applyFill="1" applyBorder="1"/>
    <xf numFmtId="0" fontId="0" fillId="7" borderId="0" xfId="0" applyFill="1" applyAlignment="1">
      <alignment horizontal="center"/>
    </xf>
    <xf numFmtId="0" fontId="7" fillId="7" borderId="0" xfId="0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164" fontId="6" fillId="7" borderId="22" xfId="1" applyNumberFormat="1" applyFont="1" applyFill="1" applyBorder="1"/>
    <xf numFmtId="164" fontId="6" fillId="7" borderId="5" xfId="0" applyNumberFormat="1" applyFont="1" applyFill="1" applyBorder="1"/>
    <xf numFmtId="164" fontId="2" fillId="7" borderId="5" xfId="1" applyNumberFormat="1" applyFont="1" applyFill="1" applyBorder="1"/>
    <xf numFmtId="165" fontId="6" fillId="7" borderId="15" xfId="0" applyNumberFormat="1" applyFont="1" applyFill="1" applyBorder="1" applyProtection="1">
      <protection hidden="1"/>
    </xf>
    <xf numFmtId="164" fontId="0" fillId="7" borderId="5" xfId="1" applyNumberFormat="1" applyFont="1" applyFill="1" applyBorder="1"/>
    <xf numFmtId="165" fontId="6" fillId="7" borderId="21" xfId="0" applyNumberFormat="1" applyFont="1" applyFill="1" applyBorder="1" applyProtection="1">
      <protection hidden="1"/>
    </xf>
    <xf numFmtId="165" fontId="6" fillId="7" borderId="16" xfId="0" applyNumberFormat="1" applyFont="1" applyFill="1" applyBorder="1" applyProtection="1">
      <protection hidden="1"/>
    </xf>
    <xf numFmtId="9" fontId="0" fillId="7" borderId="7" xfId="2" applyFont="1" applyFill="1" applyBorder="1"/>
    <xf numFmtId="0" fontId="0" fillId="3" borderId="26" xfId="0" applyFill="1" applyBorder="1"/>
    <xf numFmtId="0" fontId="1" fillId="3" borderId="27" xfId="0" applyFont="1" applyFill="1" applyBorder="1"/>
    <xf numFmtId="0" fontId="0" fillId="3" borderId="26" xfId="0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1" fontId="0" fillId="3" borderId="26" xfId="0" applyNumberFormat="1" applyFill="1" applyBorder="1" applyAlignment="1">
      <alignment horizontal="center"/>
    </xf>
    <xf numFmtId="164" fontId="6" fillId="3" borderId="26" xfId="1" applyNumberFormat="1" applyFont="1" applyFill="1" applyBorder="1"/>
    <xf numFmtId="164" fontId="6" fillId="3" borderId="26" xfId="0" applyNumberFormat="1" applyFont="1" applyFill="1" applyBorder="1"/>
    <xf numFmtId="164" fontId="2" fillId="3" borderId="26" xfId="1" applyNumberFormat="1" applyFont="1" applyFill="1" applyBorder="1"/>
    <xf numFmtId="165" fontId="6" fillId="3" borderId="28" xfId="0" applyNumberFormat="1" applyFont="1" applyFill="1" applyBorder="1" applyProtection="1">
      <protection hidden="1"/>
    </xf>
    <xf numFmtId="164" fontId="0" fillId="3" borderId="26" xfId="1" applyNumberFormat="1" applyFont="1" applyFill="1" applyBorder="1"/>
    <xf numFmtId="165" fontId="6" fillId="3" borderId="29" xfId="0" applyNumberFormat="1" applyFont="1" applyFill="1" applyBorder="1" applyProtection="1">
      <protection hidden="1"/>
    </xf>
    <xf numFmtId="165" fontId="6" fillId="3" borderId="30" xfId="0" applyNumberFormat="1" applyFont="1" applyFill="1" applyBorder="1" applyProtection="1">
      <protection hidden="1"/>
    </xf>
    <xf numFmtId="9" fontId="0" fillId="3" borderId="25" xfId="2" applyFont="1" applyFill="1" applyBorder="1"/>
    <xf numFmtId="164" fontId="6" fillId="0" borderId="0" xfId="1" applyNumberFormat="1" applyFont="1"/>
    <xf numFmtId="165" fontId="0" fillId="0" borderId="0" xfId="0" applyNumberFormat="1"/>
    <xf numFmtId="6" fontId="0" fillId="0" borderId="0" xfId="2" applyNumberFormat="1" applyFont="1"/>
    <xf numFmtId="6" fontId="6" fillId="7" borderId="0" xfId="2" applyNumberFormat="1" applyFont="1" applyFill="1"/>
    <xf numFmtId="0" fontId="0" fillId="8" borderId="0" xfId="0" applyFill="1"/>
    <xf numFmtId="9" fontId="0" fillId="0" borderId="0" xfId="2" applyFont="1" applyFill="1"/>
    <xf numFmtId="0" fontId="6" fillId="7" borderId="0" xfId="0" applyFont="1" applyFill="1"/>
    <xf numFmtId="0" fontId="6" fillId="8" borderId="0" xfId="0" applyFont="1" applyFill="1"/>
    <xf numFmtId="10" fontId="6" fillId="8" borderId="0" xfId="2" applyNumberFormat="1" applyFont="1" applyFill="1"/>
    <xf numFmtId="0" fontId="1" fillId="2" borderId="2" xfId="0" applyFont="1" applyFill="1" applyBorder="1" applyAlignment="1">
      <alignment horizontal="center"/>
    </xf>
    <xf numFmtId="0" fontId="1" fillId="3" borderId="11" xfId="0" applyFont="1" applyFill="1" applyBorder="1"/>
    <xf numFmtId="0" fontId="1" fillId="7" borderId="24" xfId="0" applyFont="1" applyFill="1" applyBorder="1"/>
    <xf numFmtId="0" fontId="1" fillId="0" borderId="10" xfId="0" applyFont="1" applyBorder="1"/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/>
    </xf>
    <xf numFmtId="168" fontId="0" fillId="0" borderId="0" xfId="2" applyNumberFormat="1" applyFont="1" applyAlignment="1">
      <alignment horizontal="center"/>
    </xf>
    <xf numFmtId="164" fontId="0" fillId="0" borderId="0" xfId="1" applyNumberFormat="1" applyFont="1" applyAlignment="1">
      <alignment vertical="center"/>
    </xf>
    <xf numFmtId="9" fontId="0" fillId="0" borderId="0" xfId="2" applyFont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Ingresos,</a:t>
            </a:r>
            <a:r>
              <a:rPr lang="es-CO" baseline="0"/>
              <a:t> Utilidad y Caja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Ingresos</c:v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'EscenarioConPrestamo(SI)'!$C$6:$AL$6</c:f>
              <c:numCache>
                <c:formatCode>_-"$"\ * #,##0_-;\-"$"\ * #,##0_-;_-"$"\ * "-"??_-;_-@_-</c:formatCode>
                <c:ptCount val="36"/>
                <c:pt idx="0">
                  <c:v>3260000</c:v>
                </c:pt>
                <c:pt idx="1">
                  <c:v>6128800</c:v>
                </c:pt>
                <c:pt idx="2">
                  <c:v>9468344</c:v>
                </c:pt>
                <c:pt idx="3">
                  <c:v>11592142.720000001</c:v>
                </c:pt>
                <c:pt idx="4">
                  <c:v>13461085.593599999</c:v>
                </c:pt>
                <c:pt idx="5">
                  <c:v>15105755.322368</c:v>
                </c:pt>
                <c:pt idx="6">
                  <c:v>16553064.683683841</c:v>
                </c:pt>
                <c:pt idx="7">
                  <c:v>17826696.921641778</c:v>
                </c:pt>
                <c:pt idx="8">
                  <c:v>18947493.291044764</c:v>
                </c:pt>
                <c:pt idx="9">
                  <c:v>19933794.096119393</c:v>
                </c:pt>
                <c:pt idx="10">
                  <c:v>20801738.804585069</c:v>
                </c:pt>
                <c:pt idx="11">
                  <c:v>21565530.148034863</c:v>
                </c:pt>
                <c:pt idx="12">
                  <c:v>24435826.522086918</c:v>
                </c:pt>
                <c:pt idx="13">
                  <c:v>24959127.33943649</c:v>
                </c:pt>
                <c:pt idx="14">
                  <c:v>25419632.058704112</c:v>
                </c:pt>
                <c:pt idx="15">
                  <c:v>26688776.211659618</c:v>
                </c:pt>
                <c:pt idx="16">
                  <c:v>26941723.066260464</c:v>
                </c:pt>
                <c:pt idx="17">
                  <c:v>27164316.298309207</c:v>
                </c:pt>
                <c:pt idx="18">
                  <c:v>27360198.342512105</c:v>
                </c:pt>
                <c:pt idx="19">
                  <c:v>28396474.541410651</c:v>
                </c:pt>
                <c:pt idx="20">
                  <c:v>28444497.596441377</c:v>
                </c:pt>
                <c:pt idx="21">
                  <c:v>28486757.884868409</c:v>
                </c:pt>
                <c:pt idx="22">
                  <c:v>28523946.938684199</c:v>
                </c:pt>
                <c:pt idx="23">
                  <c:v>29420573.306042094</c:v>
                </c:pt>
                <c:pt idx="24">
                  <c:v>31106446.779876065</c:v>
                </c:pt>
                <c:pt idx="25">
                  <c:v>31036609.166290939</c:v>
                </c:pt>
                <c:pt idx="26">
                  <c:v>30975152.066336021</c:v>
                </c:pt>
                <c:pt idx="27">
                  <c:v>31836803.818375699</c:v>
                </c:pt>
                <c:pt idx="28">
                  <c:v>31679323.36017061</c:v>
                </c:pt>
                <c:pt idx="29">
                  <c:v>31540740.556950137</c:v>
                </c:pt>
                <c:pt idx="30">
                  <c:v>31418787.690116122</c:v>
                </c:pt>
                <c:pt idx="31">
                  <c:v>32227203.167302191</c:v>
                </c:pt>
                <c:pt idx="32">
                  <c:v>32022874.787225924</c:v>
                </c:pt>
                <c:pt idx="33">
                  <c:v>31843065.812758818</c:v>
                </c:pt>
                <c:pt idx="34">
                  <c:v>31684833.91522776</c:v>
                </c:pt>
                <c:pt idx="35">
                  <c:v>31545589.84540043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3-4D51-A030-99123B7EA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53359"/>
        <c:axId val="43954319"/>
      </c:areaChart>
      <c:barChart>
        <c:barDir val="col"/>
        <c:grouping val="clustered"/>
        <c:varyColors val="0"/>
        <c:ser>
          <c:idx val="2"/>
          <c:order val="1"/>
          <c:tx>
            <c:v>UtilidadNeta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'EscenarioConPrestamo(SI)'!$C$17:$AL$17</c:f>
              <c:numCache>
                <c:formatCode>_("$"\ * #,##0_);_("$"\ * \(#,##0\);_("$"\ * "-"?_);_(@_)</c:formatCode>
                <c:ptCount val="36"/>
                <c:pt idx="0">
                  <c:v>-12836891</c:v>
                </c:pt>
                <c:pt idx="1">
                  <c:v>-10073435.800000001</c:v>
                </c:pt>
                <c:pt idx="2">
                  <c:v>-7201522.7239999995</c:v>
                </c:pt>
                <c:pt idx="3">
                  <c:v>-4810711.7171199992</c:v>
                </c:pt>
                <c:pt idx="4">
                  <c:v>-3010398.0310656</c:v>
                </c:pt>
                <c:pt idx="5">
                  <c:v>-1426121.987337729</c:v>
                </c:pt>
                <c:pt idx="6">
                  <c:v>-4021959.0688572004</c:v>
                </c:pt>
                <c:pt idx="7">
                  <c:v>-2795095.7005943377</c:v>
                </c:pt>
                <c:pt idx="8">
                  <c:v>-1715455.9365230165</c:v>
                </c:pt>
                <c:pt idx="9">
                  <c:v>-765372.94414025545</c:v>
                </c:pt>
                <c:pt idx="10">
                  <c:v>70700.089156579226</c:v>
                </c:pt>
                <c:pt idx="11">
                  <c:v>806444.35845779255</c:v>
                </c:pt>
                <c:pt idx="12">
                  <c:v>-1628859.015630573</c:v>
                </c:pt>
                <c:pt idx="13">
                  <c:v>-779774.25375490263</c:v>
                </c:pt>
                <c:pt idx="14">
                  <c:v>-336179.66330431402</c:v>
                </c:pt>
                <c:pt idx="15">
                  <c:v>541360.42629220337</c:v>
                </c:pt>
                <c:pt idx="16">
                  <c:v>1130018.8551371396</c:v>
                </c:pt>
                <c:pt idx="17">
                  <c:v>1344438.27252068</c:v>
                </c:pt>
                <c:pt idx="18">
                  <c:v>3383308.3598182015</c:v>
                </c:pt>
                <c:pt idx="19">
                  <c:v>4036531.6066400185</c:v>
                </c:pt>
                <c:pt idx="20">
                  <c:v>4427791.213843219</c:v>
                </c:pt>
                <c:pt idx="21">
                  <c:v>4468499.6681820303</c:v>
                </c:pt>
                <c:pt idx="22">
                  <c:v>4504323.1080001853</c:v>
                </c:pt>
                <c:pt idx="23">
                  <c:v>5023024.5850401595</c:v>
                </c:pt>
                <c:pt idx="24">
                  <c:v>5714455.635224551</c:v>
                </c:pt>
                <c:pt idx="25">
                  <c:v>5647142.1149976067</c:v>
                </c:pt>
                <c:pt idx="26">
                  <c:v>5587906.2171978876</c:v>
                </c:pt>
                <c:pt idx="27">
                  <c:v>6073415.8761341423</c:v>
                </c:pt>
                <c:pt idx="28">
                  <c:v>6266627.1269980408</c:v>
                </c:pt>
                <c:pt idx="29">
                  <c:v>6133053.0277582742</c:v>
                </c:pt>
                <c:pt idx="30">
                  <c:v>6015507.8204272836</c:v>
                </c:pt>
                <c:pt idx="31">
                  <c:v>6449705.2869760133</c:v>
                </c:pt>
                <c:pt idx="32">
                  <c:v>6597761.8085388876</c:v>
                </c:pt>
                <c:pt idx="33">
                  <c:v>6424451.5475142263</c:v>
                </c:pt>
                <c:pt idx="34">
                  <c:v>6271938.5178125203</c:v>
                </c:pt>
                <c:pt idx="35">
                  <c:v>6137727.0516750179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3-4D51-A030-99123B7EAF49}"/>
            </c:ext>
          </c:extLst>
        </c:ser>
        <c:ser>
          <c:idx val="3"/>
          <c:order val="2"/>
          <c:tx>
            <c:v>Caja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'EscenarioConPrestamo(SI)'!$C$24:$AL$24</c:f>
              <c:numCache>
                <c:formatCode>_-"$"\ * #,##0_-;\-"$"\ * #,##0_-;_-"$"\ * "-"??_-;_-@_-</c:formatCode>
                <c:ptCount val="36"/>
                <c:pt idx="0">
                  <c:v>-12836891</c:v>
                </c:pt>
                <c:pt idx="1">
                  <c:v>-22910326.800000001</c:v>
                </c:pt>
                <c:pt idx="2">
                  <c:v>-30111849.524</c:v>
                </c:pt>
                <c:pt idx="3">
                  <c:v>-34922561.241119996</c:v>
                </c:pt>
                <c:pt idx="4">
                  <c:v>-37932959.272185594</c:v>
                </c:pt>
                <c:pt idx="5">
                  <c:v>-39359081.259523325</c:v>
                </c:pt>
                <c:pt idx="6">
                  <c:v>-43381040.328380525</c:v>
                </c:pt>
                <c:pt idx="7">
                  <c:v>-46176136.028974861</c:v>
                </c:pt>
                <c:pt idx="8">
                  <c:v>-47891591.965497881</c:v>
                </c:pt>
                <c:pt idx="9">
                  <c:v>-48656964.909638137</c:v>
                </c:pt>
                <c:pt idx="10">
                  <c:v>-48586264.820481554</c:v>
                </c:pt>
                <c:pt idx="11">
                  <c:v>-47779820.462023765</c:v>
                </c:pt>
                <c:pt idx="12">
                  <c:v>-49408679.477654338</c:v>
                </c:pt>
                <c:pt idx="13">
                  <c:v>-50188453.731409237</c:v>
                </c:pt>
                <c:pt idx="14">
                  <c:v>-50524633.394713551</c:v>
                </c:pt>
                <c:pt idx="15">
                  <c:v>-49983272.968421347</c:v>
                </c:pt>
                <c:pt idx="16">
                  <c:v>-48853254.113284208</c:v>
                </c:pt>
                <c:pt idx="17">
                  <c:v>-47508815.840763524</c:v>
                </c:pt>
                <c:pt idx="18">
                  <c:v>-44125507.480945319</c:v>
                </c:pt>
                <c:pt idx="19">
                  <c:v>-40088975.8743053</c:v>
                </c:pt>
                <c:pt idx="20">
                  <c:v>-35661184.660462081</c:v>
                </c:pt>
                <c:pt idx="21">
                  <c:v>-31192684.992280051</c:v>
                </c:pt>
                <c:pt idx="22">
                  <c:v>-26688361.884279866</c:v>
                </c:pt>
                <c:pt idx="23">
                  <c:v>-21665337.299239706</c:v>
                </c:pt>
                <c:pt idx="24">
                  <c:v>-15950881.664015155</c:v>
                </c:pt>
                <c:pt idx="25">
                  <c:v>-10303739.549017549</c:v>
                </c:pt>
                <c:pt idx="26">
                  <c:v>-4715833.331819661</c:v>
                </c:pt>
                <c:pt idx="27">
                  <c:v>1357582.5443144813</c:v>
                </c:pt>
                <c:pt idx="28">
                  <c:v>7624209.6713125221</c:v>
                </c:pt>
                <c:pt idx="29">
                  <c:v>13757262.699070796</c:v>
                </c:pt>
                <c:pt idx="30">
                  <c:v>19772770.51949808</c:v>
                </c:pt>
                <c:pt idx="31">
                  <c:v>26222475.806474093</c:v>
                </c:pt>
                <c:pt idx="32">
                  <c:v>32820237.615012981</c:v>
                </c:pt>
                <c:pt idx="33">
                  <c:v>39244689.162527204</c:v>
                </c:pt>
                <c:pt idx="34">
                  <c:v>45516627.680339724</c:v>
                </c:pt>
                <c:pt idx="35">
                  <c:v>51654354.732014745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63-4D51-A030-99123B7EA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43953359"/>
        <c:axId val="43954319"/>
      </c:barChart>
      <c:catAx>
        <c:axId val="4395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4319"/>
        <c:crosses val="autoZero"/>
        <c:auto val="1"/>
        <c:lblAlgn val="ctr"/>
        <c:lblOffset val="100"/>
        <c:noMultiLvlLbl val="0"/>
      </c:catAx>
      <c:valAx>
        <c:axId val="4395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335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Ingresos,</a:t>
            </a:r>
            <a:r>
              <a:rPr lang="es-CO" baseline="0"/>
              <a:t> Utilidad y Caja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Ingresos</c:v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'EscenarioSinPrestamo(NO)'!$C$6:$AL$6</c:f>
              <c:numCache>
                <c:formatCode>_-"$"\ * #,##0_-;\-"$"\ * #,##0_-;_-"$"\ * "-"??_-;_-@_-</c:formatCode>
                <c:ptCount val="36"/>
                <c:pt idx="0">
                  <c:v>3260000</c:v>
                </c:pt>
                <c:pt idx="1">
                  <c:v>6128800</c:v>
                </c:pt>
                <c:pt idx="2">
                  <c:v>9468344</c:v>
                </c:pt>
                <c:pt idx="3">
                  <c:v>11592142.720000001</c:v>
                </c:pt>
                <c:pt idx="4">
                  <c:v>13461085.593599999</c:v>
                </c:pt>
                <c:pt idx="5">
                  <c:v>15105755.322368</c:v>
                </c:pt>
                <c:pt idx="6">
                  <c:v>16553064.683683841</c:v>
                </c:pt>
                <c:pt idx="7">
                  <c:v>17826696.921641778</c:v>
                </c:pt>
                <c:pt idx="8">
                  <c:v>18947493.291044764</c:v>
                </c:pt>
                <c:pt idx="9">
                  <c:v>19933794.096119393</c:v>
                </c:pt>
                <c:pt idx="10">
                  <c:v>20801738.804585069</c:v>
                </c:pt>
                <c:pt idx="11">
                  <c:v>21565530.148034863</c:v>
                </c:pt>
                <c:pt idx="12">
                  <c:v>24435826.522086918</c:v>
                </c:pt>
                <c:pt idx="13">
                  <c:v>24959127.33943649</c:v>
                </c:pt>
                <c:pt idx="14">
                  <c:v>25419632.058704112</c:v>
                </c:pt>
                <c:pt idx="15">
                  <c:v>26688776.211659618</c:v>
                </c:pt>
                <c:pt idx="16">
                  <c:v>26941723.066260464</c:v>
                </c:pt>
                <c:pt idx="17">
                  <c:v>27164316.298309207</c:v>
                </c:pt>
                <c:pt idx="18">
                  <c:v>27360198.342512105</c:v>
                </c:pt>
                <c:pt idx="19">
                  <c:v>28396474.541410651</c:v>
                </c:pt>
                <c:pt idx="20">
                  <c:v>28444497.596441377</c:v>
                </c:pt>
                <c:pt idx="21">
                  <c:v>28486757.884868409</c:v>
                </c:pt>
                <c:pt idx="22">
                  <c:v>28523946.938684199</c:v>
                </c:pt>
                <c:pt idx="23">
                  <c:v>29420573.306042094</c:v>
                </c:pt>
                <c:pt idx="24">
                  <c:v>31106446.779876065</c:v>
                </c:pt>
                <c:pt idx="25">
                  <c:v>31036609.166290939</c:v>
                </c:pt>
                <c:pt idx="26">
                  <c:v>30975152.066336021</c:v>
                </c:pt>
                <c:pt idx="27">
                  <c:v>31836803.818375699</c:v>
                </c:pt>
                <c:pt idx="28">
                  <c:v>31679323.36017061</c:v>
                </c:pt>
                <c:pt idx="29">
                  <c:v>31540740.556950137</c:v>
                </c:pt>
                <c:pt idx="30">
                  <c:v>31418787.690116122</c:v>
                </c:pt>
                <c:pt idx="31">
                  <c:v>32227203.167302191</c:v>
                </c:pt>
                <c:pt idx="32">
                  <c:v>32022874.787225924</c:v>
                </c:pt>
                <c:pt idx="33">
                  <c:v>31843065.812758818</c:v>
                </c:pt>
                <c:pt idx="34">
                  <c:v>31684833.91522776</c:v>
                </c:pt>
                <c:pt idx="35">
                  <c:v>31545589.84540043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D-406F-9384-EB6A9412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53359"/>
        <c:axId val="43954319"/>
      </c:areaChart>
      <c:barChart>
        <c:barDir val="col"/>
        <c:grouping val="clustered"/>
        <c:varyColors val="0"/>
        <c:ser>
          <c:idx val="2"/>
          <c:order val="1"/>
          <c:tx>
            <c:v>UtilidadNeta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'EscenarioSinPrestamo(NO)'!$C$17:$AL$17</c:f>
              <c:numCache>
                <c:formatCode>_("$"\ * #,##0_);_("$"\ * \(#,##0\);_("$"\ * "-"?_);_(@_)</c:formatCode>
                <c:ptCount val="36"/>
                <c:pt idx="0">
                  <c:v>-6799710</c:v>
                </c:pt>
                <c:pt idx="1">
                  <c:v>-4036254.8</c:v>
                </c:pt>
                <c:pt idx="2">
                  <c:v>-1164341.7239999995</c:v>
                </c:pt>
                <c:pt idx="3">
                  <c:v>1226469.2828800008</c:v>
                </c:pt>
                <c:pt idx="4">
                  <c:v>3026782.9689344</c:v>
                </c:pt>
                <c:pt idx="5">
                  <c:v>4611059.012662271</c:v>
                </c:pt>
                <c:pt idx="6">
                  <c:v>2015221.9311427996</c:v>
                </c:pt>
                <c:pt idx="7">
                  <c:v>3242085.2994056623</c:v>
                </c:pt>
                <c:pt idx="8">
                  <c:v>4321725.0634769835</c:v>
                </c:pt>
                <c:pt idx="9">
                  <c:v>5271808.0558597445</c:v>
                </c:pt>
                <c:pt idx="10">
                  <c:v>6107881.0891565792</c:v>
                </c:pt>
                <c:pt idx="11">
                  <c:v>6843625.3584577926</c:v>
                </c:pt>
                <c:pt idx="12">
                  <c:v>4408321.984369427</c:v>
                </c:pt>
                <c:pt idx="13">
                  <c:v>5257406.7462450974</c:v>
                </c:pt>
                <c:pt idx="14">
                  <c:v>5701001.336695686</c:v>
                </c:pt>
                <c:pt idx="15">
                  <c:v>6578541.4262922034</c:v>
                </c:pt>
                <c:pt idx="16">
                  <c:v>7167199.8551371396</c:v>
                </c:pt>
                <c:pt idx="17">
                  <c:v>7381619.27252068</c:v>
                </c:pt>
                <c:pt idx="18">
                  <c:v>3383308.3598182015</c:v>
                </c:pt>
                <c:pt idx="19">
                  <c:v>4036531.6066400185</c:v>
                </c:pt>
                <c:pt idx="20">
                  <c:v>4427791.213843219</c:v>
                </c:pt>
                <c:pt idx="21">
                  <c:v>4468499.6681820303</c:v>
                </c:pt>
                <c:pt idx="22">
                  <c:v>4504323.1080001853</c:v>
                </c:pt>
                <c:pt idx="23">
                  <c:v>5023024.5850401595</c:v>
                </c:pt>
                <c:pt idx="24">
                  <c:v>5714455.635224551</c:v>
                </c:pt>
                <c:pt idx="25">
                  <c:v>5647142.1149976067</c:v>
                </c:pt>
                <c:pt idx="26">
                  <c:v>5587906.2171978876</c:v>
                </c:pt>
                <c:pt idx="27">
                  <c:v>6073415.8761341423</c:v>
                </c:pt>
                <c:pt idx="28">
                  <c:v>6266627.1269980408</c:v>
                </c:pt>
                <c:pt idx="29">
                  <c:v>6133053.0277582742</c:v>
                </c:pt>
                <c:pt idx="30">
                  <c:v>6015507.8204272836</c:v>
                </c:pt>
                <c:pt idx="31">
                  <c:v>6449705.2869760133</c:v>
                </c:pt>
                <c:pt idx="32">
                  <c:v>6597761.8085388876</c:v>
                </c:pt>
                <c:pt idx="33">
                  <c:v>6424451.5475142263</c:v>
                </c:pt>
                <c:pt idx="34">
                  <c:v>6271938.5178125203</c:v>
                </c:pt>
                <c:pt idx="35">
                  <c:v>6137727.0516750179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D-406F-9384-EB6A9412F1BD}"/>
            </c:ext>
          </c:extLst>
        </c:ser>
        <c:ser>
          <c:idx val="3"/>
          <c:order val="2"/>
          <c:tx>
            <c:v>Caja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'EscenarioSinPrestamo(NO)'!$C$24:$AL$24</c:f>
              <c:numCache>
                <c:formatCode>_-"$"\ * #,##0_-;\-"$"\ * #,##0_-;_-"$"\ * "-"??_-;_-@_-</c:formatCode>
                <c:ptCount val="36"/>
                <c:pt idx="0">
                  <c:v>-6799710</c:v>
                </c:pt>
                <c:pt idx="1">
                  <c:v>-10835964.800000001</c:v>
                </c:pt>
                <c:pt idx="2">
                  <c:v>-12000306.524</c:v>
                </c:pt>
                <c:pt idx="3">
                  <c:v>-10773837.241119999</c:v>
                </c:pt>
                <c:pt idx="4">
                  <c:v>-7747054.2721855994</c:v>
                </c:pt>
                <c:pt idx="5">
                  <c:v>-3135995.2595233284</c:v>
                </c:pt>
                <c:pt idx="6">
                  <c:v>-1120773.3283805288</c:v>
                </c:pt>
                <c:pt idx="7">
                  <c:v>2121311.9710251335</c:v>
                </c:pt>
                <c:pt idx="8">
                  <c:v>6443037.034502117</c:v>
                </c:pt>
                <c:pt idx="9">
                  <c:v>11714845.090361862</c:v>
                </c:pt>
                <c:pt idx="10">
                  <c:v>17822726.179518439</c:v>
                </c:pt>
                <c:pt idx="11">
                  <c:v>24666351.537976231</c:v>
                </c:pt>
                <c:pt idx="12">
                  <c:v>29074673.522345658</c:v>
                </c:pt>
                <c:pt idx="13">
                  <c:v>34332080.268590756</c:v>
                </c:pt>
                <c:pt idx="14">
                  <c:v>40033081.605286442</c:v>
                </c:pt>
                <c:pt idx="15">
                  <c:v>46611623.031578645</c:v>
                </c:pt>
                <c:pt idx="16">
                  <c:v>53778822.886715785</c:v>
                </c:pt>
                <c:pt idx="17">
                  <c:v>61160442.159236461</c:v>
                </c:pt>
                <c:pt idx="18">
                  <c:v>64543750.519054666</c:v>
                </c:pt>
                <c:pt idx="19">
                  <c:v>68580282.125694692</c:v>
                </c:pt>
                <c:pt idx="20">
                  <c:v>73008073.339537919</c:v>
                </c:pt>
                <c:pt idx="21">
                  <c:v>77476573.007719949</c:v>
                </c:pt>
                <c:pt idx="22">
                  <c:v>81980896.115720138</c:v>
                </c:pt>
                <c:pt idx="23">
                  <c:v>87003920.700760305</c:v>
                </c:pt>
                <c:pt idx="24">
                  <c:v>92718376.335984856</c:v>
                </c:pt>
                <c:pt idx="25">
                  <c:v>98365518.450982466</c:v>
                </c:pt>
                <c:pt idx="26">
                  <c:v>103953424.66818035</c:v>
                </c:pt>
                <c:pt idx="27">
                  <c:v>110026840.54431449</c:v>
                </c:pt>
                <c:pt idx="28">
                  <c:v>116293467.67131253</c:v>
                </c:pt>
                <c:pt idx="29">
                  <c:v>122426520.6990708</c:v>
                </c:pt>
                <c:pt idx="30">
                  <c:v>128442028.51949808</c:v>
                </c:pt>
                <c:pt idx="31">
                  <c:v>134891733.80647409</c:v>
                </c:pt>
                <c:pt idx="32">
                  <c:v>141489495.61501297</c:v>
                </c:pt>
                <c:pt idx="33">
                  <c:v>147913947.1625272</c:v>
                </c:pt>
                <c:pt idx="34">
                  <c:v>154185885.68033972</c:v>
                </c:pt>
                <c:pt idx="35">
                  <c:v>160323612.73201475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D-406F-9384-EB6A9412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43953359"/>
        <c:axId val="43954319"/>
      </c:barChart>
      <c:catAx>
        <c:axId val="4395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4319"/>
        <c:crosses val="autoZero"/>
        <c:auto val="1"/>
        <c:lblAlgn val="ctr"/>
        <c:lblOffset val="100"/>
        <c:noMultiLvlLbl val="0"/>
      </c:catAx>
      <c:valAx>
        <c:axId val="4395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335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Ingresos,</a:t>
            </a:r>
            <a:r>
              <a:rPr lang="es-CO" baseline="0"/>
              <a:t> Utilidad y Caja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Ingresos</c:v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'ChurnElevadoal15(NO)'!$C$6:$AL$6</c:f>
              <c:numCache>
                <c:formatCode>_-"$"\ * #,##0_-;\-"$"\ * #,##0_-;_-"$"\ * "-"??_-;_-@_-</c:formatCode>
                <c:ptCount val="36"/>
                <c:pt idx="0">
                  <c:v>3260000</c:v>
                </c:pt>
                <c:pt idx="1">
                  <c:v>6031000</c:v>
                </c:pt>
                <c:pt idx="2">
                  <c:v>9201350</c:v>
                </c:pt>
                <c:pt idx="3">
                  <c:v>11081147.5</c:v>
                </c:pt>
                <c:pt idx="4">
                  <c:v>12678975.374999998</c:v>
                </c:pt>
                <c:pt idx="5">
                  <c:v>14037129.068749998</c:v>
                </c:pt>
                <c:pt idx="6">
                  <c:v>15191559.708437497</c:v>
                </c:pt>
                <c:pt idx="7">
                  <c:v>16172825.752171872</c:v>
                </c:pt>
                <c:pt idx="8">
                  <c:v>17006901.889346093</c:v>
                </c:pt>
                <c:pt idx="9">
                  <c:v>17715866.605944179</c:v>
                </c:pt>
                <c:pt idx="10">
                  <c:v>18318486.615052551</c:v>
                </c:pt>
                <c:pt idx="11">
                  <c:v>18830713.622794669</c:v>
                </c:pt>
                <c:pt idx="12">
                  <c:v>21285972.974137995</c:v>
                </c:pt>
                <c:pt idx="13">
                  <c:v>21548677.028017294</c:v>
                </c:pt>
                <c:pt idx="14">
                  <c:v>21771975.4738147</c:v>
                </c:pt>
                <c:pt idx="15">
                  <c:v>22825679.152742494</c:v>
                </c:pt>
                <c:pt idx="16">
                  <c:v>22857427.279831119</c:v>
                </c:pt>
                <c:pt idx="17">
                  <c:v>22884413.187856451</c:v>
                </c:pt>
                <c:pt idx="18">
                  <c:v>22907351.209677983</c:v>
                </c:pt>
                <c:pt idx="19">
                  <c:v>23790748.528226286</c:v>
                </c:pt>
                <c:pt idx="20">
                  <c:v>23677736.248992343</c:v>
                </c:pt>
                <c:pt idx="21">
                  <c:v>23581675.811643489</c:v>
                </c:pt>
                <c:pt idx="22">
                  <c:v>23500024.439896967</c:v>
                </c:pt>
                <c:pt idx="23">
                  <c:v>24294520.773912419</c:v>
                </c:pt>
                <c:pt idx="24">
                  <c:v>25552299.217295095</c:v>
                </c:pt>
                <c:pt idx="25">
                  <c:v>25382390.334700827</c:v>
                </c:pt>
                <c:pt idx="26">
                  <c:v>25237967.784495704</c:v>
                </c:pt>
                <c:pt idx="27">
                  <c:v>26030942.616821349</c:v>
                </c:pt>
                <c:pt idx="28">
                  <c:v>25789237.224298149</c:v>
                </c:pt>
                <c:pt idx="29">
                  <c:v>25583787.640653431</c:v>
                </c:pt>
                <c:pt idx="30">
                  <c:v>25409155.49455541</c:v>
                </c:pt>
                <c:pt idx="31">
                  <c:v>26176452.170372102</c:v>
                </c:pt>
                <c:pt idx="32">
                  <c:v>25912920.344816279</c:v>
                </c:pt>
                <c:pt idx="33">
                  <c:v>25688918.293093838</c:v>
                </c:pt>
                <c:pt idx="34">
                  <c:v>25498516.549129758</c:v>
                </c:pt>
                <c:pt idx="35">
                  <c:v>25336675.066760294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E-4FBF-94AD-9CBCF1B00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53359"/>
        <c:axId val="43954319"/>
      </c:areaChart>
      <c:barChart>
        <c:barDir val="col"/>
        <c:grouping val="clustered"/>
        <c:varyColors val="0"/>
        <c:ser>
          <c:idx val="2"/>
          <c:order val="1"/>
          <c:tx>
            <c:v>UtilidadNeta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'ChurnElevadoal15(NO)'!$C$17:$AL$17</c:f>
              <c:numCache>
                <c:formatCode>_("$"\ * #,##0_);_("$"\ * \(#,##0\);_("$"\ * "-"?_);_(@_)</c:formatCode>
                <c:ptCount val="36"/>
                <c:pt idx="0">
                  <c:v>-12836891</c:v>
                </c:pt>
                <c:pt idx="1">
                  <c:v>-10167644.5</c:v>
                </c:pt>
                <c:pt idx="2">
                  <c:v>-7458712.4749999996</c:v>
                </c:pt>
                <c:pt idx="3">
                  <c:v>-5302942.7537500001</c:v>
                </c:pt>
                <c:pt idx="4">
                  <c:v>-3763788.4906875025</c:v>
                </c:pt>
                <c:pt idx="5">
                  <c:v>-2455507.3670843765</c:v>
                </c:pt>
                <c:pt idx="6">
                  <c:v>-5333468.4120217226</c:v>
                </c:pt>
                <c:pt idx="7">
                  <c:v>-4388235.3002184629</c:v>
                </c:pt>
                <c:pt idx="8">
                  <c:v>-3584787.155185692</c:v>
                </c:pt>
                <c:pt idx="9">
                  <c:v>-2901856.231907839</c:v>
                </c:pt>
                <c:pt idx="10">
                  <c:v>-2321364.9471216649</c:v>
                </c:pt>
                <c:pt idx="11">
                  <c:v>-1827947.3550534137</c:v>
                </c:pt>
                <c:pt idx="12">
                  <c:v>-4663047.235903129</c:v>
                </c:pt>
                <c:pt idx="13">
                  <c:v>-4064989.9005176611</c:v>
                </c:pt>
                <c:pt idx="14">
                  <c:v>-3849891.1654400118</c:v>
                </c:pt>
                <c:pt idx="15">
                  <c:v>-3179880.3906240091</c:v>
                </c:pt>
                <c:pt idx="16">
                  <c:v>-2804298.0820304081</c:v>
                </c:pt>
                <c:pt idx="17">
                  <c:v>-2778303.1197258495</c:v>
                </c:pt>
                <c:pt idx="18">
                  <c:v>-906026.40176697075</c:v>
                </c:pt>
                <c:pt idx="19">
                  <c:v>-400068.19150192663</c:v>
                </c:pt>
                <c:pt idx="20">
                  <c:v>-163930.56277663633</c:v>
                </c:pt>
                <c:pt idx="21">
                  <c:v>-256463.57836014405</c:v>
                </c:pt>
                <c:pt idx="22">
                  <c:v>-335116.64160612226</c:v>
                </c:pt>
                <c:pt idx="23">
                  <c:v>85205.104634795338</c:v>
                </c:pt>
                <c:pt idx="24">
                  <c:v>361047.84958317131</c:v>
                </c:pt>
                <c:pt idx="25">
                  <c:v>197279.86814569309</c:v>
                </c:pt>
                <c:pt idx="26">
                  <c:v>58077.083923839033</c:v>
                </c:pt>
                <c:pt idx="27">
                  <c:v>477391.9663352631</c:v>
                </c:pt>
                <c:pt idx="28">
                  <c:v>589422.36738497764</c:v>
                </c:pt>
                <c:pt idx="29">
                  <c:v>391398.20827723294</c:v>
                </c:pt>
                <c:pt idx="30">
                  <c:v>223077.67303564399</c:v>
                </c:pt>
                <c:pt idx="31">
                  <c:v>617642.46708030254</c:v>
                </c:pt>
                <c:pt idx="32">
                  <c:v>708635.29301824793</c:v>
                </c:pt>
                <c:pt idx="33">
                  <c:v>492729.19506551325</c:v>
                </c:pt>
                <c:pt idx="34">
                  <c:v>309209.01180567965</c:v>
                </c:pt>
                <c:pt idx="35">
                  <c:v>153216.85603483021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E-4FBF-94AD-9CBCF1B003B9}"/>
            </c:ext>
          </c:extLst>
        </c:ser>
        <c:ser>
          <c:idx val="3"/>
          <c:order val="2"/>
          <c:tx>
            <c:v>Caja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'ChurnElevadoal15(NO)'!$C$24:$AL$24</c:f>
              <c:numCache>
                <c:formatCode>_-"$"\ * #,##0_-;\-"$"\ * #,##0_-;_-"$"\ * "-"??_-;_-@_-</c:formatCode>
                <c:ptCount val="36"/>
                <c:pt idx="0">
                  <c:v>-12836891</c:v>
                </c:pt>
                <c:pt idx="1">
                  <c:v>-23004535.5</c:v>
                </c:pt>
                <c:pt idx="2">
                  <c:v>-30463247.975000001</c:v>
                </c:pt>
                <c:pt idx="3">
                  <c:v>-35766190.728750005</c:v>
                </c:pt>
                <c:pt idx="4">
                  <c:v>-39529979.21943751</c:v>
                </c:pt>
                <c:pt idx="5">
                  <c:v>-41985486.586521886</c:v>
                </c:pt>
                <c:pt idx="6">
                  <c:v>-47318954.998543605</c:v>
                </c:pt>
                <c:pt idx="7">
                  <c:v>-51707190.298762068</c:v>
                </c:pt>
                <c:pt idx="8">
                  <c:v>-55291977.45394776</c:v>
                </c:pt>
                <c:pt idx="9">
                  <c:v>-58193833.685855597</c:v>
                </c:pt>
                <c:pt idx="10">
                  <c:v>-60515198.632977262</c:v>
                </c:pt>
                <c:pt idx="11">
                  <c:v>-62343145.988030672</c:v>
                </c:pt>
                <c:pt idx="12">
                  <c:v>-67006193.223933801</c:v>
                </c:pt>
                <c:pt idx="13">
                  <c:v>-71071183.124451458</c:v>
                </c:pt>
                <c:pt idx="14">
                  <c:v>-74921074.289891466</c:v>
                </c:pt>
                <c:pt idx="15">
                  <c:v>-78100954.680515468</c:v>
                </c:pt>
                <c:pt idx="16">
                  <c:v>-80905252.762545884</c:v>
                </c:pt>
                <c:pt idx="17">
                  <c:v>-83683555.882271737</c:v>
                </c:pt>
                <c:pt idx="18">
                  <c:v>-84589582.284038708</c:v>
                </c:pt>
                <c:pt idx="19">
                  <c:v>-84989650.475540638</c:v>
                </c:pt>
                <c:pt idx="20">
                  <c:v>-85153581.038317278</c:v>
                </c:pt>
                <c:pt idx="21">
                  <c:v>-85410044.616677418</c:v>
                </c:pt>
                <c:pt idx="22">
                  <c:v>-85745161.258283541</c:v>
                </c:pt>
                <c:pt idx="23">
                  <c:v>-85659956.153648749</c:v>
                </c:pt>
                <c:pt idx="24">
                  <c:v>-85298908.304065585</c:v>
                </c:pt>
                <c:pt idx="25">
                  <c:v>-85101628.435919896</c:v>
                </c:pt>
                <c:pt idx="26">
                  <c:v>-85043551.351996064</c:v>
                </c:pt>
                <c:pt idx="27">
                  <c:v>-84566159.385660797</c:v>
                </c:pt>
                <c:pt idx="28">
                  <c:v>-83976737.018275827</c:v>
                </c:pt>
                <c:pt idx="29">
                  <c:v>-83585338.809998602</c:v>
                </c:pt>
                <c:pt idx="30">
                  <c:v>-83362261.13696295</c:v>
                </c:pt>
                <c:pt idx="31">
                  <c:v>-82744618.669882655</c:v>
                </c:pt>
                <c:pt idx="32">
                  <c:v>-82035983.376864403</c:v>
                </c:pt>
                <c:pt idx="33">
                  <c:v>-81543254.18179889</c:v>
                </c:pt>
                <c:pt idx="34">
                  <c:v>-81234045.169993207</c:v>
                </c:pt>
                <c:pt idx="35">
                  <c:v>-81080828.313958377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E-4FBF-94AD-9CBCF1B00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43953359"/>
        <c:axId val="43954319"/>
      </c:barChart>
      <c:catAx>
        <c:axId val="4395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4319"/>
        <c:crosses val="autoZero"/>
        <c:auto val="1"/>
        <c:lblAlgn val="ctr"/>
        <c:lblOffset val="100"/>
        <c:noMultiLvlLbl val="0"/>
      </c:catAx>
      <c:valAx>
        <c:axId val="4395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5335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16</xdr:row>
      <xdr:rowOff>60960</xdr:rowOff>
    </xdr:from>
    <xdr:to>
      <xdr:col>10</xdr:col>
      <xdr:colOff>304800</xdr:colOff>
      <xdr:row>28</xdr:row>
      <xdr:rowOff>7620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B69C453-746A-4C86-87DB-EFB253FD98B4}"/>
            </a:ext>
          </a:extLst>
        </xdr:cNvPr>
        <xdr:cNvSpPr txBox="1"/>
      </xdr:nvSpPr>
      <xdr:spPr>
        <a:xfrm>
          <a:off x="1181100" y="2987040"/>
          <a:ext cx="8702040" cy="2141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/>
            <a:t>Hoy no estamos presentando solo una academia de idiomas, estamos presentando un modelo escalable de educación digital.</a:t>
          </a:r>
        </a:p>
        <a:p>
          <a:r>
            <a:rPr lang="es-CO"/>
            <a:t>Nuestro enfoque no es vender cursos tradicionales, sino crear una plataforma que combina aprendizaje práctico, tecnología y flexibilidad.</a:t>
          </a:r>
        </a:p>
        <a:p>
          <a:r>
            <a:rPr lang="es-CO"/>
            <a:t>Construimos un modelo financiero basado en métricas reales del mercado:</a:t>
          </a:r>
        </a:p>
        <a:p>
          <a:r>
            <a:rPr lang="es-CO"/>
            <a:t>Adquirimos usuarios a través de canales digitales, convertimos aproximadamente un 5% a pago y gestionamos un churn mensual del 8%.</a:t>
          </a:r>
        </a:p>
        <a:p>
          <a:r>
            <a:rPr lang="es-CO"/>
            <a:t>Esto nos permite construir una base de ingresos recurrentes, donde cada usuario genera valor a lo largo del tiempo.</a:t>
          </a:r>
        </a:p>
        <a:p>
          <a:r>
            <a:rPr lang="es-CO"/>
            <a:t>Nuestro modelo muestra que podemos alcanzar rentabilidad en los primeros meses, con un punto de equilibrio alcanzable gracias a una estructura de costos eficiente.</a:t>
          </a:r>
        </a:p>
        <a:p>
          <a:r>
            <a:rPr lang="es-CO"/>
            <a:t>Sin embargo, somos conscientes de que el principal reto no está en el producto, sino en la adquisición de clientes.</a:t>
          </a:r>
        </a:p>
        <a:p>
          <a:r>
            <a:rPr lang="es-CO"/>
            <a:t>Por eso, nuestra estrategia se enfoca en optimizar el CAC, mejorar la retención y escalar a través de tecnología.</a:t>
          </a:r>
        </a:p>
        <a:p>
          <a:r>
            <a:rPr lang="es-CO"/>
            <a:t>Linguaflow no es solo una academia, es un modelo de negocio tipo SaaS educativo, con alto potencial de crecimiento y escalabilidad.”</a:t>
          </a:r>
        </a:p>
        <a:p>
          <a:r>
            <a:rPr lang="es-CO" b="1"/>
            <a:t>“No estamos validando si enseñar idiomas funciona, estamos validando si podemos escalarlo de forma rentable.”</a:t>
          </a:r>
          <a:endParaRPr lang="es-CO"/>
        </a:p>
        <a:p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50</xdr:row>
      <xdr:rowOff>114927</xdr:rowOff>
    </xdr:from>
    <xdr:to>
      <xdr:col>10</xdr:col>
      <xdr:colOff>468258</xdr:colOff>
      <xdr:row>72</xdr:row>
      <xdr:rowOff>57841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47C38F-F398-B274-1423-28996B20D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4" y="10192377"/>
          <a:ext cx="9174109" cy="4133914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9</xdr:row>
      <xdr:rowOff>38628</xdr:rowOff>
    </xdr:from>
    <xdr:to>
      <xdr:col>16</xdr:col>
      <xdr:colOff>363507</xdr:colOff>
      <xdr:row>23</xdr:row>
      <xdr:rowOff>115183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037805-A347-78FF-C6A6-21475127F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715028"/>
          <a:ext cx="4868832" cy="27626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31749</xdr:colOff>
      <xdr:row>26</xdr:row>
      <xdr:rowOff>125938</xdr:rowOff>
    </xdr:from>
    <xdr:to>
      <xdr:col>13</xdr:col>
      <xdr:colOff>31749</xdr:colOff>
      <xdr:row>49</xdr:row>
      <xdr:rowOff>10582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87D956-3BE9-7187-3D1A-24BB6304D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114300</xdr:rowOff>
    </xdr:to>
    <xdr:sp macro="" textlink="">
      <xdr:nvSpPr>
        <xdr:cNvPr id="7169" name="AutoShape 1">
          <a:extLst>
            <a:ext uri="{FF2B5EF4-FFF2-40B4-BE49-F238E27FC236}">
              <a16:creationId xmlns:a16="http://schemas.microsoft.com/office/drawing/2014/main" id="{A0544156-770A-9367-13DC-211888DA3B67}"/>
            </a:ext>
          </a:extLst>
        </xdr:cNvPr>
        <xdr:cNvSpPr>
          <a:spLocks noChangeAspect="1" noChangeArrowheads="1"/>
        </xdr:cNvSpPr>
      </xdr:nvSpPr>
      <xdr:spPr bwMode="auto">
        <a:xfrm>
          <a:off x="4905375" y="413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66675</xdr:colOff>
      <xdr:row>0</xdr:row>
      <xdr:rowOff>80962</xdr:rowOff>
    </xdr:from>
    <xdr:to>
      <xdr:col>12</xdr:col>
      <xdr:colOff>573627</xdr:colOff>
      <xdr:row>12</xdr:row>
      <xdr:rowOff>58213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2A9F58-1EE3-F819-860C-1D4FA404B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80962"/>
          <a:ext cx="6602952" cy="3301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0</xdr:rowOff>
    </xdr:from>
    <xdr:to>
      <xdr:col>13</xdr:col>
      <xdr:colOff>0</xdr:colOff>
      <xdr:row>48</xdr:row>
      <xdr:rowOff>75144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08148D-50C0-4AFB-97DA-B6DF0A277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31749</xdr:colOff>
      <xdr:row>26</xdr:row>
      <xdr:rowOff>125938</xdr:rowOff>
    </xdr:from>
    <xdr:to>
      <xdr:col>13</xdr:col>
      <xdr:colOff>31749</xdr:colOff>
      <xdr:row>49</xdr:row>
      <xdr:rowOff>10582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590B64-6DC4-4D4E-998E-2775EFEFA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4AC4-F42D-43E5-B897-B8ECD5ED8D31}">
  <dimension ref="A1:H16"/>
  <sheetViews>
    <sheetView workbookViewId="0">
      <selection activeCell="B2" sqref="B2"/>
    </sheetView>
  </sheetViews>
  <sheetFormatPr baseColWidth="10" defaultColWidth="8.88671875" defaultRowHeight="14.4" x14ac:dyDescent="0.3"/>
  <cols>
    <col min="1" max="1" width="11.88671875" bestFit="1" customWidth="1"/>
    <col min="2" max="2" width="14.88671875" bestFit="1" customWidth="1"/>
    <col min="3" max="3" width="20.44140625" bestFit="1" customWidth="1"/>
    <col min="4" max="4" width="20.109375" bestFit="1" customWidth="1"/>
    <col min="5" max="7" width="15.441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>
        <v>1</v>
      </c>
      <c r="B2" t="e">
        <f>#REF!</f>
        <v>#REF!</v>
      </c>
      <c r="C2" t="e">
        <f>B2*#REF!</f>
        <v>#REF!</v>
      </c>
      <c r="D2" t="e">
        <f>C2</f>
        <v>#REF!</v>
      </c>
      <c r="E2" s="3" t="e">
        <f>D2*#REF!</f>
        <v>#REF!</v>
      </c>
      <c r="F2" s="3" t="e">
        <f>B2*#REF!</f>
        <v>#REF!</v>
      </c>
      <c r="G2" s="3" t="e">
        <f>E2-F2-#REF!</f>
        <v>#REF!</v>
      </c>
    </row>
    <row r="3" spans="1:8" x14ac:dyDescent="0.3">
      <c r="A3">
        <v>2</v>
      </c>
      <c r="B3" t="e">
        <f>#REF!</f>
        <v>#REF!</v>
      </c>
      <c r="C3" t="e">
        <f>B3*#REF!</f>
        <v>#REF!</v>
      </c>
      <c r="D3" t="e">
        <f>D2*(1-#REF!)+C3</f>
        <v>#REF!</v>
      </c>
      <c r="E3" s="3" t="e">
        <f>D3*#REF!</f>
        <v>#REF!</v>
      </c>
      <c r="F3" s="3" t="e">
        <f>B3*#REF!</f>
        <v>#REF!</v>
      </c>
      <c r="G3" s="3" t="e">
        <f>E3-F3-#REF!</f>
        <v>#REF!</v>
      </c>
    </row>
    <row r="4" spans="1:8" x14ac:dyDescent="0.3">
      <c r="A4">
        <v>3</v>
      </c>
      <c r="B4">
        <v>1200</v>
      </c>
      <c r="C4" t="e">
        <f>B4*#REF!</f>
        <v>#REF!</v>
      </c>
      <c r="D4" s="2" t="e">
        <f>D3*(1-#REF!)+C4</f>
        <v>#REF!</v>
      </c>
      <c r="E4" s="3" t="e">
        <f>D4*#REF!</f>
        <v>#REF!</v>
      </c>
      <c r="F4" s="3" t="e">
        <f>B4*#REF!</f>
        <v>#REF!</v>
      </c>
      <c r="G4" s="3" t="e">
        <f>E4-F4-#REF!</f>
        <v>#REF!</v>
      </c>
      <c r="H4" t="s">
        <v>7</v>
      </c>
    </row>
    <row r="5" spans="1:8" x14ac:dyDescent="0.3">
      <c r="A5">
        <v>4</v>
      </c>
      <c r="B5">
        <v>800</v>
      </c>
      <c r="C5" t="e">
        <f>B5*#REF!</f>
        <v>#REF!</v>
      </c>
      <c r="D5" s="2" t="e">
        <f>D4*(1-#REF!)+C5</f>
        <v>#REF!</v>
      </c>
      <c r="E5" s="3" t="e">
        <f>D5*#REF!</f>
        <v>#REF!</v>
      </c>
      <c r="F5" s="3" t="e">
        <f>B5*#REF!</f>
        <v>#REF!</v>
      </c>
      <c r="G5" s="3" t="e">
        <f>E5-F5-#REF!</f>
        <v>#REF!</v>
      </c>
    </row>
    <row r="6" spans="1:8" x14ac:dyDescent="0.3">
      <c r="A6">
        <v>5</v>
      </c>
      <c r="B6" t="e">
        <f>#REF!</f>
        <v>#REF!</v>
      </c>
      <c r="C6" t="e">
        <f>B6*#REF!</f>
        <v>#REF!</v>
      </c>
      <c r="D6" s="2" t="e">
        <f>D5*(1-#REF!)+C6</f>
        <v>#REF!</v>
      </c>
      <c r="E6" s="3" t="e">
        <f>D6*#REF!</f>
        <v>#REF!</v>
      </c>
      <c r="F6" s="3" t="e">
        <f>B6*#REF!</f>
        <v>#REF!</v>
      </c>
      <c r="G6" s="3" t="e">
        <f>E6-F6-#REF!</f>
        <v>#REF!</v>
      </c>
    </row>
    <row r="7" spans="1:8" x14ac:dyDescent="0.3">
      <c r="A7">
        <v>6</v>
      </c>
      <c r="B7">
        <v>1200</v>
      </c>
      <c r="C7" t="e">
        <f>B7*#REF!</f>
        <v>#REF!</v>
      </c>
      <c r="D7" s="2" t="e">
        <f>D6*(1-#REF!)+C7</f>
        <v>#REF!</v>
      </c>
      <c r="E7" s="3" t="e">
        <f>D7*#REF!</f>
        <v>#REF!</v>
      </c>
      <c r="F7" s="3" t="e">
        <f>B7*#REF!</f>
        <v>#REF!</v>
      </c>
      <c r="G7" s="3" t="e">
        <f>E7-F7-#REF!</f>
        <v>#REF!</v>
      </c>
      <c r="H7" t="s">
        <v>7</v>
      </c>
    </row>
    <row r="8" spans="1:8" x14ac:dyDescent="0.3">
      <c r="A8">
        <v>7</v>
      </c>
      <c r="B8" t="e">
        <f>#REF!</f>
        <v>#REF!</v>
      </c>
      <c r="C8" t="e">
        <f>B8*#REF!</f>
        <v>#REF!</v>
      </c>
      <c r="D8" s="2" t="e">
        <f>D7*(1-#REF!)+C8</f>
        <v>#REF!</v>
      </c>
      <c r="E8" s="3" t="e">
        <f>D8*#REF!</f>
        <v>#REF!</v>
      </c>
      <c r="F8" s="3" t="e">
        <f>B8*#REF!</f>
        <v>#REF!</v>
      </c>
      <c r="G8" s="3" t="e">
        <f>E8-F8-#REF!</f>
        <v>#REF!</v>
      </c>
    </row>
    <row r="9" spans="1:8" x14ac:dyDescent="0.3">
      <c r="A9">
        <v>8</v>
      </c>
      <c r="B9">
        <v>800</v>
      </c>
      <c r="C9" t="e">
        <f>B9*#REF!</f>
        <v>#REF!</v>
      </c>
      <c r="D9" s="2" t="e">
        <f>D8*(1-#REF!)+C9</f>
        <v>#REF!</v>
      </c>
      <c r="E9" s="3" t="e">
        <f>D9*#REF!</f>
        <v>#REF!</v>
      </c>
      <c r="F9" s="3" t="e">
        <f>B9*#REF!</f>
        <v>#REF!</v>
      </c>
      <c r="G9" s="3" t="e">
        <f>E9-F9-#REF!</f>
        <v>#REF!</v>
      </c>
    </row>
    <row r="10" spans="1:8" x14ac:dyDescent="0.3">
      <c r="A10">
        <v>9</v>
      </c>
      <c r="B10">
        <v>1200</v>
      </c>
      <c r="C10" t="e">
        <f>B10*#REF!</f>
        <v>#REF!</v>
      </c>
      <c r="D10" s="2" t="e">
        <f>D9*(1-#REF!)+C10</f>
        <v>#REF!</v>
      </c>
      <c r="E10" s="3" t="e">
        <f>D10*#REF!</f>
        <v>#REF!</v>
      </c>
      <c r="F10" s="3" t="e">
        <f>B10*#REF!</f>
        <v>#REF!</v>
      </c>
      <c r="G10" s="3" t="e">
        <f>E10-F10-#REF!</f>
        <v>#REF!</v>
      </c>
      <c r="H10" t="s">
        <v>7</v>
      </c>
    </row>
    <row r="11" spans="1:8" x14ac:dyDescent="0.3">
      <c r="A11">
        <v>10</v>
      </c>
      <c r="B11" t="e">
        <f>#REF!</f>
        <v>#REF!</v>
      </c>
      <c r="C11" t="e">
        <f>B11*#REF!</f>
        <v>#REF!</v>
      </c>
      <c r="D11" s="2" t="e">
        <f>D10*(1-#REF!)+C11</f>
        <v>#REF!</v>
      </c>
      <c r="E11" s="3" t="e">
        <f>D11*#REF!</f>
        <v>#REF!</v>
      </c>
      <c r="F11" s="3" t="e">
        <f>B11*#REF!</f>
        <v>#REF!</v>
      </c>
      <c r="G11" s="3" t="e">
        <f>E11-F11-#REF!</f>
        <v>#REF!</v>
      </c>
    </row>
    <row r="12" spans="1:8" x14ac:dyDescent="0.3">
      <c r="A12">
        <v>11</v>
      </c>
      <c r="B12" t="e">
        <f>#REF!</f>
        <v>#REF!</v>
      </c>
      <c r="C12" t="e">
        <f>B12*#REF!</f>
        <v>#REF!</v>
      </c>
      <c r="D12" s="2" t="e">
        <f>D11*(1-#REF!)+C12</f>
        <v>#REF!</v>
      </c>
      <c r="E12" s="3" t="e">
        <f>D12*#REF!</f>
        <v>#REF!</v>
      </c>
      <c r="F12" s="3" t="e">
        <f>B12*#REF!</f>
        <v>#REF!</v>
      </c>
      <c r="G12" s="3" t="e">
        <f>E12-F12-#REF!</f>
        <v>#REF!</v>
      </c>
    </row>
    <row r="13" spans="1:8" x14ac:dyDescent="0.3">
      <c r="A13">
        <v>12</v>
      </c>
      <c r="B13">
        <v>1000</v>
      </c>
      <c r="C13" t="e">
        <f>B13*#REF!</f>
        <v>#REF!</v>
      </c>
      <c r="D13" s="2" t="e">
        <f>D12*(1-#REF!)+C13</f>
        <v>#REF!</v>
      </c>
      <c r="E13" s="3" t="e">
        <f>D13*#REF!</f>
        <v>#REF!</v>
      </c>
      <c r="F13" s="3" t="e">
        <f>B13*#REF!</f>
        <v>#REF!</v>
      </c>
      <c r="G13" s="3" t="e">
        <f>E13-F13-#REF!</f>
        <v>#REF!</v>
      </c>
      <c r="H13" t="s">
        <v>7</v>
      </c>
    </row>
    <row r="14" spans="1:8" x14ac:dyDescent="0.3">
      <c r="E14" s="4" t="e">
        <f>SUM(E2:E13)</f>
        <v>#REF!</v>
      </c>
    </row>
    <row r="16" spans="1:8" x14ac:dyDescent="0.3">
      <c r="A16" t="s">
        <v>8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CB43-B281-4EC3-AF49-1E7D80BD6A89}">
  <dimension ref="B1:E50"/>
  <sheetViews>
    <sheetView showGridLines="0" tabSelected="1" workbookViewId="0">
      <selection activeCell="B1" sqref="B1"/>
    </sheetView>
  </sheetViews>
  <sheetFormatPr baseColWidth="10" defaultColWidth="8.88671875" defaultRowHeight="14.4" x14ac:dyDescent="0.3"/>
  <cols>
    <col min="1" max="1" width="2.109375" customWidth="1"/>
    <col min="2" max="2" width="43.6640625" customWidth="1"/>
    <col min="3" max="3" width="16.44140625" bestFit="1" customWidth="1"/>
    <col min="4" max="4" width="13.5546875" customWidth="1"/>
    <col min="5" max="5" width="12" bestFit="1" customWidth="1"/>
  </cols>
  <sheetData>
    <row r="1" spans="2:5" ht="9.75" customHeight="1" thickBot="1" x14ac:dyDescent="0.35"/>
    <row r="2" spans="2:5" x14ac:dyDescent="0.3">
      <c r="B2" s="153" t="s">
        <v>9</v>
      </c>
      <c r="C2" s="17" t="s">
        <v>10</v>
      </c>
    </row>
    <row r="3" spans="2:5" x14ac:dyDescent="0.3">
      <c r="B3" s="9" t="s">
        <v>11</v>
      </c>
      <c r="C3" s="10">
        <v>800</v>
      </c>
      <c r="D3" s="13" t="s">
        <v>12</v>
      </c>
    </row>
    <row r="4" spans="2:5" x14ac:dyDescent="0.3">
      <c r="B4" s="9" t="s">
        <v>13</v>
      </c>
      <c r="C4" s="10">
        <v>0.05</v>
      </c>
      <c r="D4" s="13" t="s">
        <v>14</v>
      </c>
    </row>
    <row r="5" spans="2:5" x14ac:dyDescent="0.3">
      <c r="B5" s="9" t="s">
        <v>15</v>
      </c>
      <c r="C5" s="16">
        <v>81500</v>
      </c>
      <c r="D5" s="13" t="s">
        <v>16</v>
      </c>
    </row>
    <row r="6" spans="2:5" x14ac:dyDescent="0.3">
      <c r="B6" s="9" t="s">
        <v>17</v>
      </c>
      <c r="C6" s="10">
        <v>0.12</v>
      </c>
      <c r="D6" s="13" t="s">
        <v>18</v>
      </c>
    </row>
    <row r="7" spans="2:5" ht="15" thickBot="1" x14ac:dyDescent="0.35">
      <c r="B7" s="11" t="s">
        <v>19</v>
      </c>
      <c r="C7" s="12">
        <v>34500</v>
      </c>
      <c r="D7" s="13" t="s">
        <v>20</v>
      </c>
    </row>
    <row r="8" spans="2:5" ht="15" thickBot="1" x14ac:dyDescent="0.35">
      <c r="C8" s="3"/>
    </row>
    <row r="9" spans="2:5" ht="15" thickBot="1" x14ac:dyDescent="0.35">
      <c r="B9" s="157" t="s">
        <v>21</v>
      </c>
      <c r="C9" s="159"/>
      <c r="D9" t="s">
        <v>22</v>
      </c>
    </row>
    <row r="10" spans="2:5" x14ac:dyDescent="0.3">
      <c r="B10" s="19" t="s">
        <v>23</v>
      </c>
      <c r="C10" s="20">
        <f>7980000/2</f>
        <v>3990000</v>
      </c>
      <c r="D10" s="5" t="s">
        <v>24</v>
      </c>
    </row>
    <row r="11" spans="2:5" x14ac:dyDescent="0.3">
      <c r="B11" s="14" t="s">
        <v>25</v>
      </c>
      <c r="C11" s="15">
        <v>620000</v>
      </c>
      <c r="D11" s="5"/>
    </row>
    <row r="12" spans="2:5" x14ac:dyDescent="0.3">
      <c r="B12" s="14" t="s">
        <v>26</v>
      </c>
      <c r="C12" s="15">
        <v>3950000</v>
      </c>
      <c r="D12" s="5" t="s">
        <v>27</v>
      </c>
    </row>
    <row r="13" spans="2:5" x14ac:dyDescent="0.3">
      <c r="B13" s="14" t="s">
        <v>28</v>
      </c>
      <c r="C13" s="16">
        <f>D48</f>
        <v>6037181</v>
      </c>
    </row>
    <row r="14" spans="2:5" x14ac:dyDescent="0.3">
      <c r="B14" s="160" t="s">
        <v>29</v>
      </c>
      <c r="C14" s="21">
        <v>2.6499999999999999E-2</v>
      </c>
    </row>
    <row r="15" spans="2:5" ht="15" thickBot="1" x14ac:dyDescent="0.35">
      <c r="B15" s="161"/>
      <c r="C15" s="12">
        <f>700*1.19</f>
        <v>833</v>
      </c>
      <c r="D15" s="3"/>
    </row>
    <row r="16" spans="2:5" ht="15" thickBot="1" x14ac:dyDescent="0.35">
      <c r="B16" s="5"/>
      <c r="C16" s="8"/>
      <c r="D16" s="3"/>
      <c r="E16" s="4"/>
    </row>
    <row r="17" spans="2:4" x14ac:dyDescent="0.3">
      <c r="B17" s="36" t="s">
        <v>30</v>
      </c>
      <c r="C17" s="37">
        <v>0.06</v>
      </c>
    </row>
    <row r="18" spans="2:4" x14ac:dyDescent="0.3">
      <c r="B18" s="9" t="s">
        <v>31</v>
      </c>
      <c r="C18" s="72">
        <f>C5*1.06</f>
        <v>86390</v>
      </c>
    </row>
    <row r="19" spans="2:4" x14ac:dyDescent="0.3">
      <c r="B19" s="71" t="s">
        <v>32</v>
      </c>
      <c r="C19" s="72">
        <f>C12*1.06</f>
        <v>4187000</v>
      </c>
      <c r="D19" s="4" t="s">
        <v>33</v>
      </c>
    </row>
    <row r="20" spans="2:4" x14ac:dyDescent="0.3">
      <c r="B20" s="14" t="s">
        <v>25</v>
      </c>
      <c r="C20" s="16">
        <f>C11*1.06</f>
        <v>657200</v>
      </c>
    </row>
    <row r="21" spans="2:4" x14ac:dyDescent="0.3">
      <c r="B21" s="14" t="s">
        <v>26</v>
      </c>
      <c r="C21" s="16">
        <f>C12*1.06</f>
        <v>4187000</v>
      </c>
    </row>
    <row r="22" spans="2:4" x14ac:dyDescent="0.3">
      <c r="B22" s="14" t="s">
        <v>34</v>
      </c>
      <c r="C22" s="16">
        <f>D48</f>
        <v>6037181</v>
      </c>
    </row>
    <row r="23" spans="2:4" ht="15" customHeight="1" x14ac:dyDescent="0.3">
      <c r="B23" s="160" t="s">
        <v>29</v>
      </c>
      <c r="C23" s="21">
        <v>2.6499999999999999E-2</v>
      </c>
    </row>
    <row r="24" spans="2:4" ht="15" thickBot="1" x14ac:dyDescent="0.35">
      <c r="B24" s="161"/>
      <c r="C24" s="12">
        <f>C15*1.06</f>
        <v>882.98</v>
      </c>
      <c r="D24" s="3"/>
    </row>
    <row r="25" spans="2:4" x14ac:dyDescent="0.3">
      <c r="C25" s="3"/>
    </row>
    <row r="26" spans="2:4" ht="15" thickBot="1" x14ac:dyDescent="0.35">
      <c r="C26" s="3"/>
    </row>
    <row r="27" spans="2:4" x14ac:dyDescent="0.3">
      <c r="B27" s="157" t="s">
        <v>35</v>
      </c>
      <c r="C27" s="158"/>
      <c r="D27" s="159"/>
    </row>
    <row r="28" spans="2:4" ht="18.75" customHeight="1" x14ac:dyDescent="0.3">
      <c r="B28" s="22" t="s">
        <v>36</v>
      </c>
      <c r="C28" s="23" t="s">
        <v>37</v>
      </c>
      <c r="D28" s="24" t="s">
        <v>38</v>
      </c>
    </row>
    <row r="29" spans="2:4" ht="28.8" x14ac:dyDescent="0.3">
      <c r="B29" s="25" t="s">
        <v>39</v>
      </c>
      <c r="C29" s="26" t="s">
        <v>40</v>
      </c>
      <c r="D29" s="27">
        <v>120000</v>
      </c>
    </row>
    <row r="30" spans="2:4" ht="28.8" x14ac:dyDescent="0.3">
      <c r="B30" s="25" t="s">
        <v>41</v>
      </c>
      <c r="C30" s="26" t="s">
        <v>42</v>
      </c>
      <c r="D30" s="27">
        <v>180000</v>
      </c>
    </row>
    <row r="31" spans="2:4" ht="23.25" customHeight="1" x14ac:dyDescent="0.3">
      <c r="B31" s="25" t="s">
        <v>43</v>
      </c>
      <c r="C31" s="26" t="s">
        <v>44</v>
      </c>
      <c r="D31" s="27">
        <v>100000</v>
      </c>
    </row>
    <row r="32" spans="2:4" ht="28.8" x14ac:dyDescent="0.3">
      <c r="B32" s="25" t="s">
        <v>45</v>
      </c>
      <c r="C32" s="26" t="s">
        <v>46</v>
      </c>
      <c r="D32" s="27">
        <v>100000</v>
      </c>
    </row>
    <row r="33" spans="2:4" x14ac:dyDescent="0.3">
      <c r="B33" s="25" t="s">
        <v>47</v>
      </c>
      <c r="C33" s="26" t="s">
        <v>48</v>
      </c>
      <c r="D33" s="27">
        <v>120000</v>
      </c>
    </row>
    <row r="34" spans="2:4" ht="19.5" customHeight="1" thickBot="1" x14ac:dyDescent="0.35">
      <c r="B34" s="28" t="s">
        <v>49</v>
      </c>
      <c r="C34" s="29" t="s">
        <v>50</v>
      </c>
      <c r="D34" s="30">
        <f>SUM(D29:D33)</f>
        <v>620000</v>
      </c>
    </row>
    <row r="35" spans="2:4" ht="15" thickBot="1" x14ac:dyDescent="0.35"/>
    <row r="36" spans="2:4" x14ac:dyDescent="0.3">
      <c r="B36" s="157" t="s">
        <v>51</v>
      </c>
      <c r="C36" s="158"/>
      <c r="D36" s="159"/>
    </row>
    <row r="37" spans="2:4" x14ac:dyDescent="0.3">
      <c r="B37" s="14" t="s">
        <v>52</v>
      </c>
      <c r="C37" s="18"/>
      <c r="D37" s="10"/>
    </row>
    <row r="38" spans="2:4" x14ac:dyDescent="0.3">
      <c r="B38" s="9" t="s">
        <v>53</v>
      </c>
      <c r="C38" t="s">
        <v>54</v>
      </c>
      <c r="D38" s="31">
        <v>71000000</v>
      </c>
    </row>
    <row r="39" spans="2:4" x14ac:dyDescent="0.3">
      <c r="B39" s="9" t="s">
        <v>55</v>
      </c>
      <c r="C39" t="s">
        <v>56</v>
      </c>
      <c r="D39" s="31">
        <v>12000000</v>
      </c>
    </row>
    <row r="40" spans="2:4" x14ac:dyDescent="0.3">
      <c r="B40" s="9" t="s">
        <v>57</v>
      </c>
      <c r="C40" t="s">
        <v>58</v>
      </c>
      <c r="D40" s="31">
        <v>8000000</v>
      </c>
    </row>
    <row r="41" spans="2:4" x14ac:dyDescent="0.3">
      <c r="B41" s="9"/>
      <c r="C41" s="23" t="s">
        <v>59</v>
      </c>
      <c r="D41" s="33">
        <f>SUM(D38:D40)</f>
        <v>91000000</v>
      </c>
    </row>
    <row r="42" spans="2:4" ht="6.75" customHeight="1" x14ac:dyDescent="0.3">
      <c r="B42" s="9"/>
      <c r="D42" s="31"/>
    </row>
    <row r="43" spans="2:4" x14ac:dyDescent="0.3">
      <c r="B43" s="34" t="s">
        <v>60</v>
      </c>
      <c r="C43" s="6"/>
      <c r="D43" s="35"/>
    </row>
    <row r="44" spans="2:4" ht="3.75" customHeight="1" x14ac:dyDescent="0.3">
      <c r="B44" s="9"/>
      <c r="D44" s="10"/>
    </row>
    <row r="45" spans="2:4" x14ac:dyDescent="0.3">
      <c r="B45" s="9" t="s">
        <v>61</v>
      </c>
      <c r="D45" s="31">
        <f>D41</f>
        <v>91000000</v>
      </c>
    </row>
    <row r="46" spans="2:4" x14ac:dyDescent="0.3">
      <c r="B46" s="9" t="s">
        <v>62</v>
      </c>
      <c r="D46" s="21">
        <v>0.2591</v>
      </c>
    </row>
    <row r="47" spans="2:4" x14ac:dyDescent="0.3">
      <c r="B47" s="9" t="s">
        <v>63</v>
      </c>
      <c r="D47" s="10">
        <v>18</v>
      </c>
    </row>
    <row r="48" spans="2:4" ht="15" thickBot="1" x14ac:dyDescent="0.35">
      <c r="B48" s="11" t="s">
        <v>64</v>
      </c>
      <c r="C48" s="32"/>
      <c r="D48" s="12">
        <v>6037181</v>
      </c>
    </row>
    <row r="50" spans="2:2" x14ac:dyDescent="0.3">
      <c r="B50" s="7" t="s">
        <v>65</v>
      </c>
    </row>
  </sheetData>
  <mergeCells count="5">
    <mergeCell ref="B36:D36"/>
    <mergeCell ref="B9:C9"/>
    <mergeCell ref="B14:B15"/>
    <mergeCell ref="B23:B24"/>
    <mergeCell ref="B27:D27"/>
  </mergeCells>
  <phoneticPr fontId="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F904-BB38-40FF-8C01-E36BEC1DCE31}">
  <dimension ref="A1:AL24"/>
  <sheetViews>
    <sheetView zoomScale="90" zoomScaleNormal="90" workbookViewId="0">
      <pane xSplit="1" ySplit="2" topLeftCell="B28" activePane="bottomRight" state="frozen"/>
      <selection pane="topRight" activeCell="B1" sqref="B1"/>
      <selection pane="bottomLeft" activeCell="A2" sqref="A2"/>
      <selection pane="bottomRight" activeCell="A48" sqref="A48"/>
    </sheetView>
  </sheetViews>
  <sheetFormatPr baseColWidth="10" defaultColWidth="11.44140625" defaultRowHeight="14.4" x14ac:dyDescent="0.3"/>
  <cols>
    <col min="1" max="1" width="37.44140625" customWidth="1"/>
    <col min="2" max="3" width="14.5546875" customWidth="1"/>
    <col min="4" max="4" width="15.33203125" customWidth="1"/>
    <col min="5" max="5" width="14.88671875" customWidth="1"/>
    <col min="6" max="14" width="13.44140625" customWidth="1"/>
    <col min="15" max="15" width="15.109375" customWidth="1"/>
    <col min="16" max="26" width="13.5546875" customWidth="1"/>
    <col min="27" max="38" width="13.6640625" customWidth="1"/>
  </cols>
  <sheetData>
    <row r="1" spans="1:38" ht="15" thickBot="1" x14ac:dyDescent="0.35">
      <c r="C1" s="43"/>
      <c r="D1" s="44"/>
      <c r="E1" s="44"/>
      <c r="F1" s="44"/>
      <c r="G1" s="44"/>
      <c r="H1" s="44"/>
      <c r="I1" s="44" t="s">
        <v>66</v>
      </c>
      <c r="J1" s="44"/>
      <c r="K1" s="44"/>
      <c r="L1" s="44"/>
      <c r="M1" s="44"/>
      <c r="N1" s="44"/>
      <c r="O1" s="41"/>
      <c r="P1" s="41"/>
      <c r="Q1" s="41"/>
      <c r="R1" s="41"/>
      <c r="S1" s="41"/>
      <c r="T1" s="70" t="s">
        <v>67</v>
      </c>
      <c r="U1" s="41"/>
      <c r="V1" s="41"/>
      <c r="W1" s="41"/>
      <c r="X1" s="41"/>
      <c r="Y1" s="41"/>
      <c r="Z1" s="131"/>
      <c r="AA1" s="117"/>
      <c r="AB1" s="117"/>
      <c r="AC1" s="117"/>
      <c r="AD1" s="117"/>
      <c r="AE1" s="117"/>
      <c r="AF1" s="117" t="s">
        <v>68</v>
      </c>
      <c r="AG1" s="117"/>
      <c r="AH1" s="117"/>
      <c r="AI1" s="117"/>
      <c r="AJ1" s="117"/>
      <c r="AK1" s="117"/>
      <c r="AL1" s="117"/>
    </row>
    <row r="2" spans="1:38" x14ac:dyDescent="0.3">
      <c r="A2" s="38" t="s">
        <v>69</v>
      </c>
      <c r="B2" s="112"/>
      <c r="C2" s="45" t="s">
        <v>70</v>
      </c>
      <c r="D2" s="46" t="s">
        <v>71</v>
      </c>
      <c r="E2" s="46" t="s">
        <v>72</v>
      </c>
      <c r="F2" s="46" t="s">
        <v>73</v>
      </c>
      <c r="G2" s="46" t="s">
        <v>74</v>
      </c>
      <c r="H2" s="46" t="s">
        <v>75</v>
      </c>
      <c r="I2" s="46" t="s">
        <v>76</v>
      </c>
      <c r="J2" s="46" t="s">
        <v>77</v>
      </c>
      <c r="K2" s="46" t="s">
        <v>78</v>
      </c>
      <c r="L2" s="46" t="s">
        <v>79</v>
      </c>
      <c r="M2" s="46" t="s">
        <v>80</v>
      </c>
      <c r="N2" s="47" t="s">
        <v>81</v>
      </c>
      <c r="O2" s="154" t="s">
        <v>82</v>
      </c>
      <c r="P2" s="85" t="s">
        <v>71</v>
      </c>
      <c r="Q2" s="85" t="s">
        <v>72</v>
      </c>
      <c r="R2" s="85" t="s">
        <v>73</v>
      </c>
      <c r="S2" s="85" t="s">
        <v>74</v>
      </c>
      <c r="T2" s="85" t="s">
        <v>75</v>
      </c>
      <c r="U2" s="85" t="s">
        <v>76</v>
      </c>
      <c r="V2" s="85" t="s">
        <v>77</v>
      </c>
      <c r="W2" s="85" t="s">
        <v>78</v>
      </c>
      <c r="X2" s="85" t="s">
        <v>79</v>
      </c>
      <c r="Y2" s="85" t="s">
        <v>80</v>
      </c>
      <c r="Z2" s="132" t="s">
        <v>81</v>
      </c>
      <c r="AA2" s="155" t="s">
        <v>82</v>
      </c>
      <c r="AB2" s="118" t="s">
        <v>71</v>
      </c>
      <c r="AC2" s="118" t="s">
        <v>72</v>
      </c>
      <c r="AD2" s="118" t="s">
        <v>73</v>
      </c>
      <c r="AE2" s="118" t="s">
        <v>74</v>
      </c>
      <c r="AF2" s="118" t="s">
        <v>75</v>
      </c>
      <c r="AG2" s="118" t="s">
        <v>76</v>
      </c>
      <c r="AH2" s="118" t="s">
        <v>77</v>
      </c>
      <c r="AI2" s="118" t="s">
        <v>78</v>
      </c>
      <c r="AJ2" s="118" t="s">
        <v>79</v>
      </c>
      <c r="AK2" s="118" t="s">
        <v>80</v>
      </c>
      <c r="AL2" s="119" t="s">
        <v>81</v>
      </c>
    </row>
    <row r="3" spans="1:38" x14ac:dyDescent="0.3">
      <c r="A3" s="38" t="s">
        <v>83</v>
      </c>
      <c r="C3" s="48">
        <f>InputsV2!$C$3</f>
        <v>800</v>
      </c>
      <c r="D3" s="79">
        <f>InputsV2!$C$3</f>
        <v>800</v>
      </c>
      <c r="E3" s="79">
        <v>1000</v>
      </c>
      <c r="F3" s="79">
        <f>InputsV2!$C$3</f>
        <v>800</v>
      </c>
      <c r="G3" s="79">
        <f>InputsV2!$C$3</f>
        <v>800</v>
      </c>
      <c r="H3" s="79">
        <f>InputsV2!$C$3</f>
        <v>800</v>
      </c>
      <c r="I3" s="79">
        <f>InputsV2!$C$3</f>
        <v>800</v>
      </c>
      <c r="J3" s="79">
        <f>InputsV2!$C$3</f>
        <v>800</v>
      </c>
      <c r="K3" s="79">
        <f>InputsV2!$C$3</f>
        <v>800</v>
      </c>
      <c r="L3" s="79">
        <f>InputsV2!$C$3</f>
        <v>800</v>
      </c>
      <c r="M3" s="79">
        <f>InputsV2!$C$3</f>
        <v>800</v>
      </c>
      <c r="N3" s="49">
        <f>InputsV2!$C$3</f>
        <v>800</v>
      </c>
      <c r="O3" s="86">
        <v>1000</v>
      </c>
      <c r="P3" s="87">
        <f>InputsV2!$C$3</f>
        <v>800</v>
      </c>
      <c r="Q3" s="87">
        <f>InputsV2!$C$3</f>
        <v>800</v>
      </c>
      <c r="R3" s="87">
        <v>1000</v>
      </c>
      <c r="S3" s="87">
        <f>InputsV2!$C$3</f>
        <v>800</v>
      </c>
      <c r="T3" s="87">
        <f>InputsV2!$C$3</f>
        <v>800</v>
      </c>
      <c r="U3" s="87">
        <f>InputsV2!$C$3</f>
        <v>800</v>
      </c>
      <c r="V3" s="87">
        <v>1000</v>
      </c>
      <c r="W3" s="87">
        <f>InputsV2!$C$3</f>
        <v>800</v>
      </c>
      <c r="X3" s="87">
        <f>InputsV2!$C$3</f>
        <v>800</v>
      </c>
      <c r="Y3" s="87">
        <f>InputsV2!$C$3</f>
        <v>800</v>
      </c>
      <c r="Z3" s="133">
        <v>1000</v>
      </c>
      <c r="AA3" s="120">
        <f>InputsV2!$C$3</f>
        <v>800</v>
      </c>
      <c r="AB3" s="120">
        <f>InputsV2!$C$3</f>
        <v>800</v>
      </c>
      <c r="AC3" s="120">
        <f>InputsV2!$C$3</f>
        <v>800</v>
      </c>
      <c r="AD3" s="120">
        <v>1000</v>
      </c>
      <c r="AE3" s="120">
        <f>InputsV2!$C$3</f>
        <v>800</v>
      </c>
      <c r="AF3" s="120">
        <f>InputsV2!$C$3</f>
        <v>800</v>
      </c>
      <c r="AG3" s="120">
        <f>InputsV2!$C$3</f>
        <v>800</v>
      </c>
      <c r="AH3" s="120">
        <v>1000</v>
      </c>
      <c r="AI3" s="120">
        <f>InputsV2!$C$3</f>
        <v>800</v>
      </c>
      <c r="AJ3" s="120">
        <f>InputsV2!$C$3</f>
        <v>800</v>
      </c>
      <c r="AK3" s="120">
        <f>InputsV2!$C$3</f>
        <v>800</v>
      </c>
      <c r="AL3" s="120">
        <f>InputsV2!$C$3</f>
        <v>800</v>
      </c>
    </row>
    <row r="4" spans="1:38" x14ac:dyDescent="0.3">
      <c r="A4" s="38" t="s">
        <v>2</v>
      </c>
      <c r="C4" s="50">
        <f>C3*InputsV2!$C$4</f>
        <v>40</v>
      </c>
      <c r="D4" s="80">
        <f>D3*InputsV2!$C$4</f>
        <v>40</v>
      </c>
      <c r="E4" s="80">
        <f>E3*InputsV2!$C$4</f>
        <v>50</v>
      </c>
      <c r="F4" s="80">
        <f>F3*InputsV2!$C$4</f>
        <v>40</v>
      </c>
      <c r="G4" s="80">
        <f>G3*InputsV2!$C$4</f>
        <v>40</v>
      </c>
      <c r="H4" s="80">
        <f>H3*InputsV2!$C$4</f>
        <v>40</v>
      </c>
      <c r="I4" s="80">
        <f>I3*InputsV2!$C$4</f>
        <v>40</v>
      </c>
      <c r="J4" s="80">
        <f>J3*InputsV2!$C$4</f>
        <v>40</v>
      </c>
      <c r="K4" s="80">
        <f>K3*InputsV2!$C$4</f>
        <v>40</v>
      </c>
      <c r="L4" s="80">
        <f>L3*InputsV2!$C$4</f>
        <v>40</v>
      </c>
      <c r="M4" s="80">
        <f>M3*InputsV2!$C$4</f>
        <v>40</v>
      </c>
      <c r="N4" s="51">
        <f>N3*InputsV2!$C$4</f>
        <v>40</v>
      </c>
      <c r="O4" s="88">
        <f>O3*InputsV2!$C$4</f>
        <v>50</v>
      </c>
      <c r="P4" s="89">
        <f>P3*InputsV2!$C$4</f>
        <v>40</v>
      </c>
      <c r="Q4" s="89">
        <f>Q3*InputsV2!$C$4</f>
        <v>40</v>
      </c>
      <c r="R4" s="89">
        <f>R3*InputsV2!$C$4</f>
        <v>50</v>
      </c>
      <c r="S4" s="89">
        <f>S3*InputsV2!$C$4</f>
        <v>40</v>
      </c>
      <c r="T4" s="89">
        <f>T3*InputsV2!$C$4</f>
        <v>40</v>
      </c>
      <c r="U4" s="89">
        <f>U3*InputsV2!$C$4</f>
        <v>40</v>
      </c>
      <c r="V4" s="89">
        <f>V3*InputsV2!$C$4</f>
        <v>50</v>
      </c>
      <c r="W4" s="89">
        <f>W3*InputsV2!$C$4</f>
        <v>40</v>
      </c>
      <c r="X4" s="89">
        <f>X3*InputsV2!$C$4</f>
        <v>40</v>
      </c>
      <c r="Y4" s="89">
        <f>Y3*InputsV2!$C$4</f>
        <v>40</v>
      </c>
      <c r="Z4" s="134">
        <f>Z3*InputsV2!$C$4</f>
        <v>50</v>
      </c>
      <c r="AA4" s="121">
        <f>AA3*InputsV2!$C$4</f>
        <v>40</v>
      </c>
      <c r="AB4" s="121">
        <f>AB3*InputsV2!$C$4</f>
        <v>40</v>
      </c>
      <c r="AC4" s="121">
        <f>AC3*InputsV2!$C$4</f>
        <v>40</v>
      </c>
      <c r="AD4" s="121">
        <f>AD3*InputsV2!$C$4</f>
        <v>50</v>
      </c>
      <c r="AE4" s="121">
        <f>AE3*InputsV2!$C$4</f>
        <v>40</v>
      </c>
      <c r="AF4" s="121">
        <f>AF3*InputsV2!$C$4</f>
        <v>40</v>
      </c>
      <c r="AG4" s="121">
        <f>AG3*InputsV2!$C$4</f>
        <v>40</v>
      </c>
      <c r="AH4" s="121">
        <f>AH3*InputsV2!$C$4</f>
        <v>50</v>
      </c>
      <c r="AI4" s="121">
        <f>AI3*InputsV2!$C$4</f>
        <v>40</v>
      </c>
      <c r="AJ4" s="121">
        <f>AJ3*InputsV2!$C$4</f>
        <v>40</v>
      </c>
      <c r="AK4" s="121">
        <f>AK3*InputsV2!$C$4</f>
        <v>40</v>
      </c>
      <c r="AL4" s="121">
        <f>AL3*InputsV2!$C$4</f>
        <v>40</v>
      </c>
    </row>
    <row r="5" spans="1:38" x14ac:dyDescent="0.3">
      <c r="A5" s="38" t="s">
        <v>84</v>
      </c>
      <c r="C5" s="48">
        <f>C4</f>
        <v>40</v>
      </c>
      <c r="D5" s="81">
        <f>C5*(1-InputsV2!$C$6)+D4</f>
        <v>75.2</v>
      </c>
      <c r="E5" s="81">
        <f>D5*(1-InputsV2!$C$6)+E4</f>
        <v>116.176</v>
      </c>
      <c r="F5" s="81">
        <f>E5*(1-InputsV2!$C$6)+F4</f>
        <v>142.23488</v>
      </c>
      <c r="G5" s="81">
        <f>F5*(1-InputsV2!$C$6)+G4</f>
        <v>165.16669439999998</v>
      </c>
      <c r="H5" s="81">
        <f>G5*(1-InputsV2!$C$6)+H4</f>
        <v>185.346691072</v>
      </c>
      <c r="I5" s="81">
        <f>H5*(1-InputsV2!$C$6)+I4</f>
        <v>203.10508814336001</v>
      </c>
      <c r="J5" s="81">
        <f>I5*(1-InputsV2!$C$6)+J4</f>
        <v>218.7324775661568</v>
      </c>
      <c r="K5" s="81">
        <f>J5*(1-InputsV2!$C$6)+K4</f>
        <v>232.48458025821799</v>
      </c>
      <c r="L5" s="81">
        <f>K5*(1-InputsV2!$C$6)+L4</f>
        <v>244.58643062723183</v>
      </c>
      <c r="M5" s="81">
        <f>L5*(1-InputsV2!$C$6)+M4</f>
        <v>255.23605895196403</v>
      </c>
      <c r="N5" s="52">
        <f>M5*(1-InputsV2!$C$6)+N4</f>
        <v>264.60773187772838</v>
      </c>
      <c r="O5" s="90">
        <f>N5*(1-InputsV2!$C$6)+O4</f>
        <v>282.85480405240094</v>
      </c>
      <c r="P5" s="91">
        <f>O5*(1-InputsV2!$C$6)+P4</f>
        <v>288.91222756611285</v>
      </c>
      <c r="Q5" s="91">
        <f>P5*(1-InputsV2!$C$6)+Q4</f>
        <v>294.24276025817932</v>
      </c>
      <c r="R5" s="91">
        <f>Q5*(1-InputsV2!$C$6)+R4</f>
        <v>308.93362902719781</v>
      </c>
      <c r="S5" s="91">
        <f>R5*(1-InputsV2!$C$6)+S4</f>
        <v>311.86159354393408</v>
      </c>
      <c r="T5" s="91">
        <f>S5*(1-InputsV2!$C$6)+T4</f>
        <v>314.43820231866198</v>
      </c>
      <c r="U5" s="91">
        <f>T5*(1-InputsV2!$C$6)+U4</f>
        <v>316.70561804042256</v>
      </c>
      <c r="V5" s="91">
        <f>U5*(1-InputsV2!$C$6)+V4</f>
        <v>328.70094387557185</v>
      </c>
      <c r="W5" s="91">
        <f>V5*(1-InputsV2!$C$6)+W4</f>
        <v>329.25683061050324</v>
      </c>
      <c r="X5" s="91">
        <f>W5*(1-InputsV2!$C$6)+X4</f>
        <v>329.74601093724283</v>
      </c>
      <c r="Y5" s="91">
        <f>X5*(1-InputsV2!$C$6)+Y4</f>
        <v>330.17648962477369</v>
      </c>
      <c r="Z5" s="135">
        <f>Y5*(1-InputsV2!$C$6)+Z4</f>
        <v>340.55531086980085</v>
      </c>
      <c r="AA5" s="122">
        <f>Z5*(1-InputsV2!$C$6)+AA4</f>
        <v>339.68867356542472</v>
      </c>
      <c r="AB5" s="122">
        <f>AA5*(1-InputsV2!$C$6)+AB4</f>
        <v>338.92603273757373</v>
      </c>
      <c r="AC5" s="122">
        <f>AB5*(1-InputsV2!$C$6)+AC4</f>
        <v>338.25490880906489</v>
      </c>
      <c r="AD5" s="122">
        <f>AC5*(1-InputsV2!$C$6)+AD4</f>
        <v>347.66431975197708</v>
      </c>
      <c r="AE5" s="122">
        <f>AD5*(1-InputsV2!$C$6)+AE4</f>
        <v>345.9446013817398</v>
      </c>
      <c r="AF5" s="122">
        <f>AE5*(1-InputsV2!$C$6)+AF4</f>
        <v>344.43124921593102</v>
      </c>
      <c r="AG5" s="122">
        <f>AF5*(1-InputsV2!$C$6)+AG4</f>
        <v>343.09949931001933</v>
      </c>
      <c r="AH5" s="122">
        <f>AG5*(1-InputsV2!$C$6)+AH4</f>
        <v>351.92755939281699</v>
      </c>
      <c r="AI5" s="122">
        <f>AH5*(1-InputsV2!$C$6)+AI4</f>
        <v>349.69625226567894</v>
      </c>
      <c r="AJ5" s="122">
        <f>AI5*(1-InputsV2!$C$6)+AJ4</f>
        <v>347.73270199379749</v>
      </c>
      <c r="AK5" s="122">
        <f>AJ5*(1-InputsV2!$C$6)+AK4</f>
        <v>346.00477775454181</v>
      </c>
      <c r="AL5" s="122">
        <f>AK5*(1-InputsV2!$C$6)+AL4</f>
        <v>344.4842044239968</v>
      </c>
    </row>
    <row r="6" spans="1:38" x14ac:dyDescent="0.3">
      <c r="A6" s="156" t="s">
        <v>85</v>
      </c>
      <c r="B6" s="1"/>
      <c r="C6" s="53">
        <f>C5*InputsV2!$C$5</f>
        <v>3260000</v>
      </c>
      <c r="D6" s="54">
        <f>D5*InputsV2!$C$5</f>
        <v>6128800</v>
      </c>
      <c r="E6" s="54">
        <f>E5*InputsV2!$C$5</f>
        <v>9468344</v>
      </c>
      <c r="F6" s="54">
        <f>F5*InputsV2!$C$5</f>
        <v>11592142.720000001</v>
      </c>
      <c r="G6" s="54">
        <f>G5*InputsV2!$C$5</f>
        <v>13461085.593599999</v>
      </c>
      <c r="H6" s="54">
        <f>H5*InputsV2!$C$5</f>
        <v>15105755.322368</v>
      </c>
      <c r="I6" s="54">
        <f>I5*InputsV2!$C$5</f>
        <v>16553064.683683841</v>
      </c>
      <c r="J6" s="54">
        <f>J5*InputsV2!$C$5</f>
        <v>17826696.921641778</v>
      </c>
      <c r="K6" s="54">
        <f>K5*InputsV2!$C$5</f>
        <v>18947493.291044764</v>
      </c>
      <c r="L6" s="54">
        <f>L5*InputsV2!$C$5</f>
        <v>19933794.096119393</v>
      </c>
      <c r="M6" s="54">
        <f>M5*InputsV2!$C$5</f>
        <v>20801738.804585069</v>
      </c>
      <c r="N6" s="55">
        <f>N5*InputsV2!$C$5</f>
        <v>21565530.148034863</v>
      </c>
      <c r="O6" s="92">
        <f>O5*InputsV2!$C$18</f>
        <v>24435826.522086918</v>
      </c>
      <c r="P6" s="93">
        <f>P5*InputsV2!$C$18</f>
        <v>24959127.33943649</v>
      </c>
      <c r="Q6" s="93">
        <f>Q5*InputsV2!$C$18</f>
        <v>25419632.058704112</v>
      </c>
      <c r="R6" s="93">
        <f>R5*InputsV2!$C$18</f>
        <v>26688776.211659618</v>
      </c>
      <c r="S6" s="93">
        <f>S5*InputsV2!$C$18</f>
        <v>26941723.066260464</v>
      </c>
      <c r="T6" s="93">
        <f>T5*InputsV2!$C$18</f>
        <v>27164316.298309207</v>
      </c>
      <c r="U6" s="93">
        <f>U5*InputsV2!$C$18</f>
        <v>27360198.342512105</v>
      </c>
      <c r="V6" s="93">
        <f>V5*InputsV2!$C$18</f>
        <v>28396474.541410651</v>
      </c>
      <c r="W6" s="93">
        <f>W5*InputsV2!$C$18</f>
        <v>28444497.596441377</v>
      </c>
      <c r="X6" s="93">
        <f>X5*InputsV2!$C$18</f>
        <v>28486757.884868409</v>
      </c>
      <c r="Y6" s="93">
        <f>Y5*InputsV2!$C$18</f>
        <v>28523946.938684199</v>
      </c>
      <c r="Z6" s="136">
        <f>Z5*InputsV2!$C$18</f>
        <v>29420573.306042094</v>
      </c>
      <c r="AA6" s="123">
        <f>AA5*InputsV2!$C$18*1.06</f>
        <v>31106446.779876065</v>
      </c>
      <c r="AB6" s="123">
        <f>AB5*InputsV2!$C$18*1.06</f>
        <v>31036609.166290939</v>
      </c>
      <c r="AC6" s="123">
        <f>AC5*InputsV2!$C$18*1.06</f>
        <v>30975152.066336021</v>
      </c>
      <c r="AD6" s="123">
        <f>AD5*InputsV2!$C$18*1.06</f>
        <v>31836803.818375699</v>
      </c>
      <c r="AE6" s="123">
        <f>AE5*InputsV2!$C$18*1.06</f>
        <v>31679323.36017061</v>
      </c>
      <c r="AF6" s="123">
        <f>AF5*InputsV2!$C$18*1.06</f>
        <v>31540740.556950137</v>
      </c>
      <c r="AG6" s="123">
        <f>AG5*InputsV2!$C$18*1.06</f>
        <v>31418787.690116122</v>
      </c>
      <c r="AH6" s="123">
        <f>AH5*InputsV2!$C$18*1.06</f>
        <v>32227203.167302191</v>
      </c>
      <c r="AI6" s="123">
        <f>AI5*InputsV2!$C$18*1.06</f>
        <v>32022874.787225924</v>
      </c>
      <c r="AJ6" s="123">
        <f>AJ5*InputsV2!$C$18*1.06</f>
        <v>31843065.812758818</v>
      </c>
      <c r="AK6" s="123">
        <f>AK5*InputsV2!$C$18*1.06</f>
        <v>31684833.91522776</v>
      </c>
      <c r="AL6" s="123">
        <f>AL5*InputsV2!$C$18*1.06</f>
        <v>31545589.84540043</v>
      </c>
    </row>
    <row r="7" spans="1:38" x14ac:dyDescent="0.3">
      <c r="A7" s="156" t="s">
        <v>86</v>
      </c>
      <c r="B7" s="1"/>
      <c r="C7" s="56">
        <f>C8+C9</f>
        <v>1499710</v>
      </c>
      <c r="D7" s="82">
        <f t="shared" ref="D7:AL7" si="0">D8+D9</f>
        <v>1605054.8</v>
      </c>
      <c r="E7" s="82">
        <f t="shared" si="0"/>
        <v>2072685.7239999999</v>
      </c>
      <c r="F7" s="82">
        <f t="shared" si="0"/>
        <v>1805673.4371199999</v>
      </c>
      <c r="G7" s="82">
        <f t="shared" si="0"/>
        <v>1874302.6246656</v>
      </c>
      <c r="H7" s="82">
        <f t="shared" si="0"/>
        <v>1934696.309705728</v>
      </c>
      <c r="I7" s="82">
        <f t="shared" si="0"/>
        <v>1987842.7525410405</v>
      </c>
      <c r="J7" s="82">
        <f t="shared" si="0"/>
        <v>2034611.6222361159</v>
      </c>
      <c r="K7" s="82">
        <f t="shared" si="0"/>
        <v>2075768.2275677817</v>
      </c>
      <c r="L7" s="82">
        <f t="shared" si="0"/>
        <v>2111986.0402596481</v>
      </c>
      <c r="M7" s="82">
        <f t="shared" si="0"/>
        <v>2143857.7154284902</v>
      </c>
      <c r="N7" s="57">
        <f t="shared" si="0"/>
        <v>2171904.7895770716</v>
      </c>
      <c r="O7" s="94">
        <f t="shared" si="0"/>
        <v>2622304.5377174923</v>
      </c>
      <c r="P7" s="95">
        <f t="shared" si="0"/>
        <v>2296520.5931913932</v>
      </c>
      <c r="Q7" s="95">
        <f t="shared" si="0"/>
        <v>2313430.7220084262</v>
      </c>
      <c r="R7" s="95">
        <f t="shared" si="0"/>
        <v>2705034.7853674153</v>
      </c>
      <c r="S7" s="95">
        <f t="shared" si="0"/>
        <v>2369323.2111233249</v>
      </c>
      <c r="T7" s="95">
        <f t="shared" si="0"/>
        <v>2377497.0257885261</v>
      </c>
      <c r="U7" s="95">
        <f t="shared" si="0"/>
        <v>2384689.9826939031</v>
      </c>
      <c r="V7" s="95">
        <f t="shared" si="0"/>
        <v>2767742.9347706344</v>
      </c>
      <c r="W7" s="95">
        <f t="shared" si="0"/>
        <v>2424506.3825981589</v>
      </c>
      <c r="X7" s="95">
        <f t="shared" si="0"/>
        <v>2426058.2166863792</v>
      </c>
      <c r="Y7" s="95">
        <f t="shared" si="0"/>
        <v>2427423.8306840137</v>
      </c>
      <c r="Z7" s="137">
        <f t="shared" si="0"/>
        <v>2805348.7210019324</v>
      </c>
      <c r="AA7" s="124">
        <f t="shared" si="0"/>
        <v>2504259.1446515145</v>
      </c>
      <c r="AB7" s="124">
        <f t="shared" si="0"/>
        <v>2501735.0512933326</v>
      </c>
      <c r="AC7" s="124">
        <f t="shared" si="0"/>
        <v>2499513.8491381323</v>
      </c>
      <c r="AD7" s="124">
        <f t="shared" si="0"/>
        <v>2875655.9422415569</v>
      </c>
      <c r="AE7" s="124">
        <f t="shared" si="0"/>
        <v>2524964.2331725699</v>
      </c>
      <c r="AF7" s="124">
        <f t="shared" si="0"/>
        <v>2519955.5291918614</v>
      </c>
      <c r="AG7" s="124">
        <f t="shared" si="0"/>
        <v>2515547.8696888383</v>
      </c>
      <c r="AH7" s="124">
        <f t="shared" si="0"/>
        <v>2889765.8803261779</v>
      </c>
      <c r="AI7" s="124">
        <f t="shared" si="0"/>
        <v>2537380.9786870363</v>
      </c>
      <c r="AJ7" s="124">
        <f t="shared" si="0"/>
        <v>2530882.265244592</v>
      </c>
      <c r="AK7" s="124">
        <f t="shared" si="0"/>
        <v>2525163.3974152412</v>
      </c>
      <c r="AL7" s="124">
        <f t="shared" si="0"/>
        <v>2520130.7937254123</v>
      </c>
    </row>
    <row r="8" spans="1:38" x14ac:dyDescent="0.3">
      <c r="A8" s="39" t="s">
        <v>87</v>
      </c>
      <c r="B8" s="113"/>
      <c r="C8" s="58">
        <f>C4*InputsV2!$C$7</f>
        <v>1380000</v>
      </c>
      <c r="D8" s="59">
        <f>D4*InputsV2!$C$7</f>
        <v>1380000</v>
      </c>
      <c r="E8" s="59">
        <f>E4*InputsV2!$C$7</f>
        <v>1725000</v>
      </c>
      <c r="F8" s="59">
        <f>F4*InputsV2!$C$7</f>
        <v>1380000</v>
      </c>
      <c r="G8" s="59">
        <f>G4*InputsV2!$C$7</f>
        <v>1380000</v>
      </c>
      <c r="H8" s="59">
        <f>H4*InputsV2!$C$7</f>
        <v>1380000</v>
      </c>
      <c r="I8" s="59">
        <f>I4*InputsV2!$C$7</f>
        <v>1380000</v>
      </c>
      <c r="J8" s="59">
        <f>J4*InputsV2!$C$7</f>
        <v>1380000</v>
      </c>
      <c r="K8" s="59">
        <f>K4*InputsV2!$C$7</f>
        <v>1380000</v>
      </c>
      <c r="L8" s="59">
        <f>L4*InputsV2!$C$7</f>
        <v>1380000</v>
      </c>
      <c r="M8" s="59">
        <f>M4*InputsV2!$C$7</f>
        <v>1380000</v>
      </c>
      <c r="N8" s="60">
        <f>N4*InputsV2!$C$7</f>
        <v>1380000</v>
      </c>
      <c r="O8" s="96">
        <f>O4*InputsV2!$C$7</f>
        <v>1725000</v>
      </c>
      <c r="P8" s="97">
        <f>P4*InputsV2!$C$7</f>
        <v>1380000</v>
      </c>
      <c r="Q8" s="97">
        <f>Q4*InputsV2!$C$7</f>
        <v>1380000</v>
      </c>
      <c r="R8" s="97">
        <f>R4*InputsV2!$C$7</f>
        <v>1725000</v>
      </c>
      <c r="S8" s="97">
        <f>S4*InputsV2!$C$7</f>
        <v>1380000</v>
      </c>
      <c r="T8" s="97">
        <f>T4*InputsV2!$C$7</f>
        <v>1380000</v>
      </c>
      <c r="U8" s="97">
        <f>U4*InputsV2!$C$7</f>
        <v>1380000</v>
      </c>
      <c r="V8" s="97">
        <f>V4*InputsV2!$C$7</f>
        <v>1725000</v>
      </c>
      <c r="W8" s="97">
        <f>W4*InputsV2!$C$7</f>
        <v>1380000</v>
      </c>
      <c r="X8" s="97">
        <f>X4*InputsV2!$C$7</f>
        <v>1380000</v>
      </c>
      <c r="Y8" s="97">
        <f>Y4*InputsV2!$C$7</f>
        <v>1380000</v>
      </c>
      <c r="Z8" s="138">
        <f>Z4*InputsV2!$C$7</f>
        <v>1725000</v>
      </c>
      <c r="AA8" s="125">
        <f>AA4*InputsV2!$C$7</f>
        <v>1380000</v>
      </c>
      <c r="AB8" s="125">
        <f>AB4*InputsV2!$C$7</f>
        <v>1380000</v>
      </c>
      <c r="AC8" s="125">
        <f>AC4*InputsV2!$C$7</f>
        <v>1380000</v>
      </c>
      <c r="AD8" s="125">
        <f>AD4*InputsV2!$C$7</f>
        <v>1725000</v>
      </c>
      <c r="AE8" s="125">
        <f>AE4*InputsV2!$C$7</f>
        <v>1380000</v>
      </c>
      <c r="AF8" s="125">
        <f>AF4*InputsV2!$C$7</f>
        <v>1380000</v>
      </c>
      <c r="AG8" s="125">
        <f>AG4*InputsV2!$C$7</f>
        <v>1380000</v>
      </c>
      <c r="AH8" s="125">
        <f>AH4*InputsV2!$C$7</f>
        <v>1725000</v>
      </c>
      <c r="AI8" s="125">
        <f>AI4*InputsV2!$C$7</f>
        <v>1380000</v>
      </c>
      <c r="AJ8" s="125">
        <f>AJ4*InputsV2!$C$7</f>
        <v>1380000</v>
      </c>
      <c r="AK8" s="125">
        <f>AK4*InputsV2!$C$7</f>
        <v>1380000</v>
      </c>
      <c r="AL8" s="125">
        <f>AL4*InputsV2!$C$7</f>
        <v>1380000</v>
      </c>
    </row>
    <row r="9" spans="1:38" x14ac:dyDescent="0.3">
      <c r="A9" s="39" t="s">
        <v>88</v>
      </c>
      <c r="B9" s="113"/>
      <c r="C9" s="58">
        <f>(C6*InputsV2!$C$14)+(C5*InputsV2!$C$15)</f>
        <v>119710</v>
      </c>
      <c r="D9" s="59">
        <f>(D6*InputsV2!$C$14)+(D5*InputsV2!$C$15)</f>
        <v>225054.8</v>
      </c>
      <c r="E9" s="59">
        <f>(E6*InputsV2!$C$14)+(E5*InputsV2!$C$15)</f>
        <v>347685.72399999999</v>
      </c>
      <c r="F9" s="59">
        <f>(F6*InputsV2!$C$14)+(F5*InputsV2!$C$15)</f>
        <v>425673.43712000002</v>
      </c>
      <c r="G9" s="59">
        <f>(G6*InputsV2!$C$14)+(G5*InputsV2!$C$15)</f>
        <v>494302.62466560001</v>
      </c>
      <c r="H9" s="59">
        <f>(H6*InputsV2!$C$14)+(H5*InputsV2!$C$15)</f>
        <v>554696.30970572797</v>
      </c>
      <c r="I9" s="59">
        <f>(I6*InputsV2!$C$14)+(I5*InputsV2!$C$15)</f>
        <v>607842.75254104065</v>
      </c>
      <c r="J9" s="59">
        <f>(J6*InputsV2!$C$14)+(J5*InputsV2!$C$15)</f>
        <v>654611.62223611574</v>
      </c>
      <c r="K9" s="59">
        <f>(K6*InputsV2!$C$14)+(K5*InputsV2!$C$15)</f>
        <v>695768.22756778181</v>
      </c>
      <c r="L9" s="59">
        <f>(L6*InputsV2!$C$14)+(L5*InputsV2!$C$15)</f>
        <v>731986.04025964788</v>
      </c>
      <c r="M9" s="59">
        <f>(M6*InputsV2!$C$14)+(M5*InputsV2!$C$15)</f>
        <v>763857.71542849031</v>
      </c>
      <c r="N9" s="60">
        <f>(N6*InputsV2!$C$14)+(N5*InputsV2!$C$15)</f>
        <v>791904.78957707155</v>
      </c>
      <c r="O9" s="96">
        <f>(O6*InputsV2!$C$23)+(O5*InputsV2!$C$24)</f>
        <v>897304.53771749232</v>
      </c>
      <c r="P9" s="97">
        <f>(P6*InputsV2!$C$23)+(P5*InputsV2!$C$24)</f>
        <v>916520.5931913933</v>
      </c>
      <c r="Q9" s="97">
        <f>(Q6*InputsV2!$C$23)+(Q5*InputsV2!$C$24)</f>
        <v>933430.72200842609</v>
      </c>
      <c r="R9" s="97">
        <f>(R6*InputsV2!$C$23)+(R5*InputsV2!$C$24)</f>
        <v>980034.78536741505</v>
      </c>
      <c r="S9" s="97">
        <f>(S6*InputsV2!$C$23)+(S5*InputsV2!$C$24)</f>
        <v>989323.21112332516</v>
      </c>
      <c r="T9" s="97">
        <f>(T6*InputsV2!$C$23)+(T5*InputsV2!$C$24)</f>
        <v>997497.02578852605</v>
      </c>
      <c r="U9" s="97">
        <f>(U6*InputsV2!$C$23)+(U5*InputsV2!$C$24)</f>
        <v>1004689.982693903</v>
      </c>
      <c r="V9" s="97">
        <f>(V6*InputsV2!$C$23)+(V5*InputsV2!$C$24)</f>
        <v>1042742.9347706346</v>
      </c>
      <c r="W9" s="97">
        <f>(W6*InputsV2!$C$23)+(W5*InputsV2!$C$24)</f>
        <v>1044506.3825981587</v>
      </c>
      <c r="X9" s="97">
        <f>(X6*InputsV2!$C$23)+(X5*InputsV2!$C$24)</f>
        <v>1046058.2166863794</v>
      </c>
      <c r="Y9" s="97">
        <f>(Y6*InputsV2!$C$23)+(Y5*InputsV2!$C$24)</f>
        <v>1047423.8306840139</v>
      </c>
      <c r="Z9" s="138">
        <f>(Z6*InputsV2!$C$23)+(Z5*InputsV2!$C$24)</f>
        <v>1080348.7210019324</v>
      </c>
      <c r="AA9" s="125">
        <f>(AA6*InputsV2!$C$23)+(AA5*InputsV2!$C$24)</f>
        <v>1124259.1446515145</v>
      </c>
      <c r="AB9" s="125">
        <f>(AB6*InputsV2!$C$23)+(AB5*InputsV2!$C$24)</f>
        <v>1121735.0512933326</v>
      </c>
      <c r="AC9" s="125">
        <f>(AC6*InputsV2!$C$23)+(AC5*InputsV2!$C$24)</f>
        <v>1119513.8491381325</v>
      </c>
      <c r="AD9" s="125">
        <f>(AD6*InputsV2!$C$23)+(AD5*InputsV2!$C$24)</f>
        <v>1150655.9422415567</v>
      </c>
      <c r="AE9" s="125">
        <f>(AE6*InputsV2!$C$23)+(AE5*InputsV2!$C$24)</f>
        <v>1144964.2331725699</v>
      </c>
      <c r="AF9" s="125">
        <f>(AF6*InputsV2!$C$23)+(AF5*InputsV2!$C$24)</f>
        <v>1139955.5291918614</v>
      </c>
      <c r="AG9" s="125">
        <f>(AG6*InputsV2!$C$23)+(AG5*InputsV2!$C$24)</f>
        <v>1135547.8696888383</v>
      </c>
      <c r="AH9" s="125">
        <f>(AH6*InputsV2!$C$23)+(AH5*InputsV2!$C$24)</f>
        <v>1164765.8803261777</v>
      </c>
      <c r="AI9" s="125">
        <f>(AI6*InputsV2!$C$23)+(AI5*InputsV2!$C$24)</f>
        <v>1157380.9786870363</v>
      </c>
      <c r="AJ9" s="125">
        <f>(AJ6*InputsV2!$C$23)+(AJ5*InputsV2!$C$24)</f>
        <v>1150882.265244592</v>
      </c>
      <c r="AK9" s="125">
        <f>(AK6*InputsV2!$C$23)+(AK5*InputsV2!$C$24)</f>
        <v>1145163.397415241</v>
      </c>
      <c r="AL9" s="125">
        <f>(AL6*InputsV2!$C$23)+(AL5*InputsV2!$C$24)</f>
        <v>1140130.7937254121</v>
      </c>
    </row>
    <row r="10" spans="1:38" ht="15" thickBot="1" x14ac:dyDescent="0.35">
      <c r="A10" s="156" t="s">
        <v>89</v>
      </c>
      <c r="B10" s="1"/>
      <c r="C10" s="61">
        <f>C6-C7</f>
        <v>1760290</v>
      </c>
      <c r="D10" s="62">
        <f t="shared" ref="D10:AL10" si="1">D6-D7</f>
        <v>4523745.2</v>
      </c>
      <c r="E10" s="62">
        <f t="shared" si="1"/>
        <v>7395658.2760000005</v>
      </c>
      <c r="F10" s="62">
        <f t="shared" si="1"/>
        <v>9786469.2828800008</v>
      </c>
      <c r="G10" s="62">
        <f t="shared" si="1"/>
        <v>11586782.9689344</v>
      </c>
      <c r="H10" s="62">
        <f t="shared" si="1"/>
        <v>13171059.012662271</v>
      </c>
      <c r="I10" s="62">
        <f t="shared" si="1"/>
        <v>14565221.9311428</v>
      </c>
      <c r="J10" s="62">
        <f t="shared" si="1"/>
        <v>15792085.299405662</v>
      </c>
      <c r="K10" s="62">
        <f t="shared" si="1"/>
        <v>16871725.063476983</v>
      </c>
      <c r="L10" s="62">
        <f>L6-L7</f>
        <v>17821808.055859745</v>
      </c>
      <c r="M10" s="62">
        <f t="shared" si="1"/>
        <v>18657881.089156579</v>
      </c>
      <c r="N10" s="63">
        <f t="shared" si="1"/>
        <v>19393625.358457793</v>
      </c>
      <c r="O10" s="98">
        <f t="shared" si="1"/>
        <v>21813521.984369427</v>
      </c>
      <c r="P10" s="42">
        <f>P6-P7</f>
        <v>22662606.746245097</v>
      </c>
      <c r="Q10" s="42">
        <f t="shared" si="1"/>
        <v>23106201.336695686</v>
      </c>
      <c r="R10" s="42">
        <f t="shared" si="1"/>
        <v>23983741.426292203</v>
      </c>
      <c r="S10" s="42">
        <f t="shared" si="1"/>
        <v>24572399.85513714</v>
      </c>
      <c r="T10" s="42">
        <f t="shared" si="1"/>
        <v>24786819.27252068</v>
      </c>
      <c r="U10" s="42">
        <f t="shared" si="1"/>
        <v>24975508.359818202</v>
      </c>
      <c r="V10" s="42">
        <f t="shared" si="1"/>
        <v>25628731.606640019</v>
      </c>
      <c r="W10" s="42">
        <f t="shared" si="1"/>
        <v>26019991.213843219</v>
      </c>
      <c r="X10" s="42">
        <f t="shared" si="1"/>
        <v>26060699.66818203</v>
      </c>
      <c r="Y10" s="42">
        <f t="shared" si="1"/>
        <v>26096523.108000185</v>
      </c>
      <c r="Z10" s="139">
        <f t="shared" si="1"/>
        <v>26615224.58504016</v>
      </c>
      <c r="AA10" s="126">
        <f t="shared" si="1"/>
        <v>28602187.635224551</v>
      </c>
      <c r="AB10" s="126">
        <f t="shared" si="1"/>
        <v>28534874.114997607</v>
      </c>
      <c r="AC10" s="126">
        <f t="shared" si="1"/>
        <v>28475638.217197888</v>
      </c>
      <c r="AD10" s="126">
        <f t="shared" si="1"/>
        <v>28961147.876134142</v>
      </c>
      <c r="AE10" s="126">
        <f t="shared" si="1"/>
        <v>29154359.126998041</v>
      </c>
      <c r="AF10" s="126">
        <f t="shared" si="1"/>
        <v>29020785.027758274</v>
      </c>
      <c r="AG10" s="126">
        <f t="shared" si="1"/>
        <v>28903239.820427284</v>
      </c>
      <c r="AH10" s="126">
        <f t="shared" si="1"/>
        <v>29337437.286976013</v>
      </c>
      <c r="AI10" s="126">
        <f t="shared" si="1"/>
        <v>29485493.808538888</v>
      </c>
      <c r="AJ10" s="126">
        <f t="shared" si="1"/>
        <v>29312183.547514226</v>
      </c>
      <c r="AK10" s="126">
        <f t="shared" si="1"/>
        <v>29159670.51781252</v>
      </c>
      <c r="AL10" s="126">
        <f t="shared" si="1"/>
        <v>29025459.051675018</v>
      </c>
    </row>
    <row r="11" spans="1:38" ht="15" thickTop="1" x14ac:dyDescent="0.3">
      <c r="A11" s="156" t="s">
        <v>90</v>
      </c>
      <c r="B11" s="1"/>
      <c r="C11" s="56">
        <f>SUM(C12:C14)</f>
        <v>8560000</v>
      </c>
      <c r="D11" s="82">
        <f>SUM(D12:D14)</f>
        <v>8560000</v>
      </c>
      <c r="E11" s="82">
        <f t="shared" ref="E11:N11" si="2">SUM(E12:E14)</f>
        <v>8560000</v>
      </c>
      <c r="F11" s="82">
        <f t="shared" si="2"/>
        <v>8560000</v>
      </c>
      <c r="G11" s="82">
        <f t="shared" si="2"/>
        <v>8560000</v>
      </c>
      <c r="H11" s="82">
        <f t="shared" si="2"/>
        <v>8560000</v>
      </c>
      <c r="I11" s="82">
        <f t="shared" si="2"/>
        <v>12550000</v>
      </c>
      <c r="J11" s="82">
        <f t="shared" si="2"/>
        <v>12550000</v>
      </c>
      <c r="K11" s="82">
        <f t="shared" si="2"/>
        <v>12550000</v>
      </c>
      <c r="L11" s="82">
        <f t="shared" si="2"/>
        <v>12550000</v>
      </c>
      <c r="M11" s="82">
        <f t="shared" si="2"/>
        <v>12550000</v>
      </c>
      <c r="N11" s="57">
        <f t="shared" si="2"/>
        <v>12550000</v>
      </c>
      <c r="O11" s="94">
        <f>SUM(O12:O14)</f>
        <v>17405200</v>
      </c>
      <c r="P11" s="95">
        <f t="shared" ref="P11:AL11" si="3">SUM(P12:P14)</f>
        <v>17405200</v>
      </c>
      <c r="Q11" s="95">
        <f t="shared" si="3"/>
        <v>17405200</v>
      </c>
      <c r="R11" s="95">
        <f t="shared" si="3"/>
        <v>17405200</v>
      </c>
      <c r="S11" s="95">
        <f t="shared" si="3"/>
        <v>17405200</v>
      </c>
      <c r="T11" s="95">
        <f t="shared" si="3"/>
        <v>17405200</v>
      </c>
      <c r="U11" s="95">
        <f t="shared" si="3"/>
        <v>21592200</v>
      </c>
      <c r="V11" s="95">
        <f t="shared" si="3"/>
        <v>21592200</v>
      </c>
      <c r="W11" s="95">
        <f t="shared" si="3"/>
        <v>21592200</v>
      </c>
      <c r="X11" s="95">
        <f t="shared" si="3"/>
        <v>21592200</v>
      </c>
      <c r="Y11" s="95">
        <f t="shared" si="3"/>
        <v>21592200</v>
      </c>
      <c r="Z11" s="137">
        <f t="shared" si="3"/>
        <v>21592200</v>
      </c>
      <c r="AA11" s="124">
        <f t="shared" si="3"/>
        <v>22887732</v>
      </c>
      <c r="AB11" s="124">
        <f t="shared" si="3"/>
        <v>22887732</v>
      </c>
      <c r="AC11" s="124">
        <f t="shared" si="3"/>
        <v>22887732</v>
      </c>
      <c r="AD11" s="124">
        <f t="shared" si="3"/>
        <v>22887732</v>
      </c>
      <c r="AE11" s="124">
        <f t="shared" si="3"/>
        <v>22887732</v>
      </c>
      <c r="AF11" s="124">
        <f t="shared" si="3"/>
        <v>22887732</v>
      </c>
      <c r="AG11" s="124">
        <f t="shared" si="3"/>
        <v>22887732</v>
      </c>
      <c r="AH11" s="124">
        <f t="shared" si="3"/>
        <v>22887732</v>
      </c>
      <c r="AI11" s="124">
        <f t="shared" si="3"/>
        <v>22887732</v>
      </c>
      <c r="AJ11" s="124">
        <f t="shared" si="3"/>
        <v>22887732</v>
      </c>
      <c r="AK11" s="124">
        <f t="shared" si="3"/>
        <v>22887732</v>
      </c>
      <c r="AL11" s="124">
        <f t="shared" si="3"/>
        <v>22887732</v>
      </c>
    </row>
    <row r="12" spans="1:38" x14ac:dyDescent="0.3">
      <c r="A12" s="38" t="s">
        <v>91</v>
      </c>
      <c r="C12" s="64">
        <f>InputsV2!$C$10</f>
        <v>3990000</v>
      </c>
      <c r="D12" s="65">
        <f>InputsV2!$C$10</f>
        <v>3990000</v>
      </c>
      <c r="E12" s="65">
        <f>InputsV2!$C$10</f>
        <v>3990000</v>
      </c>
      <c r="F12" s="65">
        <f>InputsV2!$C$10</f>
        <v>3990000</v>
      </c>
      <c r="G12" s="65">
        <f>InputsV2!$C$10</f>
        <v>3990000</v>
      </c>
      <c r="H12" s="65">
        <f>InputsV2!$C$10</f>
        <v>3990000</v>
      </c>
      <c r="I12" s="65">
        <f>InputsV2!$C$10*2</f>
        <v>7980000</v>
      </c>
      <c r="J12" s="65">
        <f>InputsV2!$C$10*2</f>
        <v>7980000</v>
      </c>
      <c r="K12" s="65">
        <f>InputsV2!$C$10*2</f>
        <v>7980000</v>
      </c>
      <c r="L12" s="65">
        <f>InputsV2!$C$10*2</f>
        <v>7980000</v>
      </c>
      <c r="M12" s="65">
        <f>InputsV2!$C$10*2</f>
        <v>7980000</v>
      </c>
      <c r="N12" s="66">
        <f>InputsV2!$C$10*2</f>
        <v>7980000</v>
      </c>
      <c r="O12" s="99">
        <f>InputsV2!$C$19*3</f>
        <v>12561000</v>
      </c>
      <c r="P12" s="100">
        <f>InputsV2!$C$19*3</f>
        <v>12561000</v>
      </c>
      <c r="Q12" s="100">
        <f>InputsV2!$C$19*3</f>
        <v>12561000</v>
      </c>
      <c r="R12" s="100">
        <f>InputsV2!$C$19*3</f>
        <v>12561000</v>
      </c>
      <c r="S12" s="100">
        <f>InputsV2!$C$19*3</f>
        <v>12561000</v>
      </c>
      <c r="T12" s="100">
        <f>InputsV2!$C$19*3</f>
        <v>12561000</v>
      </c>
      <c r="U12" s="100">
        <f>InputsV2!$C$19*4</f>
        <v>16748000</v>
      </c>
      <c r="V12" s="100">
        <f>InputsV2!$C$19*4</f>
        <v>16748000</v>
      </c>
      <c r="W12" s="100">
        <f>InputsV2!$C$19*4</f>
        <v>16748000</v>
      </c>
      <c r="X12" s="100">
        <f>InputsV2!$C$19*4</f>
        <v>16748000</v>
      </c>
      <c r="Y12" s="100">
        <f>InputsV2!$C$19*4</f>
        <v>16748000</v>
      </c>
      <c r="Z12" s="140">
        <f>InputsV2!$C$19*4</f>
        <v>16748000</v>
      </c>
      <c r="AA12" s="127">
        <f>InputsV2!$C$19*4*1.06</f>
        <v>17752880</v>
      </c>
      <c r="AB12" s="127">
        <f>InputsV2!$C$19*4*1.06</f>
        <v>17752880</v>
      </c>
      <c r="AC12" s="127">
        <f>InputsV2!$C$19*4*1.06</f>
        <v>17752880</v>
      </c>
      <c r="AD12" s="127">
        <f>InputsV2!$C$19*4*1.06</f>
        <v>17752880</v>
      </c>
      <c r="AE12" s="127">
        <f>InputsV2!$C$19*4*1.06</f>
        <v>17752880</v>
      </c>
      <c r="AF12" s="127">
        <f>InputsV2!$C$19*4*1.06</f>
        <v>17752880</v>
      </c>
      <c r="AG12" s="127">
        <f>InputsV2!$C$19*4*1.06</f>
        <v>17752880</v>
      </c>
      <c r="AH12" s="127">
        <f>InputsV2!$C$19*4*1.06</f>
        <v>17752880</v>
      </c>
      <c r="AI12" s="127">
        <f>InputsV2!$C$19*4*1.06</f>
        <v>17752880</v>
      </c>
      <c r="AJ12" s="127">
        <f>InputsV2!$C$19*4*1.06</f>
        <v>17752880</v>
      </c>
      <c r="AK12" s="127">
        <f>InputsV2!$C$19*4*1.06</f>
        <v>17752880</v>
      </c>
      <c r="AL12" s="127">
        <f>InputsV2!$C$19*4*1.06</f>
        <v>17752880</v>
      </c>
    </row>
    <row r="13" spans="1:38" x14ac:dyDescent="0.3">
      <c r="A13" s="38" t="s">
        <v>92</v>
      </c>
      <c r="C13" s="64">
        <f>InputsV2!$C$12</f>
        <v>3950000</v>
      </c>
      <c r="D13" s="65">
        <f>InputsV2!$C$12</f>
        <v>3950000</v>
      </c>
      <c r="E13" s="65">
        <f>InputsV2!$C$12</f>
        <v>3950000</v>
      </c>
      <c r="F13" s="65">
        <f>InputsV2!$C$12</f>
        <v>3950000</v>
      </c>
      <c r="G13" s="65">
        <f>InputsV2!$C$12</f>
        <v>3950000</v>
      </c>
      <c r="H13" s="65">
        <f>InputsV2!$C$12</f>
        <v>3950000</v>
      </c>
      <c r="I13" s="65">
        <f>InputsV2!$C$12</f>
        <v>3950000</v>
      </c>
      <c r="J13" s="65">
        <f>InputsV2!$C$12</f>
        <v>3950000</v>
      </c>
      <c r="K13" s="65">
        <f>InputsV2!$C$12</f>
        <v>3950000</v>
      </c>
      <c r="L13" s="65">
        <f>InputsV2!$C$12</f>
        <v>3950000</v>
      </c>
      <c r="M13" s="65">
        <f>InputsV2!$C$12</f>
        <v>3950000</v>
      </c>
      <c r="N13" s="66">
        <f>InputsV2!$C$12</f>
        <v>3950000</v>
      </c>
      <c r="O13" s="99">
        <f>InputsV2!$C$21</f>
        <v>4187000</v>
      </c>
      <c r="P13" s="100">
        <f>InputsV2!$C$21</f>
        <v>4187000</v>
      </c>
      <c r="Q13" s="100">
        <f>InputsV2!$C$21</f>
        <v>4187000</v>
      </c>
      <c r="R13" s="100">
        <f>InputsV2!$C$21</f>
        <v>4187000</v>
      </c>
      <c r="S13" s="100">
        <f>InputsV2!$C$21</f>
        <v>4187000</v>
      </c>
      <c r="T13" s="100">
        <f>InputsV2!$C$21</f>
        <v>4187000</v>
      </c>
      <c r="U13" s="100">
        <f>InputsV2!$C$21</f>
        <v>4187000</v>
      </c>
      <c r="V13" s="100">
        <f>InputsV2!$C$21</f>
        <v>4187000</v>
      </c>
      <c r="W13" s="100">
        <f>InputsV2!$C$21</f>
        <v>4187000</v>
      </c>
      <c r="X13" s="100">
        <f>InputsV2!$C$21</f>
        <v>4187000</v>
      </c>
      <c r="Y13" s="100">
        <f>InputsV2!$C$21</f>
        <v>4187000</v>
      </c>
      <c r="Z13" s="140">
        <f>InputsV2!$C$21</f>
        <v>4187000</v>
      </c>
      <c r="AA13" s="127">
        <f>InputsV2!$C$21*1.06</f>
        <v>4438220</v>
      </c>
      <c r="AB13" s="127">
        <f>InputsV2!$C$21*1.06</f>
        <v>4438220</v>
      </c>
      <c r="AC13" s="127">
        <f>InputsV2!$C$21*1.06</f>
        <v>4438220</v>
      </c>
      <c r="AD13" s="127">
        <f>InputsV2!$C$21*1.06</f>
        <v>4438220</v>
      </c>
      <c r="AE13" s="127">
        <f>InputsV2!$C$21*1.06</f>
        <v>4438220</v>
      </c>
      <c r="AF13" s="127">
        <f>InputsV2!$C$21*1.06</f>
        <v>4438220</v>
      </c>
      <c r="AG13" s="127">
        <f>InputsV2!$C$21*1.06</f>
        <v>4438220</v>
      </c>
      <c r="AH13" s="127">
        <f>InputsV2!$C$21*1.06</f>
        <v>4438220</v>
      </c>
      <c r="AI13" s="127">
        <f>InputsV2!$C$21*1.06</f>
        <v>4438220</v>
      </c>
      <c r="AJ13" s="127">
        <f>InputsV2!$C$21*1.06</f>
        <v>4438220</v>
      </c>
      <c r="AK13" s="127">
        <f>InputsV2!$C$21*1.06</f>
        <v>4438220</v>
      </c>
      <c r="AL13" s="127">
        <f>InputsV2!$C$21*1.06</f>
        <v>4438220</v>
      </c>
    </row>
    <row r="14" spans="1:38" x14ac:dyDescent="0.3">
      <c r="A14" s="38" t="s">
        <v>93</v>
      </c>
      <c r="C14" s="64">
        <f>InputsV2!$C$11</f>
        <v>620000</v>
      </c>
      <c r="D14" s="65">
        <f>InputsV2!$C$11</f>
        <v>620000</v>
      </c>
      <c r="E14" s="65">
        <f>InputsV2!$C$11</f>
        <v>620000</v>
      </c>
      <c r="F14" s="65">
        <f>InputsV2!$C$11</f>
        <v>620000</v>
      </c>
      <c r="G14" s="65">
        <f>InputsV2!$C$11</f>
        <v>620000</v>
      </c>
      <c r="H14" s="65">
        <f>InputsV2!$C$11</f>
        <v>620000</v>
      </c>
      <c r="I14" s="65">
        <f>InputsV2!$C$11</f>
        <v>620000</v>
      </c>
      <c r="J14" s="65">
        <f>InputsV2!$C$11</f>
        <v>620000</v>
      </c>
      <c r="K14" s="65">
        <f>InputsV2!$C$11</f>
        <v>620000</v>
      </c>
      <c r="L14" s="65">
        <f>InputsV2!$C$11</f>
        <v>620000</v>
      </c>
      <c r="M14" s="65">
        <f>InputsV2!$C$11</f>
        <v>620000</v>
      </c>
      <c r="N14" s="66">
        <f>InputsV2!$C$11</f>
        <v>620000</v>
      </c>
      <c r="O14" s="99">
        <f>InputsV2!$C$20</f>
        <v>657200</v>
      </c>
      <c r="P14" s="100">
        <f>InputsV2!$C$20</f>
        <v>657200</v>
      </c>
      <c r="Q14" s="100">
        <f>InputsV2!$C$20</f>
        <v>657200</v>
      </c>
      <c r="R14" s="100">
        <f>InputsV2!$C$20</f>
        <v>657200</v>
      </c>
      <c r="S14" s="100">
        <f>InputsV2!$C$20</f>
        <v>657200</v>
      </c>
      <c r="T14" s="100">
        <f>InputsV2!$C$20</f>
        <v>657200</v>
      </c>
      <c r="U14" s="100">
        <f>InputsV2!$C$20</f>
        <v>657200</v>
      </c>
      <c r="V14" s="100">
        <f>InputsV2!$C$20</f>
        <v>657200</v>
      </c>
      <c r="W14" s="100">
        <f>InputsV2!$C$20</f>
        <v>657200</v>
      </c>
      <c r="X14" s="100">
        <f>InputsV2!$C$20</f>
        <v>657200</v>
      </c>
      <c r="Y14" s="100">
        <f>InputsV2!$C$20</f>
        <v>657200</v>
      </c>
      <c r="Z14" s="140">
        <f>InputsV2!$C$20</f>
        <v>657200</v>
      </c>
      <c r="AA14" s="127">
        <f>InputsV2!$C$20*1.06</f>
        <v>696632</v>
      </c>
      <c r="AB14" s="127">
        <f>InputsV2!$C$20*1.06</f>
        <v>696632</v>
      </c>
      <c r="AC14" s="127">
        <f>InputsV2!$C$20*1.06</f>
        <v>696632</v>
      </c>
      <c r="AD14" s="127">
        <f>InputsV2!$C$20*1.06</f>
        <v>696632</v>
      </c>
      <c r="AE14" s="127">
        <f>InputsV2!$C$20*1.06</f>
        <v>696632</v>
      </c>
      <c r="AF14" s="127">
        <f>InputsV2!$C$20*1.06</f>
        <v>696632</v>
      </c>
      <c r="AG14" s="127">
        <f>InputsV2!$C$20*1.06</f>
        <v>696632</v>
      </c>
      <c r="AH14" s="127">
        <f>InputsV2!$C$20*1.06</f>
        <v>696632</v>
      </c>
      <c r="AI14" s="127">
        <f>InputsV2!$C$20*1.06</f>
        <v>696632</v>
      </c>
      <c r="AJ14" s="127">
        <f>InputsV2!$C$20*1.06</f>
        <v>696632</v>
      </c>
      <c r="AK14" s="127">
        <f>InputsV2!$C$20*1.06</f>
        <v>696632</v>
      </c>
      <c r="AL14" s="127">
        <f>InputsV2!$C$20*1.06</f>
        <v>696632</v>
      </c>
    </row>
    <row r="15" spans="1:38" x14ac:dyDescent="0.3">
      <c r="A15" s="40" t="s">
        <v>94</v>
      </c>
      <c r="B15" s="144">
        <v>-91000000</v>
      </c>
      <c r="C15" s="105">
        <f>C10-C11</f>
        <v>-6799710</v>
      </c>
      <c r="D15" s="106">
        <f t="shared" ref="D15:AL15" si="4">D10-D11</f>
        <v>-4036254.8</v>
      </c>
      <c r="E15" s="106">
        <f t="shared" si="4"/>
        <v>-1164341.7239999995</v>
      </c>
      <c r="F15" s="106">
        <f t="shared" si="4"/>
        <v>1226469.2828800008</v>
      </c>
      <c r="G15" s="106">
        <f t="shared" si="4"/>
        <v>3026782.9689344</v>
      </c>
      <c r="H15" s="106">
        <f t="shared" si="4"/>
        <v>4611059.012662271</v>
      </c>
      <c r="I15" s="106">
        <f t="shared" si="4"/>
        <v>2015221.9311427996</v>
      </c>
      <c r="J15" s="106">
        <f t="shared" si="4"/>
        <v>3242085.2994056623</v>
      </c>
      <c r="K15" s="106">
        <f t="shared" si="4"/>
        <v>4321725.0634769835</v>
      </c>
      <c r="L15" s="106">
        <f t="shared" si="4"/>
        <v>5271808.0558597445</v>
      </c>
      <c r="M15" s="106">
        <f t="shared" si="4"/>
        <v>6107881.0891565792</v>
      </c>
      <c r="N15" s="107">
        <f t="shared" si="4"/>
        <v>6843625.3584577926</v>
      </c>
      <c r="O15" s="108">
        <f t="shared" si="4"/>
        <v>4408321.984369427</v>
      </c>
      <c r="P15" s="109">
        <f t="shared" si="4"/>
        <v>5257406.7462450974</v>
      </c>
      <c r="Q15" s="109">
        <f t="shared" si="4"/>
        <v>5701001.336695686</v>
      </c>
      <c r="R15" s="109">
        <f t="shared" si="4"/>
        <v>6578541.4262922034</v>
      </c>
      <c r="S15" s="109">
        <f t="shared" si="4"/>
        <v>7167199.8551371396</v>
      </c>
      <c r="T15" s="109">
        <f t="shared" si="4"/>
        <v>7381619.27252068</v>
      </c>
      <c r="U15" s="109">
        <f>U10-U11</f>
        <v>3383308.3598182015</v>
      </c>
      <c r="V15" s="109">
        <f t="shared" si="4"/>
        <v>4036531.6066400185</v>
      </c>
      <c r="W15" s="109">
        <f t="shared" si="4"/>
        <v>4427791.213843219</v>
      </c>
      <c r="X15" s="109">
        <f t="shared" si="4"/>
        <v>4468499.6681820303</v>
      </c>
      <c r="Y15" s="109">
        <f t="shared" si="4"/>
        <v>4504323.1080001853</v>
      </c>
      <c r="Z15" s="141">
        <f t="shared" si="4"/>
        <v>5023024.5850401595</v>
      </c>
      <c r="AA15" s="128">
        <f t="shared" si="4"/>
        <v>5714455.635224551</v>
      </c>
      <c r="AB15" s="128">
        <f t="shared" si="4"/>
        <v>5647142.1149976067</v>
      </c>
      <c r="AC15" s="128">
        <f t="shared" si="4"/>
        <v>5587906.2171978876</v>
      </c>
      <c r="AD15" s="128">
        <f t="shared" si="4"/>
        <v>6073415.8761341423</v>
      </c>
      <c r="AE15" s="128">
        <f t="shared" si="4"/>
        <v>6266627.1269980408</v>
      </c>
      <c r="AF15" s="128">
        <f t="shared" si="4"/>
        <v>6133053.0277582742</v>
      </c>
      <c r="AG15" s="128">
        <f t="shared" si="4"/>
        <v>6015507.8204272836</v>
      </c>
      <c r="AH15" s="128">
        <f t="shared" si="4"/>
        <v>6449705.2869760133</v>
      </c>
      <c r="AI15" s="128">
        <f t="shared" si="4"/>
        <v>6597761.8085388876</v>
      </c>
      <c r="AJ15" s="128">
        <f t="shared" si="4"/>
        <v>6424451.5475142263</v>
      </c>
      <c r="AK15" s="128">
        <f t="shared" si="4"/>
        <v>6271938.5178125203</v>
      </c>
      <c r="AL15" s="128">
        <f t="shared" si="4"/>
        <v>6137727.0516750179</v>
      </c>
    </row>
    <row r="16" spans="1:38" x14ac:dyDescent="0.3">
      <c r="A16" s="38" t="s">
        <v>95</v>
      </c>
      <c r="B16" s="144"/>
      <c r="C16" s="64">
        <f>InputsV2!$C$13</f>
        <v>6037181</v>
      </c>
      <c r="D16" s="65">
        <f>InputsV2!$C$13</f>
        <v>6037181</v>
      </c>
      <c r="E16" s="65">
        <f>InputsV2!$C$13</f>
        <v>6037181</v>
      </c>
      <c r="F16" s="65">
        <f>InputsV2!$C$13</f>
        <v>6037181</v>
      </c>
      <c r="G16" s="65">
        <f>InputsV2!$C$13</f>
        <v>6037181</v>
      </c>
      <c r="H16" s="65">
        <f>InputsV2!$C$13</f>
        <v>6037181</v>
      </c>
      <c r="I16" s="65">
        <f>InputsV2!$C$13</f>
        <v>6037181</v>
      </c>
      <c r="J16" s="65">
        <f>InputsV2!$C$13</f>
        <v>6037181</v>
      </c>
      <c r="K16" s="65">
        <f>InputsV2!$C$13</f>
        <v>6037181</v>
      </c>
      <c r="L16" s="65">
        <f>InputsV2!$C$13</f>
        <v>6037181</v>
      </c>
      <c r="M16" s="65">
        <f>InputsV2!$C$13</f>
        <v>6037181</v>
      </c>
      <c r="N16" s="66">
        <f>InputsV2!$C$13</f>
        <v>6037181</v>
      </c>
      <c r="O16" s="99">
        <f>InputsV2!$C$13</f>
        <v>6037181</v>
      </c>
      <c r="P16" s="100">
        <f>InputsV2!$C$13</f>
        <v>6037181</v>
      </c>
      <c r="Q16" s="100">
        <f>InputsV2!$C$13</f>
        <v>6037181</v>
      </c>
      <c r="R16" s="100">
        <f>InputsV2!$C$13</f>
        <v>6037181</v>
      </c>
      <c r="S16" s="100">
        <f>InputsV2!$C$13</f>
        <v>6037181</v>
      </c>
      <c r="T16" s="100">
        <f>InputsV2!$C$13</f>
        <v>6037181</v>
      </c>
      <c r="U16" s="100"/>
      <c r="V16" s="100"/>
      <c r="W16" s="100"/>
      <c r="X16" s="100"/>
      <c r="Y16" s="100"/>
      <c r="Z16" s="140"/>
    </row>
    <row r="17" spans="1:38" ht="15" thickBot="1" x14ac:dyDescent="0.35">
      <c r="A17" s="40" t="s">
        <v>96</v>
      </c>
      <c r="B17" s="7"/>
      <c r="C17" s="83">
        <f>C15-C16</f>
        <v>-12836891</v>
      </c>
      <c r="D17" s="78">
        <f t="shared" ref="D17:M17" si="5">D15-D16</f>
        <v>-10073435.800000001</v>
      </c>
      <c r="E17" s="78">
        <f t="shared" si="5"/>
        <v>-7201522.7239999995</v>
      </c>
      <c r="F17" s="78">
        <f t="shared" si="5"/>
        <v>-4810711.7171199992</v>
      </c>
      <c r="G17" s="78">
        <f t="shared" si="5"/>
        <v>-3010398.0310656</v>
      </c>
      <c r="H17" s="78">
        <f t="shared" si="5"/>
        <v>-1426121.987337729</v>
      </c>
      <c r="I17" s="78">
        <f t="shared" si="5"/>
        <v>-4021959.0688572004</v>
      </c>
      <c r="J17" s="78">
        <f t="shared" si="5"/>
        <v>-2795095.7005943377</v>
      </c>
      <c r="K17" s="78">
        <f t="shared" si="5"/>
        <v>-1715455.9365230165</v>
      </c>
      <c r="L17" s="78">
        <f t="shared" si="5"/>
        <v>-765372.94414025545</v>
      </c>
      <c r="M17" s="78">
        <f t="shared" si="5"/>
        <v>70700.089156579226</v>
      </c>
      <c r="N17" s="84">
        <f>N15-N16</f>
        <v>806444.35845779255</v>
      </c>
      <c r="O17" s="103">
        <f t="shared" ref="O17:P17" si="6">O15-O16</f>
        <v>-1628859.015630573</v>
      </c>
      <c r="P17" s="104">
        <f t="shared" si="6"/>
        <v>-779774.25375490263</v>
      </c>
      <c r="Q17" s="104">
        <f t="shared" ref="Q17" si="7">Q15-Q16</f>
        <v>-336179.66330431402</v>
      </c>
      <c r="R17" s="104">
        <f t="shared" ref="R17" si="8">R15-R16</f>
        <v>541360.42629220337</v>
      </c>
      <c r="S17" s="104">
        <f t="shared" ref="S17" si="9">S15-S16</f>
        <v>1130018.8551371396</v>
      </c>
      <c r="T17" s="104">
        <f t="shared" ref="T17" si="10">T15-T16</f>
        <v>1344438.27252068</v>
      </c>
      <c r="U17" s="104">
        <f t="shared" ref="U17" si="11">U15-U16</f>
        <v>3383308.3598182015</v>
      </c>
      <c r="V17" s="104">
        <f t="shared" ref="V17" si="12">V15-V16</f>
        <v>4036531.6066400185</v>
      </c>
      <c r="W17" s="104">
        <f t="shared" ref="W17" si="13">W15-W16</f>
        <v>4427791.213843219</v>
      </c>
      <c r="X17" s="104">
        <f t="shared" ref="X17" si="14">X15-X16</f>
        <v>4468499.6681820303</v>
      </c>
      <c r="Y17" s="104">
        <f t="shared" ref="Y17" si="15">Y15-Y16</f>
        <v>4504323.1080001853</v>
      </c>
      <c r="Z17" s="142">
        <f t="shared" ref="Z17:AL17" si="16">Z15-Z16</f>
        <v>5023024.5850401595</v>
      </c>
      <c r="AA17" s="129">
        <f t="shared" si="16"/>
        <v>5714455.635224551</v>
      </c>
      <c r="AB17" s="129">
        <f t="shared" si="16"/>
        <v>5647142.1149976067</v>
      </c>
      <c r="AC17" s="129">
        <f t="shared" si="16"/>
        <v>5587906.2171978876</v>
      </c>
      <c r="AD17" s="129">
        <f t="shared" si="16"/>
        <v>6073415.8761341423</v>
      </c>
      <c r="AE17" s="129">
        <f t="shared" si="16"/>
        <v>6266627.1269980408</v>
      </c>
      <c r="AF17" s="129">
        <f t="shared" si="16"/>
        <v>6133053.0277582742</v>
      </c>
      <c r="AG17" s="129">
        <f t="shared" si="16"/>
        <v>6015507.8204272836</v>
      </c>
      <c r="AH17" s="129">
        <f t="shared" si="16"/>
        <v>6449705.2869760133</v>
      </c>
      <c r="AI17" s="129">
        <f t="shared" si="16"/>
        <v>6597761.8085388876</v>
      </c>
      <c r="AJ17" s="129">
        <f t="shared" si="16"/>
        <v>6424451.5475142263</v>
      </c>
      <c r="AK17" s="129">
        <f t="shared" si="16"/>
        <v>6271938.5178125203</v>
      </c>
      <c r="AL17" s="129">
        <f t="shared" si="16"/>
        <v>6137727.0516750179</v>
      </c>
    </row>
    <row r="18" spans="1:38" ht="15.6" thickTop="1" thickBot="1" x14ac:dyDescent="0.35">
      <c r="A18" s="38" t="s">
        <v>97</v>
      </c>
      <c r="C18" s="67">
        <f>C17/C6</f>
        <v>-3.9376966257668711</v>
      </c>
      <c r="D18" s="68">
        <f t="shared" ref="D18:O18" si="17">D17/D6</f>
        <v>-1.6436228625505809</v>
      </c>
      <c r="E18" s="68">
        <f t="shared" si="17"/>
        <v>-0.76058946780978798</v>
      </c>
      <c r="F18" s="68">
        <f t="shared" si="17"/>
        <v>-0.41499762669588658</v>
      </c>
      <c r="G18" s="68">
        <f t="shared" si="17"/>
        <v>-0.22363709153568398</v>
      </c>
      <c r="H18" s="68">
        <f t="shared" si="17"/>
        <v>-9.4409180931587344E-2</v>
      </c>
      <c r="I18" s="68">
        <f t="shared" si="17"/>
        <v>-0.24297368165434632</v>
      </c>
      <c r="J18" s="68">
        <f t="shared" si="17"/>
        <v>-0.15679268643430322</v>
      </c>
      <c r="K18" s="68">
        <f t="shared" si="17"/>
        <v>-9.0537355531552025E-2</v>
      </c>
      <c r="L18" s="68">
        <f t="shared" si="17"/>
        <v>-3.8395748468639711E-2</v>
      </c>
      <c r="M18" s="68">
        <f t="shared" si="17"/>
        <v>3.3987586240144347E-3</v>
      </c>
      <c r="N18" s="69">
        <f t="shared" si="17"/>
        <v>3.7395062997386083E-2</v>
      </c>
      <c r="O18" s="101">
        <f t="shared" si="17"/>
        <v>-6.6658642144078448E-2</v>
      </c>
      <c r="P18" s="102">
        <f t="shared" ref="P18" si="18">P17/P6</f>
        <v>-3.1242047975083884E-2</v>
      </c>
      <c r="Q18" s="102">
        <f t="shared" ref="Q18" si="19">Q17/Q6</f>
        <v>-1.3225197852114481E-2</v>
      </c>
      <c r="R18" s="102">
        <f t="shared" ref="R18" si="20">R17/R6</f>
        <v>2.0284198196232669E-2</v>
      </c>
      <c r="S18" s="102">
        <f t="shared" ref="S18" si="21">S17/S6</f>
        <v>4.1943080342633304E-2</v>
      </c>
      <c r="T18" s="102">
        <f t="shared" ref="T18" si="22">T17/T6</f>
        <v>4.9492807319592359E-2</v>
      </c>
      <c r="U18" s="102">
        <f t="shared" ref="U18" si="23">U17/U6</f>
        <v>0.12365803483819188</v>
      </c>
      <c r="V18" s="102">
        <f t="shared" ref="V18" si="24">V17/V6</f>
        <v>0.14214904039420578</v>
      </c>
      <c r="W18" s="102">
        <f t="shared" ref="W18" si="25">W17/W6</f>
        <v>0.15566424398359455</v>
      </c>
      <c r="X18" s="102">
        <f t="shared" ref="X18" si="26">X17/X6</f>
        <v>0.15686234587459344</v>
      </c>
      <c r="Y18" s="102">
        <f t="shared" ref="Y18" si="27">Y17/Y6</f>
        <v>0.15791373885538326</v>
      </c>
      <c r="Z18" s="143">
        <f t="shared" ref="Z18:AL18" si="28">Z17/Z6</f>
        <v>0.17073170304293772</v>
      </c>
      <c r="AA18" s="130">
        <f t="shared" si="28"/>
        <v>0.18370647331283907</v>
      </c>
      <c r="AB18" s="130">
        <f t="shared" si="28"/>
        <v>0.18195100130754632</v>
      </c>
      <c r="AC18" s="130">
        <f t="shared" si="28"/>
        <v>0.1803996379172213</v>
      </c>
      <c r="AD18" s="130">
        <f t="shared" si="28"/>
        <v>0.19076713575841625</v>
      </c>
      <c r="AE18" s="130">
        <f t="shared" si="28"/>
        <v>0.19781442475115704</v>
      </c>
      <c r="AF18" s="130">
        <f t="shared" si="28"/>
        <v>0.19444860581774862</v>
      </c>
      <c r="AG18" s="130">
        <f t="shared" si="28"/>
        <v>0.19146212386544983</v>
      </c>
      <c r="AH18" s="130">
        <f t="shared" si="28"/>
        <v>0.20013233086015675</v>
      </c>
      <c r="AI18" s="130">
        <f t="shared" si="28"/>
        <v>0.2060327766441121</v>
      </c>
      <c r="AJ18" s="130">
        <f t="shared" si="28"/>
        <v>0.20175354927477143</v>
      </c>
      <c r="AK18" s="130">
        <f t="shared" si="28"/>
        <v>0.19794765327137223</v>
      </c>
      <c r="AL18" s="130">
        <f t="shared" si="28"/>
        <v>0.19456688182896481</v>
      </c>
    </row>
    <row r="19" spans="1:38" x14ac:dyDescent="0.3">
      <c r="A19" s="7" t="s">
        <v>98</v>
      </c>
      <c r="B19" s="7"/>
      <c r="C19" s="114">
        <f>IRR(B15:AL15)</f>
        <v>2.5665815635639744E-2</v>
      </c>
      <c r="D19" s="114"/>
    </row>
    <row r="20" spans="1:38" x14ac:dyDescent="0.3">
      <c r="A20" s="115" t="s">
        <v>99</v>
      </c>
      <c r="B20" s="115"/>
      <c r="C20" s="116">
        <f>(C19+1)^12-1</f>
        <v>0.35540965254724077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38" x14ac:dyDescent="0.3">
      <c r="A21" s="150" t="s">
        <v>100</v>
      </c>
      <c r="B21" s="117"/>
      <c r="C21" s="147">
        <f>NPV(25%,D21)</f>
        <v>41323483.785611793</v>
      </c>
      <c r="D21" s="145">
        <f>SUM(C17:AL17)</f>
        <v>51654354.732014745</v>
      </c>
    </row>
    <row r="22" spans="1:38" x14ac:dyDescent="0.3">
      <c r="A22" s="151" t="s">
        <v>101</v>
      </c>
      <c r="B22" s="148"/>
      <c r="C22" s="152">
        <f>D21/91000000</f>
        <v>0.56763027178038183</v>
      </c>
      <c r="D22" s="149"/>
    </row>
    <row r="23" spans="1:38" x14ac:dyDescent="0.3">
      <c r="C23" s="146"/>
      <c r="D23" s="145"/>
    </row>
    <row r="24" spans="1:38" x14ac:dyDescent="0.3">
      <c r="A24" s="7" t="s">
        <v>102</v>
      </c>
      <c r="C24" s="4">
        <f>C17</f>
        <v>-12836891</v>
      </c>
      <c r="D24" s="4">
        <f>D17+C24</f>
        <v>-22910326.800000001</v>
      </c>
      <c r="E24" s="4">
        <f>E17+D24</f>
        <v>-30111849.524</v>
      </c>
      <c r="F24" s="4">
        <f t="shared" ref="F24:AL24" si="29">F17+E24</f>
        <v>-34922561.241119996</v>
      </c>
      <c r="G24" s="4">
        <f t="shared" si="29"/>
        <v>-37932959.272185594</v>
      </c>
      <c r="H24" s="4">
        <f t="shared" si="29"/>
        <v>-39359081.259523325</v>
      </c>
      <c r="I24" s="4">
        <f t="shared" si="29"/>
        <v>-43381040.328380525</v>
      </c>
      <c r="J24" s="4">
        <f t="shared" si="29"/>
        <v>-46176136.028974861</v>
      </c>
      <c r="K24" s="4">
        <f t="shared" si="29"/>
        <v>-47891591.965497881</v>
      </c>
      <c r="L24" s="4">
        <f t="shared" si="29"/>
        <v>-48656964.909638137</v>
      </c>
      <c r="M24" s="4">
        <f t="shared" si="29"/>
        <v>-48586264.820481554</v>
      </c>
      <c r="N24" s="4">
        <f t="shared" si="29"/>
        <v>-47779820.462023765</v>
      </c>
      <c r="O24" s="4">
        <f t="shared" si="29"/>
        <v>-49408679.477654338</v>
      </c>
      <c r="P24" s="4">
        <f t="shared" si="29"/>
        <v>-50188453.731409237</v>
      </c>
      <c r="Q24" s="4">
        <f t="shared" si="29"/>
        <v>-50524633.394713551</v>
      </c>
      <c r="R24" s="4">
        <f t="shared" si="29"/>
        <v>-49983272.968421347</v>
      </c>
      <c r="S24" s="4">
        <f t="shared" si="29"/>
        <v>-48853254.113284208</v>
      </c>
      <c r="T24" s="4">
        <f t="shared" si="29"/>
        <v>-47508815.840763524</v>
      </c>
      <c r="U24" s="4">
        <f t="shared" si="29"/>
        <v>-44125507.480945319</v>
      </c>
      <c r="V24" s="4">
        <f t="shared" si="29"/>
        <v>-40088975.8743053</v>
      </c>
      <c r="W24" s="4">
        <f t="shared" si="29"/>
        <v>-35661184.660462081</v>
      </c>
      <c r="X24" s="4">
        <f t="shared" si="29"/>
        <v>-31192684.992280051</v>
      </c>
      <c r="Y24" s="4">
        <f t="shared" si="29"/>
        <v>-26688361.884279866</v>
      </c>
      <c r="Z24" s="4">
        <f t="shared" si="29"/>
        <v>-21665337.299239706</v>
      </c>
      <c r="AA24" s="4">
        <f t="shared" si="29"/>
        <v>-15950881.664015155</v>
      </c>
      <c r="AB24" s="4">
        <f t="shared" si="29"/>
        <v>-10303739.549017549</v>
      </c>
      <c r="AC24" s="4">
        <f t="shared" si="29"/>
        <v>-4715833.331819661</v>
      </c>
      <c r="AD24" s="4">
        <f t="shared" si="29"/>
        <v>1357582.5443144813</v>
      </c>
      <c r="AE24" s="4">
        <f t="shared" si="29"/>
        <v>7624209.6713125221</v>
      </c>
      <c r="AF24" s="4">
        <f t="shared" si="29"/>
        <v>13757262.699070796</v>
      </c>
      <c r="AG24" s="4">
        <f t="shared" si="29"/>
        <v>19772770.51949808</v>
      </c>
      <c r="AH24" s="4">
        <f t="shared" si="29"/>
        <v>26222475.806474093</v>
      </c>
      <c r="AI24" s="4">
        <f t="shared" si="29"/>
        <v>32820237.615012981</v>
      </c>
      <c r="AJ24" s="4">
        <f t="shared" si="29"/>
        <v>39244689.162527204</v>
      </c>
      <c r="AK24" s="4">
        <f t="shared" si="29"/>
        <v>45516627.680339724</v>
      </c>
      <c r="AL24" s="4">
        <f t="shared" si="29"/>
        <v>51654354.732014745</v>
      </c>
    </row>
  </sheetData>
  <phoneticPr fontId="9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2EF6-F656-42A3-89B6-ED2AEE0F6E73}">
  <dimension ref="A1:D21"/>
  <sheetViews>
    <sheetView zoomScaleNormal="100" workbookViewId="0">
      <selection activeCell="A10" sqref="A10"/>
    </sheetView>
  </sheetViews>
  <sheetFormatPr baseColWidth="10" defaultColWidth="11.44140625" defaultRowHeight="14.4" x14ac:dyDescent="0.3"/>
  <cols>
    <col min="1" max="1" width="37.5546875" customWidth="1"/>
    <col min="2" max="2" width="21.109375" customWidth="1"/>
    <col min="3" max="3" width="14.88671875" customWidth="1"/>
    <col min="4" max="4" width="84.33203125" customWidth="1"/>
  </cols>
  <sheetData>
    <row r="1" spans="1:4" x14ac:dyDescent="0.3">
      <c r="B1" t="s">
        <v>103</v>
      </c>
      <c r="C1" t="s">
        <v>104</v>
      </c>
      <c r="D1" t="s">
        <v>105</v>
      </c>
    </row>
    <row r="2" spans="1:4" x14ac:dyDescent="0.3">
      <c r="A2" t="s">
        <v>106</v>
      </c>
      <c r="B2" s="75">
        <v>81500</v>
      </c>
      <c r="C2" s="75">
        <v>86390</v>
      </c>
    </row>
    <row r="3" spans="1:4" ht="28.8" x14ac:dyDescent="0.3">
      <c r="A3" s="26" t="s">
        <v>107</v>
      </c>
      <c r="B3" s="164">
        <v>8.3000000000000007</v>
      </c>
      <c r="C3" s="164"/>
      <c r="D3" s="73" t="s">
        <v>108</v>
      </c>
    </row>
    <row r="4" spans="1:4" ht="23.25" customHeight="1" x14ac:dyDescent="0.3">
      <c r="A4" t="s">
        <v>109</v>
      </c>
      <c r="B4" s="165">
        <v>34500</v>
      </c>
      <c r="C4" s="165"/>
      <c r="D4" t="s">
        <v>110</v>
      </c>
    </row>
    <row r="5" spans="1:4" s="26" customFormat="1" ht="28.5" customHeight="1" x14ac:dyDescent="0.3">
      <c r="A5" s="73" t="s">
        <v>111</v>
      </c>
      <c r="B5" s="76">
        <f>B2*B3</f>
        <v>676450</v>
      </c>
      <c r="C5" s="76">
        <f>C2*B3</f>
        <v>717037.00000000012</v>
      </c>
    </row>
    <row r="6" spans="1:4" ht="43.2" x14ac:dyDescent="0.3">
      <c r="A6" s="26" t="s">
        <v>112</v>
      </c>
      <c r="B6" s="74">
        <f>B5/B4</f>
        <v>19.607246376811595</v>
      </c>
      <c r="C6" s="74">
        <f>C5/B4</f>
        <v>20.783681159420293</v>
      </c>
      <c r="D6" s="73" t="s">
        <v>113</v>
      </c>
    </row>
    <row r="7" spans="1:4" ht="28.8" x14ac:dyDescent="0.3">
      <c r="A7" s="73" t="s">
        <v>114</v>
      </c>
      <c r="B7" s="111">
        <f>SUM('EscenarioConPrestamo(SI)'!C15:N15)</f>
        <v>24666351.537976231</v>
      </c>
      <c r="C7" s="111">
        <f>SUM('EscenarioConPrestamo(SI)'!O15:Z15)</f>
        <v>62337569.162784047</v>
      </c>
      <c r="D7" s="73" t="s">
        <v>115</v>
      </c>
    </row>
    <row r="8" spans="1:4" x14ac:dyDescent="0.3">
      <c r="A8" t="s">
        <v>116</v>
      </c>
      <c r="B8" s="3">
        <f>SUM('EscenarioConPrestamo(SI)'!C17:N17)</f>
        <v>-47779820.462023765</v>
      </c>
      <c r="C8" s="3">
        <f>SUM('EscenarioConPrestamo(SI)'!O17:Z17)</f>
        <v>26114483.162784047</v>
      </c>
    </row>
    <row r="9" spans="1:4" x14ac:dyDescent="0.3">
      <c r="A9" t="s">
        <v>117</v>
      </c>
      <c r="B9" s="166">
        <f>'EscenarioConPrestamo(SI)'!C20</f>
        <v>0.35540965254724077</v>
      </c>
      <c r="C9" s="166"/>
      <c r="D9" t="s">
        <v>118</v>
      </c>
    </row>
    <row r="10" spans="1:4" x14ac:dyDescent="0.3">
      <c r="A10" t="s">
        <v>119</v>
      </c>
      <c r="B10" s="167">
        <f>'EscenarioConPrestamo(SI)'!C21</f>
        <v>41323483.785611793</v>
      </c>
      <c r="C10" s="167"/>
      <c r="D10" t="s">
        <v>120</v>
      </c>
    </row>
    <row r="11" spans="1:4" x14ac:dyDescent="0.3">
      <c r="A11" t="s">
        <v>101</v>
      </c>
      <c r="B11" s="168">
        <f>'EscenarioConPrestamo(SI)'!C22</f>
        <v>0.56763027178038183</v>
      </c>
      <c r="C11" s="168"/>
    </row>
    <row r="12" spans="1:4" x14ac:dyDescent="0.3">
      <c r="A12" s="163" t="s">
        <v>121</v>
      </c>
      <c r="B12" s="163"/>
      <c r="C12" s="163"/>
      <c r="D12" s="163"/>
    </row>
    <row r="13" spans="1:4" s="110" customFormat="1" ht="21.75" customHeight="1" x14ac:dyDescent="0.3">
      <c r="A13" s="162" t="s">
        <v>122</v>
      </c>
      <c r="B13" s="162"/>
      <c r="C13" s="162"/>
      <c r="D13" s="162"/>
    </row>
    <row r="14" spans="1:4" s="110" customFormat="1" ht="36" customHeight="1" x14ac:dyDescent="0.3">
      <c r="A14" s="162" t="s">
        <v>123</v>
      </c>
      <c r="B14" s="162"/>
      <c r="C14" s="162"/>
      <c r="D14" s="162"/>
    </row>
    <row r="15" spans="1:4" s="110" customFormat="1" ht="36" customHeight="1" x14ac:dyDescent="0.3">
      <c r="A15" s="162" t="s">
        <v>124</v>
      </c>
      <c r="B15" s="162"/>
      <c r="C15" s="162"/>
      <c r="D15" s="162"/>
    </row>
    <row r="17" spans="1:4" x14ac:dyDescent="0.3">
      <c r="A17" s="163" t="s">
        <v>125</v>
      </c>
      <c r="B17" s="163"/>
      <c r="C17" s="163"/>
      <c r="D17" s="163"/>
    </row>
    <row r="19" spans="1:4" x14ac:dyDescent="0.3">
      <c r="A19" t="s">
        <v>126</v>
      </c>
    </row>
    <row r="20" spans="1:4" ht="38.25" customHeight="1" x14ac:dyDescent="0.3">
      <c r="A20" s="162" t="s">
        <v>127</v>
      </c>
      <c r="B20" s="162"/>
      <c r="C20" s="162"/>
      <c r="D20" s="162"/>
    </row>
    <row r="21" spans="1:4" ht="44.25" customHeight="1" x14ac:dyDescent="0.3">
      <c r="A21" s="162" t="s">
        <v>128</v>
      </c>
      <c r="B21" s="162"/>
      <c r="C21" s="162"/>
      <c r="D21" s="162"/>
    </row>
  </sheetData>
  <mergeCells count="12">
    <mergeCell ref="A20:D20"/>
    <mergeCell ref="A21:D21"/>
    <mergeCell ref="A15:D15"/>
    <mergeCell ref="A12:D12"/>
    <mergeCell ref="B3:C3"/>
    <mergeCell ref="B4:C4"/>
    <mergeCell ref="A13:D13"/>
    <mergeCell ref="A14:D14"/>
    <mergeCell ref="A17:D17"/>
    <mergeCell ref="B9:C9"/>
    <mergeCell ref="B10:C10"/>
    <mergeCell ref="B11:C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A1F0-BE01-4908-80ED-3E2EC221320A}">
  <dimension ref="A1:AL24"/>
  <sheetViews>
    <sheetView topLeftCell="A30" workbookViewId="0">
      <selection activeCell="A50" sqref="A50"/>
    </sheetView>
  </sheetViews>
  <sheetFormatPr baseColWidth="10" defaultColWidth="11.44140625" defaultRowHeight="14.4" x14ac:dyDescent="0.3"/>
  <cols>
    <col min="1" max="1" width="37.44140625" customWidth="1"/>
    <col min="2" max="3" width="14.5546875" customWidth="1"/>
    <col min="4" max="4" width="15.33203125" customWidth="1"/>
    <col min="5" max="5" width="14.88671875" customWidth="1"/>
    <col min="6" max="14" width="13.44140625" customWidth="1"/>
    <col min="15" max="15" width="15.109375" customWidth="1"/>
    <col min="16" max="26" width="13.5546875" customWidth="1"/>
    <col min="27" max="38" width="13.6640625" customWidth="1"/>
  </cols>
  <sheetData>
    <row r="1" spans="1:38" ht="15" thickBot="1" x14ac:dyDescent="0.35">
      <c r="C1" s="43"/>
      <c r="D1" s="44"/>
      <c r="E1" s="44"/>
      <c r="F1" s="44"/>
      <c r="G1" s="44"/>
      <c r="H1" s="44"/>
      <c r="I1" s="44" t="s">
        <v>66</v>
      </c>
      <c r="J1" s="44"/>
      <c r="K1" s="44"/>
      <c r="L1" s="44"/>
      <c r="M1" s="44"/>
      <c r="N1" s="44"/>
      <c r="O1" s="41"/>
      <c r="P1" s="41"/>
      <c r="Q1" s="41"/>
      <c r="R1" s="41"/>
      <c r="S1" s="41"/>
      <c r="T1" s="70" t="s">
        <v>67</v>
      </c>
      <c r="U1" s="41"/>
      <c r="V1" s="41"/>
      <c r="W1" s="41"/>
      <c r="X1" s="41"/>
      <c r="Y1" s="41"/>
      <c r="Z1" s="131"/>
      <c r="AA1" s="117"/>
      <c r="AB1" s="117"/>
      <c r="AC1" s="117"/>
      <c r="AD1" s="117"/>
      <c r="AE1" s="117"/>
      <c r="AF1" s="117" t="s">
        <v>68</v>
      </c>
      <c r="AG1" s="117"/>
      <c r="AH1" s="117"/>
      <c r="AI1" s="117"/>
      <c r="AJ1" s="117"/>
      <c r="AK1" s="117"/>
      <c r="AL1" s="117"/>
    </row>
    <row r="2" spans="1:38" x14ac:dyDescent="0.3">
      <c r="A2" s="38" t="s">
        <v>69</v>
      </c>
      <c r="B2" s="112"/>
      <c r="C2" s="45" t="s">
        <v>70</v>
      </c>
      <c r="D2" s="46" t="s">
        <v>71</v>
      </c>
      <c r="E2" s="46" t="s">
        <v>72</v>
      </c>
      <c r="F2" s="46" t="s">
        <v>73</v>
      </c>
      <c r="G2" s="46" t="s">
        <v>74</v>
      </c>
      <c r="H2" s="46" t="s">
        <v>75</v>
      </c>
      <c r="I2" s="46" t="s">
        <v>76</v>
      </c>
      <c r="J2" s="46" t="s">
        <v>77</v>
      </c>
      <c r="K2" s="46" t="s">
        <v>78</v>
      </c>
      <c r="L2" s="46" t="s">
        <v>79</v>
      </c>
      <c r="M2" s="46" t="s">
        <v>80</v>
      </c>
      <c r="N2" s="47" t="s">
        <v>81</v>
      </c>
      <c r="O2" s="154" t="s">
        <v>82</v>
      </c>
      <c r="P2" s="85" t="s">
        <v>71</v>
      </c>
      <c r="Q2" s="85" t="s">
        <v>72</v>
      </c>
      <c r="R2" s="85" t="s">
        <v>73</v>
      </c>
      <c r="S2" s="85" t="s">
        <v>74</v>
      </c>
      <c r="T2" s="85" t="s">
        <v>75</v>
      </c>
      <c r="U2" s="85" t="s">
        <v>76</v>
      </c>
      <c r="V2" s="85" t="s">
        <v>77</v>
      </c>
      <c r="W2" s="85" t="s">
        <v>78</v>
      </c>
      <c r="X2" s="85" t="s">
        <v>79</v>
      </c>
      <c r="Y2" s="85" t="s">
        <v>80</v>
      </c>
      <c r="Z2" s="132" t="s">
        <v>81</v>
      </c>
      <c r="AA2" s="155" t="s">
        <v>82</v>
      </c>
      <c r="AB2" s="118" t="s">
        <v>71</v>
      </c>
      <c r="AC2" s="118" t="s">
        <v>72</v>
      </c>
      <c r="AD2" s="118" t="s">
        <v>73</v>
      </c>
      <c r="AE2" s="118" t="s">
        <v>74</v>
      </c>
      <c r="AF2" s="118" t="s">
        <v>75</v>
      </c>
      <c r="AG2" s="118" t="s">
        <v>76</v>
      </c>
      <c r="AH2" s="118" t="s">
        <v>77</v>
      </c>
      <c r="AI2" s="118" t="s">
        <v>78</v>
      </c>
      <c r="AJ2" s="118" t="s">
        <v>79</v>
      </c>
      <c r="AK2" s="118" t="s">
        <v>80</v>
      </c>
      <c r="AL2" s="119" t="s">
        <v>81</v>
      </c>
    </row>
    <row r="3" spans="1:38" x14ac:dyDescent="0.3">
      <c r="A3" s="38" t="s">
        <v>83</v>
      </c>
      <c r="C3" s="48">
        <f>InputsV2!$C$3</f>
        <v>800</v>
      </c>
      <c r="D3" s="79">
        <f>InputsV2!$C$3</f>
        <v>800</v>
      </c>
      <c r="E3" s="79">
        <v>1000</v>
      </c>
      <c r="F3" s="79">
        <f>InputsV2!$C$3</f>
        <v>800</v>
      </c>
      <c r="G3" s="79">
        <f>InputsV2!$C$3</f>
        <v>800</v>
      </c>
      <c r="H3" s="79">
        <f>InputsV2!$C$3</f>
        <v>800</v>
      </c>
      <c r="I3" s="79">
        <f>InputsV2!$C$3</f>
        <v>800</v>
      </c>
      <c r="J3" s="79">
        <f>InputsV2!$C$3</f>
        <v>800</v>
      </c>
      <c r="K3" s="79">
        <f>InputsV2!$C$3</f>
        <v>800</v>
      </c>
      <c r="L3" s="79">
        <f>InputsV2!$C$3</f>
        <v>800</v>
      </c>
      <c r="M3" s="79">
        <f>InputsV2!$C$3</f>
        <v>800</v>
      </c>
      <c r="N3" s="49">
        <f>InputsV2!$C$3</f>
        <v>800</v>
      </c>
      <c r="O3" s="86">
        <v>1000</v>
      </c>
      <c r="P3" s="87">
        <f>InputsV2!$C$3</f>
        <v>800</v>
      </c>
      <c r="Q3" s="87">
        <f>InputsV2!$C$3</f>
        <v>800</v>
      </c>
      <c r="R3" s="87">
        <v>1000</v>
      </c>
      <c r="S3" s="87">
        <f>InputsV2!$C$3</f>
        <v>800</v>
      </c>
      <c r="T3" s="87">
        <f>InputsV2!$C$3</f>
        <v>800</v>
      </c>
      <c r="U3" s="87">
        <f>InputsV2!$C$3</f>
        <v>800</v>
      </c>
      <c r="V3" s="87">
        <v>1000</v>
      </c>
      <c r="W3" s="87">
        <f>InputsV2!$C$3</f>
        <v>800</v>
      </c>
      <c r="X3" s="87">
        <f>InputsV2!$C$3</f>
        <v>800</v>
      </c>
      <c r="Y3" s="87">
        <f>InputsV2!$C$3</f>
        <v>800</v>
      </c>
      <c r="Z3" s="133">
        <v>1000</v>
      </c>
      <c r="AA3" s="120">
        <f>InputsV2!$C$3</f>
        <v>800</v>
      </c>
      <c r="AB3" s="120">
        <f>InputsV2!$C$3</f>
        <v>800</v>
      </c>
      <c r="AC3" s="120">
        <f>InputsV2!$C$3</f>
        <v>800</v>
      </c>
      <c r="AD3" s="120">
        <v>1000</v>
      </c>
      <c r="AE3" s="120">
        <f>InputsV2!$C$3</f>
        <v>800</v>
      </c>
      <c r="AF3" s="120">
        <f>InputsV2!$C$3</f>
        <v>800</v>
      </c>
      <c r="AG3" s="120">
        <f>InputsV2!$C$3</f>
        <v>800</v>
      </c>
      <c r="AH3" s="120">
        <v>1000</v>
      </c>
      <c r="AI3" s="120">
        <f>InputsV2!$C$3</f>
        <v>800</v>
      </c>
      <c r="AJ3" s="120">
        <f>InputsV2!$C$3</f>
        <v>800</v>
      </c>
      <c r="AK3" s="120">
        <f>InputsV2!$C$3</f>
        <v>800</v>
      </c>
      <c r="AL3" s="120">
        <f>InputsV2!$C$3</f>
        <v>800</v>
      </c>
    </row>
    <row r="4" spans="1:38" x14ac:dyDescent="0.3">
      <c r="A4" s="38" t="s">
        <v>2</v>
      </c>
      <c r="C4" s="50">
        <f>C3*InputsV2!$C$4</f>
        <v>40</v>
      </c>
      <c r="D4" s="80">
        <f>D3*InputsV2!$C$4</f>
        <v>40</v>
      </c>
      <c r="E4" s="80">
        <f>E3*InputsV2!$C$4</f>
        <v>50</v>
      </c>
      <c r="F4" s="80">
        <f>F3*InputsV2!$C$4</f>
        <v>40</v>
      </c>
      <c r="G4" s="80">
        <f>G3*InputsV2!$C$4</f>
        <v>40</v>
      </c>
      <c r="H4" s="80">
        <f>H3*InputsV2!$C$4</f>
        <v>40</v>
      </c>
      <c r="I4" s="80">
        <f>I3*InputsV2!$C$4</f>
        <v>40</v>
      </c>
      <c r="J4" s="80">
        <f>J3*InputsV2!$C$4</f>
        <v>40</v>
      </c>
      <c r="K4" s="80">
        <f>K3*InputsV2!$C$4</f>
        <v>40</v>
      </c>
      <c r="L4" s="80">
        <f>L3*InputsV2!$C$4</f>
        <v>40</v>
      </c>
      <c r="M4" s="80">
        <f>M3*InputsV2!$C$4</f>
        <v>40</v>
      </c>
      <c r="N4" s="51">
        <f>N3*InputsV2!$C$4</f>
        <v>40</v>
      </c>
      <c r="O4" s="88">
        <f>O3*InputsV2!$C$4</f>
        <v>50</v>
      </c>
      <c r="P4" s="89">
        <f>P3*InputsV2!$C$4</f>
        <v>40</v>
      </c>
      <c r="Q4" s="89">
        <f>Q3*InputsV2!$C$4</f>
        <v>40</v>
      </c>
      <c r="R4" s="89">
        <f>R3*InputsV2!$C$4</f>
        <v>50</v>
      </c>
      <c r="S4" s="89">
        <f>S3*InputsV2!$C$4</f>
        <v>40</v>
      </c>
      <c r="T4" s="89">
        <f>T3*InputsV2!$C$4</f>
        <v>40</v>
      </c>
      <c r="U4" s="89">
        <f>U3*InputsV2!$C$4</f>
        <v>40</v>
      </c>
      <c r="V4" s="89">
        <f>V3*InputsV2!$C$4</f>
        <v>50</v>
      </c>
      <c r="W4" s="89">
        <f>W3*InputsV2!$C$4</f>
        <v>40</v>
      </c>
      <c r="X4" s="89">
        <f>X3*InputsV2!$C$4</f>
        <v>40</v>
      </c>
      <c r="Y4" s="89">
        <f>Y3*InputsV2!$C$4</f>
        <v>40</v>
      </c>
      <c r="Z4" s="134">
        <f>Z3*InputsV2!$C$4</f>
        <v>50</v>
      </c>
      <c r="AA4" s="121">
        <f>AA3*InputsV2!$C$4</f>
        <v>40</v>
      </c>
      <c r="AB4" s="121">
        <f>AB3*InputsV2!$C$4</f>
        <v>40</v>
      </c>
      <c r="AC4" s="121">
        <f>AC3*InputsV2!$C$4</f>
        <v>40</v>
      </c>
      <c r="AD4" s="121">
        <f>AD3*InputsV2!$C$4</f>
        <v>50</v>
      </c>
      <c r="AE4" s="121">
        <f>AE3*InputsV2!$C$4</f>
        <v>40</v>
      </c>
      <c r="AF4" s="121">
        <f>AF3*InputsV2!$C$4</f>
        <v>40</v>
      </c>
      <c r="AG4" s="121">
        <f>AG3*InputsV2!$C$4</f>
        <v>40</v>
      </c>
      <c r="AH4" s="121">
        <f>AH3*InputsV2!$C$4</f>
        <v>50</v>
      </c>
      <c r="AI4" s="121">
        <f>AI3*InputsV2!$C$4</f>
        <v>40</v>
      </c>
      <c r="AJ4" s="121">
        <f>AJ3*InputsV2!$C$4</f>
        <v>40</v>
      </c>
      <c r="AK4" s="121">
        <f>AK3*InputsV2!$C$4</f>
        <v>40</v>
      </c>
      <c r="AL4" s="121">
        <f>AL3*InputsV2!$C$4</f>
        <v>40</v>
      </c>
    </row>
    <row r="5" spans="1:38" x14ac:dyDescent="0.3">
      <c r="A5" s="38" t="s">
        <v>84</v>
      </c>
      <c r="C5" s="48">
        <f>C4</f>
        <v>40</v>
      </c>
      <c r="D5" s="81">
        <f>C5*(1-InputsV2!$C$6)+D4</f>
        <v>75.2</v>
      </c>
      <c r="E5" s="81">
        <f>D5*(1-InputsV2!$C$6)+E4</f>
        <v>116.176</v>
      </c>
      <c r="F5" s="81">
        <f>E5*(1-InputsV2!$C$6)+F4</f>
        <v>142.23488</v>
      </c>
      <c r="G5" s="81">
        <f>F5*(1-InputsV2!$C$6)+G4</f>
        <v>165.16669439999998</v>
      </c>
      <c r="H5" s="81">
        <f>G5*(1-InputsV2!$C$6)+H4</f>
        <v>185.346691072</v>
      </c>
      <c r="I5" s="81">
        <f>H5*(1-InputsV2!$C$6)+I4</f>
        <v>203.10508814336001</v>
      </c>
      <c r="J5" s="81">
        <f>I5*(1-InputsV2!$C$6)+J4</f>
        <v>218.7324775661568</v>
      </c>
      <c r="K5" s="81">
        <f>J5*(1-InputsV2!$C$6)+K4</f>
        <v>232.48458025821799</v>
      </c>
      <c r="L5" s="81">
        <f>K5*(1-InputsV2!$C$6)+L4</f>
        <v>244.58643062723183</v>
      </c>
      <c r="M5" s="81">
        <f>L5*(1-InputsV2!$C$6)+M4</f>
        <v>255.23605895196403</v>
      </c>
      <c r="N5" s="52">
        <f>M5*(1-InputsV2!$C$6)+N4</f>
        <v>264.60773187772838</v>
      </c>
      <c r="O5" s="90">
        <f>N5*(1-InputsV2!$C$6)+O4</f>
        <v>282.85480405240094</v>
      </c>
      <c r="P5" s="91">
        <f>O5*(1-InputsV2!$C$6)+P4</f>
        <v>288.91222756611285</v>
      </c>
      <c r="Q5" s="91">
        <f>P5*(1-InputsV2!$C$6)+Q4</f>
        <v>294.24276025817932</v>
      </c>
      <c r="R5" s="91">
        <f>Q5*(1-InputsV2!$C$6)+R4</f>
        <v>308.93362902719781</v>
      </c>
      <c r="S5" s="91">
        <f>R5*(1-InputsV2!$C$6)+S4</f>
        <v>311.86159354393408</v>
      </c>
      <c r="T5" s="91">
        <f>S5*(1-InputsV2!$C$6)+T4</f>
        <v>314.43820231866198</v>
      </c>
      <c r="U5" s="91">
        <f>T5*(1-InputsV2!$C$6)+U4</f>
        <v>316.70561804042256</v>
      </c>
      <c r="V5" s="91">
        <f>U5*(1-InputsV2!$C$6)+V4</f>
        <v>328.70094387557185</v>
      </c>
      <c r="W5" s="91">
        <f>V5*(1-InputsV2!$C$6)+W4</f>
        <v>329.25683061050324</v>
      </c>
      <c r="X5" s="91">
        <f>W5*(1-InputsV2!$C$6)+X4</f>
        <v>329.74601093724283</v>
      </c>
      <c r="Y5" s="91">
        <f>X5*(1-InputsV2!$C$6)+Y4</f>
        <v>330.17648962477369</v>
      </c>
      <c r="Z5" s="135">
        <f>Y5*(1-InputsV2!$C$6)+Z4</f>
        <v>340.55531086980085</v>
      </c>
      <c r="AA5" s="122">
        <f>Z5*(1-InputsV2!$C$6)+AA4</f>
        <v>339.68867356542472</v>
      </c>
      <c r="AB5" s="122">
        <f>AA5*(1-InputsV2!$C$6)+AB4</f>
        <v>338.92603273757373</v>
      </c>
      <c r="AC5" s="122">
        <f>AB5*(1-InputsV2!$C$6)+AC4</f>
        <v>338.25490880906489</v>
      </c>
      <c r="AD5" s="122">
        <f>AC5*(1-InputsV2!$C$6)+AD4</f>
        <v>347.66431975197708</v>
      </c>
      <c r="AE5" s="122">
        <f>AD5*(1-InputsV2!$C$6)+AE4</f>
        <v>345.9446013817398</v>
      </c>
      <c r="AF5" s="122">
        <f>AE5*(1-InputsV2!$C$6)+AF4</f>
        <v>344.43124921593102</v>
      </c>
      <c r="AG5" s="122">
        <f>AF5*(1-InputsV2!$C$6)+AG4</f>
        <v>343.09949931001933</v>
      </c>
      <c r="AH5" s="122">
        <f>AG5*(1-InputsV2!$C$6)+AH4</f>
        <v>351.92755939281699</v>
      </c>
      <c r="AI5" s="122">
        <f>AH5*(1-InputsV2!$C$6)+AI4</f>
        <v>349.69625226567894</v>
      </c>
      <c r="AJ5" s="122">
        <f>AI5*(1-InputsV2!$C$6)+AJ4</f>
        <v>347.73270199379749</v>
      </c>
      <c r="AK5" s="122">
        <f>AJ5*(1-InputsV2!$C$6)+AK4</f>
        <v>346.00477775454181</v>
      </c>
      <c r="AL5" s="122">
        <f>AK5*(1-InputsV2!$C$6)+AL4</f>
        <v>344.4842044239968</v>
      </c>
    </row>
    <row r="6" spans="1:38" x14ac:dyDescent="0.3">
      <c r="A6" s="156" t="s">
        <v>85</v>
      </c>
      <c r="B6" s="1"/>
      <c r="C6" s="53">
        <f>C5*InputsV2!$C$5</f>
        <v>3260000</v>
      </c>
      <c r="D6" s="54">
        <f>D5*InputsV2!$C$5</f>
        <v>6128800</v>
      </c>
      <c r="E6" s="54">
        <f>E5*InputsV2!$C$5</f>
        <v>9468344</v>
      </c>
      <c r="F6" s="54">
        <f>F5*InputsV2!$C$5</f>
        <v>11592142.720000001</v>
      </c>
      <c r="G6" s="54">
        <f>G5*InputsV2!$C$5</f>
        <v>13461085.593599999</v>
      </c>
      <c r="H6" s="54">
        <f>H5*InputsV2!$C$5</f>
        <v>15105755.322368</v>
      </c>
      <c r="I6" s="54">
        <f>I5*InputsV2!$C$5</f>
        <v>16553064.683683841</v>
      </c>
      <c r="J6" s="54">
        <f>J5*InputsV2!$C$5</f>
        <v>17826696.921641778</v>
      </c>
      <c r="K6" s="54">
        <f>K5*InputsV2!$C$5</f>
        <v>18947493.291044764</v>
      </c>
      <c r="L6" s="54">
        <f>L5*InputsV2!$C$5</f>
        <v>19933794.096119393</v>
      </c>
      <c r="M6" s="54">
        <f>M5*InputsV2!$C$5</f>
        <v>20801738.804585069</v>
      </c>
      <c r="N6" s="55">
        <f>N5*InputsV2!$C$5</f>
        <v>21565530.148034863</v>
      </c>
      <c r="O6" s="92">
        <f>O5*InputsV2!$C$18</f>
        <v>24435826.522086918</v>
      </c>
      <c r="P6" s="93">
        <f>P5*InputsV2!$C$18</f>
        <v>24959127.33943649</v>
      </c>
      <c r="Q6" s="93">
        <f>Q5*InputsV2!$C$18</f>
        <v>25419632.058704112</v>
      </c>
      <c r="R6" s="93">
        <f>R5*InputsV2!$C$18</f>
        <v>26688776.211659618</v>
      </c>
      <c r="S6" s="93">
        <f>S5*InputsV2!$C$18</f>
        <v>26941723.066260464</v>
      </c>
      <c r="T6" s="93">
        <f>T5*InputsV2!$C$18</f>
        <v>27164316.298309207</v>
      </c>
      <c r="U6" s="93">
        <f>U5*InputsV2!$C$18</f>
        <v>27360198.342512105</v>
      </c>
      <c r="V6" s="93">
        <f>V5*InputsV2!$C$18</f>
        <v>28396474.541410651</v>
      </c>
      <c r="W6" s="93">
        <f>W5*InputsV2!$C$18</f>
        <v>28444497.596441377</v>
      </c>
      <c r="X6" s="93">
        <f>X5*InputsV2!$C$18</f>
        <v>28486757.884868409</v>
      </c>
      <c r="Y6" s="93">
        <f>Y5*InputsV2!$C$18</f>
        <v>28523946.938684199</v>
      </c>
      <c r="Z6" s="136">
        <f>Z5*InputsV2!$C$18</f>
        <v>29420573.306042094</v>
      </c>
      <c r="AA6" s="123">
        <f>AA5*InputsV2!$C$18*1.06</f>
        <v>31106446.779876065</v>
      </c>
      <c r="AB6" s="123">
        <f>AB5*InputsV2!$C$18*1.06</f>
        <v>31036609.166290939</v>
      </c>
      <c r="AC6" s="123">
        <f>AC5*InputsV2!$C$18*1.06</f>
        <v>30975152.066336021</v>
      </c>
      <c r="AD6" s="123">
        <f>AD5*InputsV2!$C$18*1.06</f>
        <v>31836803.818375699</v>
      </c>
      <c r="AE6" s="123">
        <f>AE5*InputsV2!$C$18*1.06</f>
        <v>31679323.36017061</v>
      </c>
      <c r="AF6" s="123">
        <f>AF5*InputsV2!$C$18*1.06</f>
        <v>31540740.556950137</v>
      </c>
      <c r="AG6" s="123">
        <f>AG5*InputsV2!$C$18*1.06</f>
        <v>31418787.690116122</v>
      </c>
      <c r="AH6" s="123">
        <f>AH5*InputsV2!$C$18*1.06</f>
        <v>32227203.167302191</v>
      </c>
      <c r="AI6" s="123">
        <f>AI5*InputsV2!$C$18*1.06</f>
        <v>32022874.787225924</v>
      </c>
      <c r="AJ6" s="123">
        <f>AJ5*InputsV2!$C$18*1.06</f>
        <v>31843065.812758818</v>
      </c>
      <c r="AK6" s="123">
        <f>AK5*InputsV2!$C$18*1.06</f>
        <v>31684833.91522776</v>
      </c>
      <c r="AL6" s="123">
        <f>AL5*InputsV2!$C$18*1.06</f>
        <v>31545589.84540043</v>
      </c>
    </row>
    <row r="7" spans="1:38" x14ac:dyDescent="0.3">
      <c r="A7" s="156" t="s">
        <v>86</v>
      </c>
      <c r="B7" s="1"/>
      <c r="C7" s="56">
        <f>C8+C9</f>
        <v>1499710</v>
      </c>
      <c r="D7" s="82">
        <f t="shared" ref="D7:AL7" si="0">D8+D9</f>
        <v>1605054.8</v>
      </c>
      <c r="E7" s="82">
        <f t="shared" si="0"/>
        <v>2072685.7239999999</v>
      </c>
      <c r="F7" s="82">
        <f t="shared" si="0"/>
        <v>1805673.4371199999</v>
      </c>
      <c r="G7" s="82">
        <f t="shared" si="0"/>
        <v>1874302.6246656</v>
      </c>
      <c r="H7" s="82">
        <f t="shared" si="0"/>
        <v>1934696.309705728</v>
      </c>
      <c r="I7" s="82">
        <f t="shared" si="0"/>
        <v>1987842.7525410405</v>
      </c>
      <c r="J7" s="82">
        <f t="shared" si="0"/>
        <v>2034611.6222361159</v>
      </c>
      <c r="K7" s="82">
        <f t="shared" si="0"/>
        <v>2075768.2275677817</v>
      </c>
      <c r="L7" s="82">
        <f t="shared" si="0"/>
        <v>2111986.0402596481</v>
      </c>
      <c r="M7" s="82">
        <f t="shared" si="0"/>
        <v>2143857.7154284902</v>
      </c>
      <c r="N7" s="57">
        <f t="shared" si="0"/>
        <v>2171904.7895770716</v>
      </c>
      <c r="O7" s="94">
        <f t="shared" si="0"/>
        <v>2622304.5377174923</v>
      </c>
      <c r="P7" s="95">
        <f t="shared" si="0"/>
        <v>2296520.5931913932</v>
      </c>
      <c r="Q7" s="95">
        <f t="shared" si="0"/>
        <v>2313430.7220084262</v>
      </c>
      <c r="R7" s="95">
        <f t="shared" si="0"/>
        <v>2705034.7853674153</v>
      </c>
      <c r="S7" s="95">
        <f t="shared" si="0"/>
        <v>2369323.2111233249</v>
      </c>
      <c r="T7" s="95">
        <f t="shared" si="0"/>
        <v>2377497.0257885261</v>
      </c>
      <c r="U7" s="95">
        <f t="shared" si="0"/>
        <v>2384689.9826939031</v>
      </c>
      <c r="V7" s="95">
        <f t="shared" si="0"/>
        <v>2767742.9347706344</v>
      </c>
      <c r="W7" s="95">
        <f t="shared" si="0"/>
        <v>2424506.3825981589</v>
      </c>
      <c r="X7" s="95">
        <f t="shared" si="0"/>
        <v>2426058.2166863792</v>
      </c>
      <c r="Y7" s="95">
        <f t="shared" si="0"/>
        <v>2427423.8306840137</v>
      </c>
      <c r="Z7" s="137">
        <f t="shared" si="0"/>
        <v>2805348.7210019324</v>
      </c>
      <c r="AA7" s="124">
        <f t="shared" si="0"/>
        <v>2504259.1446515145</v>
      </c>
      <c r="AB7" s="124">
        <f t="shared" si="0"/>
        <v>2501735.0512933326</v>
      </c>
      <c r="AC7" s="124">
        <f t="shared" si="0"/>
        <v>2499513.8491381323</v>
      </c>
      <c r="AD7" s="124">
        <f t="shared" si="0"/>
        <v>2875655.9422415569</v>
      </c>
      <c r="AE7" s="124">
        <f t="shared" si="0"/>
        <v>2524964.2331725699</v>
      </c>
      <c r="AF7" s="124">
        <f t="shared" si="0"/>
        <v>2519955.5291918614</v>
      </c>
      <c r="AG7" s="124">
        <f t="shared" si="0"/>
        <v>2515547.8696888383</v>
      </c>
      <c r="AH7" s="124">
        <f t="shared" si="0"/>
        <v>2889765.8803261779</v>
      </c>
      <c r="AI7" s="124">
        <f t="shared" si="0"/>
        <v>2537380.9786870363</v>
      </c>
      <c r="AJ7" s="124">
        <f t="shared" si="0"/>
        <v>2530882.265244592</v>
      </c>
      <c r="AK7" s="124">
        <f t="shared" si="0"/>
        <v>2525163.3974152412</v>
      </c>
      <c r="AL7" s="124">
        <f t="shared" si="0"/>
        <v>2520130.7937254123</v>
      </c>
    </row>
    <row r="8" spans="1:38" x14ac:dyDescent="0.3">
      <c r="A8" s="39" t="s">
        <v>87</v>
      </c>
      <c r="B8" s="113"/>
      <c r="C8" s="58">
        <f>C4*InputsV2!$C$7</f>
        <v>1380000</v>
      </c>
      <c r="D8" s="59">
        <f>D4*InputsV2!$C$7</f>
        <v>1380000</v>
      </c>
      <c r="E8" s="59">
        <f>E4*InputsV2!$C$7</f>
        <v>1725000</v>
      </c>
      <c r="F8" s="59">
        <f>F4*InputsV2!$C$7</f>
        <v>1380000</v>
      </c>
      <c r="G8" s="59">
        <f>G4*InputsV2!$C$7</f>
        <v>1380000</v>
      </c>
      <c r="H8" s="59">
        <f>H4*InputsV2!$C$7</f>
        <v>1380000</v>
      </c>
      <c r="I8" s="59">
        <f>I4*InputsV2!$C$7</f>
        <v>1380000</v>
      </c>
      <c r="J8" s="59">
        <f>J4*InputsV2!$C$7</f>
        <v>1380000</v>
      </c>
      <c r="K8" s="59">
        <f>K4*InputsV2!$C$7</f>
        <v>1380000</v>
      </c>
      <c r="L8" s="59">
        <f>L4*InputsV2!$C$7</f>
        <v>1380000</v>
      </c>
      <c r="M8" s="59">
        <f>M4*InputsV2!$C$7</f>
        <v>1380000</v>
      </c>
      <c r="N8" s="60">
        <f>N4*InputsV2!$C$7</f>
        <v>1380000</v>
      </c>
      <c r="O8" s="96">
        <f>O4*InputsV2!$C$7</f>
        <v>1725000</v>
      </c>
      <c r="P8" s="97">
        <f>P4*InputsV2!$C$7</f>
        <v>1380000</v>
      </c>
      <c r="Q8" s="97">
        <f>Q4*InputsV2!$C$7</f>
        <v>1380000</v>
      </c>
      <c r="R8" s="97">
        <f>R4*InputsV2!$C$7</f>
        <v>1725000</v>
      </c>
      <c r="S8" s="97">
        <f>S4*InputsV2!$C$7</f>
        <v>1380000</v>
      </c>
      <c r="T8" s="97">
        <f>T4*InputsV2!$C$7</f>
        <v>1380000</v>
      </c>
      <c r="U8" s="97">
        <f>U4*InputsV2!$C$7</f>
        <v>1380000</v>
      </c>
      <c r="V8" s="97">
        <f>V4*InputsV2!$C$7</f>
        <v>1725000</v>
      </c>
      <c r="W8" s="97">
        <f>W4*InputsV2!$C$7</f>
        <v>1380000</v>
      </c>
      <c r="X8" s="97">
        <f>X4*InputsV2!$C$7</f>
        <v>1380000</v>
      </c>
      <c r="Y8" s="97">
        <f>Y4*InputsV2!$C$7</f>
        <v>1380000</v>
      </c>
      <c r="Z8" s="138">
        <f>Z4*InputsV2!$C$7</f>
        <v>1725000</v>
      </c>
      <c r="AA8" s="125">
        <f>AA4*InputsV2!$C$7</f>
        <v>1380000</v>
      </c>
      <c r="AB8" s="125">
        <f>AB4*InputsV2!$C$7</f>
        <v>1380000</v>
      </c>
      <c r="AC8" s="125">
        <f>AC4*InputsV2!$C$7</f>
        <v>1380000</v>
      </c>
      <c r="AD8" s="125">
        <f>AD4*InputsV2!$C$7</f>
        <v>1725000</v>
      </c>
      <c r="AE8" s="125">
        <f>AE4*InputsV2!$C$7</f>
        <v>1380000</v>
      </c>
      <c r="AF8" s="125">
        <f>AF4*InputsV2!$C$7</f>
        <v>1380000</v>
      </c>
      <c r="AG8" s="125">
        <f>AG4*InputsV2!$C$7</f>
        <v>1380000</v>
      </c>
      <c r="AH8" s="125">
        <f>AH4*InputsV2!$C$7</f>
        <v>1725000</v>
      </c>
      <c r="AI8" s="125">
        <f>AI4*InputsV2!$C$7</f>
        <v>1380000</v>
      </c>
      <c r="AJ8" s="125">
        <f>AJ4*InputsV2!$C$7</f>
        <v>1380000</v>
      </c>
      <c r="AK8" s="125">
        <f>AK4*InputsV2!$C$7</f>
        <v>1380000</v>
      </c>
      <c r="AL8" s="125">
        <f>AL4*InputsV2!$C$7</f>
        <v>1380000</v>
      </c>
    </row>
    <row r="9" spans="1:38" x14ac:dyDescent="0.3">
      <c r="A9" s="39" t="s">
        <v>88</v>
      </c>
      <c r="B9" s="113"/>
      <c r="C9" s="58">
        <f>(C6*InputsV2!$C$14)+(C5*InputsV2!$C$15)</f>
        <v>119710</v>
      </c>
      <c r="D9" s="59">
        <f>(D6*InputsV2!$C$14)+(D5*InputsV2!$C$15)</f>
        <v>225054.8</v>
      </c>
      <c r="E9" s="59">
        <f>(E6*InputsV2!$C$14)+(E5*InputsV2!$C$15)</f>
        <v>347685.72399999999</v>
      </c>
      <c r="F9" s="59">
        <f>(F6*InputsV2!$C$14)+(F5*InputsV2!$C$15)</f>
        <v>425673.43712000002</v>
      </c>
      <c r="G9" s="59">
        <f>(G6*InputsV2!$C$14)+(G5*InputsV2!$C$15)</f>
        <v>494302.62466560001</v>
      </c>
      <c r="H9" s="59">
        <f>(H6*InputsV2!$C$14)+(H5*InputsV2!$C$15)</f>
        <v>554696.30970572797</v>
      </c>
      <c r="I9" s="59">
        <f>(I6*InputsV2!$C$14)+(I5*InputsV2!$C$15)</f>
        <v>607842.75254104065</v>
      </c>
      <c r="J9" s="59">
        <f>(J6*InputsV2!$C$14)+(J5*InputsV2!$C$15)</f>
        <v>654611.62223611574</v>
      </c>
      <c r="K9" s="59">
        <f>(K6*InputsV2!$C$14)+(K5*InputsV2!$C$15)</f>
        <v>695768.22756778181</v>
      </c>
      <c r="L9" s="59">
        <f>(L6*InputsV2!$C$14)+(L5*InputsV2!$C$15)</f>
        <v>731986.04025964788</v>
      </c>
      <c r="M9" s="59">
        <f>(M6*InputsV2!$C$14)+(M5*InputsV2!$C$15)</f>
        <v>763857.71542849031</v>
      </c>
      <c r="N9" s="60">
        <f>(N6*InputsV2!$C$14)+(N5*InputsV2!$C$15)</f>
        <v>791904.78957707155</v>
      </c>
      <c r="O9" s="96">
        <f>(O6*InputsV2!$C$23)+(O5*InputsV2!$C$24)</f>
        <v>897304.53771749232</v>
      </c>
      <c r="P9" s="97">
        <f>(P6*InputsV2!$C$23)+(P5*InputsV2!$C$24)</f>
        <v>916520.5931913933</v>
      </c>
      <c r="Q9" s="97">
        <f>(Q6*InputsV2!$C$23)+(Q5*InputsV2!$C$24)</f>
        <v>933430.72200842609</v>
      </c>
      <c r="R9" s="97">
        <f>(R6*InputsV2!$C$23)+(R5*InputsV2!$C$24)</f>
        <v>980034.78536741505</v>
      </c>
      <c r="S9" s="97">
        <f>(S6*InputsV2!$C$23)+(S5*InputsV2!$C$24)</f>
        <v>989323.21112332516</v>
      </c>
      <c r="T9" s="97">
        <f>(T6*InputsV2!$C$23)+(T5*InputsV2!$C$24)</f>
        <v>997497.02578852605</v>
      </c>
      <c r="U9" s="97">
        <f>(U6*InputsV2!$C$23)+(U5*InputsV2!$C$24)</f>
        <v>1004689.982693903</v>
      </c>
      <c r="V9" s="97">
        <f>(V6*InputsV2!$C$23)+(V5*InputsV2!$C$24)</f>
        <v>1042742.9347706346</v>
      </c>
      <c r="W9" s="97">
        <f>(W6*InputsV2!$C$23)+(W5*InputsV2!$C$24)</f>
        <v>1044506.3825981587</v>
      </c>
      <c r="X9" s="97">
        <f>(X6*InputsV2!$C$23)+(X5*InputsV2!$C$24)</f>
        <v>1046058.2166863794</v>
      </c>
      <c r="Y9" s="97">
        <f>(Y6*InputsV2!$C$23)+(Y5*InputsV2!$C$24)</f>
        <v>1047423.8306840139</v>
      </c>
      <c r="Z9" s="138">
        <f>(Z6*InputsV2!$C$23)+(Z5*InputsV2!$C$24)</f>
        <v>1080348.7210019324</v>
      </c>
      <c r="AA9" s="125">
        <f>(AA6*InputsV2!$C$23)+(AA5*InputsV2!$C$24)</f>
        <v>1124259.1446515145</v>
      </c>
      <c r="AB9" s="125">
        <f>(AB6*InputsV2!$C$23)+(AB5*InputsV2!$C$24)</f>
        <v>1121735.0512933326</v>
      </c>
      <c r="AC9" s="125">
        <f>(AC6*InputsV2!$C$23)+(AC5*InputsV2!$C$24)</f>
        <v>1119513.8491381325</v>
      </c>
      <c r="AD9" s="125">
        <f>(AD6*InputsV2!$C$23)+(AD5*InputsV2!$C$24)</f>
        <v>1150655.9422415567</v>
      </c>
      <c r="AE9" s="125">
        <f>(AE6*InputsV2!$C$23)+(AE5*InputsV2!$C$24)</f>
        <v>1144964.2331725699</v>
      </c>
      <c r="AF9" s="125">
        <f>(AF6*InputsV2!$C$23)+(AF5*InputsV2!$C$24)</f>
        <v>1139955.5291918614</v>
      </c>
      <c r="AG9" s="125">
        <f>(AG6*InputsV2!$C$23)+(AG5*InputsV2!$C$24)</f>
        <v>1135547.8696888383</v>
      </c>
      <c r="AH9" s="125">
        <f>(AH6*InputsV2!$C$23)+(AH5*InputsV2!$C$24)</f>
        <v>1164765.8803261777</v>
      </c>
      <c r="AI9" s="125">
        <f>(AI6*InputsV2!$C$23)+(AI5*InputsV2!$C$24)</f>
        <v>1157380.9786870363</v>
      </c>
      <c r="AJ9" s="125">
        <f>(AJ6*InputsV2!$C$23)+(AJ5*InputsV2!$C$24)</f>
        <v>1150882.265244592</v>
      </c>
      <c r="AK9" s="125">
        <f>(AK6*InputsV2!$C$23)+(AK5*InputsV2!$C$24)</f>
        <v>1145163.397415241</v>
      </c>
      <c r="AL9" s="125">
        <f>(AL6*InputsV2!$C$23)+(AL5*InputsV2!$C$24)</f>
        <v>1140130.7937254121</v>
      </c>
    </row>
    <row r="10" spans="1:38" ht="15" thickBot="1" x14ac:dyDescent="0.35">
      <c r="A10" s="156" t="s">
        <v>89</v>
      </c>
      <c r="B10" s="1"/>
      <c r="C10" s="61">
        <f>C6-C7</f>
        <v>1760290</v>
      </c>
      <c r="D10" s="62">
        <f t="shared" ref="D10:AL10" si="1">D6-D7</f>
        <v>4523745.2</v>
      </c>
      <c r="E10" s="62">
        <f t="shared" si="1"/>
        <v>7395658.2760000005</v>
      </c>
      <c r="F10" s="62">
        <f t="shared" si="1"/>
        <v>9786469.2828800008</v>
      </c>
      <c r="G10" s="62">
        <f t="shared" si="1"/>
        <v>11586782.9689344</v>
      </c>
      <c r="H10" s="62">
        <f t="shared" si="1"/>
        <v>13171059.012662271</v>
      </c>
      <c r="I10" s="62">
        <f t="shared" si="1"/>
        <v>14565221.9311428</v>
      </c>
      <c r="J10" s="62">
        <f t="shared" si="1"/>
        <v>15792085.299405662</v>
      </c>
      <c r="K10" s="62">
        <f t="shared" si="1"/>
        <v>16871725.063476983</v>
      </c>
      <c r="L10" s="62">
        <f>L6-L7</f>
        <v>17821808.055859745</v>
      </c>
      <c r="M10" s="62">
        <f t="shared" si="1"/>
        <v>18657881.089156579</v>
      </c>
      <c r="N10" s="63">
        <f t="shared" si="1"/>
        <v>19393625.358457793</v>
      </c>
      <c r="O10" s="98">
        <f t="shared" si="1"/>
        <v>21813521.984369427</v>
      </c>
      <c r="P10" s="42">
        <f>P6-P7</f>
        <v>22662606.746245097</v>
      </c>
      <c r="Q10" s="42">
        <f t="shared" si="1"/>
        <v>23106201.336695686</v>
      </c>
      <c r="R10" s="42">
        <f t="shared" si="1"/>
        <v>23983741.426292203</v>
      </c>
      <c r="S10" s="42">
        <f t="shared" si="1"/>
        <v>24572399.85513714</v>
      </c>
      <c r="T10" s="42">
        <f t="shared" si="1"/>
        <v>24786819.27252068</v>
      </c>
      <c r="U10" s="42">
        <f t="shared" si="1"/>
        <v>24975508.359818202</v>
      </c>
      <c r="V10" s="42">
        <f t="shared" si="1"/>
        <v>25628731.606640019</v>
      </c>
      <c r="W10" s="42">
        <f t="shared" si="1"/>
        <v>26019991.213843219</v>
      </c>
      <c r="X10" s="42">
        <f t="shared" si="1"/>
        <v>26060699.66818203</v>
      </c>
      <c r="Y10" s="42">
        <f t="shared" si="1"/>
        <v>26096523.108000185</v>
      </c>
      <c r="Z10" s="139">
        <f t="shared" si="1"/>
        <v>26615224.58504016</v>
      </c>
      <c r="AA10" s="126">
        <f t="shared" si="1"/>
        <v>28602187.635224551</v>
      </c>
      <c r="AB10" s="126">
        <f t="shared" si="1"/>
        <v>28534874.114997607</v>
      </c>
      <c r="AC10" s="126">
        <f t="shared" si="1"/>
        <v>28475638.217197888</v>
      </c>
      <c r="AD10" s="126">
        <f t="shared" si="1"/>
        <v>28961147.876134142</v>
      </c>
      <c r="AE10" s="126">
        <f t="shared" si="1"/>
        <v>29154359.126998041</v>
      </c>
      <c r="AF10" s="126">
        <f t="shared" si="1"/>
        <v>29020785.027758274</v>
      </c>
      <c r="AG10" s="126">
        <f t="shared" si="1"/>
        <v>28903239.820427284</v>
      </c>
      <c r="AH10" s="126">
        <f t="shared" si="1"/>
        <v>29337437.286976013</v>
      </c>
      <c r="AI10" s="126">
        <f t="shared" si="1"/>
        <v>29485493.808538888</v>
      </c>
      <c r="AJ10" s="126">
        <f t="shared" si="1"/>
        <v>29312183.547514226</v>
      </c>
      <c r="AK10" s="126">
        <f t="shared" si="1"/>
        <v>29159670.51781252</v>
      </c>
      <c r="AL10" s="126">
        <f t="shared" si="1"/>
        <v>29025459.051675018</v>
      </c>
    </row>
    <row r="11" spans="1:38" ht="15" thickTop="1" x14ac:dyDescent="0.3">
      <c r="A11" s="156" t="s">
        <v>90</v>
      </c>
      <c r="B11" s="1"/>
      <c r="C11" s="56">
        <f>SUM(C12:C14)</f>
        <v>8560000</v>
      </c>
      <c r="D11" s="82">
        <f>SUM(D12:D14)</f>
        <v>8560000</v>
      </c>
      <c r="E11" s="82">
        <f t="shared" ref="E11:N11" si="2">SUM(E12:E14)</f>
        <v>8560000</v>
      </c>
      <c r="F11" s="82">
        <f t="shared" si="2"/>
        <v>8560000</v>
      </c>
      <c r="G11" s="82">
        <f t="shared" si="2"/>
        <v>8560000</v>
      </c>
      <c r="H11" s="82">
        <f t="shared" si="2"/>
        <v>8560000</v>
      </c>
      <c r="I11" s="82">
        <f t="shared" si="2"/>
        <v>12550000</v>
      </c>
      <c r="J11" s="82">
        <f t="shared" si="2"/>
        <v>12550000</v>
      </c>
      <c r="K11" s="82">
        <f t="shared" si="2"/>
        <v>12550000</v>
      </c>
      <c r="L11" s="82">
        <f t="shared" si="2"/>
        <v>12550000</v>
      </c>
      <c r="M11" s="82">
        <f t="shared" si="2"/>
        <v>12550000</v>
      </c>
      <c r="N11" s="57">
        <f t="shared" si="2"/>
        <v>12550000</v>
      </c>
      <c r="O11" s="94">
        <f>SUM(O12:O14)</f>
        <v>17405200</v>
      </c>
      <c r="P11" s="95">
        <f t="shared" ref="P11:AL11" si="3">SUM(P12:P14)</f>
        <v>17405200</v>
      </c>
      <c r="Q11" s="95">
        <f t="shared" si="3"/>
        <v>17405200</v>
      </c>
      <c r="R11" s="95">
        <f t="shared" si="3"/>
        <v>17405200</v>
      </c>
      <c r="S11" s="95">
        <f t="shared" si="3"/>
        <v>17405200</v>
      </c>
      <c r="T11" s="95">
        <f t="shared" si="3"/>
        <v>17405200</v>
      </c>
      <c r="U11" s="95">
        <f t="shared" si="3"/>
        <v>21592200</v>
      </c>
      <c r="V11" s="95">
        <f t="shared" si="3"/>
        <v>21592200</v>
      </c>
      <c r="W11" s="95">
        <f t="shared" si="3"/>
        <v>21592200</v>
      </c>
      <c r="X11" s="95">
        <f t="shared" si="3"/>
        <v>21592200</v>
      </c>
      <c r="Y11" s="95">
        <f t="shared" si="3"/>
        <v>21592200</v>
      </c>
      <c r="Z11" s="137">
        <f t="shared" si="3"/>
        <v>21592200</v>
      </c>
      <c r="AA11" s="124">
        <f t="shared" si="3"/>
        <v>22887732</v>
      </c>
      <c r="AB11" s="124">
        <f t="shared" si="3"/>
        <v>22887732</v>
      </c>
      <c r="AC11" s="124">
        <f t="shared" si="3"/>
        <v>22887732</v>
      </c>
      <c r="AD11" s="124">
        <f t="shared" si="3"/>
        <v>22887732</v>
      </c>
      <c r="AE11" s="124">
        <f t="shared" si="3"/>
        <v>22887732</v>
      </c>
      <c r="AF11" s="124">
        <f t="shared" si="3"/>
        <v>22887732</v>
      </c>
      <c r="AG11" s="124">
        <f t="shared" si="3"/>
        <v>22887732</v>
      </c>
      <c r="AH11" s="124">
        <f t="shared" si="3"/>
        <v>22887732</v>
      </c>
      <c r="AI11" s="124">
        <f t="shared" si="3"/>
        <v>22887732</v>
      </c>
      <c r="AJ11" s="124">
        <f t="shared" si="3"/>
        <v>22887732</v>
      </c>
      <c r="AK11" s="124">
        <f t="shared" si="3"/>
        <v>22887732</v>
      </c>
      <c r="AL11" s="124">
        <f t="shared" si="3"/>
        <v>22887732</v>
      </c>
    </row>
    <row r="12" spans="1:38" x14ac:dyDescent="0.3">
      <c r="A12" s="38" t="s">
        <v>91</v>
      </c>
      <c r="C12" s="64">
        <f>InputsV2!$C$10</f>
        <v>3990000</v>
      </c>
      <c r="D12" s="65">
        <f>InputsV2!$C$10</f>
        <v>3990000</v>
      </c>
      <c r="E12" s="65">
        <f>InputsV2!$C$10</f>
        <v>3990000</v>
      </c>
      <c r="F12" s="65">
        <f>InputsV2!$C$10</f>
        <v>3990000</v>
      </c>
      <c r="G12" s="65">
        <f>InputsV2!$C$10</f>
        <v>3990000</v>
      </c>
      <c r="H12" s="65">
        <f>InputsV2!$C$10</f>
        <v>3990000</v>
      </c>
      <c r="I12" s="65">
        <f>InputsV2!$C$10*2</f>
        <v>7980000</v>
      </c>
      <c r="J12" s="65">
        <f>InputsV2!$C$10*2</f>
        <v>7980000</v>
      </c>
      <c r="K12" s="65">
        <f>InputsV2!$C$10*2</f>
        <v>7980000</v>
      </c>
      <c r="L12" s="65">
        <f>InputsV2!$C$10*2</f>
        <v>7980000</v>
      </c>
      <c r="M12" s="65">
        <f>InputsV2!$C$10*2</f>
        <v>7980000</v>
      </c>
      <c r="N12" s="66">
        <f>InputsV2!$C$10*2</f>
        <v>7980000</v>
      </c>
      <c r="O12" s="99">
        <f>InputsV2!$C$19*3</f>
        <v>12561000</v>
      </c>
      <c r="P12" s="100">
        <f>InputsV2!$C$19*3</f>
        <v>12561000</v>
      </c>
      <c r="Q12" s="100">
        <f>InputsV2!$C$19*3</f>
        <v>12561000</v>
      </c>
      <c r="R12" s="100">
        <f>InputsV2!$C$19*3</f>
        <v>12561000</v>
      </c>
      <c r="S12" s="100">
        <f>InputsV2!$C$19*3</f>
        <v>12561000</v>
      </c>
      <c r="T12" s="100">
        <f>InputsV2!$C$19*3</f>
        <v>12561000</v>
      </c>
      <c r="U12" s="100">
        <f>InputsV2!$C$19*4</f>
        <v>16748000</v>
      </c>
      <c r="V12" s="100">
        <f>InputsV2!$C$19*4</f>
        <v>16748000</v>
      </c>
      <c r="W12" s="100">
        <f>InputsV2!$C$19*4</f>
        <v>16748000</v>
      </c>
      <c r="X12" s="100">
        <f>InputsV2!$C$19*4</f>
        <v>16748000</v>
      </c>
      <c r="Y12" s="100">
        <f>InputsV2!$C$19*4</f>
        <v>16748000</v>
      </c>
      <c r="Z12" s="140">
        <f>InputsV2!$C$19*4</f>
        <v>16748000</v>
      </c>
      <c r="AA12" s="127">
        <f>InputsV2!$C$19*4*1.06</f>
        <v>17752880</v>
      </c>
      <c r="AB12" s="127">
        <f>InputsV2!$C$19*4*1.06</f>
        <v>17752880</v>
      </c>
      <c r="AC12" s="127">
        <f>InputsV2!$C$19*4*1.06</f>
        <v>17752880</v>
      </c>
      <c r="AD12" s="127">
        <f>InputsV2!$C$19*4*1.06</f>
        <v>17752880</v>
      </c>
      <c r="AE12" s="127">
        <f>InputsV2!$C$19*4*1.06</f>
        <v>17752880</v>
      </c>
      <c r="AF12" s="127">
        <f>InputsV2!$C$19*4*1.06</f>
        <v>17752880</v>
      </c>
      <c r="AG12" s="127">
        <f>InputsV2!$C$19*4*1.06</f>
        <v>17752880</v>
      </c>
      <c r="AH12" s="127">
        <f>InputsV2!$C$19*4*1.06</f>
        <v>17752880</v>
      </c>
      <c r="AI12" s="127">
        <f>InputsV2!$C$19*4*1.06</f>
        <v>17752880</v>
      </c>
      <c r="AJ12" s="127">
        <f>InputsV2!$C$19*4*1.06</f>
        <v>17752880</v>
      </c>
      <c r="AK12" s="127">
        <f>InputsV2!$C$19*4*1.06</f>
        <v>17752880</v>
      </c>
      <c r="AL12" s="127">
        <f>InputsV2!$C$19*4*1.06</f>
        <v>17752880</v>
      </c>
    </row>
    <row r="13" spans="1:38" x14ac:dyDescent="0.3">
      <c r="A13" s="38" t="s">
        <v>92</v>
      </c>
      <c r="C13" s="64">
        <f>InputsV2!$C$12</f>
        <v>3950000</v>
      </c>
      <c r="D13" s="65">
        <f>InputsV2!$C$12</f>
        <v>3950000</v>
      </c>
      <c r="E13" s="65">
        <f>InputsV2!$C$12</f>
        <v>3950000</v>
      </c>
      <c r="F13" s="65">
        <f>InputsV2!$C$12</f>
        <v>3950000</v>
      </c>
      <c r="G13" s="65">
        <f>InputsV2!$C$12</f>
        <v>3950000</v>
      </c>
      <c r="H13" s="65">
        <f>InputsV2!$C$12</f>
        <v>3950000</v>
      </c>
      <c r="I13" s="65">
        <f>InputsV2!$C$12</f>
        <v>3950000</v>
      </c>
      <c r="J13" s="65">
        <f>InputsV2!$C$12</f>
        <v>3950000</v>
      </c>
      <c r="K13" s="65">
        <f>InputsV2!$C$12</f>
        <v>3950000</v>
      </c>
      <c r="L13" s="65">
        <f>InputsV2!$C$12</f>
        <v>3950000</v>
      </c>
      <c r="M13" s="65">
        <f>InputsV2!$C$12</f>
        <v>3950000</v>
      </c>
      <c r="N13" s="66">
        <f>InputsV2!$C$12</f>
        <v>3950000</v>
      </c>
      <c r="O13" s="99">
        <f>InputsV2!$C$21</f>
        <v>4187000</v>
      </c>
      <c r="P13" s="100">
        <f>InputsV2!$C$21</f>
        <v>4187000</v>
      </c>
      <c r="Q13" s="100">
        <f>InputsV2!$C$21</f>
        <v>4187000</v>
      </c>
      <c r="R13" s="100">
        <f>InputsV2!$C$21</f>
        <v>4187000</v>
      </c>
      <c r="S13" s="100">
        <f>InputsV2!$C$21</f>
        <v>4187000</v>
      </c>
      <c r="T13" s="100">
        <f>InputsV2!$C$21</f>
        <v>4187000</v>
      </c>
      <c r="U13" s="100">
        <f>InputsV2!$C$21</f>
        <v>4187000</v>
      </c>
      <c r="V13" s="100">
        <f>InputsV2!$C$21</f>
        <v>4187000</v>
      </c>
      <c r="W13" s="100">
        <f>InputsV2!$C$21</f>
        <v>4187000</v>
      </c>
      <c r="X13" s="100">
        <f>InputsV2!$C$21</f>
        <v>4187000</v>
      </c>
      <c r="Y13" s="100">
        <f>InputsV2!$C$21</f>
        <v>4187000</v>
      </c>
      <c r="Z13" s="140">
        <f>InputsV2!$C$21</f>
        <v>4187000</v>
      </c>
      <c r="AA13" s="127">
        <f>InputsV2!$C$21*1.06</f>
        <v>4438220</v>
      </c>
      <c r="AB13" s="127">
        <f>InputsV2!$C$21*1.06</f>
        <v>4438220</v>
      </c>
      <c r="AC13" s="127">
        <f>InputsV2!$C$21*1.06</f>
        <v>4438220</v>
      </c>
      <c r="AD13" s="127">
        <f>InputsV2!$C$21*1.06</f>
        <v>4438220</v>
      </c>
      <c r="AE13" s="127">
        <f>InputsV2!$C$21*1.06</f>
        <v>4438220</v>
      </c>
      <c r="AF13" s="127">
        <f>InputsV2!$C$21*1.06</f>
        <v>4438220</v>
      </c>
      <c r="AG13" s="127">
        <f>InputsV2!$C$21*1.06</f>
        <v>4438220</v>
      </c>
      <c r="AH13" s="127">
        <f>InputsV2!$C$21*1.06</f>
        <v>4438220</v>
      </c>
      <c r="AI13" s="127">
        <f>InputsV2!$C$21*1.06</f>
        <v>4438220</v>
      </c>
      <c r="AJ13" s="127">
        <f>InputsV2!$C$21*1.06</f>
        <v>4438220</v>
      </c>
      <c r="AK13" s="127">
        <f>InputsV2!$C$21*1.06</f>
        <v>4438220</v>
      </c>
      <c r="AL13" s="127">
        <f>InputsV2!$C$21*1.06</f>
        <v>4438220</v>
      </c>
    </row>
    <row r="14" spans="1:38" x14ac:dyDescent="0.3">
      <c r="A14" s="38" t="s">
        <v>93</v>
      </c>
      <c r="C14" s="64">
        <f>InputsV2!$C$11</f>
        <v>620000</v>
      </c>
      <c r="D14" s="65">
        <f>InputsV2!$C$11</f>
        <v>620000</v>
      </c>
      <c r="E14" s="65">
        <f>InputsV2!$C$11</f>
        <v>620000</v>
      </c>
      <c r="F14" s="65">
        <f>InputsV2!$C$11</f>
        <v>620000</v>
      </c>
      <c r="G14" s="65">
        <f>InputsV2!$C$11</f>
        <v>620000</v>
      </c>
      <c r="H14" s="65">
        <f>InputsV2!$C$11</f>
        <v>620000</v>
      </c>
      <c r="I14" s="65">
        <f>InputsV2!$C$11</f>
        <v>620000</v>
      </c>
      <c r="J14" s="65">
        <f>InputsV2!$C$11</f>
        <v>620000</v>
      </c>
      <c r="K14" s="65">
        <f>InputsV2!$C$11</f>
        <v>620000</v>
      </c>
      <c r="L14" s="65">
        <f>InputsV2!$C$11</f>
        <v>620000</v>
      </c>
      <c r="M14" s="65">
        <f>InputsV2!$C$11</f>
        <v>620000</v>
      </c>
      <c r="N14" s="66">
        <f>InputsV2!$C$11</f>
        <v>620000</v>
      </c>
      <c r="O14" s="99">
        <f>InputsV2!$C$20</f>
        <v>657200</v>
      </c>
      <c r="P14" s="100">
        <f>InputsV2!$C$20</f>
        <v>657200</v>
      </c>
      <c r="Q14" s="100">
        <f>InputsV2!$C$20</f>
        <v>657200</v>
      </c>
      <c r="R14" s="100">
        <f>InputsV2!$C$20</f>
        <v>657200</v>
      </c>
      <c r="S14" s="100">
        <f>InputsV2!$C$20</f>
        <v>657200</v>
      </c>
      <c r="T14" s="100">
        <f>InputsV2!$C$20</f>
        <v>657200</v>
      </c>
      <c r="U14" s="100">
        <f>InputsV2!$C$20</f>
        <v>657200</v>
      </c>
      <c r="V14" s="100">
        <f>InputsV2!$C$20</f>
        <v>657200</v>
      </c>
      <c r="W14" s="100">
        <f>InputsV2!$C$20</f>
        <v>657200</v>
      </c>
      <c r="X14" s="100">
        <f>InputsV2!$C$20</f>
        <v>657200</v>
      </c>
      <c r="Y14" s="100">
        <f>InputsV2!$C$20</f>
        <v>657200</v>
      </c>
      <c r="Z14" s="140">
        <f>InputsV2!$C$20</f>
        <v>657200</v>
      </c>
      <c r="AA14" s="127">
        <f>InputsV2!$C$20*1.06</f>
        <v>696632</v>
      </c>
      <c r="AB14" s="127">
        <f>InputsV2!$C$20*1.06</f>
        <v>696632</v>
      </c>
      <c r="AC14" s="127">
        <f>InputsV2!$C$20*1.06</f>
        <v>696632</v>
      </c>
      <c r="AD14" s="127">
        <f>InputsV2!$C$20*1.06</f>
        <v>696632</v>
      </c>
      <c r="AE14" s="127">
        <f>InputsV2!$C$20*1.06</f>
        <v>696632</v>
      </c>
      <c r="AF14" s="127">
        <f>InputsV2!$C$20*1.06</f>
        <v>696632</v>
      </c>
      <c r="AG14" s="127">
        <f>InputsV2!$C$20*1.06</f>
        <v>696632</v>
      </c>
      <c r="AH14" s="127">
        <f>InputsV2!$C$20*1.06</f>
        <v>696632</v>
      </c>
      <c r="AI14" s="127">
        <f>InputsV2!$C$20*1.06</f>
        <v>696632</v>
      </c>
      <c r="AJ14" s="127">
        <f>InputsV2!$C$20*1.06</f>
        <v>696632</v>
      </c>
      <c r="AK14" s="127">
        <f>InputsV2!$C$20*1.06</f>
        <v>696632</v>
      </c>
      <c r="AL14" s="127">
        <f>InputsV2!$C$20*1.06</f>
        <v>696632</v>
      </c>
    </row>
    <row r="15" spans="1:38" x14ac:dyDescent="0.3">
      <c r="A15" s="40" t="s">
        <v>94</v>
      </c>
      <c r="B15" s="144">
        <v>-91000000</v>
      </c>
      <c r="C15" s="105">
        <f>C10-C11</f>
        <v>-6799710</v>
      </c>
      <c r="D15" s="106">
        <f t="shared" ref="D15:AL15" si="4">D10-D11</f>
        <v>-4036254.8</v>
      </c>
      <c r="E15" s="106">
        <f t="shared" si="4"/>
        <v>-1164341.7239999995</v>
      </c>
      <c r="F15" s="106">
        <f t="shared" si="4"/>
        <v>1226469.2828800008</v>
      </c>
      <c r="G15" s="106">
        <f t="shared" si="4"/>
        <v>3026782.9689344</v>
      </c>
      <c r="H15" s="106">
        <f t="shared" si="4"/>
        <v>4611059.012662271</v>
      </c>
      <c r="I15" s="106">
        <f t="shared" si="4"/>
        <v>2015221.9311427996</v>
      </c>
      <c r="J15" s="106">
        <f t="shared" si="4"/>
        <v>3242085.2994056623</v>
      </c>
      <c r="K15" s="106">
        <f t="shared" si="4"/>
        <v>4321725.0634769835</v>
      </c>
      <c r="L15" s="106">
        <f t="shared" si="4"/>
        <v>5271808.0558597445</v>
      </c>
      <c r="M15" s="106">
        <f t="shared" si="4"/>
        <v>6107881.0891565792</v>
      </c>
      <c r="N15" s="107">
        <f t="shared" si="4"/>
        <v>6843625.3584577926</v>
      </c>
      <c r="O15" s="108">
        <f t="shared" si="4"/>
        <v>4408321.984369427</v>
      </c>
      <c r="P15" s="109">
        <f t="shared" si="4"/>
        <v>5257406.7462450974</v>
      </c>
      <c r="Q15" s="109">
        <f t="shared" si="4"/>
        <v>5701001.336695686</v>
      </c>
      <c r="R15" s="109">
        <f t="shared" si="4"/>
        <v>6578541.4262922034</v>
      </c>
      <c r="S15" s="109">
        <f t="shared" si="4"/>
        <v>7167199.8551371396</v>
      </c>
      <c r="T15" s="109">
        <f t="shared" si="4"/>
        <v>7381619.27252068</v>
      </c>
      <c r="U15" s="109">
        <f>U10-U11</f>
        <v>3383308.3598182015</v>
      </c>
      <c r="V15" s="109">
        <f t="shared" si="4"/>
        <v>4036531.6066400185</v>
      </c>
      <c r="W15" s="109">
        <f t="shared" si="4"/>
        <v>4427791.213843219</v>
      </c>
      <c r="X15" s="109">
        <f t="shared" si="4"/>
        <v>4468499.6681820303</v>
      </c>
      <c r="Y15" s="109">
        <f t="shared" si="4"/>
        <v>4504323.1080001853</v>
      </c>
      <c r="Z15" s="141">
        <f t="shared" si="4"/>
        <v>5023024.5850401595</v>
      </c>
      <c r="AA15" s="128">
        <f t="shared" si="4"/>
        <v>5714455.635224551</v>
      </c>
      <c r="AB15" s="128">
        <f t="shared" si="4"/>
        <v>5647142.1149976067</v>
      </c>
      <c r="AC15" s="128">
        <f t="shared" si="4"/>
        <v>5587906.2171978876</v>
      </c>
      <c r="AD15" s="128">
        <f t="shared" si="4"/>
        <v>6073415.8761341423</v>
      </c>
      <c r="AE15" s="128">
        <f t="shared" si="4"/>
        <v>6266627.1269980408</v>
      </c>
      <c r="AF15" s="128">
        <f t="shared" si="4"/>
        <v>6133053.0277582742</v>
      </c>
      <c r="AG15" s="128">
        <f t="shared" si="4"/>
        <v>6015507.8204272836</v>
      </c>
      <c r="AH15" s="128">
        <f t="shared" si="4"/>
        <v>6449705.2869760133</v>
      </c>
      <c r="AI15" s="128">
        <f t="shared" si="4"/>
        <v>6597761.8085388876</v>
      </c>
      <c r="AJ15" s="128">
        <f t="shared" si="4"/>
        <v>6424451.5475142263</v>
      </c>
      <c r="AK15" s="128">
        <f t="shared" si="4"/>
        <v>6271938.5178125203</v>
      </c>
      <c r="AL15" s="128">
        <f t="shared" si="4"/>
        <v>6137727.0516750179</v>
      </c>
    </row>
    <row r="16" spans="1:38" x14ac:dyDescent="0.3">
      <c r="A16" s="38" t="s">
        <v>95</v>
      </c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99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40"/>
    </row>
    <row r="17" spans="1:38" ht="15" thickBot="1" x14ac:dyDescent="0.35">
      <c r="A17" s="40" t="s">
        <v>96</v>
      </c>
      <c r="B17" s="7"/>
      <c r="C17" s="83">
        <f>C15-C16</f>
        <v>-6799710</v>
      </c>
      <c r="D17" s="78">
        <f t="shared" ref="D17:M17" si="5">D15-D16</f>
        <v>-4036254.8</v>
      </c>
      <c r="E17" s="78">
        <f t="shared" si="5"/>
        <v>-1164341.7239999995</v>
      </c>
      <c r="F17" s="78">
        <f t="shared" si="5"/>
        <v>1226469.2828800008</v>
      </c>
      <c r="G17" s="78">
        <f t="shared" si="5"/>
        <v>3026782.9689344</v>
      </c>
      <c r="H17" s="78">
        <f t="shared" si="5"/>
        <v>4611059.012662271</v>
      </c>
      <c r="I17" s="78">
        <f t="shared" si="5"/>
        <v>2015221.9311427996</v>
      </c>
      <c r="J17" s="78">
        <f t="shared" si="5"/>
        <v>3242085.2994056623</v>
      </c>
      <c r="K17" s="78">
        <f t="shared" si="5"/>
        <v>4321725.0634769835</v>
      </c>
      <c r="L17" s="78">
        <f t="shared" si="5"/>
        <v>5271808.0558597445</v>
      </c>
      <c r="M17" s="78">
        <f t="shared" si="5"/>
        <v>6107881.0891565792</v>
      </c>
      <c r="N17" s="84">
        <f>N15-N16</f>
        <v>6843625.3584577926</v>
      </c>
      <c r="O17" s="103">
        <f t="shared" ref="O17:AL17" si="6">O15-O16</f>
        <v>4408321.984369427</v>
      </c>
      <c r="P17" s="104">
        <f t="shared" si="6"/>
        <v>5257406.7462450974</v>
      </c>
      <c r="Q17" s="104">
        <f t="shared" si="6"/>
        <v>5701001.336695686</v>
      </c>
      <c r="R17" s="104">
        <f t="shared" si="6"/>
        <v>6578541.4262922034</v>
      </c>
      <c r="S17" s="104">
        <f t="shared" si="6"/>
        <v>7167199.8551371396</v>
      </c>
      <c r="T17" s="104">
        <f t="shared" si="6"/>
        <v>7381619.27252068</v>
      </c>
      <c r="U17" s="104">
        <f t="shared" si="6"/>
        <v>3383308.3598182015</v>
      </c>
      <c r="V17" s="104">
        <f t="shared" si="6"/>
        <v>4036531.6066400185</v>
      </c>
      <c r="W17" s="104">
        <f t="shared" si="6"/>
        <v>4427791.213843219</v>
      </c>
      <c r="X17" s="104">
        <f t="shared" si="6"/>
        <v>4468499.6681820303</v>
      </c>
      <c r="Y17" s="104">
        <f t="shared" si="6"/>
        <v>4504323.1080001853</v>
      </c>
      <c r="Z17" s="142">
        <f t="shared" si="6"/>
        <v>5023024.5850401595</v>
      </c>
      <c r="AA17" s="129">
        <f t="shared" si="6"/>
        <v>5714455.635224551</v>
      </c>
      <c r="AB17" s="129">
        <f t="shared" si="6"/>
        <v>5647142.1149976067</v>
      </c>
      <c r="AC17" s="129">
        <f t="shared" si="6"/>
        <v>5587906.2171978876</v>
      </c>
      <c r="AD17" s="129">
        <f t="shared" si="6"/>
        <v>6073415.8761341423</v>
      </c>
      <c r="AE17" s="129">
        <f t="shared" si="6"/>
        <v>6266627.1269980408</v>
      </c>
      <c r="AF17" s="129">
        <f t="shared" si="6"/>
        <v>6133053.0277582742</v>
      </c>
      <c r="AG17" s="129">
        <f t="shared" si="6"/>
        <v>6015507.8204272836</v>
      </c>
      <c r="AH17" s="129">
        <f t="shared" si="6"/>
        <v>6449705.2869760133</v>
      </c>
      <c r="AI17" s="129">
        <f t="shared" si="6"/>
        <v>6597761.8085388876</v>
      </c>
      <c r="AJ17" s="129">
        <f t="shared" si="6"/>
        <v>6424451.5475142263</v>
      </c>
      <c r="AK17" s="129">
        <f t="shared" si="6"/>
        <v>6271938.5178125203</v>
      </c>
      <c r="AL17" s="129">
        <f t="shared" si="6"/>
        <v>6137727.0516750179</v>
      </c>
    </row>
    <row r="18" spans="1:38" ht="15.6" thickTop="1" thickBot="1" x14ac:dyDescent="0.35">
      <c r="A18" s="38" t="s">
        <v>97</v>
      </c>
      <c r="C18" s="67">
        <f>C17/C6</f>
        <v>-2.0858006134969327</v>
      </c>
      <c r="D18" s="68">
        <f t="shared" ref="D18:AL18" si="7">D17/D6</f>
        <v>-0.65857179219423045</v>
      </c>
      <c r="E18" s="68">
        <f t="shared" si="7"/>
        <v>-0.12297205551467072</v>
      </c>
      <c r="F18" s="68">
        <f t="shared" si="7"/>
        <v>0.10580177560822859</v>
      </c>
      <c r="G18" s="68">
        <f t="shared" si="7"/>
        <v>0.22485429929763373</v>
      </c>
      <c r="H18" s="68">
        <f t="shared" si="7"/>
        <v>0.30525180067191998</v>
      </c>
      <c r="I18" s="68">
        <f t="shared" si="7"/>
        <v>0.12174313153800334</v>
      </c>
      <c r="J18" s="68">
        <f t="shared" si="7"/>
        <v>0.18186685473233913</v>
      </c>
      <c r="K18" s="68">
        <f t="shared" si="7"/>
        <v>0.22808954182448921</v>
      </c>
      <c r="L18" s="68">
        <f t="shared" si="7"/>
        <v>0.2644658628678237</v>
      </c>
      <c r="M18" s="68">
        <f t="shared" si="7"/>
        <v>0.29362358341939637</v>
      </c>
      <c r="N18" s="69">
        <f t="shared" si="7"/>
        <v>0.31734092839268369</v>
      </c>
      <c r="O18" s="101">
        <f t="shared" si="7"/>
        <v>0.18040404650871364</v>
      </c>
      <c r="P18" s="102">
        <f t="shared" si="7"/>
        <v>0.21064064759740897</v>
      </c>
      <c r="Q18" s="102">
        <f t="shared" si="7"/>
        <v>0.22427552544937671</v>
      </c>
      <c r="R18" s="102">
        <f t="shared" si="7"/>
        <v>0.24649093589455082</v>
      </c>
      <c r="S18" s="102">
        <f t="shared" si="7"/>
        <v>0.26602603840556638</v>
      </c>
      <c r="T18" s="102">
        <f t="shared" si="7"/>
        <v>0.27173955683103773</v>
      </c>
      <c r="U18" s="102">
        <f t="shared" si="7"/>
        <v>0.12365803483819188</v>
      </c>
      <c r="V18" s="102">
        <f t="shared" si="7"/>
        <v>0.14214904039420578</v>
      </c>
      <c r="W18" s="102">
        <f t="shared" si="7"/>
        <v>0.15566424398359455</v>
      </c>
      <c r="X18" s="102">
        <f t="shared" si="7"/>
        <v>0.15686234587459344</v>
      </c>
      <c r="Y18" s="102">
        <f t="shared" si="7"/>
        <v>0.15791373885538326</v>
      </c>
      <c r="Z18" s="143">
        <f t="shared" si="7"/>
        <v>0.17073170304293772</v>
      </c>
      <c r="AA18" s="130">
        <f t="shared" si="7"/>
        <v>0.18370647331283907</v>
      </c>
      <c r="AB18" s="130">
        <f t="shared" si="7"/>
        <v>0.18195100130754632</v>
      </c>
      <c r="AC18" s="130">
        <f t="shared" si="7"/>
        <v>0.1803996379172213</v>
      </c>
      <c r="AD18" s="130">
        <f t="shared" si="7"/>
        <v>0.19076713575841625</v>
      </c>
      <c r="AE18" s="130">
        <f t="shared" si="7"/>
        <v>0.19781442475115704</v>
      </c>
      <c r="AF18" s="130">
        <f t="shared" si="7"/>
        <v>0.19444860581774862</v>
      </c>
      <c r="AG18" s="130">
        <f t="shared" si="7"/>
        <v>0.19146212386544983</v>
      </c>
      <c r="AH18" s="130">
        <f t="shared" si="7"/>
        <v>0.20013233086015675</v>
      </c>
      <c r="AI18" s="130">
        <f t="shared" si="7"/>
        <v>0.2060327766441121</v>
      </c>
      <c r="AJ18" s="130">
        <f t="shared" si="7"/>
        <v>0.20175354927477143</v>
      </c>
      <c r="AK18" s="130">
        <f t="shared" si="7"/>
        <v>0.19794765327137223</v>
      </c>
      <c r="AL18" s="130">
        <f t="shared" si="7"/>
        <v>0.19456688182896481</v>
      </c>
    </row>
    <row r="19" spans="1:38" x14ac:dyDescent="0.3">
      <c r="A19" s="7" t="s">
        <v>98</v>
      </c>
      <c r="B19" s="7"/>
      <c r="C19" s="114">
        <f>IRR(B15:AL15)</f>
        <v>2.5665815635639744E-2</v>
      </c>
      <c r="D19" s="114"/>
    </row>
    <row r="20" spans="1:38" x14ac:dyDescent="0.3">
      <c r="A20" s="115" t="s">
        <v>99</v>
      </c>
      <c r="B20" s="115"/>
      <c r="C20" s="116">
        <f>(C19+1)^12-1</f>
        <v>0.35540965254724077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38" x14ac:dyDescent="0.3">
      <c r="A21" s="150" t="s">
        <v>100</v>
      </c>
      <c r="B21" s="117"/>
      <c r="C21" s="147">
        <f>NPV(25%,D21)</f>
        <v>128258890.1856118</v>
      </c>
      <c r="D21" s="145">
        <f>SUM(C17:AL17)</f>
        <v>160323612.73201475</v>
      </c>
    </row>
    <row r="22" spans="1:38" x14ac:dyDescent="0.3">
      <c r="A22" s="151" t="s">
        <v>101</v>
      </c>
      <c r="B22" s="148"/>
      <c r="C22" s="152">
        <f>D21/91000000</f>
        <v>1.7617979421100523</v>
      </c>
      <c r="D22" s="149"/>
    </row>
    <row r="23" spans="1:38" x14ac:dyDescent="0.3">
      <c r="C23" s="146"/>
      <c r="D23" s="145"/>
    </row>
    <row r="24" spans="1:38" x14ac:dyDescent="0.3">
      <c r="A24" s="7" t="s">
        <v>102</v>
      </c>
      <c r="C24" s="4">
        <f>C17</f>
        <v>-6799710</v>
      </c>
      <c r="D24" s="4">
        <f>D17+C24</f>
        <v>-10835964.800000001</v>
      </c>
      <c r="E24" s="4">
        <f>E17+D24</f>
        <v>-12000306.524</v>
      </c>
      <c r="F24" s="4">
        <f t="shared" ref="F24:AL24" si="8">F17+E24</f>
        <v>-10773837.241119999</v>
      </c>
      <c r="G24" s="4">
        <f t="shared" si="8"/>
        <v>-7747054.2721855994</v>
      </c>
      <c r="H24" s="4">
        <f t="shared" si="8"/>
        <v>-3135995.2595233284</v>
      </c>
      <c r="I24" s="4">
        <f t="shared" si="8"/>
        <v>-1120773.3283805288</v>
      </c>
      <c r="J24" s="4">
        <f t="shared" si="8"/>
        <v>2121311.9710251335</v>
      </c>
      <c r="K24" s="4">
        <f t="shared" si="8"/>
        <v>6443037.034502117</v>
      </c>
      <c r="L24" s="4">
        <f t="shared" si="8"/>
        <v>11714845.090361862</v>
      </c>
      <c r="M24" s="4">
        <f t="shared" si="8"/>
        <v>17822726.179518439</v>
      </c>
      <c r="N24" s="4">
        <f t="shared" si="8"/>
        <v>24666351.537976231</v>
      </c>
      <c r="O24" s="4">
        <f t="shared" si="8"/>
        <v>29074673.522345658</v>
      </c>
      <c r="P24" s="4">
        <f t="shared" si="8"/>
        <v>34332080.268590756</v>
      </c>
      <c r="Q24" s="4">
        <f t="shared" si="8"/>
        <v>40033081.605286442</v>
      </c>
      <c r="R24" s="4">
        <f t="shared" si="8"/>
        <v>46611623.031578645</v>
      </c>
      <c r="S24" s="4">
        <f t="shared" si="8"/>
        <v>53778822.886715785</v>
      </c>
      <c r="T24" s="4">
        <f t="shared" si="8"/>
        <v>61160442.159236461</v>
      </c>
      <c r="U24" s="4">
        <f t="shared" si="8"/>
        <v>64543750.519054666</v>
      </c>
      <c r="V24" s="4">
        <f t="shared" si="8"/>
        <v>68580282.125694692</v>
      </c>
      <c r="W24" s="4">
        <f t="shared" si="8"/>
        <v>73008073.339537919</v>
      </c>
      <c r="X24" s="4">
        <f t="shared" si="8"/>
        <v>77476573.007719949</v>
      </c>
      <c r="Y24" s="4">
        <f t="shared" si="8"/>
        <v>81980896.115720138</v>
      </c>
      <c r="Z24" s="4">
        <f t="shared" si="8"/>
        <v>87003920.700760305</v>
      </c>
      <c r="AA24" s="4">
        <f t="shared" si="8"/>
        <v>92718376.335984856</v>
      </c>
      <c r="AB24" s="4">
        <f t="shared" si="8"/>
        <v>98365518.450982466</v>
      </c>
      <c r="AC24" s="4">
        <f t="shared" si="8"/>
        <v>103953424.66818035</v>
      </c>
      <c r="AD24" s="4">
        <f t="shared" si="8"/>
        <v>110026840.54431449</v>
      </c>
      <c r="AE24" s="4">
        <f t="shared" si="8"/>
        <v>116293467.67131253</v>
      </c>
      <c r="AF24" s="4">
        <f t="shared" si="8"/>
        <v>122426520.6990708</v>
      </c>
      <c r="AG24" s="4">
        <f t="shared" si="8"/>
        <v>128442028.51949808</v>
      </c>
      <c r="AH24" s="4">
        <f t="shared" si="8"/>
        <v>134891733.80647409</v>
      </c>
      <c r="AI24" s="4">
        <f t="shared" si="8"/>
        <v>141489495.61501297</v>
      </c>
      <c r="AJ24" s="4">
        <f t="shared" si="8"/>
        <v>147913947.1625272</v>
      </c>
      <c r="AK24" s="4">
        <f t="shared" si="8"/>
        <v>154185885.68033972</v>
      </c>
      <c r="AL24" s="4">
        <f t="shared" si="8"/>
        <v>160323612.73201475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FA54-484B-4618-ADF8-1C0F27D412AB}">
  <dimension ref="A1:AL24"/>
  <sheetViews>
    <sheetView topLeftCell="C6" workbookViewId="0">
      <selection activeCell="A17" sqref="A17"/>
    </sheetView>
  </sheetViews>
  <sheetFormatPr baseColWidth="10" defaultColWidth="11.44140625" defaultRowHeight="14.4" x14ac:dyDescent="0.3"/>
  <cols>
    <col min="1" max="1" width="37.44140625" customWidth="1"/>
    <col min="2" max="3" width="14.5546875" customWidth="1"/>
    <col min="4" max="4" width="15.33203125" customWidth="1"/>
    <col min="5" max="5" width="14.88671875" customWidth="1"/>
    <col min="6" max="14" width="13.44140625" customWidth="1"/>
    <col min="15" max="15" width="15.109375" customWidth="1"/>
    <col min="16" max="26" width="13.5546875" customWidth="1"/>
    <col min="27" max="38" width="13.6640625" customWidth="1"/>
  </cols>
  <sheetData>
    <row r="1" spans="1:38" ht="15" thickBot="1" x14ac:dyDescent="0.35">
      <c r="A1" s="7" t="s">
        <v>129</v>
      </c>
      <c r="B1">
        <v>0.15</v>
      </c>
      <c r="C1" s="43"/>
      <c r="D1" s="44"/>
      <c r="E1" s="44"/>
      <c r="F1" s="44"/>
      <c r="G1" s="44"/>
      <c r="H1" s="44"/>
      <c r="I1" s="44" t="s">
        <v>66</v>
      </c>
      <c r="J1" s="44"/>
      <c r="K1" s="44"/>
      <c r="L1" s="44"/>
      <c r="M1" s="44"/>
      <c r="N1" s="44"/>
      <c r="O1" s="41"/>
      <c r="P1" s="41"/>
      <c r="Q1" s="41"/>
      <c r="R1" s="41"/>
      <c r="S1" s="41"/>
      <c r="T1" s="70" t="s">
        <v>67</v>
      </c>
      <c r="U1" s="41"/>
      <c r="V1" s="41"/>
      <c r="W1" s="41"/>
      <c r="X1" s="41"/>
      <c r="Y1" s="41"/>
      <c r="Z1" s="131"/>
      <c r="AA1" s="117"/>
      <c r="AB1" s="117"/>
      <c r="AC1" s="117"/>
      <c r="AD1" s="117"/>
      <c r="AE1" s="117"/>
      <c r="AF1" s="117" t="s">
        <v>68</v>
      </c>
      <c r="AG1" s="117"/>
      <c r="AH1" s="117"/>
      <c r="AI1" s="117"/>
      <c r="AJ1" s="117"/>
      <c r="AK1" s="117"/>
      <c r="AL1" s="117"/>
    </row>
    <row r="2" spans="1:38" x14ac:dyDescent="0.3">
      <c r="A2" s="38" t="s">
        <v>69</v>
      </c>
      <c r="B2" s="112"/>
      <c r="C2" s="45" t="s">
        <v>70</v>
      </c>
      <c r="D2" s="46" t="s">
        <v>71</v>
      </c>
      <c r="E2" s="46" t="s">
        <v>72</v>
      </c>
      <c r="F2" s="46" t="s">
        <v>73</v>
      </c>
      <c r="G2" s="46" t="s">
        <v>74</v>
      </c>
      <c r="H2" s="46" t="s">
        <v>75</v>
      </c>
      <c r="I2" s="46" t="s">
        <v>76</v>
      </c>
      <c r="J2" s="46" t="s">
        <v>77</v>
      </c>
      <c r="K2" s="46" t="s">
        <v>78</v>
      </c>
      <c r="L2" s="46" t="s">
        <v>79</v>
      </c>
      <c r="M2" s="46" t="s">
        <v>80</v>
      </c>
      <c r="N2" s="47" t="s">
        <v>81</v>
      </c>
      <c r="O2" s="154" t="s">
        <v>82</v>
      </c>
      <c r="P2" s="85" t="s">
        <v>71</v>
      </c>
      <c r="Q2" s="85" t="s">
        <v>72</v>
      </c>
      <c r="R2" s="85" t="s">
        <v>73</v>
      </c>
      <c r="S2" s="85" t="s">
        <v>74</v>
      </c>
      <c r="T2" s="85" t="s">
        <v>75</v>
      </c>
      <c r="U2" s="85" t="s">
        <v>76</v>
      </c>
      <c r="V2" s="85" t="s">
        <v>77</v>
      </c>
      <c r="W2" s="85" t="s">
        <v>78</v>
      </c>
      <c r="X2" s="85" t="s">
        <v>79</v>
      </c>
      <c r="Y2" s="85" t="s">
        <v>80</v>
      </c>
      <c r="Z2" s="132" t="s">
        <v>81</v>
      </c>
      <c r="AA2" s="155" t="s">
        <v>82</v>
      </c>
      <c r="AB2" s="118" t="s">
        <v>71</v>
      </c>
      <c r="AC2" s="118" t="s">
        <v>72</v>
      </c>
      <c r="AD2" s="118" t="s">
        <v>73</v>
      </c>
      <c r="AE2" s="118" t="s">
        <v>74</v>
      </c>
      <c r="AF2" s="118" t="s">
        <v>75</v>
      </c>
      <c r="AG2" s="118" t="s">
        <v>76</v>
      </c>
      <c r="AH2" s="118" t="s">
        <v>77</v>
      </c>
      <c r="AI2" s="118" t="s">
        <v>78</v>
      </c>
      <c r="AJ2" s="118" t="s">
        <v>79</v>
      </c>
      <c r="AK2" s="118" t="s">
        <v>80</v>
      </c>
      <c r="AL2" s="119" t="s">
        <v>81</v>
      </c>
    </row>
    <row r="3" spans="1:38" x14ac:dyDescent="0.3">
      <c r="A3" s="38" t="s">
        <v>83</v>
      </c>
      <c r="C3" s="48">
        <f>InputsV2!$C$3</f>
        <v>800</v>
      </c>
      <c r="D3" s="79">
        <f>InputsV2!$C$3</f>
        <v>800</v>
      </c>
      <c r="E3" s="79">
        <v>1000</v>
      </c>
      <c r="F3" s="79">
        <f>InputsV2!$C$3</f>
        <v>800</v>
      </c>
      <c r="G3" s="79">
        <f>InputsV2!$C$3</f>
        <v>800</v>
      </c>
      <c r="H3" s="79">
        <f>InputsV2!$C$3</f>
        <v>800</v>
      </c>
      <c r="I3" s="79">
        <f>InputsV2!$C$3</f>
        <v>800</v>
      </c>
      <c r="J3" s="79">
        <f>InputsV2!$C$3</f>
        <v>800</v>
      </c>
      <c r="K3" s="79">
        <f>InputsV2!$C$3</f>
        <v>800</v>
      </c>
      <c r="L3" s="79">
        <f>InputsV2!$C$3</f>
        <v>800</v>
      </c>
      <c r="M3" s="79">
        <f>InputsV2!$C$3</f>
        <v>800</v>
      </c>
      <c r="N3" s="49">
        <f>InputsV2!$C$3</f>
        <v>800</v>
      </c>
      <c r="O3" s="86">
        <v>1000</v>
      </c>
      <c r="P3" s="87">
        <f>InputsV2!$C$3</f>
        <v>800</v>
      </c>
      <c r="Q3" s="87">
        <f>InputsV2!$C$3</f>
        <v>800</v>
      </c>
      <c r="R3" s="87">
        <v>1000</v>
      </c>
      <c r="S3" s="87">
        <f>InputsV2!$C$3</f>
        <v>800</v>
      </c>
      <c r="T3" s="87">
        <f>InputsV2!$C$3</f>
        <v>800</v>
      </c>
      <c r="U3" s="87">
        <f>InputsV2!$C$3</f>
        <v>800</v>
      </c>
      <c r="V3" s="87">
        <v>1000</v>
      </c>
      <c r="W3" s="87">
        <f>InputsV2!$C$3</f>
        <v>800</v>
      </c>
      <c r="X3" s="87">
        <f>InputsV2!$C$3</f>
        <v>800</v>
      </c>
      <c r="Y3" s="87">
        <f>InputsV2!$C$3</f>
        <v>800</v>
      </c>
      <c r="Z3" s="133">
        <v>1000</v>
      </c>
      <c r="AA3" s="120">
        <f>InputsV2!$C$3</f>
        <v>800</v>
      </c>
      <c r="AB3" s="120">
        <f>InputsV2!$C$3</f>
        <v>800</v>
      </c>
      <c r="AC3" s="120">
        <f>InputsV2!$C$3</f>
        <v>800</v>
      </c>
      <c r="AD3" s="120">
        <v>1000</v>
      </c>
      <c r="AE3" s="120">
        <f>InputsV2!$C$3</f>
        <v>800</v>
      </c>
      <c r="AF3" s="120">
        <f>InputsV2!$C$3</f>
        <v>800</v>
      </c>
      <c r="AG3" s="120">
        <f>InputsV2!$C$3</f>
        <v>800</v>
      </c>
      <c r="AH3" s="120">
        <v>1000</v>
      </c>
      <c r="AI3" s="120">
        <f>InputsV2!$C$3</f>
        <v>800</v>
      </c>
      <c r="AJ3" s="120">
        <f>InputsV2!$C$3</f>
        <v>800</v>
      </c>
      <c r="AK3" s="120">
        <f>InputsV2!$C$3</f>
        <v>800</v>
      </c>
      <c r="AL3" s="120">
        <f>InputsV2!$C$3</f>
        <v>800</v>
      </c>
    </row>
    <row r="4" spans="1:38" x14ac:dyDescent="0.3">
      <c r="A4" s="38" t="s">
        <v>2</v>
      </c>
      <c r="C4" s="50">
        <f>C3*InputsV2!$C$4</f>
        <v>40</v>
      </c>
      <c r="D4" s="80">
        <f>D3*InputsV2!$C$4</f>
        <v>40</v>
      </c>
      <c r="E4" s="80">
        <f>E3*InputsV2!$C$4</f>
        <v>50</v>
      </c>
      <c r="F4" s="80">
        <f>F3*InputsV2!$C$4</f>
        <v>40</v>
      </c>
      <c r="G4" s="80">
        <f>G3*InputsV2!$C$4</f>
        <v>40</v>
      </c>
      <c r="H4" s="80">
        <f>H3*InputsV2!$C$4</f>
        <v>40</v>
      </c>
      <c r="I4" s="80">
        <f>I3*InputsV2!$C$4</f>
        <v>40</v>
      </c>
      <c r="J4" s="80">
        <f>J3*InputsV2!$C$4</f>
        <v>40</v>
      </c>
      <c r="K4" s="80">
        <f>K3*InputsV2!$C$4</f>
        <v>40</v>
      </c>
      <c r="L4" s="80">
        <f>L3*InputsV2!$C$4</f>
        <v>40</v>
      </c>
      <c r="M4" s="80">
        <f>M3*InputsV2!$C$4</f>
        <v>40</v>
      </c>
      <c r="N4" s="51">
        <f>N3*InputsV2!$C$4</f>
        <v>40</v>
      </c>
      <c r="O4" s="88">
        <f>O3*InputsV2!$C$4</f>
        <v>50</v>
      </c>
      <c r="P4" s="89">
        <f>P3*InputsV2!$C$4</f>
        <v>40</v>
      </c>
      <c r="Q4" s="89">
        <f>Q3*InputsV2!$C$4</f>
        <v>40</v>
      </c>
      <c r="R4" s="89">
        <f>R3*InputsV2!$C$4</f>
        <v>50</v>
      </c>
      <c r="S4" s="89">
        <f>S3*InputsV2!$C$4</f>
        <v>40</v>
      </c>
      <c r="T4" s="89">
        <f>T3*InputsV2!$C$4</f>
        <v>40</v>
      </c>
      <c r="U4" s="89">
        <f>U3*InputsV2!$C$4</f>
        <v>40</v>
      </c>
      <c r="V4" s="89">
        <f>V3*InputsV2!$C$4</f>
        <v>50</v>
      </c>
      <c r="W4" s="89">
        <f>W3*InputsV2!$C$4</f>
        <v>40</v>
      </c>
      <c r="X4" s="89">
        <f>X3*InputsV2!$C$4</f>
        <v>40</v>
      </c>
      <c r="Y4" s="89">
        <f>Y3*InputsV2!$C$4</f>
        <v>40</v>
      </c>
      <c r="Z4" s="134">
        <f>Z3*InputsV2!$C$4</f>
        <v>50</v>
      </c>
      <c r="AA4" s="121">
        <f>AA3*InputsV2!$C$4</f>
        <v>40</v>
      </c>
      <c r="AB4" s="121">
        <f>AB3*InputsV2!$C$4</f>
        <v>40</v>
      </c>
      <c r="AC4" s="121">
        <f>AC3*InputsV2!$C$4</f>
        <v>40</v>
      </c>
      <c r="AD4" s="121">
        <f>AD3*InputsV2!$C$4</f>
        <v>50</v>
      </c>
      <c r="AE4" s="121">
        <f>AE3*InputsV2!$C$4</f>
        <v>40</v>
      </c>
      <c r="AF4" s="121">
        <f>AF3*InputsV2!$C$4</f>
        <v>40</v>
      </c>
      <c r="AG4" s="121">
        <f>AG3*InputsV2!$C$4</f>
        <v>40</v>
      </c>
      <c r="AH4" s="121">
        <f>AH3*InputsV2!$C$4</f>
        <v>50</v>
      </c>
      <c r="AI4" s="121">
        <f>AI3*InputsV2!$C$4</f>
        <v>40</v>
      </c>
      <c r="AJ4" s="121">
        <f>AJ3*InputsV2!$C$4</f>
        <v>40</v>
      </c>
      <c r="AK4" s="121">
        <f>AK3*InputsV2!$C$4</f>
        <v>40</v>
      </c>
      <c r="AL4" s="121">
        <f>AL3*InputsV2!$C$4</f>
        <v>40</v>
      </c>
    </row>
    <row r="5" spans="1:38" x14ac:dyDescent="0.3">
      <c r="A5" s="38" t="s">
        <v>84</v>
      </c>
      <c r="C5" s="48">
        <f>C4</f>
        <v>40</v>
      </c>
      <c r="D5" s="81">
        <f>C5*(1-$B$1)+D4</f>
        <v>74</v>
      </c>
      <c r="E5" s="81">
        <f t="shared" ref="E5:AL5" si="0">D5*(1-$B$1)+E4</f>
        <v>112.9</v>
      </c>
      <c r="F5" s="81">
        <f t="shared" si="0"/>
        <v>135.965</v>
      </c>
      <c r="G5" s="81">
        <f t="shared" si="0"/>
        <v>155.57024999999999</v>
      </c>
      <c r="H5" s="81">
        <f t="shared" si="0"/>
        <v>172.23471249999997</v>
      </c>
      <c r="I5" s="81">
        <f t="shared" si="0"/>
        <v>186.39950562499996</v>
      </c>
      <c r="J5" s="81">
        <f t="shared" si="0"/>
        <v>198.43957978124996</v>
      </c>
      <c r="K5" s="81">
        <f t="shared" si="0"/>
        <v>208.67364281406248</v>
      </c>
      <c r="L5" s="81">
        <f t="shared" si="0"/>
        <v>217.3725963919531</v>
      </c>
      <c r="M5" s="81">
        <f t="shared" si="0"/>
        <v>224.76670693316012</v>
      </c>
      <c r="N5" s="81">
        <f t="shared" si="0"/>
        <v>231.05170089318611</v>
      </c>
      <c r="O5" s="81">
        <f t="shared" si="0"/>
        <v>246.39394575920818</v>
      </c>
      <c r="P5" s="81">
        <f t="shared" si="0"/>
        <v>249.43485389532694</v>
      </c>
      <c r="Q5" s="81">
        <f t="shared" si="0"/>
        <v>252.01962581102788</v>
      </c>
      <c r="R5" s="81">
        <f t="shared" si="0"/>
        <v>264.2166819393737</v>
      </c>
      <c r="S5" s="81">
        <f t="shared" si="0"/>
        <v>264.58417964846763</v>
      </c>
      <c r="T5" s="81">
        <f t="shared" si="0"/>
        <v>264.89655270119749</v>
      </c>
      <c r="U5" s="81">
        <f t="shared" si="0"/>
        <v>265.16206979601787</v>
      </c>
      <c r="V5" s="81">
        <f t="shared" si="0"/>
        <v>275.3877593266152</v>
      </c>
      <c r="W5" s="81">
        <f t="shared" si="0"/>
        <v>274.07959542762291</v>
      </c>
      <c r="X5" s="81">
        <f t="shared" si="0"/>
        <v>272.96765611347945</v>
      </c>
      <c r="Y5" s="81">
        <f t="shared" si="0"/>
        <v>272.02250769645752</v>
      </c>
      <c r="Z5" s="81">
        <f t="shared" si="0"/>
        <v>281.21913154198887</v>
      </c>
      <c r="AA5" s="81">
        <f t="shared" si="0"/>
        <v>279.03626181069058</v>
      </c>
      <c r="AB5" s="81">
        <f t="shared" si="0"/>
        <v>277.18082253908699</v>
      </c>
      <c r="AC5" s="81">
        <f t="shared" si="0"/>
        <v>275.60369915822395</v>
      </c>
      <c r="AD5" s="81">
        <f t="shared" si="0"/>
        <v>284.26314428449035</v>
      </c>
      <c r="AE5" s="81">
        <f t="shared" si="0"/>
        <v>281.62367264181682</v>
      </c>
      <c r="AF5" s="81">
        <f t="shared" si="0"/>
        <v>279.38012174554433</v>
      </c>
      <c r="AG5" s="81">
        <f t="shared" si="0"/>
        <v>277.47310348371263</v>
      </c>
      <c r="AH5" s="81">
        <f t="shared" si="0"/>
        <v>285.85213796115573</v>
      </c>
      <c r="AI5" s="81">
        <f t="shared" si="0"/>
        <v>282.97431726698233</v>
      </c>
      <c r="AJ5" s="81">
        <f t="shared" si="0"/>
        <v>280.52816967693497</v>
      </c>
      <c r="AK5" s="81">
        <f t="shared" si="0"/>
        <v>278.44894422539471</v>
      </c>
      <c r="AL5" s="81">
        <f t="shared" si="0"/>
        <v>276.68160259158549</v>
      </c>
    </row>
    <row r="6" spans="1:38" x14ac:dyDescent="0.3">
      <c r="A6" s="156" t="s">
        <v>85</v>
      </c>
      <c r="B6" s="1"/>
      <c r="C6" s="53">
        <f>C5*InputsV2!$C$5</f>
        <v>3260000</v>
      </c>
      <c r="D6" s="54">
        <f>D5*InputsV2!$C$5</f>
        <v>6031000</v>
      </c>
      <c r="E6" s="54">
        <f>E5*InputsV2!$C$5</f>
        <v>9201350</v>
      </c>
      <c r="F6" s="54">
        <f>F5*InputsV2!$C$5</f>
        <v>11081147.5</v>
      </c>
      <c r="G6" s="54">
        <f>G5*InputsV2!$C$5</f>
        <v>12678975.374999998</v>
      </c>
      <c r="H6" s="54">
        <f>H5*InputsV2!$C$5</f>
        <v>14037129.068749998</v>
      </c>
      <c r="I6" s="54">
        <f>I5*InputsV2!$C$5</f>
        <v>15191559.708437497</v>
      </c>
      <c r="J6" s="54">
        <f>J5*InputsV2!$C$5</f>
        <v>16172825.752171872</v>
      </c>
      <c r="K6" s="54">
        <f>K5*InputsV2!$C$5</f>
        <v>17006901.889346093</v>
      </c>
      <c r="L6" s="54">
        <f>L5*InputsV2!$C$5</f>
        <v>17715866.605944179</v>
      </c>
      <c r="M6" s="54">
        <f>M5*InputsV2!$C$5</f>
        <v>18318486.615052551</v>
      </c>
      <c r="N6" s="55">
        <f>N5*InputsV2!$C$5</f>
        <v>18830713.622794669</v>
      </c>
      <c r="O6" s="92">
        <f>O5*InputsV2!$C$18</f>
        <v>21285972.974137995</v>
      </c>
      <c r="P6" s="93">
        <f>P5*InputsV2!$C$18</f>
        <v>21548677.028017294</v>
      </c>
      <c r="Q6" s="93">
        <f>Q5*InputsV2!$C$18</f>
        <v>21771975.4738147</v>
      </c>
      <c r="R6" s="93">
        <f>R5*InputsV2!$C$18</f>
        <v>22825679.152742494</v>
      </c>
      <c r="S6" s="93">
        <f>S5*InputsV2!$C$18</f>
        <v>22857427.279831119</v>
      </c>
      <c r="T6" s="93">
        <f>T5*InputsV2!$C$18</f>
        <v>22884413.187856451</v>
      </c>
      <c r="U6" s="93">
        <f>U5*InputsV2!$C$18</f>
        <v>22907351.209677983</v>
      </c>
      <c r="V6" s="93">
        <f>V5*InputsV2!$C$18</f>
        <v>23790748.528226286</v>
      </c>
      <c r="W6" s="93">
        <f>W5*InputsV2!$C$18</f>
        <v>23677736.248992343</v>
      </c>
      <c r="X6" s="93">
        <f>X5*InputsV2!$C$18</f>
        <v>23581675.811643489</v>
      </c>
      <c r="Y6" s="93">
        <f>Y5*InputsV2!$C$18</f>
        <v>23500024.439896967</v>
      </c>
      <c r="Z6" s="136">
        <f>Z5*InputsV2!$C$18</f>
        <v>24294520.773912419</v>
      </c>
      <c r="AA6" s="123">
        <f>AA5*InputsV2!$C$18*1.06</f>
        <v>25552299.217295095</v>
      </c>
      <c r="AB6" s="123">
        <f>AB5*InputsV2!$C$18*1.06</f>
        <v>25382390.334700827</v>
      </c>
      <c r="AC6" s="123">
        <f>AC5*InputsV2!$C$18*1.06</f>
        <v>25237967.784495704</v>
      </c>
      <c r="AD6" s="123">
        <f>AD5*InputsV2!$C$18*1.06</f>
        <v>26030942.616821349</v>
      </c>
      <c r="AE6" s="123">
        <f>AE5*InputsV2!$C$18*1.06</f>
        <v>25789237.224298149</v>
      </c>
      <c r="AF6" s="123">
        <f>AF5*InputsV2!$C$18*1.06</f>
        <v>25583787.640653431</v>
      </c>
      <c r="AG6" s="123">
        <f>AG5*InputsV2!$C$18*1.06</f>
        <v>25409155.49455541</v>
      </c>
      <c r="AH6" s="123">
        <f>AH5*InputsV2!$C$18*1.06</f>
        <v>26176452.170372102</v>
      </c>
      <c r="AI6" s="123">
        <f>AI5*InputsV2!$C$18*1.06</f>
        <v>25912920.344816279</v>
      </c>
      <c r="AJ6" s="123">
        <f>AJ5*InputsV2!$C$18*1.06</f>
        <v>25688918.293093838</v>
      </c>
      <c r="AK6" s="123">
        <f>AK5*InputsV2!$C$18*1.06</f>
        <v>25498516.549129758</v>
      </c>
      <c r="AL6" s="123">
        <f>AL5*InputsV2!$C$18*1.06</f>
        <v>25336675.066760294</v>
      </c>
    </row>
    <row r="7" spans="1:38" x14ac:dyDescent="0.3">
      <c r="A7" s="156" t="s">
        <v>86</v>
      </c>
      <c r="B7" s="1"/>
      <c r="C7" s="56">
        <f>C8+C9</f>
        <v>1499710</v>
      </c>
      <c r="D7" s="82">
        <f t="shared" ref="D7:AL7" si="1">D8+D9</f>
        <v>1601463.5</v>
      </c>
      <c r="E7" s="82">
        <f t="shared" si="1"/>
        <v>2062881.4750000001</v>
      </c>
      <c r="F7" s="82">
        <f t="shared" si="1"/>
        <v>1786909.2537500001</v>
      </c>
      <c r="G7" s="82">
        <f t="shared" si="1"/>
        <v>1845582.8656875</v>
      </c>
      <c r="H7" s="82">
        <f t="shared" si="1"/>
        <v>1895455.4358343747</v>
      </c>
      <c r="I7" s="82">
        <f t="shared" si="1"/>
        <v>1937847.1204592185</v>
      </c>
      <c r="J7" s="82">
        <f t="shared" si="1"/>
        <v>1973880.0523903358</v>
      </c>
      <c r="K7" s="82">
        <f t="shared" si="1"/>
        <v>2004508.0445317854</v>
      </c>
      <c r="L7" s="82">
        <f t="shared" si="1"/>
        <v>2030541.8378520175</v>
      </c>
      <c r="M7" s="82">
        <f t="shared" si="1"/>
        <v>2052670.562174215</v>
      </c>
      <c r="N7" s="57">
        <f t="shared" si="1"/>
        <v>2071479.9778480828</v>
      </c>
      <c r="O7" s="94">
        <f t="shared" si="1"/>
        <v>2506639.2100411225</v>
      </c>
      <c r="P7" s="95">
        <f t="shared" si="1"/>
        <v>2171285.9285349539</v>
      </c>
      <c r="Q7" s="95">
        <f t="shared" si="1"/>
        <v>2179485.6392547111</v>
      </c>
      <c r="R7" s="95">
        <f t="shared" si="1"/>
        <v>2563178.5433665044</v>
      </c>
      <c r="S7" s="95">
        <f t="shared" si="1"/>
        <v>2219344.3618615288</v>
      </c>
      <c r="T7" s="95">
        <f t="shared" si="1"/>
        <v>2220335.3075822992</v>
      </c>
      <c r="U7" s="95">
        <f t="shared" si="1"/>
        <v>2221177.6114449543</v>
      </c>
      <c r="V7" s="95">
        <f t="shared" si="1"/>
        <v>2598616.7197282114</v>
      </c>
      <c r="W7" s="95">
        <f t="shared" si="1"/>
        <v>2249466.8117689798</v>
      </c>
      <c r="X7" s="95">
        <f t="shared" si="1"/>
        <v>2245939.3900036328</v>
      </c>
      <c r="Y7" s="95">
        <f t="shared" si="1"/>
        <v>2242941.0815030877</v>
      </c>
      <c r="Z7" s="137">
        <f t="shared" si="1"/>
        <v>2617115.6692776242</v>
      </c>
      <c r="AA7" s="124">
        <f t="shared" si="1"/>
        <v>2303519.3677119236</v>
      </c>
      <c r="AB7" s="124">
        <f t="shared" si="1"/>
        <v>2297378.4665551349</v>
      </c>
      <c r="AC7" s="124">
        <f t="shared" si="1"/>
        <v>2292158.7005718648</v>
      </c>
      <c r="AD7" s="124">
        <f t="shared" si="1"/>
        <v>2665818.6504860851</v>
      </c>
      <c r="AE7" s="124">
        <f t="shared" si="1"/>
        <v>2312082.8569131722</v>
      </c>
      <c r="AF7" s="124">
        <f t="shared" si="1"/>
        <v>2304657.4323761966</v>
      </c>
      <c r="AG7" s="124">
        <f t="shared" si="1"/>
        <v>2298345.8215197669</v>
      </c>
      <c r="AH7" s="124">
        <f t="shared" si="1"/>
        <v>2671077.7032918017</v>
      </c>
      <c r="AI7" s="124">
        <f t="shared" si="1"/>
        <v>2316553.0517980317</v>
      </c>
      <c r="AJ7" s="124">
        <f t="shared" si="1"/>
        <v>2308457.0980283264</v>
      </c>
      <c r="AK7" s="124">
        <f t="shared" si="1"/>
        <v>2301575.5373240774</v>
      </c>
      <c r="AL7" s="124">
        <f t="shared" si="1"/>
        <v>2295726.2107254658</v>
      </c>
    </row>
    <row r="8" spans="1:38" x14ac:dyDescent="0.3">
      <c r="A8" s="39" t="s">
        <v>87</v>
      </c>
      <c r="B8" s="113"/>
      <c r="C8" s="58">
        <f>C4*InputsV2!$C$7</f>
        <v>1380000</v>
      </c>
      <c r="D8" s="59">
        <f>D4*InputsV2!$C$7</f>
        <v>1380000</v>
      </c>
      <c r="E8" s="59">
        <f>E4*InputsV2!$C$7</f>
        <v>1725000</v>
      </c>
      <c r="F8" s="59">
        <f>F4*InputsV2!$C$7</f>
        <v>1380000</v>
      </c>
      <c r="G8" s="59">
        <f>G4*InputsV2!$C$7</f>
        <v>1380000</v>
      </c>
      <c r="H8" s="59">
        <f>H4*InputsV2!$C$7</f>
        <v>1380000</v>
      </c>
      <c r="I8" s="59">
        <f>I4*InputsV2!$C$7</f>
        <v>1380000</v>
      </c>
      <c r="J8" s="59">
        <f>J4*InputsV2!$C$7</f>
        <v>1380000</v>
      </c>
      <c r="K8" s="59">
        <f>K4*InputsV2!$C$7</f>
        <v>1380000</v>
      </c>
      <c r="L8" s="59">
        <f>L4*InputsV2!$C$7</f>
        <v>1380000</v>
      </c>
      <c r="M8" s="59">
        <f>M4*InputsV2!$C$7</f>
        <v>1380000</v>
      </c>
      <c r="N8" s="60">
        <f>N4*InputsV2!$C$7</f>
        <v>1380000</v>
      </c>
      <c r="O8" s="96">
        <f>O4*InputsV2!$C$7</f>
        <v>1725000</v>
      </c>
      <c r="P8" s="97">
        <f>P4*InputsV2!$C$7</f>
        <v>1380000</v>
      </c>
      <c r="Q8" s="97">
        <f>Q4*InputsV2!$C$7</f>
        <v>1380000</v>
      </c>
      <c r="R8" s="97">
        <f>R4*InputsV2!$C$7</f>
        <v>1725000</v>
      </c>
      <c r="S8" s="97">
        <f>S4*InputsV2!$C$7</f>
        <v>1380000</v>
      </c>
      <c r="T8" s="97">
        <f>T4*InputsV2!$C$7</f>
        <v>1380000</v>
      </c>
      <c r="U8" s="97">
        <f>U4*InputsV2!$C$7</f>
        <v>1380000</v>
      </c>
      <c r="V8" s="97">
        <f>V4*InputsV2!$C$7</f>
        <v>1725000</v>
      </c>
      <c r="W8" s="97">
        <f>W4*InputsV2!$C$7</f>
        <v>1380000</v>
      </c>
      <c r="X8" s="97">
        <f>X4*InputsV2!$C$7</f>
        <v>1380000</v>
      </c>
      <c r="Y8" s="97">
        <f>Y4*InputsV2!$C$7</f>
        <v>1380000</v>
      </c>
      <c r="Z8" s="138">
        <f>Z4*InputsV2!$C$7</f>
        <v>1725000</v>
      </c>
      <c r="AA8" s="125">
        <f>AA4*InputsV2!$C$7</f>
        <v>1380000</v>
      </c>
      <c r="AB8" s="125">
        <f>AB4*InputsV2!$C$7</f>
        <v>1380000</v>
      </c>
      <c r="AC8" s="125">
        <f>AC4*InputsV2!$C$7</f>
        <v>1380000</v>
      </c>
      <c r="AD8" s="125">
        <f>AD4*InputsV2!$C$7</f>
        <v>1725000</v>
      </c>
      <c r="AE8" s="125">
        <f>AE4*InputsV2!$C$7</f>
        <v>1380000</v>
      </c>
      <c r="AF8" s="125">
        <f>AF4*InputsV2!$C$7</f>
        <v>1380000</v>
      </c>
      <c r="AG8" s="125">
        <f>AG4*InputsV2!$C$7</f>
        <v>1380000</v>
      </c>
      <c r="AH8" s="125">
        <f>AH4*InputsV2!$C$7</f>
        <v>1725000</v>
      </c>
      <c r="AI8" s="125">
        <f>AI4*InputsV2!$C$7</f>
        <v>1380000</v>
      </c>
      <c r="AJ8" s="125">
        <f>AJ4*InputsV2!$C$7</f>
        <v>1380000</v>
      </c>
      <c r="AK8" s="125">
        <f>AK4*InputsV2!$C$7</f>
        <v>1380000</v>
      </c>
      <c r="AL8" s="125">
        <f>AL4*InputsV2!$C$7</f>
        <v>1380000</v>
      </c>
    </row>
    <row r="9" spans="1:38" x14ac:dyDescent="0.3">
      <c r="A9" s="39" t="s">
        <v>88</v>
      </c>
      <c r="B9" s="113"/>
      <c r="C9" s="58">
        <f>(C6*InputsV2!$C$14)+(C5*InputsV2!$C$15)</f>
        <v>119710</v>
      </c>
      <c r="D9" s="59">
        <f>(D6*InputsV2!$C$14)+(D5*InputsV2!$C$15)</f>
        <v>221463.5</v>
      </c>
      <c r="E9" s="59">
        <f>(E6*InputsV2!$C$14)+(E5*InputsV2!$C$15)</f>
        <v>337881.47499999998</v>
      </c>
      <c r="F9" s="59">
        <f>(F6*InputsV2!$C$14)+(F5*InputsV2!$C$15)</f>
        <v>406909.25375000003</v>
      </c>
      <c r="G9" s="59">
        <f>(G6*InputsV2!$C$14)+(G5*InputsV2!$C$15)</f>
        <v>465582.86568749999</v>
      </c>
      <c r="H9" s="59">
        <f>(H6*InputsV2!$C$14)+(H5*InputsV2!$C$15)</f>
        <v>515455.43583437486</v>
      </c>
      <c r="I9" s="59">
        <f>(I6*InputsV2!$C$14)+(I5*InputsV2!$C$15)</f>
        <v>557847.12045921863</v>
      </c>
      <c r="J9" s="59">
        <f>(J6*InputsV2!$C$14)+(J5*InputsV2!$C$15)</f>
        <v>593880.05239033583</v>
      </c>
      <c r="K9" s="59">
        <f>(K6*InputsV2!$C$14)+(K5*InputsV2!$C$15)</f>
        <v>624508.04453178542</v>
      </c>
      <c r="L9" s="59">
        <f>(L6*InputsV2!$C$14)+(L5*InputsV2!$C$15)</f>
        <v>650541.8378520176</v>
      </c>
      <c r="M9" s="59">
        <f>(M6*InputsV2!$C$14)+(M5*InputsV2!$C$15)</f>
        <v>672670.56217421498</v>
      </c>
      <c r="N9" s="60">
        <f>(N6*InputsV2!$C$14)+(N5*InputsV2!$C$15)</f>
        <v>691479.97784808278</v>
      </c>
      <c r="O9" s="96">
        <f>(O6*InputsV2!$C$23)+(O5*InputsV2!$C$24)</f>
        <v>781639.21004112251</v>
      </c>
      <c r="P9" s="97">
        <f>(P6*InputsV2!$C$23)+(P5*InputsV2!$C$24)</f>
        <v>791285.92853495409</v>
      </c>
      <c r="Q9" s="97">
        <f>(Q6*InputsV2!$C$23)+(Q5*InputsV2!$C$24)</f>
        <v>799485.63925471099</v>
      </c>
      <c r="R9" s="97">
        <f>(R6*InputsV2!$C$23)+(R5*InputsV2!$C$24)</f>
        <v>838178.54336650425</v>
      </c>
      <c r="S9" s="97">
        <f>(S6*InputsV2!$C$23)+(S5*InputsV2!$C$24)</f>
        <v>839344.3618615286</v>
      </c>
      <c r="T9" s="97">
        <f>(T6*InputsV2!$C$23)+(T5*InputsV2!$C$24)</f>
        <v>840335.30758229934</v>
      </c>
      <c r="U9" s="97">
        <f>(U6*InputsV2!$C$23)+(U5*InputsV2!$C$24)</f>
        <v>841177.61144495441</v>
      </c>
      <c r="V9" s="97">
        <f>(V6*InputsV2!$C$23)+(V5*InputsV2!$C$24)</f>
        <v>873616.71972821129</v>
      </c>
      <c r="W9" s="97">
        <f>(W6*InputsV2!$C$23)+(W5*InputsV2!$C$24)</f>
        <v>869466.81176897953</v>
      </c>
      <c r="X9" s="97">
        <f>(X6*InputsV2!$C$23)+(X5*InputsV2!$C$24)</f>
        <v>865939.39000363252</v>
      </c>
      <c r="Y9" s="97">
        <f>(Y6*InputsV2!$C$23)+(Y5*InputsV2!$C$24)</f>
        <v>862941.08150308765</v>
      </c>
      <c r="Z9" s="138">
        <f>(Z6*InputsV2!$C$23)+(Z5*InputsV2!$C$24)</f>
        <v>892115.66927762446</v>
      </c>
      <c r="AA9" s="125">
        <f>(AA6*InputsV2!$C$23)+(AA5*InputsV2!$C$24)</f>
        <v>923519.36771192355</v>
      </c>
      <c r="AB9" s="125">
        <f>(AB6*InputsV2!$C$23)+(AB5*InputsV2!$C$24)</f>
        <v>917378.46655513498</v>
      </c>
      <c r="AC9" s="125">
        <f>(AC6*InputsV2!$C$23)+(AC5*InputsV2!$C$24)</f>
        <v>912158.70057186473</v>
      </c>
      <c r="AD9" s="125">
        <f>(AD6*InputsV2!$C$23)+(AD5*InputsV2!$C$24)</f>
        <v>940818.65048608498</v>
      </c>
      <c r="AE9" s="125">
        <f>(AE6*InputsV2!$C$23)+(AE5*InputsV2!$C$24)</f>
        <v>932082.85691317229</v>
      </c>
      <c r="AF9" s="125">
        <f>(AF6*InputsV2!$C$23)+(AF5*InputsV2!$C$24)</f>
        <v>924657.43237619672</v>
      </c>
      <c r="AG9" s="125">
        <f>(AG6*InputsV2!$C$23)+(AG5*InputsV2!$C$24)</f>
        <v>918345.82151976693</v>
      </c>
      <c r="AH9" s="125">
        <f>(AH6*InputsV2!$C$23)+(AH5*InputsV2!$C$24)</f>
        <v>946077.70329180197</v>
      </c>
      <c r="AI9" s="125">
        <f>(AI6*InputsV2!$C$23)+(AI5*InputsV2!$C$24)</f>
        <v>936553.05179803143</v>
      </c>
      <c r="AJ9" s="125">
        <f>(AJ6*InputsV2!$C$23)+(AJ5*InputsV2!$C$24)</f>
        <v>928457.09802832664</v>
      </c>
      <c r="AK9" s="125">
        <f>(AK6*InputsV2!$C$23)+(AK5*InputsV2!$C$24)</f>
        <v>921575.53732407768</v>
      </c>
      <c r="AL9" s="125">
        <f>(AL6*InputsV2!$C$23)+(AL5*InputsV2!$C$24)</f>
        <v>915726.21072546591</v>
      </c>
    </row>
    <row r="10" spans="1:38" ht="15" thickBot="1" x14ac:dyDescent="0.35">
      <c r="A10" s="156" t="s">
        <v>89</v>
      </c>
      <c r="B10" s="1"/>
      <c r="C10" s="61">
        <f>C6-C7</f>
        <v>1760290</v>
      </c>
      <c r="D10" s="62">
        <f t="shared" ref="D10:AL10" si="2">D6-D7</f>
        <v>4429536.5</v>
      </c>
      <c r="E10" s="62">
        <f t="shared" si="2"/>
        <v>7138468.5250000004</v>
      </c>
      <c r="F10" s="62">
        <f t="shared" si="2"/>
        <v>9294238.2462499999</v>
      </c>
      <c r="G10" s="62">
        <f t="shared" si="2"/>
        <v>10833392.509312497</v>
      </c>
      <c r="H10" s="62">
        <f t="shared" si="2"/>
        <v>12141673.632915623</v>
      </c>
      <c r="I10" s="62">
        <f t="shared" si="2"/>
        <v>13253712.587978277</v>
      </c>
      <c r="J10" s="62">
        <f t="shared" si="2"/>
        <v>14198945.699781537</v>
      </c>
      <c r="K10" s="62">
        <f t="shared" si="2"/>
        <v>15002393.844814308</v>
      </c>
      <c r="L10" s="62">
        <f>L6-L7</f>
        <v>15685324.768092161</v>
      </c>
      <c r="M10" s="62">
        <f t="shared" si="2"/>
        <v>16265816.052878335</v>
      </c>
      <c r="N10" s="63">
        <f t="shared" si="2"/>
        <v>16759233.644946586</v>
      </c>
      <c r="O10" s="98">
        <f t="shared" si="2"/>
        <v>18779333.764096871</v>
      </c>
      <c r="P10" s="42">
        <f>P6-P7</f>
        <v>19377391.099482339</v>
      </c>
      <c r="Q10" s="42">
        <f t="shared" si="2"/>
        <v>19592489.834559988</v>
      </c>
      <c r="R10" s="42">
        <f t="shared" si="2"/>
        <v>20262500.609375991</v>
      </c>
      <c r="S10" s="42">
        <f t="shared" si="2"/>
        <v>20638082.917969592</v>
      </c>
      <c r="T10" s="42">
        <f t="shared" si="2"/>
        <v>20664077.880274151</v>
      </c>
      <c r="U10" s="42">
        <f t="shared" si="2"/>
        <v>20686173.598233029</v>
      </c>
      <c r="V10" s="42">
        <f t="shared" si="2"/>
        <v>21192131.808498073</v>
      </c>
      <c r="W10" s="42">
        <f t="shared" si="2"/>
        <v>21428269.437223364</v>
      </c>
      <c r="X10" s="42">
        <f t="shared" si="2"/>
        <v>21335736.421639856</v>
      </c>
      <c r="Y10" s="42">
        <f t="shared" si="2"/>
        <v>21257083.358393878</v>
      </c>
      <c r="Z10" s="139">
        <f t="shared" si="2"/>
        <v>21677405.104634795</v>
      </c>
      <c r="AA10" s="126">
        <f t="shared" si="2"/>
        <v>23248779.849583171</v>
      </c>
      <c r="AB10" s="126">
        <f t="shared" si="2"/>
        <v>23085011.868145693</v>
      </c>
      <c r="AC10" s="126">
        <f t="shared" si="2"/>
        <v>22945809.083923839</v>
      </c>
      <c r="AD10" s="126">
        <f t="shared" si="2"/>
        <v>23365123.966335263</v>
      </c>
      <c r="AE10" s="126">
        <f t="shared" si="2"/>
        <v>23477154.367384978</v>
      </c>
      <c r="AF10" s="126">
        <f t="shared" si="2"/>
        <v>23279130.208277233</v>
      </c>
      <c r="AG10" s="126">
        <f t="shared" si="2"/>
        <v>23110809.673035644</v>
      </c>
      <c r="AH10" s="126">
        <f t="shared" si="2"/>
        <v>23505374.467080303</v>
      </c>
      <c r="AI10" s="126">
        <f t="shared" si="2"/>
        <v>23596367.293018248</v>
      </c>
      <c r="AJ10" s="126">
        <f t="shared" si="2"/>
        <v>23380461.195065513</v>
      </c>
      <c r="AK10" s="126">
        <f t="shared" si="2"/>
        <v>23196941.01180568</v>
      </c>
      <c r="AL10" s="126">
        <f t="shared" si="2"/>
        <v>23040948.85603483</v>
      </c>
    </row>
    <row r="11" spans="1:38" ht="15" thickTop="1" x14ac:dyDescent="0.3">
      <c r="A11" s="156" t="s">
        <v>90</v>
      </c>
      <c r="B11" s="1"/>
      <c r="C11" s="56">
        <f>SUM(C12:C14)</f>
        <v>8560000</v>
      </c>
      <c r="D11" s="82">
        <f>SUM(D12:D14)</f>
        <v>8560000</v>
      </c>
      <c r="E11" s="82">
        <f t="shared" ref="E11:N11" si="3">SUM(E12:E14)</f>
        <v>8560000</v>
      </c>
      <c r="F11" s="82">
        <f t="shared" si="3"/>
        <v>8560000</v>
      </c>
      <c r="G11" s="82">
        <f t="shared" si="3"/>
        <v>8560000</v>
      </c>
      <c r="H11" s="82">
        <f t="shared" si="3"/>
        <v>8560000</v>
      </c>
      <c r="I11" s="82">
        <f t="shared" si="3"/>
        <v>12550000</v>
      </c>
      <c r="J11" s="82">
        <f t="shared" si="3"/>
        <v>12550000</v>
      </c>
      <c r="K11" s="82">
        <f t="shared" si="3"/>
        <v>12550000</v>
      </c>
      <c r="L11" s="82">
        <f t="shared" si="3"/>
        <v>12550000</v>
      </c>
      <c r="M11" s="82">
        <f t="shared" si="3"/>
        <v>12550000</v>
      </c>
      <c r="N11" s="57">
        <f t="shared" si="3"/>
        <v>12550000</v>
      </c>
      <c r="O11" s="94">
        <f>SUM(O12:O14)</f>
        <v>17405200</v>
      </c>
      <c r="P11" s="95">
        <f t="shared" ref="P11:AL11" si="4">SUM(P12:P14)</f>
        <v>17405200</v>
      </c>
      <c r="Q11" s="95">
        <f t="shared" si="4"/>
        <v>17405200</v>
      </c>
      <c r="R11" s="95">
        <f t="shared" si="4"/>
        <v>17405200</v>
      </c>
      <c r="S11" s="95">
        <f t="shared" si="4"/>
        <v>17405200</v>
      </c>
      <c r="T11" s="95">
        <f t="shared" si="4"/>
        <v>17405200</v>
      </c>
      <c r="U11" s="95">
        <f t="shared" si="4"/>
        <v>21592200</v>
      </c>
      <c r="V11" s="95">
        <f t="shared" si="4"/>
        <v>21592200</v>
      </c>
      <c r="W11" s="95">
        <f t="shared" si="4"/>
        <v>21592200</v>
      </c>
      <c r="X11" s="95">
        <f t="shared" si="4"/>
        <v>21592200</v>
      </c>
      <c r="Y11" s="95">
        <f t="shared" si="4"/>
        <v>21592200</v>
      </c>
      <c r="Z11" s="137">
        <f t="shared" si="4"/>
        <v>21592200</v>
      </c>
      <c r="AA11" s="124">
        <f t="shared" si="4"/>
        <v>22887732</v>
      </c>
      <c r="AB11" s="124">
        <f t="shared" si="4"/>
        <v>22887732</v>
      </c>
      <c r="AC11" s="124">
        <f t="shared" si="4"/>
        <v>22887732</v>
      </c>
      <c r="AD11" s="124">
        <f t="shared" si="4"/>
        <v>22887732</v>
      </c>
      <c r="AE11" s="124">
        <f t="shared" si="4"/>
        <v>22887732</v>
      </c>
      <c r="AF11" s="124">
        <f t="shared" si="4"/>
        <v>22887732</v>
      </c>
      <c r="AG11" s="124">
        <f t="shared" si="4"/>
        <v>22887732</v>
      </c>
      <c r="AH11" s="124">
        <f t="shared" si="4"/>
        <v>22887732</v>
      </c>
      <c r="AI11" s="124">
        <f t="shared" si="4"/>
        <v>22887732</v>
      </c>
      <c r="AJ11" s="124">
        <f t="shared" si="4"/>
        <v>22887732</v>
      </c>
      <c r="AK11" s="124">
        <f t="shared" si="4"/>
        <v>22887732</v>
      </c>
      <c r="AL11" s="124">
        <f t="shared" si="4"/>
        <v>22887732</v>
      </c>
    </row>
    <row r="12" spans="1:38" x14ac:dyDescent="0.3">
      <c r="A12" s="38" t="s">
        <v>91</v>
      </c>
      <c r="C12" s="64">
        <f>InputsV2!$C$10</f>
        <v>3990000</v>
      </c>
      <c r="D12" s="65">
        <f>InputsV2!$C$10</f>
        <v>3990000</v>
      </c>
      <c r="E12" s="65">
        <f>InputsV2!$C$10</f>
        <v>3990000</v>
      </c>
      <c r="F12" s="65">
        <f>InputsV2!$C$10</f>
        <v>3990000</v>
      </c>
      <c r="G12" s="65">
        <f>InputsV2!$C$10</f>
        <v>3990000</v>
      </c>
      <c r="H12" s="65">
        <f>InputsV2!$C$10</f>
        <v>3990000</v>
      </c>
      <c r="I12" s="65">
        <f>InputsV2!$C$10*2</f>
        <v>7980000</v>
      </c>
      <c r="J12" s="65">
        <f>InputsV2!$C$10*2</f>
        <v>7980000</v>
      </c>
      <c r="K12" s="65">
        <f>InputsV2!$C$10*2</f>
        <v>7980000</v>
      </c>
      <c r="L12" s="65">
        <f>InputsV2!$C$10*2</f>
        <v>7980000</v>
      </c>
      <c r="M12" s="65">
        <f>InputsV2!$C$10*2</f>
        <v>7980000</v>
      </c>
      <c r="N12" s="66">
        <f>InputsV2!$C$10*2</f>
        <v>7980000</v>
      </c>
      <c r="O12" s="99">
        <f>InputsV2!$C$19*3</f>
        <v>12561000</v>
      </c>
      <c r="P12" s="100">
        <f>InputsV2!$C$19*3</f>
        <v>12561000</v>
      </c>
      <c r="Q12" s="100">
        <f>InputsV2!$C$19*3</f>
        <v>12561000</v>
      </c>
      <c r="R12" s="100">
        <f>InputsV2!$C$19*3</f>
        <v>12561000</v>
      </c>
      <c r="S12" s="100">
        <f>InputsV2!$C$19*3</f>
        <v>12561000</v>
      </c>
      <c r="T12" s="100">
        <f>InputsV2!$C$19*3</f>
        <v>12561000</v>
      </c>
      <c r="U12" s="100">
        <f>InputsV2!$C$19*4</f>
        <v>16748000</v>
      </c>
      <c r="V12" s="100">
        <f>InputsV2!$C$19*4</f>
        <v>16748000</v>
      </c>
      <c r="W12" s="100">
        <f>InputsV2!$C$19*4</f>
        <v>16748000</v>
      </c>
      <c r="X12" s="100">
        <f>InputsV2!$C$19*4</f>
        <v>16748000</v>
      </c>
      <c r="Y12" s="100">
        <f>InputsV2!$C$19*4</f>
        <v>16748000</v>
      </c>
      <c r="Z12" s="140">
        <f>InputsV2!$C$19*4</f>
        <v>16748000</v>
      </c>
      <c r="AA12" s="127">
        <f>InputsV2!$C$19*4*1.06</f>
        <v>17752880</v>
      </c>
      <c r="AB12" s="127">
        <f>InputsV2!$C$19*4*1.06</f>
        <v>17752880</v>
      </c>
      <c r="AC12" s="127">
        <f>InputsV2!$C$19*4*1.06</f>
        <v>17752880</v>
      </c>
      <c r="AD12" s="127">
        <f>InputsV2!$C$19*4*1.06</f>
        <v>17752880</v>
      </c>
      <c r="AE12" s="127">
        <f>InputsV2!$C$19*4*1.06</f>
        <v>17752880</v>
      </c>
      <c r="AF12" s="127">
        <f>InputsV2!$C$19*4*1.06</f>
        <v>17752880</v>
      </c>
      <c r="AG12" s="127">
        <f>InputsV2!$C$19*4*1.06</f>
        <v>17752880</v>
      </c>
      <c r="AH12" s="127">
        <f>InputsV2!$C$19*4*1.06</f>
        <v>17752880</v>
      </c>
      <c r="AI12" s="127">
        <f>InputsV2!$C$19*4*1.06</f>
        <v>17752880</v>
      </c>
      <c r="AJ12" s="127">
        <f>InputsV2!$C$19*4*1.06</f>
        <v>17752880</v>
      </c>
      <c r="AK12" s="127">
        <f>InputsV2!$C$19*4*1.06</f>
        <v>17752880</v>
      </c>
      <c r="AL12" s="127">
        <f>InputsV2!$C$19*4*1.06</f>
        <v>17752880</v>
      </c>
    </row>
    <row r="13" spans="1:38" x14ac:dyDescent="0.3">
      <c r="A13" s="38" t="s">
        <v>92</v>
      </c>
      <c r="C13" s="64">
        <f>InputsV2!$C$12</f>
        <v>3950000</v>
      </c>
      <c r="D13" s="65">
        <f>InputsV2!$C$12</f>
        <v>3950000</v>
      </c>
      <c r="E13" s="65">
        <f>InputsV2!$C$12</f>
        <v>3950000</v>
      </c>
      <c r="F13" s="65">
        <f>InputsV2!$C$12</f>
        <v>3950000</v>
      </c>
      <c r="G13" s="65">
        <f>InputsV2!$C$12</f>
        <v>3950000</v>
      </c>
      <c r="H13" s="65">
        <f>InputsV2!$C$12</f>
        <v>3950000</v>
      </c>
      <c r="I13" s="65">
        <f>InputsV2!$C$12</f>
        <v>3950000</v>
      </c>
      <c r="J13" s="65">
        <f>InputsV2!$C$12</f>
        <v>3950000</v>
      </c>
      <c r="K13" s="65">
        <f>InputsV2!$C$12</f>
        <v>3950000</v>
      </c>
      <c r="L13" s="65">
        <f>InputsV2!$C$12</f>
        <v>3950000</v>
      </c>
      <c r="M13" s="65">
        <f>InputsV2!$C$12</f>
        <v>3950000</v>
      </c>
      <c r="N13" s="66">
        <f>InputsV2!$C$12</f>
        <v>3950000</v>
      </c>
      <c r="O13" s="99">
        <f>InputsV2!$C$21</f>
        <v>4187000</v>
      </c>
      <c r="P13" s="100">
        <f>InputsV2!$C$21</f>
        <v>4187000</v>
      </c>
      <c r="Q13" s="100">
        <f>InputsV2!$C$21</f>
        <v>4187000</v>
      </c>
      <c r="R13" s="100">
        <f>InputsV2!$C$21</f>
        <v>4187000</v>
      </c>
      <c r="S13" s="100">
        <f>InputsV2!$C$21</f>
        <v>4187000</v>
      </c>
      <c r="T13" s="100">
        <f>InputsV2!$C$21</f>
        <v>4187000</v>
      </c>
      <c r="U13" s="100">
        <f>InputsV2!$C$21</f>
        <v>4187000</v>
      </c>
      <c r="V13" s="100">
        <f>InputsV2!$C$21</f>
        <v>4187000</v>
      </c>
      <c r="W13" s="100">
        <f>InputsV2!$C$21</f>
        <v>4187000</v>
      </c>
      <c r="X13" s="100">
        <f>InputsV2!$C$21</f>
        <v>4187000</v>
      </c>
      <c r="Y13" s="100">
        <f>InputsV2!$C$21</f>
        <v>4187000</v>
      </c>
      <c r="Z13" s="140">
        <f>InputsV2!$C$21</f>
        <v>4187000</v>
      </c>
      <c r="AA13" s="127">
        <f>InputsV2!$C$21*1.06</f>
        <v>4438220</v>
      </c>
      <c r="AB13" s="127">
        <f>InputsV2!$C$21*1.06</f>
        <v>4438220</v>
      </c>
      <c r="AC13" s="127">
        <f>InputsV2!$C$21*1.06</f>
        <v>4438220</v>
      </c>
      <c r="AD13" s="127">
        <f>InputsV2!$C$21*1.06</f>
        <v>4438220</v>
      </c>
      <c r="AE13" s="127">
        <f>InputsV2!$C$21*1.06</f>
        <v>4438220</v>
      </c>
      <c r="AF13" s="127">
        <f>InputsV2!$C$21*1.06</f>
        <v>4438220</v>
      </c>
      <c r="AG13" s="127">
        <f>InputsV2!$C$21*1.06</f>
        <v>4438220</v>
      </c>
      <c r="AH13" s="127">
        <f>InputsV2!$C$21*1.06</f>
        <v>4438220</v>
      </c>
      <c r="AI13" s="127">
        <f>InputsV2!$C$21*1.06</f>
        <v>4438220</v>
      </c>
      <c r="AJ13" s="127">
        <f>InputsV2!$C$21*1.06</f>
        <v>4438220</v>
      </c>
      <c r="AK13" s="127">
        <f>InputsV2!$C$21*1.06</f>
        <v>4438220</v>
      </c>
      <c r="AL13" s="127">
        <f>InputsV2!$C$21*1.06</f>
        <v>4438220</v>
      </c>
    </row>
    <row r="14" spans="1:38" x14ac:dyDescent="0.3">
      <c r="A14" s="38" t="s">
        <v>93</v>
      </c>
      <c r="C14" s="64">
        <f>InputsV2!$C$11</f>
        <v>620000</v>
      </c>
      <c r="D14" s="65">
        <f>InputsV2!$C$11</f>
        <v>620000</v>
      </c>
      <c r="E14" s="65">
        <f>InputsV2!$C$11</f>
        <v>620000</v>
      </c>
      <c r="F14" s="65">
        <f>InputsV2!$C$11</f>
        <v>620000</v>
      </c>
      <c r="G14" s="65">
        <f>InputsV2!$C$11</f>
        <v>620000</v>
      </c>
      <c r="H14" s="65">
        <f>InputsV2!$C$11</f>
        <v>620000</v>
      </c>
      <c r="I14" s="65">
        <f>InputsV2!$C$11</f>
        <v>620000</v>
      </c>
      <c r="J14" s="65">
        <f>InputsV2!$C$11</f>
        <v>620000</v>
      </c>
      <c r="K14" s="65">
        <f>InputsV2!$C$11</f>
        <v>620000</v>
      </c>
      <c r="L14" s="65">
        <f>InputsV2!$C$11</f>
        <v>620000</v>
      </c>
      <c r="M14" s="65">
        <f>InputsV2!$C$11</f>
        <v>620000</v>
      </c>
      <c r="N14" s="66">
        <f>InputsV2!$C$11</f>
        <v>620000</v>
      </c>
      <c r="O14" s="99">
        <f>InputsV2!$C$20</f>
        <v>657200</v>
      </c>
      <c r="P14" s="100">
        <f>InputsV2!$C$20</f>
        <v>657200</v>
      </c>
      <c r="Q14" s="100">
        <f>InputsV2!$C$20</f>
        <v>657200</v>
      </c>
      <c r="R14" s="100">
        <f>InputsV2!$C$20</f>
        <v>657200</v>
      </c>
      <c r="S14" s="100">
        <f>InputsV2!$C$20</f>
        <v>657200</v>
      </c>
      <c r="T14" s="100">
        <f>InputsV2!$C$20</f>
        <v>657200</v>
      </c>
      <c r="U14" s="100">
        <f>InputsV2!$C$20</f>
        <v>657200</v>
      </c>
      <c r="V14" s="100">
        <f>InputsV2!$C$20</f>
        <v>657200</v>
      </c>
      <c r="W14" s="100">
        <f>InputsV2!$C$20</f>
        <v>657200</v>
      </c>
      <c r="X14" s="100">
        <f>InputsV2!$C$20</f>
        <v>657200</v>
      </c>
      <c r="Y14" s="100">
        <f>InputsV2!$C$20</f>
        <v>657200</v>
      </c>
      <c r="Z14" s="140">
        <f>InputsV2!$C$20</f>
        <v>657200</v>
      </c>
      <c r="AA14" s="127">
        <f>InputsV2!$C$20*1.06</f>
        <v>696632</v>
      </c>
      <c r="AB14" s="127">
        <f>InputsV2!$C$20*1.06</f>
        <v>696632</v>
      </c>
      <c r="AC14" s="127">
        <f>InputsV2!$C$20*1.06</f>
        <v>696632</v>
      </c>
      <c r="AD14" s="127">
        <f>InputsV2!$C$20*1.06</f>
        <v>696632</v>
      </c>
      <c r="AE14" s="127">
        <f>InputsV2!$C$20*1.06</f>
        <v>696632</v>
      </c>
      <c r="AF14" s="127">
        <f>InputsV2!$C$20*1.06</f>
        <v>696632</v>
      </c>
      <c r="AG14" s="127">
        <f>InputsV2!$C$20*1.06</f>
        <v>696632</v>
      </c>
      <c r="AH14" s="127">
        <f>InputsV2!$C$20*1.06</f>
        <v>696632</v>
      </c>
      <c r="AI14" s="127">
        <f>InputsV2!$C$20*1.06</f>
        <v>696632</v>
      </c>
      <c r="AJ14" s="127">
        <f>InputsV2!$C$20*1.06</f>
        <v>696632</v>
      </c>
      <c r="AK14" s="127">
        <f>InputsV2!$C$20*1.06</f>
        <v>696632</v>
      </c>
      <c r="AL14" s="127">
        <f>InputsV2!$C$20*1.06</f>
        <v>696632</v>
      </c>
    </row>
    <row r="15" spans="1:38" x14ac:dyDescent="0.3">
      <c r="A15" s="40" t="s">
        <v>94</v>
      </c>
      <c r="B15" s="144">
        <v>-91000000</v>
      </c>
      <c r="C15" s="105">
        <f>C10-C11</f>
        <v>-6799710</v>
      </c>
      <c r="D15" s="106">
        <f t="shared" ref="D15:AL15" si="5">D10-D11</f>
        <v>-4130463.5</v>
      </c>
      <c r="E15" s="106">
        <f t="shared" si="5"/>
        <v>-1421531.4749999996</v>
      </c>
      <c r="F15" s="106">
        <f t="shared" si="5"/>
        <v>734238.24624999985</v>
      </c>
      <c r="G15" s="106">
        <f t="shared" si="5"/>
        <v>2273392.5093124975</v>
      </c>
      <c r="H15" s="106">
        <f t="shared" si="5"/>
        <v>3581673.6329156235</v>
      </c>
      <c r="I15" s="106">
        <f t="shared" si="5"/>
        <v>703712.58797827736</v>
      </c>
      <c r="J15" s="106">
        <f t="shared" si="5"/>
        <v>1648945.6997815371</v>
      </c>
      <c r="K15" s="106">
        <f t="shared" si="5"/>
        <v>2452393.844814308</v>
      </c>
      <c r="L15" s="106">
        <f t="shared" si="5"/>
        <v>3135324.768092161</v>
      </c>
      <c r="M15" s="106">
        <f t="shared" si="5"/>
        <v>3715816.0528783351</v>
      </c>
      <c r="N15" s="107">
        <f t="shared" si="5"/>
        <v>4209233.6449465863</v>
      </c>
      <c r="O15" s="108">
        <f t="shared" si="5"/>
        <v>1374133.764096871</v>
      </c>
      <c r="P15" s="109">
        <f t="shared" si="5"/>
        <v>1972191.0994823389</v>
      </c>
      <c r="Q15" s="109">
        <f t="shared" si="5"/>
        <v>2187289.8345599882</v>
      </c>
      <c r="R15" s="109">
        <f t="shared" si="5"/>
        <v>2857300.6093759909</v>
      </c>
      <c r="S15" s="109">
        <f t="shared" si="5"/>
        <v>3232882.9179695919</v>
      </c>
      <c r="T15" s="109">
        <f t="shared" si="5"/>
        <v>3258877.8802741505</v>
      </c>
      <c r="U15" s="109">
        <f>U10-U11</f>
        <v>-906026.40176697075</v>
      </c>
      <c r="V15" s="109">
        <f t="shared" si="5"/>
        <v>-400068.19150192663</v>
      </c>
      <c r="W15" s="109">
        <f t="shared" si="5"/>
        <v>-163930.56277663633</v>
      </c>
      <c r="X15" s="109">
        <f t="shared" si="5"/>
        <v>-256463.57836014405</v>
      </c>
      <c r="Y15" s="109">
        <f t="shared" si="5"/>
        <v>-335116.64160612226</v>
      </c>
      <c r="Z15" s="141">
        <f t="shared" si="5"/>
        <v>85205.104634795338</v>
      </c>
      <c r="AA15" s="128">
        <f t="shared" si="5"/>
        <v>361047.84958317131</v>
      </c>
      <c r="AB15" s="128">
        <f t="shared" si="5"/>
        <v>197279.86814569309</v>
      </c>
      <c r="AC15" s="128">
        <f t="shared" si="5"/>
        <v>58077.083923839033</v>
      </c>
      <c r="AD15" s="128">
        <f t="shared" si="5"/>
        <v>477391.9663352631</v>
      </c>
      <c r="AE15" s="128">
        <f t="shared" si="5"/>
        <v>589422.36738497764</v>
      </c>
      <c r="AF15" s="128">
        <f t="shared" si="5"/>
        <v>391398.20827723294</v>
      </c>
      <c r="AG15" s="128">
        <f t="shared" si="5"/>
        <v>223077.67303564399</v>
      </c>
      <c r="AH15" s="128">
        <f t="shared" si="5"/>
        <v>617642.46708030254</v>
      </c>
      <c r="AI15" s="128">
        <f t="shared" si="5"/>
        <v>708635.29301824793</v>
      </c>
      <c r="AJ15" s="128">
        <f t="shared" si="5"/>
        <v>492729.19506551325</v>
      </c>
      <c r="AK15" s="128">
        <f t="shared" si="5"/>
        <v>309209.01180567965</v>
      </c>
      <c r="AL15" s="128">
        <f t="shared" si="5"/>
        <v>153216.85603483021</v>
      </c>
    </row>
    <row r="16" spans="1:38" x14ac:dyDescent="0.3">
      <c r="A16" s="38" t="s">
        <v>95</v>
      </c>
      <c r="B16" s="144"/>
      <c r="C16" s="64">
        <f>InputsV2!$C$13</f>
        <v>6037181</v>
      </c>
      <c r="D16" s="65">
        <f>InputsV2!$C$13</f>
        <v>6037181</v>
      </c>
      <c r="E16" s="65">
        <f>InputsV2!$C$13</f>
        <v>6037181</v>
      </c>
      <c r="F16" s="65">
        <f>InputsV2!$C$13</f>
        <v>6037181</v>
      </c>
      <c r="G16" s="65">
        <f>InputsV2!$C$13</f>
        <v>6037181</v>
      </c>
      <c r="H16" s="65">
        <f>InputsV2!$C$13</f>
        <v>6037181</v>
      </c>
      <c r="I16" s="65">
        <f>InputsV2!$C$13</f>
        <v>6037181</v>
      </c>
      <c r="J16" s="65">
        <f>InputsV2!$C$13</f>
        <v>6037181</v>
      </c>
      <c r="K16" s="65">
        <f>InputsV2!$C$13</f>
        <v>6037181</v>
      </c>
      <c r="L16" s="65">
        <f>InputsV2!$C$13</f>
        <v>6037181</v>
      </c>
      <c r="M16" s="65">
        <f>InputsV2!$C$13</f>
        <v>6037181</v>
      </c>
      <c r="N16" s="66">
        <f>InputsV2!$C$13</f>
        <v>6037181</v>
      </c>
      <c r="O16" s="99">
        <f>InputsV2!$C$13</f>
        <v>6037181</v>
      </c>
      <c r="P16" s="100">
        <f>InputsV2!$C$13</f>
        <v>6037181</v>
      </c>
      <c r="Q16" s="100">
        <f>InputsV2!$C$13</f>
        <v>6037181</v>
      </c>
      <c r="R16" s="100">
        <f>InputsV2!$C$13</f>
        <v>6037181</v>
      </c>
      <c r="S16" s="100">
        <f>InputsV2!$C$13</f>
        <v>6037181</v>
      </c>
      <c r="T16" s="100">
        <f>InputsV2!$C$13</f>
        <v>6037181</v>
      </c>
      <c r="U16" s="100"/>
      <c r="V16" s="100"/>
      <c r="W16" s="100"/>
      <c r="X16" s="100"/>
      <c r="Y16" s="100"/>
      <c r="Z16" s="140"/>
    </row>
    <row r="17" spans="1:38" ht="15" thickBot="1" x14ac:dyDescent="0.35">
      <c r="A17" s="40" t="s">
        <v>96</v>
      </c>
      <c r="B17" s="7"/>
      <c r="C17" s="83">
        <f>C15-C16</f>
        <v>-12836891</v>
      </c>
      <c r="D17" s="78">
        <f t="shared" ref="D17:M17" si="6">D15-D16</f>
        <v>-10167644.5</v>
      </c>
      <c r="E17" s="78">
        <f t="shared" si="6"/>
        <v>-7458712.4749999996</v>
      </c>
      <c r="F17" s="78">
        <f t="shared" si="6"/>
        <v>-5302942.7537500001</v>
      </c>
      <c r="G17" s="78">
        <f t="shared" si="6"/>
        <v>-3763788.4906875025</v>
      </c>
      <c r="H17" s="78">
        <f t="shared" si="6"/>
        <v>-2455507.3670843765</v>
      </c>
      <c r="I17" s="78">
        <f t="shared" si="6"/>
        <v>-5333468.4120217226</v>
      </c>
      <c r="J17" s="78">
        <f t="shared" si="6"/>
        <v>-4388235.3002184629</v>
      </c>
      <c r="K17" s="78">
        <f t="shared" si="6"/>
        <v>-3584787.155185692</v>
      </c>
      <c r="L17" s="78">
        <f t="shared" si="6"/>
        <v>-2901856.231907839</v>
      </c>
      <c r="M17" s="78">
        <f t="shared" si="6"/>
        <v>-2321364.9471216649</v>
      </c>
      <c r="N17" s="84">
        <f>N15-N16</f>
        <v>-1827947.3550534137</v>
      </c>
      <c r="O17" s="103">
        <f t="shared" ref="O17:AL17" si="7">O15-O16</f>
        <v>-4663047.235903129</v>
      </c>
      <c r="P17" s="104">
        <f t="shared" si="7"/>
        <v>-4064989.9005176611</v>
      </c>
      <c r="Q17" s="104">
        <f t="shared" si="7"/>
        <v>-3849891.1654400118</v>
      </c>
      <c r="R17" s="104">
        <f t="shared" si="7"/>
        <v>-3179880.3906240091</v>
      </c>
      <c r="S17" s="104">
        <f t="shared" si="7"/>
        <v>-2804298.0820304081</v>
      </c>
      <c r="T17" s="104">
        <f t="shared" si="7"/>
        <v>-2778303.1197258495</v>
      </c>
      <c r="U17" s="104">
        <f t="shared" si="7"/>
        <v>-906026.40176697075</v>
      </c>
      <c r="V17" s="104">
        <f t="shared" si="7"/>
        <v>-400068.19150192663</v>
      </c>
      <c r="W17" s="104">
        <f t="shared" si="7"/>
        <v>-163930.56277663633</v>
      </c>
      <c r="X17" s="104">
        <f t="shared" si="7"/>
        <v>-256463.57836014405</v>
      </c>
      <c r="Y17" s="104">
        <f t="shared" si="7"/>
        <v>-335116.64160612226</v>
      </c>
      <c r="Z17" s="142">
        <f t="shared" si="7"/>
        <v>85205.104634795338</v>
      </c>
      <c r="AA17" s="129">
        <f t="shared" si="7"/>
        <v>361047.84958317131</v>
      </c>
      <c r="AB17" s="129">
        <f t="shared" si="7"/>
        <v>197279.86814569309</v>
      </c>
      <c r="AC17" s="129">
        <f t="shared" si="7"/>
        <v>58077.083923839033</v>
      </c>
      <c r="AD17" s="129">
        <f t="shared" si="7"/>
        <v>477391.9663352631</v>
      </c>
      <c r="AE17" s="129">
        <f t="shared" si="7"/>
        <v>589422.36738497764</v>
      </c>
      <c r="AF17" s="129">
        <f t="shared" si="7"/>
        <v>391398.20827723294</v>
      </c>
      <c r="AG17" s="129">
        <f t="shared" si="7"/>
        <v>223077.67303564399</v>
      </c>
      <c r="AH17" s="129">
        <f t="shared" si="7"/>
        <v>617642.46708030254</v>
      </c>
      <c r="AI17" s="129">
        <f t="shared" si="7"/>
        <v>708635.29301824793</v>
      </c>
      <c r="AJ17" s="129">
        <f t="shared" si="7"/>
        <v>492729.19506551325</v>
      </c>
      <c r="AK17" s="129">
        <f t="shared" si="7"/>
        <v>309209.01180567965</v>
      </c>
      <c r="AL17" s="129">
        <f t="shared" si="7"/>
        <v>153216.85603483021</v>
      </c>
    </row>
    <row r="18" spans="1:38" ht="15.6" thickTop="1" thickBot="1" x14ac:dyDescent="0.35">
      <c r="A18" s="38" t="s">
        <v>97</v>
      </c>
      <c r="C18" s="67">
        <f>C17/C6</f>
        <v>-3.9376966257668711</v>
      </c>
      <c r="D18" s="68">
        <f t="shared" ref="D18:AL18" si="8">D17/D6</f>
        <v>-1.6858969490963356</v>
      </c>
      <c r="E18" s="68">
        <f t="shared" si="8"/>
        <v>-0.81061066854320285</v>
      </c>
      <c r="F18" s="68">
        <f t="shared" si="8"/>
        <v>-0.47855538009488641</v>
      </c>
      <c r="G18" s="68">
        <f t="shared" si="8"/>
        <v>-0.29685273291947717</v>
      </c>
      <c r="H18" s="68">
        <f t="shared" si="8"/>
        <v>-0.17492945708898</v>
      </c>
      <c r="I18" s="68">
        <f t="shared" si="8"/>
        <v>-0.35108102883336445</v>
      </c>
      <c r="J18" s="68">
        <f t="shared" si="8"/>
        <v>-0.27133386381963343</v>
      </c>
      <c r="K18" s="68">
        <f t="shared" si="8"/>
        <v>-0.21078425562220524</v>
      </c>
      <c r="L18" s="68">
        <f t="shared" si="8"/>
        <v>-0.16379984656997718</v>
      </c>
      <c r="M18" s="68">
        <f t="shared" si="8"/>
        <v>-0.1267225287712451</v>
      </c>
      <c r="N18" s="69">
        <f t="shared" si="8"/>
        <v>-9.7072654370393835E-2</v>
      </c>
      <c r="O18" s="101">
        <f t="shared" si="8"/>
        <v>-0.21906667088080176</v>
      </c>
      <c r="P18" s="102">
        <f t="shared" si="8"/>
        <v>-0.18864220273163021</v>
      </c>
      <c r="Q18" s="102">
        <f t="shared" si="8"/>
        <v>-0.17682782943009934</v>
      </c>
      <c r="R18" s="102">
        <f t="shared" si="8"/>
        <v>-0.13931153458108378</v>
      </c>
      <c r="S18" s="102">
        <f t="shared" si="8"/>
        <v>-0.12268651444009439</v>
      </c>
      <c r="T18" s="102">
        <f t="shared" si="8"/>
        <v>-0.12140591488708778</v>
      </c>
      <c r="U18" s="102">
        <f t="shared" si="8"/>
        <v>-3.9551775038232678E-2</v>
      </c>
      <c r="V18" s="102">
        <f t="shared" si="8"/>
        <v>-1.6816124596805766E-2</v>
      </c>
      <c r="W18" s="102">
        <f t="shared" si="8"/>
        <v>-6.9234052213759563E-3</v>
      </c>
      <c r="X18" s="102">
        <f t="shared" si="8"/>
        <v>-1.0875545080367645E-2</v>
      </c>
      <c r="Y18" s="102">
        <f t="shared" si="8"/>
        <v>-1.4260267790921138E-2</v>
      </c>
      <c r="Z18" s="143">
        <f t="shared" si="8"/>
        <v>3.5071737132715544E-3</v>
      </c>
      <c r="AA18" s="130">
        <f t="shared" si="8"/>
        <v>1.4129759772803372E-2</v>
      </c>
      <c r="AB18" s="130">
        <f t="shared" si="8"/>
        <v>7.7723124396202915E-3</v>
      </c>
      <c r="AC18" s="130">
        <f t="shared" si="8"/>
        <v>2.3011790972931345E-3</v>
      </c>
      <c r="AD18" s="130">
        <f t="shared" si="8"/>
        <v>1.8339403738179254E-2</v>
      </c>
      <c r="AE18" s="130">
        <f t="shared" si="8"/>
        <v>2.2855362578526928E-2</v>
      </c>
      <c r="AF18" s="130">
        <f t="shared" si="8"/>
        <v>1.5298681093462841E-2</v>
      </c>
      <c r="AG18" s="130">
        <f t="shared" si="8"/>
        <v>8.779420987975942E-3</v>
      </c>
      <c r="AH18" s="130">
        <f t="shared" si="8"/>
        <v>2.3595346804842522E-2</v>
      </c>
      <c r="AI18" s="130">
        <f t="shared" si="8"/>
        <v>2.7346793938646367E-2</v>
      </c>
      <c r="AJ18" s="130">
        <f t="shared" si="8"/>
        <v>1.9180612801356359E-2</v>
      </c>
      <c r="AK18" s="130">
        <f t="shared" si="8"/>
        <v>1.2126549056683561E-2</v>
      </c>
      <c r="AL18" s="130">
        <f t="shared" si="8"/>
        <v>6.0472360967299358E-3</v>
      </c>
    </row>
    <row r="19" spans="1:38" x14ac:dyDescent="0.3">
      <c r="A19" s="7" t="s">
        <v>98</v>
      </c>
      <c r="B19" s="7"/>
      <c r="C19" s="114">
        <f>IRR(B15:AL15)</f>
        <v>-6.0373016657794931E-2</v>
      </c>
      <c r="D19" s="114"/>
    </row>
    <row r="20" spans="1:38" x14ac:dyDescent="0.3">
      <c r="A20" s="115" t="s">
        <v>99</v>
      </c>
      <c r="B20" s="115"/>
      <c r="C20" s="116">
        <f>(C19+1)^12-1</f>
        <v>-0.52634103742142424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38" x14ac:dyDescent="0.3">
      <c r="A21" s="150" t="s">
        <v>100</v>
      </c>
      <c r="B21" s="117"/>
      <c r="C21" s="147">
        <f>NPV(25%,D21)</f>
        <v>-64864662.6511667</v>
      </c>
      <c r="D21" s="145">
        <f>SUM(C17:AL17)</f>
        <v>-81080828.313958377</v>
      </c>
    </row>
    <row r="22" spans="1:38" x14ac:dyDescent="0.3">
      <c r="A22" s="151" t="s">
        <v>101</v>
      </c>
      <c r="B22" s="148"/>
      <c r="C22" s="152">
        <f>D21/91000000</f>
        <v>-0.89099811334020196</v>
      </c>
      <c r="D22" s="149"/>
    </row>
    <row r="23" spans="1:38" x14ac:dyDescent="0.3">
      <c r="C23" s="146"/>
      <c r="D23" s="145"/>
    </row>
    <row r="24" spans="1:38" x14ac:dyDescent="0.3">
      <c r="A24" s="7" t="s">
        <v>102</v>
      </c>
      <c r="C24" s="4">
        <f>C17</f>
        <v>-12836891</v>
      </c>
      <c r="D24" s="4">
        <f>D17+C24</f>
        <v>-23004535.5</v>
      </c>
      <c r="E24" s="4">
        <f>E17+D24</f>
        <v>-30463247.975000001</v>
      </c>
      <c r="F24" s="4">
        <f t="shared" ref="F24:AL24" si="9">F17+E24</f>
        <v>-35766190.728750005</v>
      </c>
      <c r="G24" s="4">
        <f t="shared" si="9"/>
        <v>-39529979.21943751</v>
      </c>
      <c r="H24" s="4">
        <f t="shared" si="9"/>
        <v>-41985486.586521886</v>
      </c>
      <c r="I24" s="4">
        <f t="shared" si="9"/>
        <v>-47318954.998543605</v>
      </c>
      <c r="J24" s="4">
        <f t="shared" si="9"/>
        <v>-51707190.298762068</v>
      </c>
      <c r="K24" s="4">
        <f t="shared" si="9"/>
        <v>-55291977.45394776</v>
      </c>
      <c r="L24" s="4">
        <f t="shared" si="9"/>
        <v>-58193833.685855597</v>
      </c>
      <c r="M24" s="4">
        <f t="shared" si="9"/>
        <v>-60515198.632977262</v>
      </c>
      <c r="N24" s="4">
        <f t="shared" si="9"/>
        <v>-62343145.988030672</v>
      </c>
      <c r="O24" s="4">
        <f t="shared" si="9"/>
        <v>-67006193.223933801</v>
      </c>
      <c r="P24" s="4">
        <f t="shared" si="9"/>
        <v>-71071183.124451458</v>
      </c>
      <c r="Q24" s="4">
        <f t="shared" si="9"/>
        <v>-74921074.289891466</v>
      </c>
      <c r="R24" s="4">
        <f t="shared" si="9"/>
        <v>-78100954.680515468</v>
      </c>
      <c r="S24" s="4">
        <f t="shared" si="9"/>
        <v>-80905252.762545884</v>
      </c>
      <c r="T24" s="4">
        <f t="shared" si="9"/>
        <v>-83683555.882271737</v>
      </c>
      <c r="U24" s="4">
        <f t="shared" si="9"/>
        <v>-84589582.284038708</v>
      </c>
      <c r="V24" s="4">
        <f t="shared" si="9"/>
        <v>-84989650.475540638</v>
      </c>
      <c r="W24" s="4">
        <f t="shared" si="9"/>
        <v>-85153581.038317278</v>
      </c>
      <c r="X24" s="4">
        <f t="shared" si="9"/>
        <v>-85410044.616677418</v>
      </c>
      <c r="Y24" s="4">
        <f t="shared" si="9"/>
        <v>-85745161.258283541</v>
      </c>
      <c r="Z24" s="4">
        <f t="shared" si="9"/>
        <v>-85659956.153648749</v>
      </c>
      <c r="AA24" s="4">
        <f t="shared" si="9"/>
        <v>-85298908.304065585</v>
      </c>
      <c r="AB24" s="4">
        <f t="shared" si="9"/>
        <v>-85101628.435919896</v>
      </c>
      <c r="AC24" s="4">
        <f t="shared" si="9"/>
        <v>-85043551.351996064</v>
      </c>
      <c r="AD24" s="4">
        <f t="shared" si="9"/>
        <v>-84566159.385660797</v>
      </c>
      <c r="AE24" s="4">
        <f t="shared" si="9"/>
        <v>-83976737.018275827</v>
      </c>
      <c r="AF24" s="4">
        <f t="shared" si="9"/>
        <v>-83585338.809998602</v>
      </c>
      <c r="AG24" s="4">
        <f t="shared" si="9"/>
        <v>-83362261.13696295</v>
      </c>
      <c r="AH24" s="4">
        <f t="shared" si="9"/>
        <v>-82744618.669882655</v>
      </c>
      <c r="AI24" s="4">
        <f t="shared" si="9"/>
        <v>-82035983.376864403</v>
      </c>
      <c r="AJ24" s="4">
        <f t="shared" si="9"/>
        <v>-81543254.18179889</v>
      </c>
      <c r="AK24" s="4">
        <f t="shared" si="9"/>
        <v>-81234045.169993207</v>
      </c>
      <c r="AL24" s="4">
        <f t="shared" si="9"/>
        <v>-81080828.313958377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ESCENARIO 2</vt:lpstr>
      <vt:lpstr>InputsV2</vt:lpstr>
      <vt:lpstr>EscenarioConPrestamo(SI)</vt:lpstr>
      <vt:lpstr>Indicadores</vt:lpstr>
      <vt:lpstr>EscenarioSinPrestamo(NO)</vt:lpstr>
      <vt:lpstr>ChurnElevadoal15(NO)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Usuario</cp:lastModifiedBy>
  <cp:revision/>
  <dcterms:created xsi:type="dcterms:W3CDTF">2026-05-05T00:28:14Z</dcterms:created>
  <dcterms:modified xsi:type="dcterms:W3CDTF">2026-06-04T03:21:18Z</dcterms:modified>
  <cp:category/>
  <cp:contentStatus/>
</cp:coreProperties>
</file>