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9"/>
  <workbookPr/>
  <mc:AlternateContent xmlns:mc="http://schemas.openxmlformats.org/markup-compatibility/2006">
    <mc:Choice Requires="x15">
      <x15ac:absPath xmlns:x15ac="http://schemas.microsoft.com/office/spreadsheetml/2010/11/ac" url="/Users/fabiomac/Documents/Entrega_Final/resources/"/>
    </mc:Choice>
  </mc:AlternateContent>
  <xr:revisionPtr revIDLastSave="0" documentId="13_ncr:1_{4900329F-13E3-354E-8702-D7B3A21209AF}" xr6:coauthVersionLast="47" xr6:coauthVersionMax="47" xr10:uidLastSave="{00000000-0000-0000-0000-000000000000}"/>
  <bookViews>
    <workbookView xWindow="0" yWindow="620" windowWidth="51200" windowHeight="19180" tabRatio="500" activeTab="5" xr2:uid="{00000000-000D-0000-FFFF-FFFF00000000}"/>
  </bookViews>
  <sheets>
    <sheet name="Menú" sheetId="1" r:id="rId1"/>
    <sheet name="1" sheetId="2" r:id="rId2"/>
    <sheet name="2" sheetId="3" r:id="rId3"/>
    <sheet name="3" sheetId="4"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6" l="1"/>
  <c r="E47" i="6"/>
  <c r="D47" i="6"/>
  <c r="C47" i="6"/>
  <c r="B47" i="6"/>
  <c r="E46" i="6"/>
  <c r="D46" i="6"/>
  <c r="C46" i="6"/>
  <c r="B46" i="6"/>
  <c r="E45" i="6"/>
  <c r="D45" i="6"/>
  <c r="C45" i="6"/>
  <c r="B45" i="6"/>
  <c r="E44" i="6"/>
  <c r="D44" i="6"/>
  <c r="C44" i="6"/>
  <c r="B44" i="6"/>
  <c r="E43" i="6"/>
  <c r="D43" i="6"/>
  <c r="C43" i="6"/>
  <c r="B43" i="6"/>
  <c r="E42" i="6"/>
  <c r="D42" i="6"/>
  <c r="C42" i="6"/>
  <c r="B42" i="6"/>
  <c r="E41" i="6"/>
  <c r="D41" i="6"/>
  <c r="C41" i="6"/>
  <c r="B41" i="6"/>
  <c r="E40" i="6"/>
  <c r="D40" i="6"/>
  <c r="C40" i="6"/>
  <c r="B40" i="6"/>
  <c r="E39" i="6"/>
  <c r="D39" i="6"/>
  <c r="C39" i="6"/>
  <c r="B39" i="6"/>
  <c r="E38" i="6"/>
  <c r="D38" i="6"/>
  <c r="C38" i="6"/>
  <c r="F34" i="6"/>
  <c r="E34" i="6"/>
  <c r="D34" i="6"/>
  <c r="C34" i="6"/>
  <c r="B34" i="6"/>
  <c r="F33" i="6"/>
  <c r="E33" i="6"/>
  <c r="D33" i="6"/>
  <c r="C33" i="6"/>
  <c r="B33" i="6"/>
  <c r="F32" i="6"/>
  <c r="D32" i="6"/>
  <c r="C32" i="6"/>
  <c r="E28" i="6"/>
  <c r="E27" i="6"/>
  <c r="E26" i="6"/>
  <c r="G24" i="6"/>
  <c r="F24" i="6"/>
  <c r="J23" i="6"/>
  <c r="I23" i="6"/>
  <c r="H23" i="6"/>
  <c r="G23" i="6"/>
  <c r="F23" i="6"/>
  <c r="E23" i="6"/>
  <c r="D23" i="6"/>
  <c r="C23" i="6"/>
  <c r="B23" i="6"/>
  <c r="J22" i="6"/>
  <c r="I22" i="6"/>
  <c r="H22" i="6"/>
  <c r="G22" i="6"/>
  <c r="F22" i="6"/>
  <c r="E22" i="6"/>
  <c r="D22" i="6"/>
  <c r="C22" i="6"/>
  <c r="B22" i="6"/>
  <c r="J21" i="6"/>
  <c r="I21" i="6"/>
  <c r="H21" i="6"/>
  <c r="G21" i="6"/>
  <c r="F21" i="6"/>
  <c r="E21" i="6"/>
  <c r="D21" i="6"/>
  <c r="C21" i="6"/>
  <c r="B21" i="6"/>
  <c r="J20" i="6"/>
  <c r="I20" i="6"/>
  <c r="H20" i="6"/>
  <c r="G20" i="6"/>
  <c r="F20" i="6"/>
  <c r="E20" i="6"/>
  <c r="D20" i="6"/>
  <c r="C20" i="6"/>
  <c r="B20" i="6"/>
  <c r="J19" i="6"/>
  <c r="I19" i="6"/>
  <c r="H19" i="6"/>
  <c r="G19" i="6"/>
  <c r="F19" i="6"/>
  <c r="E19" i="6"/>
  <c r="D19" i="6"/>
  <c r="C19" i="6"/>
  <c r="B19" i="6"/>
  <c r="J18" i="6"/>
  <c r="I18" i="6"/>
  <c r="H18" i="6"/>
  <c r="G18" i="6"/>
  <c r="F18" i="6"/>
  <c r="E18" i="6"/>
  <c r="D18" i="6"/>
  <c r="C18" i="6"/>
  <c r="B18" i="6"/>
  <c r="J17" i="6"/>
  <c r="I17" i="6"/>
  <c r="H17" i="6"/>
  <c r="G17" i="6"/>
  <c r="F17" i="6"/>
  <c r="E17" i="6"/>
  <c r="D17" i="6"/>
  <c r="C17" i="6"/>
  <c r="B17" i="6"/>
  <c r="J16" i="6"/>
  <c r="I16" i="6"/>
  <c r="H16" i="6"/>
  <c r="G16" i="6"/>
  <c r="F16" i="6"/>
  <c r="E16" i="6"/>
  <c r="D16" i="6"/>
  <c r="C16" i="6"/>
  <c r="B16" i="6"/>
  <c r="J15" i="6"/>
  <c r="I15" i="6"/>
  <c r="H15" i="6"/>
  <c r="G15" i="6"/>
  <c r="F15" i="6"/>
  <c r="E15" i="6"/>
  <c r="D15" i="6"/>
  <c r="C15" i="6"/>
  <c r="B15" i="6"/>
  <c r="J14" i="6"/>
  <c r="I14" i="6"/>
  <c r="H14" i="6"/>
  <c r="F14" i="6"/>
  <c r="E14" i="6"/>
  <c r="D14" i="6"/>
  <c r="C14" i="6"/>
  <c r="B14" i="6"/>
  <c r="B13" i="6"/>
  <c r="H10" i="6"/>
  <c r="D10" i="6"/>
  <c r="D9" i="6"/>
  <c r="H8" i="6"/>
  <c r="G8" i="6"/>
  <c r="F8" i="6"/>
  <c r="E8" i="6"/>
  <c r="D8" i="6"/>
  <c r="C8" i="6"/>
  <c r="H7" i="6"/>
  <c r="G7" i="6"/>
  <c r="F7" i="6"/>
  <c r="E7" i="6"/>
  <c r="D7" i="6"/>
  <c r="C7" i="6"/>
  <c r="G59" i="5"/>
  <c r="F59" i="5"/>
  <c r="E59" i="5"/>
  <c r="D59" i="5"/>
  <c r="C59" i="5"/>
  <c r="G58" i="5"/>
  <c r="F58" i="5"/>
  <c r="E58" i="5"/>
  <c r="D58" i="5"/>
  <c r="C58" i="5"/>
  <c r="G57" i="5"/>
  <c r="F57" i="5"/>
  <c r="E57" i="5"/>
  <c r="D57" i="5"/>
  <c r="C57" i="5"/>
  <c r="G56" i="5"/>
  <c r="F56" i="5"/>
  <c r="E56" i="5"/>
  <c r="D56" i="5"/>
  <c r="C56" i="5"/>
  <c r="G55" i="5"/>
  <c r="F55" i="5"/>
  <c r="E55" i="5"/>
  <c r="D55" i="5"/>
  <c r="C55" i="5"/>
  <c r="G52" i="5"/>
  <c r="F52" i="5"/>
  <c r="E52" i="5"/>
  <c r="D52" i="5"/>
  <c r="C52" i="5"/>
  <c r="B52" i="5"/>
  <c r="G50" i="5"/>
  <c r="F50" i="5"/>
  <c r="E50" i="5"/>
  <c r="D50" i="5"/>
  <c r="C50" i="5"/>
  <c r="B50" i="5"/>
  <c r="G49" i="5"/>
  <c r="F49" i="5"/>
  <c r="E49" i="5"/>
  <c r="D49" i="5"/>
  <c r="C49" i="5"/>
  <c r="B49" i="5"/>
  <c r="G48" i="5"/>
  <c r="F48" i="5"/>
  <c r="E48" i="5"/>
  <c r="D48" i="5"/>
  <c r="C48" i="5"/>
  <c r="B48" i="5"/>
  <c r="G46" i="5"/>
  <c r="F46" i="5"/>
  <c r="E46" i="5"/>
  <c r="D46" i="5"/>
  <c r="C46" i="5"/>
  <c r="B46" i="5"/>
  <c r="G45" i="5"/>
  <c r="F45" i="5"/>
  <c r="E45" i="5"/>
  <c r="D45" i="5"/>
  <c r="C45" i="5"/>
  <c r="B45" i="5"/>
  <c r="G44" i="5"/>
  <c r="F44" i="5"/>
  <c r="E44" i="5"/>
  <c r="D44" i="5"/>
  <c r="C44" i="5"/>
  <c r="B44" i="5"/>
  <c r="G39" i="5"/>
  <c r="F39" i="5"/>
  <c r="E39" i="5"/>
  <c r="D39" i="5"/>
  <c r="C39" i="5"/>
  <c r="B39" i="5"/>
  <c r="G38" i="5"/>
  <c r="F38" i="5"/>
  <c r="E38" i="5"/>
  <c r="D38" i="5"/>
  <c r="C38" i="5"/>
  <c r="B38" i="5"/>
  <c r="G36" i="5"/>
  <c r="F36" i="5"/>
  <c r="E36" i="5"/>
  <c r="D36" i="5"/>
  <c r="C36" i="5"/>
  <c r="B36" i="5"/>
  <c r="G35" i="5"/>
  <c r="F35" i="5"/>
  <c r="E35" i="5"/>
  <c r="D35" i="5"/>
  <c r="C35" i="5"/>
  <c r="G34" i="5"/>
  <c r="F34" i="5"/>
  <c r="E34" i="5"/>
  <c r="D34" i="5"/>
  <c r="C34" i="5"/>
  <c r="B34" i="5"/>
  <c r="G32" i="5"/>
  <c r="F32" i="5"/>
  <c r="E32" i="5"/>
  <c r="D32" i="5"/>
  <c r="C32" i="5"/>
  <c r="B32" i="5"/>
  <c r="G31" i="5"/>
  <c r="F31" i="5"/>
  <c r="E31" i="5"/>
  <c r="D31" i="5"/>
  <c r="C31" i="5"/>
  <c r="B31" i="5"/>
  <c r="G30" i="5"/>
  <c r="F30" i="5"/>
  <c r="E30" i="5"/>
  <c r="D30" i="5"/>
  <c r="C30" i="5"/>
  <c r="B30" i="5"/>
  <c r="G29" i="5"/>
  <c r="F29" i="5"/>
  <c r="E29" i="5"/>
  <c r="D29" i="5"/>
  <c r="C29" i="5"/>
  <c r="G27" i="5"/>
  <c r="F27" i="5"/>
  <c r="E27" i="5"/>
  <c r="D27" i="5"/>
  <c r="C27" i="5"/>
  <c r="B27" i="5"/>
  <c r="G26" i="5"/>
  <c r="F26" i="5"/>
  <c r="E26" i="5"/>
  <c r="D26" i="5"/>
  <c r="C26" i="5"/>
  <c r="B26" i="5"/>
  <c r="G25" i="5"/>
  <c r="F25" i="5"/>
  <c r="E25" i="5"/>
  <c r="D25" i="5"/>
  <c r="C25" i="5"/>
  <c r="G24" i="5"/>
  <c r="F24" i="5"/>
  <c r="E24" i="5"/>
  <c r="D24" i="5"/>
  <c r="C24" i="5"/>
  <c r="B24" i="5"/>
  <c r="G23" i="5"/>
  <c r="F23" i="5"/>
  <c r="E23" i="5"/>
  <c r="D23" i="5"/>
  <c r="C23" i="5"/>
  <c r="B23" i="5"/>
  <c r="G22" i="5"/>
  <c r="F22" i="5"/>
  <c r="E22" i="5"/>
  <c r="D22" i="5"/>
  <c r="C22" i="5"/>
  <c r="B22" i="5"/>
  <c r="G17" i="5"/>
  <c r="F17" i="5"/>
  <c r="E17" i="5"/>
  <c r="D17" i="5"/>
  <c r="C17" i="5"/>
  <c r="G16" i="5"/>
  <c r="F16" i="5"/>
  <c r="E16" i="5"/>
  <c r="D16" i="5"/>
  <c r="C16" i="5"/>
  <c r="G15" i="5"/>
  <c r="F15" i="5"/>
  <c r="E15" i="5"/>
  <c r="D15" i="5"/>
  <c r="C15" i="5"/>
  <c r="G14" i="5"/>
  <c r="F14" i="5"/>
  <c r="E14" i="5"/>
  <c r="D14" i="5"/>
  <c r="C14" i="5"/>
  <c r="G13" i="5"/>
  <c r="F13" i="5"/>
  <c r="E13" i="5"/>
  <c r="D13" i="5"/>
  <c r="C13" i="5"/>
  <c r="G12" i="5"/>
  <c r="F12" i="5"/>
  <c r="E12" i="5"/>
  <c r="D12" i="5"/>
  <c r="C12" i="5"/>
  <c r="G11" i="5"/>
  <c r="F11" i="5"/>
  <c r="E11" i="5"/>
  <c r="D11" i="5"/>
  <c r="C11" i="5"/>
  <c r="G10" i="5"/>
  <c r="F10" i="5"/>
  <c r="E10" i="5"/>
  <c r="D10" i="5"/>
  <c r="C10" i="5"/>
  <c r="G9" i="5"/>
  <c r="F9" i="5"/>
  <c r="E9" i="5"/>
  <c r="D9" i="5"/>
  <c r="C9" i="5"/>
  <c r="G8" i="5"/>
  <c r="F8" i="5"/>
  <c r="E8" i="5"/>
  <c r="D8" i="5"/>
  <c r="C8" i="5"/>
  <c r="G7" i="5"/>
  <c r="F7" i="5"/>
  <c r="E7" i="5"/>
  <c r="D7" i="5"/>
  <c r="C7" i="5"/>
  <c r="G6" i="5"/>
  <c r="F6" i="5"/>
  <c r="E6" i="5"/>
  <c r="D6" i="5"/>
  <c r="C6" i="5"/>
  <c r="D16" i="4"/>
  <c r="D14" i="4"/>
  <c r="J13" i="4"/>
  <c r="I13" i="4"/>
  <c r="H13" i="4"/>
  <c r="G13" i="4"/>
  <c r="F13" i="4"/>
  <c r="J12" i="4"/>
  <c r="I12" i="4"/>
  <c r="H12" i="4"/>
  <c r="G12" i="4"/>
  <c r="F12" i="4"/>
  <c r="D12" i="4"/>
  <c r="J11" i="4"/>
  <c r="I11" i="4"/>
  <c r="H11" i="4"/>
  <c r="G11" i="4"/>
  <c r="F11" i="4"/>
  <c r="D11" i="4"/>
  <c r="J10" i="4"/>
  <c r="I10" i="4"/>
  <c r="H10" i="4"/>
  <c r="G10" i="4"/>
  <c r="F10" i="4"/>
  <c r="D10" i="4"/>
  <c r="J9" i="4"/>
  <c r="I9" i="4"/>
  <c r="H9" i="4"/>
  <c r="G9" i="4"/>
  <c r="F9" i="4"/>
  <c r="D9" i="4"/>
  <c r="J8" i="4"/>
  <c r="D8" i="4"/>
  <c r="C4" i="4"/>
  <c r="F34" i="2"/>
  <c r="E34" i="2"/>
  <c r="D34" i="2"/>
  <c r="C34" i="2"/>
  <c r="B34" i="2"/>
  <c r="F33" i="2"/>
  <c r="E33" i="2"/>
  <c r="D33" i="2"/>
  <c r="C33" i="2"/>
  <c r="B33" i="2"/>
  <c r="F32" i="2"/>
  <c r="E32" i="2"/>
  <c r="D32" i="2"/>
  <c r="C32" i="2"/>
  <c r="B32" i="2"/>
  <c r="B31" i="2"/>
  <c r="C5" i="5" s="1"/>
  <c r="C20" i="5" s="1"/>
  <c r="W27" i="2"/>
  <c r="V27" i="2"/>
  <c r="U27" i="2"/>
  <c r="T27" i="2"/>
  <c r="F27" i="2"/>
  <c r="E27" i="2"/>
  <c r="D27" i="2"/>
  <c r="W26" i="2"/>
  <c r="V26" i="2"/>
  <c r="U26" i="2"/>
  <c r="T26" i="2"/>
  <c r="S26" i="2"/>
  <c r="R26" i="2"/>
  <c r="Q26" i="2"/>
  <c r="P26" i="2"/>
  <c r="O26" i="2"/>
  <c r="N26" i="2"/>
  <c r="M26" i="2"/>
  <c r="L26" i="2"/>
  <c r="F26" i="2"/>
  <c r="E26" i="2"/>
  <c r="C26" i="2"/>
  <c r="B26" i="2"/>
  <c r="A26" i="2"/>
  <c r="W25" i="2"/>
  <c r="V25" i="2"/>
  <c r="U25" i="2"/>
  <c r="T25" i="2"/>
  <c r="S25" i="2"/>
  <c r="R25" i="2"/>
  <c r="Q25" i="2"/>
  <c r="P25" i="2"/>
  <c r="O25" i="2"/>
  <c r="N25" i="2"/>
  <c r="M25" i="2"/>
  <c r="L25" i="2"/>
  <c r="F25" i="2"/>
  <c r="E25" i="2"/>
  <c r="C25" i="2"/>
  <c r="B25" i="2"/>
  <c r="A25" i="2"/>
  <c r="W24" i="2"/>
  <c r="V24" i="2"/>
  <c r="U24" i="2"/>
  <c r="T24" i="2"/>
  <c r="S24" i="2"/>
  <c r="R24" i="2"/>
  <c r="Q24" i="2"/>
  <c r="P24" i="2"/>
  <c r="O24" i="2"/>
  <c r="N24" i="2"/>
  <c r="M24" i="2"/>
  <c r="L24" i="2"/>
  <c r="F24" i="2"/>
  <c r="E24" i="2"/>
  <c r="C24" i="2"/>
  <c r="B24" i="2"/>
  <c r="A24" i="2"/>
  <c r="W23" i="2"/>
  <c r="V23" i="2"/>
  <c r="U23" i="2"/>
  <c r="T23" i="2"/>
  <c r="S23" i="2"/>
  <c r="R23" i="2"/>
  <c r="Q23" i="2"/>
  <c r="P23" i="2"/>
  <c r="O23" i="2"/>
  <c r="N23" i="2"/>
  <c r="M23" i="2"/>
  <c r="L23" i="2"/>
  <c r="F23" i="2"/>
  <c r="E23" i="2"/>
  <c r="C23" i="2"/>
  <c r="B23" i="2"/>
  <c r="A23" i="2"/>
  <c r="W22" i="2"/>
  <c r="V22" i="2"/>
  <c r="U22" i="2"/>
  <c r="T22" i="2"/>
  <c r="S22" i="2"/>
  <c r="R22" i="2"/>
  <c r="Q22" i="2"/>
  <c r="P22" i="2"/>
  <c r="O22" i="2"/>
  <c r="N22" i="2"/>
  <c r="M22" i="2"/>
  <c r="L22" i="2"/>
  <c r="F22" i="2"/>
  <c r="E22" i="2"/>
  <c r="C22" i="2"/>
  <c r="B22" i="2"/>
  <c r="A22" i="2"/>
  <c r="W21" i="2"/>
  <c r="V21" i="2"/>
  <c r="U21" i="2"/>
  <c r="T21" i="2"/>
  <c r="S21" i="2"/>
  <c r="R21" i="2"/>
  <c r="Q21" i="2"/>
  <c r="P21" i="2"/>
  <c r="O21" i="2"/>
  <c r="N21" i="2"/>
  <c r="M21" i="2"/>
  <c r="L21" i="2"/>
  <c r="F21" i="2"/>
  <c r="E21" i="2"/>
  <c r="C21" i="2"/>
  <c r="B21" i="2"/>
  <c r="A21" i="2"/>
  <c r="W20" i="2"/>
  <c r="V20" i="2"/>
  <c r="U20" i="2"/>
  <c r="T20" i="2"/>
  <c r="S20" i="2"/>
  <c r="R20" i="2"/>
  <c r="Q20" i="2"/>
  <c r="P20" i="2"/>
  <c r="O20" i="2"/>
  <c r="N20" i="2"/>
  <c r="M20" i="2"/>
  <c r="L20" i="2"/>
  <c r="F20" i="2"/>
  <c r="E20" i="2"/>
  <c r="C20" i="2"/>
  <c r="B20" i="2"/>
  <c r="A20" i="2"/>
  <c r="W19" i="2"/>
  <c r="V19" i="2"/>
  <c r="U19" i="2"/>
  <c r="T19" i="2"/>
  <c r="S19" i="2"/>
  <c r="R19" i="2"/>
  <c r="Q19" i="2"/>
  <c r="P19" i="2"/>
  <c r="O19" i="2"/>
  <c r="N19" i="2"/>
  <c r="M19" i="2"/>
  <c r="L19" i="2"/>
  <c r="F19" i="2"/>
  <c r="E19" i="2"/>
  <c r="C19" i="2"/>
  <c r="B19" i="2"/>
  <c r="A19" i="2"/>
  <c r="W18" i="2"/>
  <c r="V18" i="2"/>
  <c r="U18" i="2"/>
  <c r="T18" i="2"/>
  <c r="S18" i="2"/>
  <c r="R18" i="2"/>
  <c r="Q18" i="2"/>
  <c r="P18" i="2"/>
  <c r="O18" i="2"/>
  <c r="N18" i="2"/>
  <c r="M18" i="2"/>
  <c r="L18" i="2"/>
  <c r="F18" i="2"/>
  <c r="E18" i="2"/>
  <c r="C18" i="2"/>
  <c r="B18" i="2"/>
  <c r="A18" i="2"/>
  <c r="W17" i="2"/>
  <c r="V17" i="2"/>
  <c r="U17" i="2"/>
  <c r="T17" i="2"/>
  <c r="S17" i="2"/>
  <c r="R17" i="2"/>
  <c r="Q17" i="2"/>
  <c r="P17" i="2"/>
  <c r="O17" i="2"/>
  <c r="N17" i="2"/>
  <c r="M17" i="2"/>
  <c r="L17" i="2"/>
  <c r="F17" i="2"/>
  <c r="E17" i="2"/>
  <c r="C17" i="2"/>
  <c r="B17" i="2"/>
  <c r="A17" i="2"/>
  <c r="W16" i="2"/>
  <c r="V16" i="2"/>
  <c r="U16" i="2"/>
  <c r="T16" i="2"/>
  <c r="S16" i="2"/>
  <c r="R16" i="2"/>
  <c r="Q16" i="2"/>
  <c r="P16" i="2"/>
  <c r="W13" i="2"/>
  <c r="V13" i="2"/>
  <c r="U13" i="2"/>
  <c r="T13" i="2"/>
  <c r="F13" i="2"/>
  <c r="E13" i="2"/>
  <c r="W12" i="2"/>
  <c r="V12" i="2"/>
  <c r="U12" i="2"/>
  <c r="T12" i="2"/>
  <c r="S12" i="2"/>
  <c r="R12" i="2"/>
  <c r="Q12" i="2"/>
  <c r="P12" i="2"/>
  <c r="O12" i="2"/>
  <c r="N12" i="2"/>
  <c r="M12" i="2"/>
  <c r="L12" i="2"/>
  <c r="F12" i="2"/>
  <c r="E12" i="2"/>
  <c r="A12" i="2"/>
  <c r="W11" i="2"/>
  <c r="V11" i="2"/>
  <c r="U11" i="2"/>
  <c r="T11" i="2"/>
  <c r="S11" i="2"/>
  <c r="R11" i="2"/>
  <c r="Q11" i="2"/>
  <c r="P11" i="2"/>
  <c r="O11" i="2"/>
  <c r="N11" i="2"/>
  <c r="M11" i="2"/>
  <c r="L11" i="2"/>
  <c r="F11" i="2"/>
  <c r="E11" i="2"/>
  <c r="A11" i="2"/>
  <c r="W10" i="2"/>
  <c r="V10" i="2"/>
  <c r="U10" i="2"/>
  <c r="T10" i="2"/>
  <c r="S10" i="2"/>
  <c r="R10" i="2"/>
  <c r="Q10" i="2"/>
  <c r="P10" i="2"/>
  <c r="O10" i="2"/>
  <c r="N10" i="2"/>
  <c r="M10" i="2"/>
  <c r="L10" i="2"/>
  <c r="F10" i="2"/>
  <c r="E10" i="2"/>
  <c r="A10" i="2"/>
  <c r="W9" i="2"/>
  <c r="V9" i="2"/>
  <c r="U9" i="2"/>
  <c r="T9" i="2"/>
  <c r="S9" i="2"/>
  <c r="R9" i="2"/>
  <c r="Q9" i="2"/>
  <c r="P9" i="2"/>
  <c r="O9" i="2"/>
  <c r="N9" i="2"/>
  <c r="M9" i="2"/>
  <c r="L9" i="2"/>
  <c r="F9" i="2"/>
  <c r="E9" i="2"/>
  <c r="A9" i="2"/>
  <c r="W8" i="2"/>
  <c r="V8" i="2"/>
  <c r="U8" i="2"/>
  <c r="T8" i="2"/>
  <c r="S8" i="2"/>
  <c r="R8" i="2"/>
  <c r="Q8" i="2"/>
  <c r="P8" i="2"/>
  <c r="O8" i="2"/>
  <c r="N8" i="2"/>
  <c r="M8" i="2"/>
  <c r="L8" i="2"/>
  <c r="F8" i="2"/>
  <c r="E8" i="2"/>
  <c r="A8" i="2"/>
  <c r="W7" i="2"/>
  <c r="V7" i="2"/>
  <c r="U7" i="2"/>
  <c r="T7" i="2"/>
  <c r="S7" i="2"/>
  <c r="R7" i="2"/>
  <c r="Q7" i="2"/>
  <c r="P7" i="2"/>
  <c r="O7" i="2"/>
  <c r="N7" i="2"/>
  <c r="M7" i="2"/>
  <c r="L7" i="2"/>
  <c r="F7" i="2"/>
  <c r="E7" i="2"/>
  <c r="A7" i="2"/>
  <c r="W6" i="2"/>
  <c r="V6" i="2"/>
  <c r="U6" i="2"/>
  <c r="T6" i="2"/>
  <c r="S6" i="2"/>
  <c r="R6" i="2"/>
  <c r="Q6" i="2"/>
  <c r="P6" i="2"/>
  <c r="O6" i="2"/>
  <c r="N6" i="2"/>
  <c r="M6" i="2"/>
  <c r="L6" i="2"/>
  <c r="F6" i="2"/>
  <c r="E6" i="2"/>
  <c r="A6" i="2"/>
  <c r="W5" i="2"/>
  <c r="V5" i="2"/>
  <c r="U5" i="2"/>
  <c r="T5" i="2"/>
  <c r="S5" i="2"/>
  <c r="R5" i="2"/>
  <c r="Q5" i="2"/>
  <c r="P5" i="2"/>
  <c r="O5" i="2"/>
  <c r="N5" i="2"/>
  <c r="M5" i="2"/>
  <c r="L5" i="2"/>
  <c r="F5" i="2"/>
  <c r="E5" i="2"/>
  <c r="C5" i="2"/>
  <c r="A5" i="2"/>
  <c r="W4" i="2"/>
  <c r="V4" i="2"/>
  <c r="U4" i="2"/>
  <c r="T4" i="2"/>
  <c r="S4" i="2"/>
  <c r="R4" i="2"/>
  <c r="Q4" i="2"/>
  <c r="P4" i="2"/>
  <c r="O4" i="2"/>
  <c r="N4" i="2"/>
  <c r="M4" i="2"/>
  <c r="L4" i="2"/>
  <c r="F4" i="2"/>
  <c r="E4" i="2"/>
  <c r="C4" i="2"/>
  <c r="A4" i="2"/>
  <c r="W3" i="2"/>
  <c r="V3" i="2"/>
  <c r="U3" i="2"/>
  <c r="T3" i="2"/>
  <c r="S3" i="2"/>
  <c r="R3" i="2"/>
  <c r="Q3" i="2"/>
  <c r="P3" i="2"/>
  <c r="O3" i="2"/>
  <c r="N3" i="2"/>
  <c r="M3" i="2"/>
  <c r="L3" i="2"/>
  <c r="F3" i="2"/>
  <c r="E3" i="2"/>
  <c r="C3" i="2"/>
  <c r="G2" i="2"/>
  <c r="H2" i="2" s="1"/>
  <c r="F31" i="3"/>
  <c r="C23" i="3"/>
  <c r="F17" i="3"/>
  <c r="G12" i="3"/>
  <c r="C12" i="3"/>
  <c r="G11" i="3"/>
  <c r="G10" i="3"/>
  <c r="G9" i="3"/>
  <c r="G8" i="3"/>
  <c r="G7" i="3"/>
  <c r="G6" i="3"/>
  <c r="G5" i="3"/>
  <c r="D6" i="6" l="1"/>
  <c r="C43" i="5"/>
  <c r="I2" i="2"/>
  <c r="B29" i="3"/>
  <c r="M2" i="2"/>
  <c r="C31" i="2"/>
  <c r="B28" i="3"/>
  <c r="Z3" i="2"/>
  <c r="AA3" i="2" s="1"/>
  <c r="AB3" i="2" s="1"/>
  <c r="AC3" i="2" s="1"/>
  <c r="E9" i="4"/>
  <c r="L2" i="2"/>
  <c r="L16" i="2" s="1"/>
  <c r="E10" i="4" l="1"/>
  <c r="D5" i="5"/>
  <c r="D20" i="5" s="1"/>
  <c r="D31" i="2"/>
  <c r="N2" i="2"/>
  <c r="M16" i="2"/>
  <c r="B30" i="3"/>
  <c r="J2" i="2"/>
  <c r="B31" i="3" s="1"/>
  <c r="N16" i="2" l="1"/>
  <c r="O2" i="2"/>
  <c r="O16" i="2" s="1"/>
  <c r="E31" i="2"/>
  <c r="E5" i="5"/>
  <c r="E20" i="5" s="1"/>
  <c r="E11" i="4"/>
  <c r="E6" i="6"/>
  <c r="D43" i="5"/>
  <c r="F6" i="6" l="1"/>
  <c r="E43" i="5"/>
  <c r="F5" i="5"/>
  <c r="F20" i="5" s="1"/>
  <c r="E12" i="4"/>
  <c r="F31" i="2"/>
  <c r="G5" i="5" l="1"/>
  <c r="G20" i="5" s="1"/>
  <c r="E13" i="4"/>
  <c r="G6" i="6"/>
  <c r="F43" i="5"/>
  <c r="H6" i="6" l="1"/>
  <c r="G4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Z1" authorId="0" shapeId="0" xr:uid="{00000000-0006-0000-0100-000001000000}">
      <text>
        <r>
          <rPr>
            <sz val="10"/>
            <color rgb="FF000000"/>
            <rFont val="Arial"/>
            <family val="2"/>
          </rPr>
          <t xml:space="preserve">DARIO MAURICIO REYES GIRALDO:
</t>
        </r>
        <r>
          <rPr>
            <sz val="9"/>
            <color rgb="FF000000"/>
            <rFont val="Tahoma"/>
            <family val="2"/>
          </rPr>
          <t>Defina el año base o de inicio de la operación del negocio.</t>
        </r>
      </text>
    </comment>
    <comment ref="G3" authorId="0" shapeId="0" xr:uid="{00000000-0006-0000-0100-000002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H3" authorId="0" shapeId="0" xr:uid="{00000000-0006-0000-0100-000003000000}">
      <text>
        <r>
          <rPr>
            <sz val="10"/>
            <color rgb="FF00000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3" authorId="0" shapeId="0" xr:uid="{00000000-0006-0000-0100-000004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3" authorId="0" shapeId="0" xr:uid="{00000000-0006-0000-0100-000005000000}">
      <text>
        <r>
          <rPr>
            <sz val="10"/>
            <color rgb="FF00000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C4" authorId="0" shapeId="0" xr:uid="{00000000-0006-0000-0100-000006000000}">
      <text>
        <r>
          <rPr>
            <sz val="10"/>
            <color rgb="FF000000"/>
            <rFont val="Arial"/>
            <charset val="134"/>
          </rPr>
          <t xml:space="preserve">DARIO MAURICIO REYES GIRALDO:
</t>
        </r>
        <r>
          <rPr>
            <sz val="9"/>
            <color rgb="FF000000"/>
            <rFont val="Tahoma"/>
            <charset val="134"/>
          </rPr>
          <t>Digita las cantidades a vender en el primer año de cada pdto/servicio.</t>
        </r>
      </text>
    </comment>
    <comment ref="D4" authorId="0" shapeId="0" xr:uid="{00000000-0006-0000-0100-000007000000}">
      <text>
        <r>
          <rPr>
            <sz val="10"/>
            <rFont val="Arial"/>
            <charset val="134"/>
          </rPr>
          <t xml:space="preserve">DARIO MAURICIO REYES GIRALDO:
</t>
        </r>
        <r>
          <rPr>
            <sz val="9"/>
            <color rgb="FF000000"/>
            <rFont val="Tahoma"/>
            <charset val="134"/>
          </rPr>
          <t>Digita el precio UNITARIO, sin IVA, de cada pdto/servicio.</t>
        </r>
      </text>
    </comment>
    <comment ref="H4" authorId="0" shapeId="0" xr:uid="{00000000-0006-0000-0100-000008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4" authorId="0" shapeId="0" xr:uid="{00000000-0006-0000-0100-000009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4" authorId="0" shapeId="0" xr:uid="{00000000-0006-0000-0100-00000A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Y4" authorId="0" shapeId="0" xr:uid="{00000000-0006-0000-0100-00000B000000}">
      <text>
        <r>
          <rPr>
            <sz val="10"/>
            <rFont val="Arial"/>
            <charset val="134"/>
          </rPr>
          <t xml:space="preserve">DARIO MAURICIO REYES GIRALDO:
</t>
        </r>
        <r>
          <rPr>
            <sz val="9"/>
            <color rgb="FF000000"/>
            <rFont val="Tahoma"/>
            <charset val="134"/>
          </rPr>
          <t>Actualizar los datos según proyecciones macroeconómicas. Se pueden buscar en la página web del Banco de la República o del Banco de Colombia.</t>
        </r>
      </text>
    </comment>
    <comment ref="H5" authorId="0" shapeId="0" xr:uid="{00000000-0006-0000-0100-00000C000000}">
      <text>
        <r>
          <rPr>
            <sz val="10"/>
            <color rgb="FF00000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5" authorId="0" shapeId="0" xr:uid="{00000000-0006-0000-0100-00000D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5" authorId="0" shapeId="0" xr:uid="{00000000-0006-0000-0100-00000E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Y5" authorId="0" shapeId="0" xr:uid="{00000000-0006-0000-0100-00000F000000}">
      <text>
        <r>
          <rPr>
            <sz val="10"/>
            <rFont val="Arial"/>
            <charset val="134"/>
          </rPr>
          <t xml:space="preserve">DARIO MAURICIO REYES GIRALDO:
</t>
        </r>
        <r>
          <rPr>
            <sz val="9"/>
            <color rgb="FF000000"/>
            <rFont val="Tahoma"/>
            <charset val="134"/>
          </rPr>
          <t>Actualizar los datos según proyecciones macroeconómicas. Se pueden buscar en la página web del Banco de la República o del Banco de Colombia.</t>
        </r>
      </text>
    </comment>
    <comment ref="H6" authorId="0" shapeId="0" xr:uid="{00000000-0006-0000-0100-000010000000}">
      <text>
        <r>
          <rPr>
            <sz val="10"/>
            <color rgb="FF00000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6" authorId="0" shapeId="0" xr:uid="{00000000-0006-0000-0100-000011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6" authorId="0" shapeId="0" xr:uid="{00000000-0006-0000-0100-000012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H7" authorId="0" shapeId="0" xr:uid="{00000000-0006-0000-0100-000013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7" authorId="0" shapeId="0" xr:uid="{00000000-0006-0000-0100-000014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7" authorId="0" shapeId="0" xr:uid="{00000000-0006-0000-0100-000015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AB7" authorId="0" shapeId="0" xr:uid="{00000000-0006-0000-0100-000016000000}">
      <text>
        <r>
          <rPr>
            <sz val="10"/>
            <rFont val="Arial"/>
            <charset val="134"/>
          </rPr>
          <t xml:space="preserve">DARIO MAURICIO REYES GIRALDO:
</t>
        </r>
        <r>
          <rPr>
            <sz val="9"/>
            <color rgb="FF000000"/>
            <rFont val="Tahoma"/>
            <charset val="134"/>
          </rPr>
          <t>incluya la tasa de impuesto de Renta vigente.</t>
        </r>
      </text>
    </comment>
    <comment ref="H8" authorId="0" shapeId="0" xr:uid="{00000000-0006-0000-0100-000017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8" authorId="0" shapeId="0" xr:uid="{00000000-0006-0000-0100-000018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8" authorId="0" shapeId="0" xr:uid="{00000000-0006-0000-0100-000019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C9" authorId="0" shapeId="0" xr:uid="{00000000-0006-0000-0100-00001A000000}">
      <text>
        <r>
          <rPr>
            <sz val="10"/>
            <color rgb="FF000000"/>
            <rFont val="Arial"/>
            <charset val="134"/>
          </rPr>
          <t xml:space="preserve">DARIO MAURICIO REYES GIRALDO:
</t>
        </r>
        <r>
          <rPr>
            <sz val="9"/>
            <color rgb="FF000000"/>
            <rFont val="Tahoma"/>
            <charset val="134"/>
          </rPr>
          <t>Digita las cantidades a vender en el primer año de cada pdto/servicio.</t>
        </r>
      </text>
    </comment>
    <comment ref="D9" authorId="0" shapeId="0" xr:uid="{00000000-0006-0000-0100-00001B000000}">
      <text>
        <r>
          <rPr>
            <sz val="10"/>
            <rFont val="Arial"/>
            <charset val="134"/>
          </rPr>
          <t xml:space="preserve">DARIO MAURICIO REYES GIRALDO:
</t>
        </r>
        <r>
          <rPr>
            <sz val="9"/>
            <color rgb="FF000000"/>
            <rFont val="Tahoma"/>
            <charset val="134"/>
          </rPr>
          <t>Digita el precio UNITARIO, sin IVA, de cada pdto/servicio.</t>
        </r>
      </text>
    </comment>
    <comment ref="H9" authorId="0" shapeId="0" xr:uid="{00000000-0006-0000-0100-00001C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9" authorId="0" shapeId="0" xr:uid="{00000000-0006-0000-0100-00001D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9" authorId="0" shapeId="0" xr:uid="{00000000-0006-0000-0100-00001E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H10" authorId="0" shapeId="0" xr:uid="{00000000-0006-0000-0100-00001F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I10" authorId="0" shapeId="0" xr:uid="{00000000-0006-0000-0100-000020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J10" authorId="0" shapeId="0" xr:uid="{00000000-0006-0000-0100-000021000000}">
      <text>
        <r>
          <rPr>
            <sz val="10"/>
            <rFont val="Arial"/>
            <charset val="134"/>
          </rPr>
          <t xml:space="preserve">DARIO MAURICIO REYES GIRALDO:
</t>
        </r>
        <r>
          <rPr>
            <sz val="9"/>
            <color rgb="FF000000"/>
            <rFont val="Tahoma"/>
            <charset val="134"/>
          </rPr>
          <t>Ingrese en cada celda el crecimiento porcentual que se espera en las ventas para cada línea de producto o servicio, al pasar de un año a otro.</t>
        </r>
      </text>
    </comment>
    <comment ref="D17" authorId="0" shapeId="0" xr:uid="{00000000-0006-0000-0100-000022000000}">
      <text>
        <r>
          <rPr>
            <sz val="10"/>
            <color rgb="FF000000"/>
            <rFont val="Arial"/>
            <charset val="134"/>
          </rPr>
          <t xml:space="preserve">DARIO MAURICIO REYES GIRALDO:
</t>
        </r>
        <r>
          <rPr>
            <sz val="9"/>
            <color rgb="FF000000"/>
            <rFont val="Tahoma"/>
            <charset val="134"/>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4" authorId="0" shapeId="0" xr:uid="{00000000-0006-0000-0200-000001000000}">
      <text>
        <r>
          <rPr>
            <sz val="10"/>
            <rFont val="Arial"/>
            <charset val="134"/>
          </rPr>
          <t xml:space="preserve">DARIO MAURICIO REYES GIRALDO:
</t>
        </r>
        <r>
          <rPr>
            <sz val="9"/>
            <color rgb="FF000000"/>
            <rFont val="Tahoma"/>
            <charset val="134"/>
          </rPr>
          <t>Todos los valores deben se anuales.</t>
        </r>
      </text>
    </comment>
    <comment ref="C18" authorId="0" shapeId="0" xr:uid="{00000000-0006-0000-0200-000002000000}">
      <text>
        <r>
          <rPr>
            <sz val="10"/>
            <color rgb="FF000000"/>
            <rFont val="Arial"/>
            <charset val="134"/>
          </rPr>
          <t xml:space="preserve">DARIO MAURICIO REYES GIRALDO:
</t>
        </r>
        <r>
          <rPr>
            <sz val="9"/>
            <color rgb="FF000000"/>
            <rFont val="Tahoma"/>
            <charset val="134"/>
          </rPr>
          <t>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sz val="10"/>
            <rFont val="Arial"/>
            <charset val="134"/>
          </rPr>
          <t xml:space="preserve">DARIO MAURICIO REYES GIRALDO:
</t>
        </r>
        <r>
          <rPr>
            <sz val="9"/>
            <color rgb="FF000000"/>
            <rFont val="Tahoma"/>
            <charset val="134"/>
          </rPr>
          <t>Todos los valores deben se anuales.</t>
        </r>
      </text>
    </comment>
    <comment ref="C20" authorId="0" shapeId="0" xr:uid="{00000000-0006-0000-0200-000004000000}">
      <text>
        <r>
          <rPr>
            <sz val="10"/>
            <color rgb="FF000000"/>
            <rFont val="Arial"/>
            <charset val="134"/>
          </rPr>
          <t xml:space="preserve">DARIO MAURICIO REYES GIRALDO:
</t>
        </r>
        <r>
          <rPr>
            <sz val="9"/>
            <color rgb="FF000000"/>
            <rFont val="Tahoma"/>
            <charset val="134"/>
          </rPr>
          <t>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sz val="10"/>
            <color rgb="FF000000"/>
            <rFont val="Arial"/>
            <charset val="134"/>
          </rPr>
          <t xml:space="preserve">DARIO MAURICIO REYES GIRALDO:
</t>
        </r>
        <r>
          <rPr>
            <sz val="9"/>
            <color rgb="FF000000"/>
            <rFont val="Tahoma"/>
            <charset val="134"/>
          </rPr>
          <t>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sz val="10"/>
            <color rgb="FF000000"/>
            <rFont val="Arial"/>
            <charset val="134"/>
          </rPr>
          <t xml:space="preserve">DARIO MAURICIO REYES GIRALDO:
</t>
        </r>
        <r>
          <rPr>
            <sz val="9"/>
            <color rgb="FF000000"/>
            <rFont val="Tahoma"/>
            <charset val="134"/>
          </rPr>
          <t>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sz val="10"/>
            <rFont val="Arial"/>
            <charset val="134"/>
          </rPr>
          <t xml:space="preserve">DARIO MAURICIO REYES GIRALDO:
</t>
        </r>
        <r>
          <rPr>
            <sz val="9"/>
            <color rgb="FF000000"/>
            <rFont val="Tahoma"/>
            <charset val="134"/>
          </rPr>
          <t>Digite el nombre de los rubros adicionales.</t>
        </r>
      </text>
    </comment>
    <comment ref="E26" authorId="0" shapeId="0" xr:uid="{00000000-0006-0000-0200-000008000000}">
      <text>
        <r>
          <rPr>
            <sz val="10"/>
            <color rgb="FF000000"/>
            <rFont val="Arial"/>
            <family val="2"/>
          </rPr>
          <t xml:space="preserve">DARIO MAURICIO REYES GIRALDO:
</t>
        </r>
        <r>
          <rPr>
            <sz val="9"/>
            <color rgb="FF000000"/>
            <rFont val="Tahoma"/>
            <family val="2"/>
          </rPr>
          <t>Digite el nombre de los rubros adicionales.</t>
        </r>
      </text>
    </comment>
    <comment ref="E27" authorId="0" shapeId="0" xr:uid="{00000000-0006-0000-0200-000009000000}">
      <text>
        <r>
          <rPr>
            <sz val="10"/>
            <rFont val="Arial"/>
            <charset val="134"/>
          </rPr>
          <t xml:space="preserve">DARIO MAURICIO REYES GIRALDO:
</t>
        </r>
        <r>
          <rPr>
            <sz val="9"/>
            <color rgb="FF000000"/>
            <rFont val="Tahoma"/>
            <charset val="134"/>
          </rPr>
          <t>Digite el nombre de los rubros adicionales.</t>
        </r>
      </text>
    </comment>
    <comment ref="E28" authorId="0" shapeId="0" xr:uid="{00000000-0006-0000-0200-00000A000000}">
      <text>
        <r>
          <rPr>
            <sz val="10"/>
            <rFont val="Arial"/>
            <charset val="134"/>
          </rPr>
          <t xml:space="preserve">DARIO MAURICIO REYES GIRALDO:
</t>
        </r>
        <r>
          <rPr>
            <sz val="9"/>
            <color rgb="FF000000"/>
            <rFont val="Tahoma"/>
            <charset val="134"/>
          </rPr>
          <t>Digite el nombre de los rubros adicionales.</t>
        </r>
      </text>
    </comment>
    <comment ref="E29" authorId="0" shapeId="0" xr:uid="{00000000-0006-0000-0200-00000B000000}">
      <text>
        <r>
          <rPr>
            <sz val="10"/>
            <rFont val="Arial"/>
            <charset val="134"/>
          </rPr>
          <t xml:space="preserve">DARIO MAURICIO REYES GIRALDO:
</t>
        </r>
        <r>
          <rPr>
            <sz val="9"/>
            <color rgb="FF000000"/>
            <rFont val="Tahoma"/>
            <charset val="134"/>
          </rPr>
          <t>Digite el nombre de los rubros adicionales.</t>
        </r>
      </text>
    </comment>
    <comment ref="E30" authorId="0" shapeId="0" xr:uid="{00000000-0006-0000-0200-00000C000000}">
      <text>
        <r>
          <rPr>
            <sz val="10"/>
            <rFont val="Arial"/>
            <charset val="134"/>
          </rPr>
          <t xml:space="preserve">DARIO MAURICIO REYES GIRALDO:
</t>
        </r>
        <r>
          <rPr>
            <sz val="9"/>
            <color rgb="FF000000"/>
            <rFont val="Tahoma"/>
            <charset val="134"/>
          </rPr>
          <t>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F4" authorId="0" shapeId="0" xr:uid="{00000000-0006-0000-0300-000001000000}">
      <text>
        <r>
          <rPr>
            <sz val="10"/>
            <color rgb="FF000000"/>
            <rFont val="Arial"/>
            <charset val="134"/>
          </rPr>
          <t xml:space="preserve">DARIO MAURICIO REYES GIRALDO:
</t>
        </r>
        <r>
          <rPr>
            <sz val="9"/>
            <color rgb="FF000000"/>
            <rFont val="Tahoma"/>
            <charset val="134"/>
          </rPr>
          <t>Digite la tasa de interés anual a la que un banco les podría prestar esete dinero.</t>
        </r>
      </text>
    </comment>
    <comment ref="J4" authorId="0" shapeId="0" xr:uid="{00000000-0006-0000-0300-000002000000}">
      <text>
        <r>
          <rPr>
            <sz val="10"/>
            <rFont val="Arial"/>
            <charset val="134"/>
          </rPr>
          <t xml:space="preserve">DARIO MAURICIO REYES GIRALDO:
</t>
        </r>
        <r>
          <rPr>
            <sz val="9"/>
            <color rgb="FF000000"/>
            <rFont val="Tahoma"/>
            <charset val="134"/>
          </rPr>
          <t>Escoja un valor entre 1 y 5.</t>
        </r>
      </text>
    </comment>
    <comment ref="C7" authorId="0" shapeId="0" xr:uid="{00000000-0006-0000-0300-000003000000}">
      <text>
        <r>
          <rPr>
            <sz val="10"/>
            <rFont val="Arial"/>
            <charset val="134"/>
          </rPr>
          <t xml:space="preserve">DARIO MAURICIO REYES GIRALDO:
</t>
        </r>
        <r>
          <rPr>
            <sz val="9"/>
            <color rgb="FF000000"/>
            <rFont val="Tahoma"/>
            <charset val="134"/>
          </rPr>
          <t>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sz val="10"/>
            <color rgb="FF000000"/>
            <rFont val="Arial"/>
            <charset val="134"/>
          </rPr>
          <t xml:space="preserve">DARIO MAURICIO REYES GIRALDO:
</t>
        </r>
        <r>
          <rPr>
            <sz val="9"/>
            <color rgb="FF000000"/>
            <rFont val="Tahoma"/>
            <charset val="134"/>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3" authorId="0" shapeId="0" xr:uid="{00000000-0006-0000-0500-000001000000}">
      <text>
        <r>
          <rPr>
            <sz val="10"/>
            <rFont val="Arial"/>
            <charset val="134"/>
          </rPr>
          <t xml:space="preserve">DARIO MAURICIO REYES GIRALDO:
</t>
        </r>
        <r>
          <rPr>
            <sz val="9"/>
            <color rgb="FF000000"/>
            <rFont val="Tahoma"/>
            <charset val="134"/>
          </rPr>
          <t xml:space="preserve">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sz val="10"/>
            <color rgb="FF000000"/>
            <rFont val="Arial"/>
            <charset val="134"/>
          </rPr>
          <t xml:space="preserve">DARIO MAURICIO REYES GIRALDO:
</t>
        </r>
        <r>
          <rPr>
            <sz val="9"/>
            <color rgb="FF000000"/>
            <rFont val="Tahoma"/>
            <charset val="134"/>
          </rPr>
          <t>Si el resultado es negativo, no es valido!</t>
        </r>
      </text>
    </comment>
  </commentList>
</comments>
</file>

<file path=xl/sharedStrings.xml><?xml version="1.0" encoding="utf-8"?>
<sst xmlns="http://schemas.openxmlformats.org/spreadsheetml/2006/main" count="168" uniqueCount="159">
  <si>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</si>
  <si>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</si>
  <si>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</si>
  <si>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</si>
  <si>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</si>
  <si>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</si>
  <si>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</si>
  <si>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</si>
  <si>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</si>
  <si>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</si>
  <si>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</si>
  <si>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</si>
  <si>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</si>
  <si>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</si>
  <si>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</si>
  <si>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</si>
  <si>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</si>
  <si>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</si>
  <si>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Suscripcion Basico Negocios (B2B)</t>
  </si>
  <si>
    <t>AÑO</t>
  </si>
  <si>
    <t>Suscripcion Premium Negocios (B2B)</t>
  </si>
  <si>
    <t>INFLACIÓN</t>
  </si>
  <si>
    <t>Posicionamiento eventos con pauta (B2B)</t>
  </si>
  <si>
    <t>IPP</t>
  </si>
  <si>
    <t>Suscripcion Premium Individual (B2C)</t>
  </si>
  <si>
    <t>TASA IMPTO RENTA</t>
  </si>
  <si>
    <t>TOTAL</t>
  </si>
  <si>
    <t>COSTOS DE CADA PRODUCTO O SERVICIO</t>
  </si>
  <si>
    <t>NOMBRE DEL PRODUCTO SERVICIO</t>
  </si>
  <si>
    <r>
      <rPr>
        <b/>
        <sz val="8"/>
        <color theme="1"/>
        <rFont val="Antique Olive"/>
        <charset val="1"/>
      </rPr>
      <t xml:space="preserve">COSTO UNITARIO DEL PDTO O </t>
    </r>
    <r>
      <rPr>
        <b/>
        <u/>
        <sz val="8"/>
        <color theme="1"/>
        <rFont val="Antique Olive"/>
        <charset val="1"/>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</si>
  <si>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</si>
  <si>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</si>
  <si>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</si>
  <si>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</si>
  <si>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</si>
  <si>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</si>
  <si>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</si>
  <si>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</si>
  <si>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</si>
  <si>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</si>
  <si>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</si>
  <si>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</si>
  <si>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</si>
  <si>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</si>
  <si>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</si>
  <si>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</si>
  <si>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</si>
  <si>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</si>
  <si>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</si>
  <si>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</si>
  <si>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</si>
  <si>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</si>
  <si>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</si>
  <si>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</si>
  <si>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</si>
  <si>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</si>
  <si>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</si>
  <si>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</si>
  <si>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</si>
  <si>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</si>
  <si>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</si>
  <si>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</si>
  <si>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</si>
  <si>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</si>
  <si>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</si>
  <si>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</si>
  <si>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</si>
  <si>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</si>
  <si>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</si>
  <si>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</si>
  <si>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</si>
  <si>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</si>
  <si>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</si>
  <si>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</si>
  <si>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</si>
  <si>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</si>
  <si>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</si>
  <si>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</si>
  <si>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</si>
  <si>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</si>
  <si>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</si>
  <si>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</si>
  <si>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</si>
  <si>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</si>
  <si>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</si>
  <si>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</si>
  <si>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</si>
  <si>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</si>
  <si>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</si>
  <si>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</si>
  <si>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</si>
  <si>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</si>
  <si>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</si>
  <si>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</si>
  <si>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</si>
  <si>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</si>
  <si>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</si>
  <si>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</si>
  <si>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</si>
  <si>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</si>
  <si>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</si>
  <si>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</si>
  <si>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</si>
  <si>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</si>
  <si>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</si>
  <si>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</si>
  <si>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</si>
  <si>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</si>
  <si>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</si>
  <si>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</si>
  <si>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</si>
  <si>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</si>
  <si>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</si>
  <si>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</si>
  <si>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</si>
  <si>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</si>
  <si>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</si>
  <si>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</si>
  <si>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</si>
  <si>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</si>
  <si>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</si>
  <si>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</si>
  <si>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</si>
  <si>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</si>
  <si>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</si>
  <si>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</si>
  <si>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</si>
  <si>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</si>
  <si>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</si>
  <si>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</si>
  <si>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</si>
  <si>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</si>
  <si>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</si>
  <si>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</si>
  <si>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</si>
  <si>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</si>
  <si>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 xml:space="preserve">Tasa mínima de rentabilidad esperada por los emprendedores (TMR):  </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</si>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</sst>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_(* \(#,##0.00\);_(* \-??_);_(@_)"/>
    <numFmt numFmtId="165" formatCode="_(&quot;$ &quot;* #,##0.00_);_(&quot;$ &quot;* \(#,##0.00\);_(&quot;$ &quot;* \-??_);_(@_)"/>
    <numFmt numFmtId="167" formatCode="\$#,##0.00"/>
    <numFmt numFmtId="168" formatCode="&quot;$ &quot;#,##0.00_);[Red]&quot;($ &quot;#,##0.00\)"/>
    <numFmt numFmtId="169" formatCode="\$#,##0.00;[Red]&quot;-$&quot;#,##0.00"/>
    <numFmt numFmtId="170" formatCode="_ * #,##0.00_ ;_ * \-#,##0.00_ ;_ * \-??_ ;_ @_ "/>
    <numFmt numFmtId="171" formatCode="_(&quot;$ &quot;* #,##0.0_);_(&quot;$ &quot;* \(#,##0.0\);_(&quot;$ &quot;* \-??_);_(@_)"/>
    <numFmt numFmtId="172" formatCode="_(&quot;$ &quot;* #,##0.0_);_(&quot;$ &quot;* \(#,##0.0\);_(&quot;$ &quot;* \-?_);_(@_)"/>
    <numFmt numFmtId="173" formatCode="_(* #,##0_);_(* \(#,##0\);_(* \-??_);_(@_)"/>
    <numFmt numFmtId="174" formatCode="_ &quot;$ &quot;* #,##0_ ;_ &quot;$ &quot;* \-#,##0_ ;_ &quot;$ &quot;* \-??_ ;_ @_ "/>
    <numFmt numFmtId="175" formatCode="_ &quot;$ &quot;* #,##0.0_ ;_ &quot;$ &quot;* \-#,##0.0_ ;_ &quot;$ &quot;* \-??_ ;_ @_ "/>
    <numFmt numFmtId="176" formatCode="_(* #,##0.0_);_(* \(#,##0.0\);_(* \-??_);_(@_)"/>
    <numFmt numFmtId="177" formatCode="_-\$* #,##0.0_-;&quot;-$&quot;* #,##0.0_-;_-\$* \-??_-;_-@_-"/>
    <numFmt numFmtId="178" formatCode="_(&quot;$ &quot;* #,##0.00000_);_(&quot;$ &quot;* \(#,##0.00000\);_(&quot;$ &quot;* \-??_);_(@_)"/>
    <numFmt numFmtId="179" formatCode="_(&quot;$ &quot;* #,##0_);_(&quot;$ &quot;* \(#,##0\);_(&quot;$ &quot;* \-??_);_(@_)"/>
    <numFmt numFmtId="180" formatCode="0.0%"/>
    <numFmt numFmtId="181" formatCode="_([$$-240A]\ * #,##0.00_);_([$$-240A]\ * \(#,##0.00\);_([$$-240A]\ * \-??_);_(@_)"/>
  </numFmts>
  <fonts count="49">
    <font>
      <sz val="11"/>
      <color theme="1"/>
      <name val="Calibri"/>
      <charset val="1"/>
    </font>
    <font>
      <b/>
      <sz val="14"/>
      <color theme="1"/>
      <name val="Aharoni"/>
      <charset val="1"/>
    </font>
    <font>
      <b/>
      <sz val="12"/>
      <color theme="1"/>
      <name val="Aharoni"/>
      <charset val="1"/>
    </font>
    <font>
      <b/>
      <sz val="12"/>
      <color theme="1"/>
      <name val="Calibri"/>
      <charset val="134"/>
    </font>
    <font>
      <sz val="14"/>
      <color theme="1"/>
      <name val="Aharoni"/>
      <charset val="1"/>
    </font>
    <font>
      <sz val="18"/>
      <color theme="1"/>
      <name val="Aharoni"/>
      <charset val="1"/>
    </font>
    <font>
      <sz val="14"/>
      <color theme="1"/>
      <name val="Calibri"/>
      <charset val="134"/>
    </font>
    <font>
      <sz val="11"/>
      <color theme="0"/>
      <name val="Calibri"/>
      <charset val="134"/>
    </font>
    <font>
      <b/>
      <sz val="11"/>
      <color theme="1"/>
      <name val="Aharoni"/>
      <charset val="1"/>
    </font>
    <font>
      <b/>
      <sz val="18"/>
      <color theme="1"/>
      <name val="Calibri"/>
      <charset val="134"/>
    </font>
    <font>
      <sz val="22"/>
      <color theme="1"/>
      <name val="Aharoni"/>
      <charset val="1"/>
    </font>
    <font>
      <sz val="9"/>
      <color theme="1"/>
      <name val="Aharoni"/>
      <charset val="1"/>
    </font>
    <font>
      <sz val="11"/>
      <color theme="1"/>
      <name val="Arial"/>
      <charset val="134"/>
    </font>
    <font>
      <b/>
      <sz val="16"/>
      <color theme="0"/>
      <name val="Arial"/>
      <charset val="134"/>
    </font>
    <font>
      <b/>
      <sz val="14"/>
      <color theme="1"/>
      <name val="Calibri"/>
      <charset val="134"/>
    </font>
    <font>
      <b/>
      <sz val="20"/>
      <color theme="1"/>
      <name val="Aharoni"/>
      <charset val="1"/>
    </font>
    <font>
      <b/>
      <sz val="11"/>
      <color theme="1"/>
      <name val="Calibri"/>
      <charset val="134"/>
    </font>
    <font>
      <b/>
      <sz val="11"/>
      <color theme="0"/>
      <name val="Calibri"/>
      <charset val="134"/>
    </font>
    <font>
      <b/>
      <sz val="16"/>
      <color theme="1"/>
      <name val="Calibri"/>
      <charset val="134"/>
    </font>
    <font>
      <sz val="10"/>
      <name val="Arial"/>
      <charset val="134"/>
    </font>
    <font>
      <b/>
      <sz val="18"/>
      <color theme="1"/>
      <name val="Aharoni"/>
      <charset val="1"/>
    </font>
    <font>
      <sz val="11"/>
      <color theme="1"/>
      <name val="Calibri"/>
      <charset val="134"/>
    </font>
    <font>
      <sz val="10"/>
      <color theme="1"/>
      <name val="Arial"/>
      <charset val="134"/>
    </font>
    <font>
      <sz val="11"/>
      <name val="Arial"/>
      <charset val="134"/>
    </font>
    <font>
      <b/>
      <sz val="11"/>
      <name val="Arial"/>
      <charset val="134"/>
    </font>
    <font>
      <b/>
      <sz val="10"/>
      <name val="Arial"/>
      <charset val="134"/>
    </font>
    <font>
      <b/>
      <sz val="9"/>
      <name val="Arial"/>
      <charset val="134"/>
    </font>
    <font>
      <sz val="11"/>
      <color theme="1"/>
      <name val="Aharoni"/>
      <charset val="1"/>
    </font>
    <font>
      <sz val="10"/>
      <color theme="1"/>
      <name val="Aharoni"/>
      <charset val="1"/>
    </font>
    <font>
      <sz val="11"/>
      <color theme="0"/>
      <name val="Arial"/>
      <charset val="134"/>
    </font>
    <font>
      <sz val="12"/>
      <color theme="1"/>
      <name val="Aharoni"/>
      <charset val="1"/>
    </font>
    <font>
      <b/>
      <sz val="12"/>
      <color rgb="FFFF0000"/>
      <name val="Calibri"/>
      <charset val="134"/>
    </font>
    <font>
      <b/>
      <sz val="11"/>
      <color theme="1"/>
      <name val="Arial"/>
      <charset val="134"/>
    </font>
    <font>
      <b/>
      <sz val="9"/>
      <color theme="1"/>
      <name val="Aharoni"/>
      <charset val="1"/>
    </font>
    <font>
      <b/>
      <sz val="8"/>
      <color theme="1"/>
      <name val="Antique Olive"/>
      <charset val="1"/>
    </font>
    <font>
      <sz val="20"/>
      <color theme="1"/>
      <name val="Aharoni"/>
      <charset val="1"/>
    </font>
    <font>
      <sz val="9"/>
      <color theme="1"/>
      <name val="Arial"/>
      <charset val="134"/>
    </font>
    <font>
      <b/>
      <sz val="16"/>
      <color theme="1"/>
      <name val="Arial"/>
      <charset val="134"/>
    </font>
    <font>
      <b/>
      <sz val="10"/>
      <color theme="1"/>
      <name val="Aharoni"/>
      <charset val="1"/>
    </font>
    <font>
      <sz val="12"/>
      <color theme="0"/>
      <name val="Aharoni"/>
      <charset val="1"/>
    </font>
    <font>
      <sz val="18"/>
      <color theme="0"/>
      <name val="Aharoni"/>
      <charset val="1"/>
    </font>
    <font>
      <b/>
      <sz val="8"/>
      <color theme="1"/>
      <name val="Aharoni"/>
      <charset val="1"/>
    </font>
    <font>
      <u/>
      <sz val="16"/>
      <color rgb="FF0070C0"/>
      <name val="Arial"/>
      <charset val="134"/>
    </font>
    <font>
      <u/>
      <sz val="11"/>
      <color theme="10"/>
      <name val="Calibri"/>
      <charset val="134"/>
    </font>
    <font>
      <b/>
      <u/>
      <sz val="8"/>
      <color theme="1"/>
      <name val="Antique Olive"/>
      <charset val="1"/>
    </font>
    <font>
      <sz val="10"/>
      <color rgb="FF000000"/>
      <name val="Arial"/>
      <charset val="134"/>
    </font>
    <font>
      <sz val="9"/>
      <color rgb="FF000000"/>
      <name val="Tahoma"/>
      <charset val="134"/>
    </font>
    <font>
      <sz val="10"/>
      <color rgb="FF000000"/>
      <name val="Arial"/>
      <family val="2"/>
    </font>
    <font>
      <sz val="9"/>
      <color rgb="FF000000"/>
      <name val="Tahoma"/>
      <family val="2"/>
    </font>
  </fonts>
  <fills count="8">
    <fill>
      <patternFill patternType="none"/>
    </fill>
    <fill>
      <patternFill patternType="gray125"/>
    </fill>
    <fill>
      <patternFill patternType="solid">
        <fgColor theme="0" tint="-4.9989318521683403E-2"/>
        <bgColor rgb="FFF3F3F3"/>
      </patternFill>
    </fill>
    <fill>
      <patternFill patternType="solid">
        <fgColor rgb="FF002060"/>
        <bgColor rgb="FF000080"/>
      </patternFill>
    </fill>
    <fill>
      <patternFill patternType="solid">
        <fgColor rgb="FFFFFF00"/>
        <bgColor rgb="FFFFFF00"/>
      </patternFill>
    </fill>
    <fill>
      <patternFill patternType="solid">
        <fgColor rgb="FF92D050"/>
        <bgColor rgb="FFB0B0B0"/>
      </patternFill>
    </fill>
    <fill>
      <patternFill patternType="solid">
        <fgColor theme="6" tint="0.59987182226020086"/>
        <bgColor rgb="FFD9D9D9"/>
      </patternFill>
    </fill>
    <fill>
      <patternFill patternType="solid">
        <fgColor theme="3"/>
        <bgColor rgb="FF333333"/>
      </patternFill>
    </fill>
  </fills>
  <borders count="1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top style="thin">
        <color auto="1"/>
      </top>
      <bottom style="double">
        <color auto="1"/>
      </bottom>
      <diagonal/>
    </border>
    <border>
      <left/>
      <right/>
      <top style="thin">
        <color auto="1"/>
      </top>
      <bottom style="medium">
        <color auto="1"/>
      </bottom>
      <diagonal/>
    </border>
    <border>
      <left/>
      <right/>
      <top/>
      <bottom style="double">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auto="1"/>
      </left>
      <right style="medium">
        <color auto="1"/>
      </right>
      <top style="medium">
        <color auto="1"/>
      </top>
      <bottom style="medium">
        <color auto="1"/>
      </bottom>
      <diagonal/>
    </border>
  </borders>
  <cellStyleXfs count="7">
    <xf numFmtId="0" fontId="0" fillId="0" borderId="0"/>
    <xf numFmtId="164" fontId="21" fillId="0" borderId="0" applyBorder="0" applyProtection="0"/>
    <xf numFmtId="165" fontId="21" fillId="0" borderId="0" applyBorder="0" applyProtection="0"/>
    <xf numFmtId="9" fontId="21" fillId="0" borderId="0" applyBorder="0" applyProtection="0"/>
    <xf numFmtId="0" fontId="43" fillId="0" borderId="0" applyBorder="0" applyProtection="0"/>
    <xf numFmtId="164" fontId="21" fillId="0" borderId="0" applyBorder="0" applyProtection="0"/>
    <xf numFmtId="0" fontId="19" fillId="0" borderId="0"/>
  </cellStyleXfs>
  <cellXfs count="152">
    <xf numFmtId="0" fontId="0" fillId="0" borderId="0" xfId="0"/>
    <xf numFmtId="0" fontId="0" fillId="0" borderId="0" xfId="0" applyProtection="1">
      <protection hidden="1"/>
    </xf>
    <xf numFmtId="0" fontId="3" fillId="0" borderId="1" xfId="0" applyFont="1" applyBorder="1" applyProtection="1">
      <protection hidden="1"/>
    </xf>
    <xf numFmtId="0" fontId="4"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0" fillId="0" borderId="3" xfId="0" applyBorder="1" applyProtection="1">
      <protection hidden="1"/>
    </xf>
    <xf numFmtId="167" fontId="6" fillId="0" borderId="4" xfId="0" applyNumberFormat="1" applyFont="1" applyBorder="1" applyProtection="1">
      <protection hidden="1"/>
    </xf>
    <xf numFmtId="0" fontId="7" fillId="0" borderId="0" xfId="0" applyFont="1" applyProtection="1">
      <protection hidden="1"/>
    </xf>
    <xf numFmtId="0" fontId="8" fillId="0" borderId="5" xfId="0" applyFont="1" applyBorder="1" applyProtection="1">
      <protection hidden="1"/>
    </xf>
    <xf numFmtId="0" fontId="0" fillId="0" borderId="6" xfId="0" applyBorder="1" applyProtection="1">
      <protection hidden="1"/>
    </xf>
    <xf numFmtId="168" fontId="9" fillId="2" borderId="7" xfId="0" applyNumberFormat="1" applyFont="1" applyFill="1" applyBorder="1" applyProtection="1">
      <protection hidden="1"/>
    </xf>
    <xf numFmtId="0" fontId="2" fillId="0" borderId="5" xfId="0" applyFont="1" applyBorder="1" applyProtection="1">
      <protection hidden="1"/>
    </xf>
    <xf numFmtId="10" fontId="10" fillId="0" borderId="7" xfId="3" applyNumberFormat="1" applyFont="1" applyBorder="1" applyAlignment="1" applyProtection="1">
      <alignment horizontal="center" vertical="center"/>
      <protection hidden="1"/>
    </xf>
    <xf numFmtId="0" fontId="11" fillId="0" borderId="0" xfId="0" applyFont="1" applyAlignment="1" applyProtection="1">
      <alignment wrapText="1"/>
      <protection hidden="1"/>
    </xf>
    <xf numFmtId="0" fontId="12" fillId="0" borderId="0" xfId="0" applyFont="1" applyProtection="1">
      <protection hidden="1"/>
    </xf>
    <xf numFmtId="165" fontId="12" fillId="0" borderId="0" xfId="0" applyNumberFormat="1" applyFont="1" applyProtection="1">
      <protection hidden="1"/>
    </xf>
    <xf numFmtId="9" fontId="12" fillId="0" borderId="0" xfId="0" applyNumberFormat="1" applyFont="1" applyProtection="1">
      <protection hidden="1"/>
    </xf>
    <xf numFmtId="0" fontId="12" fillId="0" borderId="0" xfId="0" applyFont="1" applyAlignment="1" applyProtection="1">
      <alignment horizontal="left"/>
      <protection hidden="1"/>
    </xf>
    <xf numFmtId="165" fontId="0" fillId="0" borderId="0" xfId="0" applyNumberFormat="1" applyProtection="1">
      <protection hidden="1"/>
    </xf>
    <xf numFmtId="9" fontId="0" fillId="0" borderId="0" xfId="0" applyNumberFormat="1" applyProtection="1">
      <protection hidden="1"/>
    </xf>
    <xf numFmtId="165" fontId="7" fillId="0" borderId="0" xfId="0" applyNumberFormat="1" applyFont="1" applyProtection="1">
      <protection hidden="1"/>
    </xf>
    <xf numFmtId="164" fontId="7" fillId="0" borderId="0" xfId="0" applyNumberFormat="1" applyFont="1" applyProtection="1">
      <protection hidden="1"/>
    </xf>
    <xf numFmtId="165" fontId="7" fillId="0" borderId="0" xfId="2" applyFont="1" applyBorder="1" applyProtection="1">
      <protection hidden="1"/>
    </xf>
    <xf numFmtId="0" fontId="7" fillId="0" borderId="0" xfId="0" applyFont="1" applyAlignment="1" applyProtection="1">
      <alignment horizontal="center"/>
      <protection hidden="1"/>
    </xf>
    <xf numFmtId="0" fontId="5" fillId="0" borderId="8" xfId="0" applyFont="1" applyBorder="1" applyAlignment="1" applyProtection="1">
      <alignment horizontal="center" vertical="center"/>
      <protection hidden="1"/>
    </xf>
    <xf numFmtId="167" fontId="6" fillId="0" borderId="9" xfId="0" applyNumberFormat="1" applyFont="1" applyBorder="1" applyProtection="1">
      <protection hidden="1"/>
    </xf>
    <xf numFmtId="0" fontId="14" fillId="0" borderId="5" xfId="0" applyFont="1" applyBorder="1" applyProtection="1">
      <protection hidden="1"/>
    </xf>
    <xf numFmtId="2" fontId="9" fillId="4" borderId="6" xfId="0" applyNumberFormat="1" applyFont="1" applyFill="1" applyBorder="1" applyProtection="1">
      <protection hidden="1"/>
    </xf>
    <xf numFmtId="164" fontId="12" fillId="0" borderId="0" xfId="0" applyNumberFormat="1" applyFont="1" applyProtection="1">
      <protection hidden="1"/>
    </xf>
    <xf numFmtId="164" fontId="15" fillId="0" borderId="0" xfId="1" applyFont="1" applyBorder="1" applyProtection="1">
      <protection hidden="1"/>
    </xf>
    <xf numFmtId="165" fontId="15" fillId="0" borderId="0" xfId="2" applyFont="1" applyBorder="1" applyProtection="1">
      <protection hidden="1"/>
    </xf>
    <xf numFmtId="0" fontId="16" fillId="0" borderId="0" xfId="0" applyFont="1" applyProtection="1">
      <protection hidden="1"/>
    </xf>
    <xf numFmtId="164" fontId="16" fillId="0" borderId="0" xfId="1" applyFont="1" applyBorder="1" applyProtection="1">
      <protection hidden="1"/>
    </xf>
    <xf numFmtId="165" fontId="17" fillId="0" borderId="0" xfId="2" applyFont="1" applyBorder="1" applyProtection="1">
      <protection hidden="1"/>
    </xf>
    <xf numFmtId="0" fontId="18" fillId="0" borderId="7" xfId="0" applyFont="1" applyBorder="1" applyProtection="1">
      <protection hidden="1"/>
    </xf>
    <xf numFmtId="169" fontId="0" fillId="0" borderId="0" xfId="0" applyNumberFormat="1" applyProtection="1">
      <protection hidden="1"/>
    </xf>
    <xf numFmtId="169" fontId="19" fillId="0" borderId="0" xfId="6" applyNumberFormat="1"/>
    <xf numFmtId="170" fontId="19" fillId="0" borderId="0" xfId="6" applyNumberFormat="1"/>
    <xf numFmtId="0" fontId="19" fillId="0" borderId="0" xfId="6"/>
    <xf numFmtId="0" fontId="20"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171" fontId="21" fillId="0" borderId="0" xfId="2" applyNumberFormat="1" applyBorder="1" applyProtection="1">
      <protection hidden="1"/>
    </xf>
    <xf numFmtId="0" fontId="16" fillId="0" borderId="10" xfId="0" applyFont="1" applyBorder="1" applyProtection="1">
      <protection hidden="1"/>
    </xf>
    <xf numFmtId="171" fontId="0" fillId="0" borderId="10" xfId="0" applyNumberFormat="1" applyBorder="1" applyProtection="1">
      <protection hidden="1"/>
    </xf>
    <xf numFmtId="172" fontId="0" fillId="0" borderId="10" xfId="0" applyNumberFormat="1" applyBorder="1" applyProtection="1">
      <protection hidden="1"/>
    </xf>
    <xf numFmtId="172" fontId="0" fillId="0" borderId="0" xfId="0" applyNumberFormat="1" applyProtection="1">
      <protection hidden="1"/>
    </xf>
    <xf numFmtId="0" fontId="16" fillId="0" borderId="11" xfId="0" applyFont="1" applyBorder="1" applyProtection="1">
      <protection hidden="1"/>
    </xf>
    <xf numFmtId="172" fontId="16" fillId="0" borderId="11" xfId="0" applyNumberFormat="1" applyFont="1" applyBorder="1" applyProtection="1">
      <protection hidden="1"/>
    </xf>
    <xf numFmtId="0" fontId="4" fillId="0" borderId="0" xfId="0" applyFont="1" applyAlignment="1" applyProtection="1">
      <alignment horizontal="center" vertical="center"/>
      <protection hidden="1"/>
    </xf>
    <xf numFmtId="0" fontId="16" fillId="0" borderId="0" xfId="0" applyFont="1" applyAlignment="1" applyProtection="1">
      <alignment horizontal="center"/>
      <protection hidden="1"/>
    </xf>
    <xf numFmtId="165" fontId="16" fillId="0" borderId="10" xfId="0" applyNumberFormat="1" applyFont="1" applyBorder="1" applyProtection="1">
      <protection hidden="1"/>
    </xf>
    <xf numFmtId="165" fontId="21" fillId="0" borderId="0" xfId="2" applyBorder="1" applyProtection="1">
      <protection hidden="1"/>
    </xf>
    <xf numFmtId="0" fontId="0" fillId="2" borderId="0" xfId="0" applyFill="1" applyProtection="1">
      <protection hidden="1"/>
    </xf>
    <xf numFmtId="165" fontId="0" fillId="2" borderId="0" xfId="0" applyNumberFormat="1" applyFill="1" applyProtection="1">
      <protection hidden="1"/>
    </xf>
    <xf numFmtId="173" fontId="22" fillId="0" borderId="0" xfId="5" applyNumberFormat="1" applyFont="1" applyBorder="1" applyProtection="1">
      <protection hidden="1"/>
    </xf>
    <xf numFmtId="0" fontId="23" fillId="0" borderId="0" xfId="0" applyFont="1" applyProtection="1">
      <protection hidden="1"/>
    </xf>
    <xf numFmtId="174" fontId="21" fillId="0" borderId="0" xfId="2" applyNumberFormat="1" applyBorder="1" applyProtection="1">
      <protection hidden="1"/>
    </xf>
    <xf numFmtId="174" fontId="21" fillId="0" borderId="12" xfId="2" applyNumberFormat="1" applyBorder="1" applyProtection="1">
      <protection hidden="1"/>
    </xf>
    <xf numFmtId="0" fontId="24" fillId="0" borderId="0" xfId="0" applyFont="1" applyProtection="1">
      <protection hidden="1"/>
    </xf>
    <xf numFmtId="174" fontId="25" fillId="0" borderId="0" xfId="2" applyNumberFormat="1" applyFont="1" applyBorder="1" applyProtection="1">
      <protection hidden="1"/>
    </xf>
    <xf numFmtId="0" fontId="26" fillId="0" borderId="0" xfId="0" applyFont="1" applyProtection="1">
      <protection hidden="1"/>
    </xf>
    <xf numFmtId="174" fontId="25" fillId="0" borderId="10" xfId="2" applyNumberFormat="1" applyFont="1" applyBorder="1" applyProtection="1">
      <protection hidden="1"/>
    </xf>
    <xf numFmtId="173" fontId="19" fillId="0" borderId="0" xfId="5" applyNumberFormat="1" applyFont="1" applyBorder="1" applyProtection="1">
      <protection hidden="1"/>
    </xf>
    <xf numFmtId="175" fontId="21" fillId="0" borderId="0" xfId="2" applyNumberFormat="1" applyBorder="1" applyProtection="1">
      <protection hidden="1"/>
    </xf>
    <xf numFmtId="175" fontId="21" fillId="0" borderId="12" xfId="2" applyNumberFormat="1" applyBorder="1" applyProtection="1">
      <protection hidden="1"/>
    </xf>
    <xf numFmtId="0" fontId="24" fillId="2" borderId="0" xfId="0" applyFont="1" applyFill="1" applyProtection="1">
      <protection hidden="1"/>
    </xf>
    <xf numFmtId="174" fontId="25" fillId="2" borderId="10" xfId="2" applyNumberFormat="1" applyFont="1" applyFill="1" applyBorder="1" applyProtection="1">
      <protection hidden="1"/>
    </xf>
    <xf numFmtId="0" fontId="27" fillId="0" borderId="0" xfId="0" applyFont="1" applyProtection="1">
      <protection hidden="1"/>
    </xf>
    <xf numFmtId="165" fontId="3" fillId="0" borderId="0" xfId="0" applyNumberFormat="1" applyFont="1" applyProtection="1">
      <protection hidden="1"/>
    </xf>
    <xf numFmtId="0" fontId="28" fillId="0" borderId="0" xfId="0" applyFont="1" applyAlignment="1" applyProtection="1">
      <alignment horizontal="center"/>
      <protection hidden="1"/>
    </xf>
    <xf numFmtId="0" fontId="28" fillId="0" borderId="0" xfId="0" applyFont="1" applyProtection="1">
      <protection hidden="1"/>
    </xf>
    <xf numFmtId="176" fontId="29" fillId="3" borderId="0" xfId="1" applyNumberFormat="1" applyFont="1" applyFill="1" applyBorder="1" applyAlignment="1" applyProtection="1">
      <alignment horizontal="center"/>
      <protection locked="0"/>
    </xf>
    <xf numFmtId="0" fontId="30" fillId="2" borderId="0" xfId="0" applyFont="1" applyFill="1" applyProtection="1">
      <protection hidden="1"/>
    </xf>
    <xf numFmtId="165" fontId="3" fillId="2" borderId="0" xfId="0" applyNumberFormat="1" applyFont="1" applyFill="1" applyProtection="1">
      <protection hidden="1"/>
    </xf>
    <xf numFmtId="165" fontId="29" fillId="3" borderId="0" xfId="2" applyFont="1" applyFill="1" applyBorder="1" applyAlignment="1" applyProtection="1">
      <alignment horizontal="center"/>
      <protection locked="0"/>
    </xf>
    <xf numFmtId="165" fontId="31" fillId="0" borderId="0" xfId="0" applyNumberFormat="1" applyFont="1" applyProtection="1">
      <protection hidden="1"/>
    </xf>
    <xf numFmtId="0" fontId="0" fillId="0" borderId="1" xfId="0" applyBorder="1" applyProtection="1">
      <protection hidden="1"/>
    </xf>
    <xf numFmtId="0" fontId="24" fillId="0" borderId="13" xfId="0" applyFont="1" applyBorder="1" applyAlignment="1">
      <alignment horizontal="center"/>
    </xf>
    <xf numFmtId="0" fontId="16" fillId="0" borderId="14" xfId="0" applyFont="1" applyBorder="1" applyAlignment="1" applyProtection="1">
      <alignment horizontal="center"/>
      <protection hidden="1"/>
    </xf>
    <xf numFmtId="177" fontId="12" fillId="0" borderId="0" xfId="0" applyNumberFormat="1" applyFont="1"/>
    <xf numFmtId="177" fontId="12" fillId="0" borderId="0" xfId="0" applyNumberFormat="1" applyFont="1" applyProtection="1">
      <protection hidden="1"/>
    </xf>
    <xf numFmtId="0" fontId="16" fillId="0" borderId="3" xfId="0" applyFont="1" applyBorder="1" applyAlignment="1" applyProtection="1">
      <alignment horizontal="center"/>
      <protection hidden="1"/>
    </xf>
    <xf numFmtId="177" fontId="12" fillId="0" borderId="4" xfId="0" applyNumberFormat="1" applyFont="1" applyBorder="1" applyProtection="1">
      <protection hidden="1"/>
    </xf>
    <xf numFmtId="0" fontId="7" fillId="3" borderId="0" xfId="0" applyFont="1" applyFill="1" applyProtection="1">
      <protection locked="0" hidden="1"/>
    </xf>
    <xf numFmtId="0" fontId="24" fillId="0" borderId="15" xfId="0" applyFont="1" applyBorder="1" applyAlignment="1">
      <alignment horizontal="center"/>
    </xf>
    <xf numFmtId="177" fontId="12" fillId="0" borderId="16" xfId="0" applyNumberFormat="1" applyFont="1" applyBorder="1"/>
    <xf numFmtId="177" fontId="12" fillId="0" borderId="16" xfId="0" applyNumberFormat="1" applyFont="1" applyBorder="1" applyProtection="1">
      <protection hidden="1"/>
    </xf>
    <xf numFmtId="177" fontId="12" fillId="0" borderId="9" xfId="0" applyNumberFormat="1" applyFont="1" applyBorder="1" applyProtection="1">
      <protection hidden="1"/>
    </xf>
    <xf numFmtId="0" fontId="32" fillId="0" borderId="0" xfId="0" applyFont="1" applyAlignment="1" applyProtection="1">
      <alignment horizontal="center"/>
      <protection hidden="1"/>
    </xf>
    <xf numFmtId="165" fontId="29" fillId="3" borderId="0" xfId="2" applyFont="1" applyFill="1" applyBorder="1" applyProtection="1">
      <protection locked="0"/>
    </xf>
    <xf numFmtId="0" fontId="32" fillId="0" borderId="0" xfId="0" applyFont="1" applyProtection="1">
      <protection hidden="1"/>
    </xf>
    <xf numFmtId="0" fontId="8" fillId="0" borderId="0" xfId="0" applyFont="1" applyAlignment="1" applyProtection="1">
      <alignment horizontal="left" wrapText="1"/>
      <protection hidden="1"/>
    </xf>
    <xf numFmtId="0" fontId="8" fillId="0" borderId="0" xfId="0" applyFont="1" applyProtection="1">
      <protection hidden="1"/>
    </xf>
    <xf numFmtId="178" fontId="21" fillId="0" borderId="0" xfId="2" applyNumberFormat="1" applyBorder="1" applyProtection="1">
      <protection hidden="1"/>
    </xf>
    <xf numFmtId="0" fontId="33" fillId="0" borderId="0" xfId="0" applyFont="1" applyAlignment="1" applyProtection="1">
      <alignment wrapText="1"/>
      <protection hidden="1"/>
    </xf>
    <xf numFmtId="0" fontId="33" fillId="0" borderId="0" xfId="0" applyFont="1" applyAlignment="1" applyProtection="1">
      <alignment wrapText="1"/>
      <protection locked="0"/>
    </xf>
    <xf numFmtId="0" fontId="34" fillId="0" borderId="0" xfId="0" applyFont="1" applyAlignment="1" applyProtection="1">
      <alignment wrapText="1"/>
      <protection hidden="1"/>
    </xf>
    <xf numFmtId="0" fontId="34" fillId="0" borderId="0" xfId="0" applyFont="1" applyAlignment="1" applyProtection="1">
      <alignment vertical="center" wrapText="1"/>
      <protection hidden="1"/>
    </xf>
    <xf numFmtId="0" fontId="29" fillId="3" borderId="0" xfId="0" applyFont="1" applyFill="1" applyProtection="1">
      <protection locked="0"/>
    </xf>
    <xf numFmtId="164" fontId="29" fillId="3" borderId="0" xfId="1" applyFont="1" applyFill="1" applyBorder="1" applyProtection="1">
      <protection locked="0"/>
    </xf>
    <xf numFmtId="0" fontId="34" fillId="0" borderId="0" xfId="0" applyFont="1" applyAlignment="1" applyProtection="1">
      <alignment vertical="center"/>
      <protection hidden="1"/>
    </xf>
    <xf numFmtId="164" fontId="12" fillId="0" borderId="0" xfId="0" applyNumberFormat="1" applyFont="1" applyAlignment="1" applyProtection="1">
      <alignment horizontal="center"/>
      <protection hidden="1"/>
    </xf>
    <xf numFmtId="49" fontId="12" fillId="0" borderId="0" xfId="0" applyNumberFormat="1" applyFont="1" applyProtection="1">
      <protection hidden="1"/>
    </xf>
    <xf numFmtId="0" fontId="2" fillId="0" borderId="0" xfId="0" applyFont="1" applyProtection="1">
      <protection hidden="1"/>
    </xf>
    <xf numFmtId="0" fontId="35" fillId="0" borderId="0" xfId="0" applyFont="1" applyAlignment="1" applyProtection="1">
      <alignment horizontal="center"/>
      <protection hidden="1"/>
    </xf>
    <xf numFmtId="0" fontId="36" fillId="0" borderId="0" xfId="0" applyFont="1" applyProtection="1">
      <protection hidden="1"/>
    </xf>
    <xf numFmtId="171" fontId="12" fillId="0" borderId="0" xfId="2" applyNumberFormat="1" applyFont="1" applyBorder="1" applyProtection="1">
      <protection hidden="1"/>
    </xf>
    <xf numFmtId="171" fontId="12" fillId="0" borderId="0" xfId="0" applyNumberFormat="1" applyFont="1" applyProtection="1">
      <protection hidden="1"/>
    </xf>
    <xf numFmtId="171" fontId="37" fillId="4" borderId="10" xfId="2" applyNumberFormat="1" applyFont="1" applyFill="1" applyBorder="1" applyProtection="1">
      <protection hidden="1"/>
    </xf>
    <xf numFmtId="0" fontId="1" fillId="0" borderId="0" xfId="0" applyFont="1" applyAlignment="1" applyProtection="1">
      <alignment horizontal="right"/>
      <protection hidden="1"/>
    </xf>
    <xf numFmtId="0" fontId="20" fillId="6" borderId="0" xfId="0" applyFont="1" applyFill="1" applyAlignment="1" applyProtection="1">
      <alignment wrapText="1"/>
      <protection hidden="1"/>
    </xf>
    <xf numFmtId="179" fontId="12" fillId="0" borderId="0" xfId="2" applyNumberFormat="1" applyFont="1" applyBorder="1" applyProtection="1">
      <protection hidden="1"/>
    </xf>
    <xf numFmtId="9" fontId="21" fillId="0" borderId="0" xfId="3" applyBorder="1" applyAlignment="1" applyProtection="1">
      <alignment horizontal="center"/>
      <protection hidden="1"/>
    </xf>
    <xf numFmtId="180" fontId="29" fillId="3" borderId="0" xfId="3" applyNumberFormat="1" applyFont="1" applyFill="1" applyBorder="1" applyProtection="1">
      <protection locked="0"/>
    </xf>
    <xf numFmtId="9" fontId="29" fillId="3" borderId="0" xfId="3" applyFont="1" applyFill="1" applyBorder="1" applyProtection="1">
      <protection locked="0"/>
    </xf>
    <xf numFmtId="179" fontId="32" fillId="2" borderId="0" xfId="0" applyNumberFormat="1" applyFont="1" applyFill="1" applyProtection="1">
      <protection hidden="1"/>
    </xf>
    <xf numFmtId="9" fontId="32" fillId="2" borderId="0" xfId="3" applyFont="1" applyFill="1" applyBorder="1" applyAlignment="1" applyProtection="1">
      <alignment horizontal="center"/>
      <protection hidden="1"/>
    </xf>
    <xf numFmtId="179" fontId="0" fillId="0" borderId="0" xfId="0" applyNumberFormat="1" applyProtection="1">
      <protection hidden="1"/>
    </xf>
    <xf numFmtId="0" fontId="35" fillId="0" borderId="0" xfId="0" applyFont="1" applyProtection="1">
      <protection hidden="1"/>
    </xf>
    <xf numFmtId="179" fontId="21" fillId="0" borderId="0" xfId="2" applyNumberFormat="1" applyBorder="1" applyProtection="1">
      <protection hidden="1"/>
    </xf>
    <xf numFmtId="181" fontId="0" fillId="0" borderId="0" xfId="0" applyNumberFormat="1" applyProtection="1">
      <protection hidden="1"/>
    </xf>
    <xf numFmtId="165" fontId="16" fillId="0" borderId="0" xfId="0" applyNumberFormat="1" applyFont="1" applyProtection="1">
      <protection hidden="1"/>
    </xf>
    <xf numFmtId="0" fontId="39" fillId="7" borderId="0" xfId="0" applyFont="1" applyFill="1" applyProtection="1">
      <protection hidden="1"/>
    </xf>
    <xf numFmtId="0" fontId="40" fillId="7" borderId="0" xfId="0" applyFont="1" applyFill="1" applyProtection="1">
      <protection locked="0"/>
    </xf>
    <xf numFmtId="0" fontId="1" fillId="0" borderId="5" xfId="0" applyFont="1" applyBorder="1" applyProtection="1">
      <protection hidden="1"/>
    </xf>
    <xf numFmtId="0" fontId="20" fillId="0" borderId="6" xfId="0" applyFont="1" applyBorder="1" applyAlignment="1" applyProtection="1">
      <alignment horizontal="center"/>
      <protection hidden="1"/>
    </xf>
    <xf numFmtId="0" fontId="41" fillId="0" borderId="14" xfId="0" applyFont="1" applyBorder="1" applyAlignment="1" applyProtection="1">
      <alignment wrapText="1"/>
      <protection hidden="1"/>
    </xf>
    <xf numFmtId="180" fontId="40" fillId="7" borderId="0" xfId="3" applyNumberFormat="1" applyFont="1" applyFill="1" applyBorder="1" applyProtection="1">
      <protection locked="0"/>
    </xf>
    <xf numFmtId="0" fontId="41" fillId="0" borderId="3" xfId="0" applyFont="1" applyBorder="1" applyProtection="1">
      <protection hidden="1"/>
    </xf>
    <xf numFmtId="180" fontId="40" fillId="7" borderId="4" xfId="3" applyNumberFormat="1" applyFont="1" applyFill="1" applyBorder="1" applyProtection="1">
      <protection locked="0"/>
    </xf>
    <xf numFmtId="180" fontId="40" fillId="7" borderId="6" xfId="3" applyNumberFormat="1" applyFont="1" applyFill="1" applyBorder="1" applyProtection="1">
      <protection locked="0"/>
    </xf>
    <xf numFmtId="0" fontId="20" fillId="0" borderId="7" xfId="0" applyFont="1" applyBorder="1" applyAlignment="1" applyProtection="1">
      <alignment horizontal="center"/>
      <protection hidden="1"/>
    </xf>
    <xf numFmtId="180" fontId="40" fillId="7" borderId="16" xfId="3" applyNumberFormat="1" applyFont="1" applyFill="1" applyBorder="1" applyProtection="1">
      <protection locked="0"/>
    </xf>
    <xf numFmtId="180" fontId="40" fillId="7" borderId="9" xfId="3" applyNumberFormat="1" applyFont="1" applyFill="1" applyBorder="1" applyProtection="1">
      <protection locked="0"/>
    </xf>
    <xf numFmtId="0" fontId="0" fillId="0" borderId="7" xfId="0" applyBorder="1" applyProtection="1">
      <protection hidden="1"/>
    </xf>
    <xf numFmtId="0" fontId="1" fillId="0" borderId="0" xfId="0" applyFont="1" applyAlignment="1" applyProtection="1">
      <alignment horizontal="left" wrapText="1"/>
      <protection hidden="1"/>
    </xf>
    <xf numFmtId="0" fontId="8" fillId="5" borderId="17" xfId="0" applyFont="1" applyFill="1" applyBorder="1" applyAlignment="1" applyProtection="1">
      <alignment horizontal="left" wrapText="1"/>
      <protection hidden="1"/>
    </xf>
    <xf numFmtId="0" fontId="42" fillId="4" borderId="0" xfId="4" applyFont="1" applyFill="1" applyBorder="1" applyAlignment="1" applyProtection="1">
      <alignment horizontal="center"/>
    </xf>
    <xf numFmtId="0" fontId="1" fillId="0" borderId="0" xfId="0" applyFont="1" applyAlignment="1" applyProtection="1">
      <alignment horizontal="center" vertical="center"/>
      <protection hidden="1"/>
    </xf>
    <xf numFmtId="0" fontId="38" fillId="0" borderId="0" xfId="0" applyFont="1" applyAlignment="1" applyProtection="1">
      <alignment horizontal="center" wrapText="1"/>
      <protection hidden="1"/>
    </xf>
    <xf numFmtId="0" fontId="27" fillId="0" borderId="0" xfId="0" applyFont="1" applyAlignment="1" applyProtection="1">
      <alignment horizontal="center"/>
      <protection hidden="1"/>
    </xf>
    <xf numFmtId="0" fontId="0" fillId="0" borderId="0" xfId="0" applyAlignment="1" applyProtection="1">
      <alignment horizontal="center"/>
      <protection hidden="1"/>
    </xf>
    <xf numFmtId="10" fontId="29" fillId="3" borderId="0" xfId="3" applyNumberFormat="1" applyFont="1" applyFill="1" applyBorder="1" applyAlignment="1" applyProtection="1">
      <alignment horizontal="center"/>
      <protection locked="0"/>
    </xf>
    <xf numFmtId="0" fontId="20" fillId="0" borderId="0" xfId="0" applyFont="1" applyAlignment="1" applyProtection="1">
      <alignment horizontal="center" vertical="center"/>
      <protection hidden="1"/>
    </xf>
    <xf numFmtId="0" fontId="20" fillId="2" borderId="0" xfId="0" applyFont="1" applyFill="1" applyAlignment="1" applyProtection="1">
      <alignment horizontal="center" vertical="center"/>
      <protection hidden="1"/>
    </xf>
    <xf numFmtId="0" fontId="2" fillId="0" borderId="0" xfId="0" applyFont="1" applyAlignment="1" applyProtection="1">
      <alignment horizontal="center"/>
      <protection hidden="1"/>
    </xf>
    <xf numFmtId="0" fontId="16" fillId="0" borderId="0" xfId="0" applyFont="1" applyAlignment="1" applyProtection="1">
      <alignment horizontal="center"/>
      <protection hidden="1"/>
    </xf>
    <xf numFmtId="0" fontId="8" fillId="0" borderId="0" xfId="0" applyFont="1" applyAlignment="1" applyProtection="1">
      <alignment horizontal="center"/>
      <protection hidden="1"/>
    </xf>
    <xf numFmtId="0" fontId="1" fillId="2" borderId="0" xfId="0" applyFont="1" applyFill="1" applyAlignment="1" applyProtection="1">
      <alignment horizontal="center"/>
      <protection hidden="1"/>
    </xf>
    <xf numFmtId="0" fontId="8" fillId="0" borderId="0" xfId="0" applyFont="1" applyAlignment="1" applyProtection="1">
      <alignment horizontal="left"/>
      <protection hidden="1"/>
    </xf>
    <xf numFmtId="0" fontId="2" fillId="0" borderId="0" xfId="0" applyFont="1" applyAlignment="1" applyProtection="1">
      <alignment wrapText="1"/>
      <protection hidden="1"/>
    </xf>
    <xf numFmtId="10" fontId="13" fillId="3" borderId="0" xfId="3" applyNumberFormat="1" applyFont="1" applyFill="1" applyBorder="1" applyAlignment="1" applyProtection="1">
      <alignment horizontal="center" vertical="center"/>
      <protection locked="0"/>
    </xf>
  </cellXfs>
  <cellStyles count="7">
    <cellStyle name="Hipervínculo" xfId="4" builtinId="8"/>
    <cellStyle name="Millares" xfId="1" builtinId="3"/>
    <cellStyle name="Millares_Modelo Financiero ACME Final 2" xfId="5" xr:uid="{00000000-0005-0000-0000-000031000000}"/>
    <cellStyle name="Moneda" xfId="2" builtinId="4"/>
    <cellStyle name="Normal" xfId="0" builtinId="0"/>
    <cellStyle name="Normal 2" xfId="6" xr:uid="{00000000-0005-0000-0000-000032000000}"/>
    <cellStyle name="Porcentaje" xfId="3" builtinId="5"/>
  </cellStyles>
  <dxfs count="11">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0D0D0D"/>
      </font>
      <fill>
        <patternFill patternType="solid">
          <bgColor rgb="FF00B050"/>
        </patternFill>
      </fill>
    </dxf>
    <dxf>
      <font>
        <color rgb="FF9C6500"/>
      </font>
      <fill>
        <patternFill patternType="solid">
          <bgColor rgb="FFFFEB9C"/>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dxf>
    <dxf>
      <font>
        <color rgb="FFFF0000"/>
      </font>
      <fill>
        <patternFill patternType="solid">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8000"/>
      <rgbColor rgb="00000080"/>
      <rgbColor rgb="009C6500"/>
      <rgbColor rgb="00800080"/>
      <rgbColor rgb="00008080"/>
      <rgbColor rgb="00B0B0B0"/>
      <rgbColor rgb="00818181"/>
      <rgbColor rgb="009999FF"/>
      <rgbColor rgb="00993366"/>
      <rgbColor rgb="00F3F3F3"/>
      <rgbColor rgb="00F2F2F2"/>
      <rgbColor rgb="00660066"/>
      <rgbColor rgb="00FF8080"/>
      <rgbColor rgb="000070C0"/>
      <rgbColor rgb="00D9D9D9"/>
      <rgbColor rgb="00000080"/>
      <rgbColor rgb="00FF00FF"/>
      <rgbColor rgb="00FFFF00"/>
      <rgbColor rgb="0000FFFF"/>
      <rgbColor rgb="00800080"/>
      <rgbColor rgb="00800000"/>
      <rgbColor rgb="00008080"/>
      <rgbColor rgb="000000FF"/>
      <rgbColor rgb="0000CCFF"/>
      <rgbColor rgb="00CCFFFF"/>
      <rgbColor rgb="00D7E4BD"/>
      <rgbColor rgb="00FFEB9C"/>
      <rgbColor rgb="0099CCFF"/>
      <rgbColor rgb="00FF99CC"/>
      <rgbColor rgb="00CC99FF"/>
      <rgbColor rgb="00FFC7CE"/>
      <rgbColor rgb="003366FF"/>
      <rgbColor rgb="0033CCCC"/>
      <rgbColor rgb="0092D050"/>
      <rgbColor rgb="00FFCC00"/>
      <rgbColor rgb="00FF9900"/>
      <rgbColor rgb="00FF6600"/>
      <rgbColor rgb="00666699"/>
      <rgbColor rgb="00878787"/>
      <rgbColor rgb="00002060"/>
      <rgbColor rgb="0000B050"/>
      <rgbColor rgb="000D0D0D"/>
      <rgbColor rgb="00333300"/>
      <rgbColor rgb="00993300"/>
      <rgbColor rgb="00993366"/>
      <rgbColor rgb="001F497D"/>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974783345279199"/>
          <c:y val="4.2392646453560202E-2"/>
          <c:w val="0.70795595230338204"/>
          <c:h val="0.80134449169982203"/>
        </c:manualLayout>
      </c:layout>
      <c:lineChart>
        <c:grouping val="standard"/>
        <c:varyColors val="0"/>
        <c:ser>
          <c:idx val="0"/>
          <c:order val="0"/>
          <c:tx>
            <c:strRef>
              <c:f>'5'!$C$31</c:f>
              <c:strCache>
                <c:ptCount val="1"/>
                <c:pt idx="0">
                  <c:v>COSTOS FIJO</c:v>
                </c:pt>
              </c:strCache>
            </c:strRef>
          </c:tx>
          <c:spPr>
            <a:ln w="47520" cap="rnd" cmpd="sng" algn="ctr">
              <a:solidFill>
                <a:srgbClr val="F3F3F3"/>
              </a:solidFill>
              <a:prstDash val="solid"/>
              <a:round/>
            </a:ln>
          </c:spPr>
          <c:marker>
            <c:symbol val="none"/>
          </c:marker>
          <c:dLbls>
            <c:spPr>
              <a:noFill/>
              <a:ln>
                <a:noFill/>
              </a:ln>
              <a:effectLst/>
            </c:spPr>
            <c:txPr>
              <a:bodyPr rot="0" spcFirstLastPara="0" vertOverflow="ellipsis" vert="horz" wrap="square" lIns="38100" tIns="19050" rIns="38100" bIns="19050" anchor="ctr" anchorCtr="1"/>
              <a:lstStyle/>
              <a:p>
                <a:pPr>
                  <a:defRPr lang="es-ES" sz="1000" b="0" i="0" u="none" strike="noStrike" kern="1200" spc="-1" baseline="0">
                    <a:solidFill>
                      <a:srgbClr val="FFFFFF"/>
                    </a:solidFill>
                    <a:latin typeface="Calibri"/>
                    <a:ea typeface="+mn-ea"/>
                    <a:cs typeface="+mn-cs"/>
                  </a:defRPr>
                </a:pPr>
                <a:endParaRPr lang="es-CO"/>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'5'!$B$32:$B$34</c:f>
              <c:numCache>
                <c:formatCode>_(* #,##0.00_);_(* \(#,##0.00\);_(* \-??_);_(@_)</c:formatCode>
                <c:ptCount val="3"/>
                <c:pt idx="0" formatCode="General">
                  <c:v>0</c:v>
                </c:pt>
                <c:pt idx="1">
                  <c:v>506.92598322440801</c:v>
                </c:pt>
                <c:pt idx="2">
                  <c:v>1013.85196644882</c:v>
                </c:pt>
              </c:numCache>
            </c:numRef>
          </c:cat>
          <c:val>
            <c:numRef>
              <c:f>'5'!$C$32:$C$34</c:f>
              <c:numCache>
                <c:formatCode>_("$ "* #,##0.00_);_("$ "* \(#,##0.00\);_("$ "* \-??_);_(@_)</c:formatCode>
                <c:ptCount val="3"/>
                <c:pt idx="0">
                  <c:v>157000000</c:v>
                </c:pt>
                <c:pt idx="1">
                  <c:v>157000000</c:v>
                </c:pt>
                <c:pt idx="2">
                  <c:v>157000000</c:v>
                </c:pt>
              </c:numCache>
            </c:numRef>
          </c:val>
          <c:smooth val="0"/>
          <c:extLst>
            <c:ext xmlns:c16="http://schemas.microsoft.com/office/drawing/2014/chart" uri="{C3380CC4-5D6E-409C-BE32-E72D297353CC}">
              <c16:uniqueId val="{00000000-037C-1649-8EE7-D92E39B4250E}"/>
            </c:ext>
          </c:extLst>
        </c:ser>
        <c:ser>
          <c:idx val="1"/>
          <c:order val="1"/>
          <c:tx>
            <c:strRef>
              <c:f>'5'!$D$31</c:f>
              <c:strCache>
                <c:ptCount val="1"/>
                <c:pt idx="0">
                  <c:v>INGRESOS</c:v>
                </c:pt>
              </c:strCache>
            </c:strRef>
          </c:tx>
          <c:spPr>
            <a:ln w="47520" cap="rnd" cmpd="sng" algn="ctr">
              <a:solidFill>
                <a:srgbClr val="B0B0B0"/>
              </a:solidFill>
              <a:prstDash val="solid"/>
              <a:round/>
            </a:ln>
          </c:spPr>
          <c:marker>
            <c:symbol val="none"/>
          </c:marker>
          <c:dLbls>
            <c:spPr>
              <a:noFill/>
              <a:ln>
                <a:noFill/>
              </a:ln>
              <a:effectLst/>
            </c:spPr>
            <c:txPr>
              <a:bodyPr rot="0" spcFirstLastPara="0" vertOverflow="ellipsis" vert="horz" wrap="square" lIns="38100" tIns="19050" rIns="38100" bIns="19050" anchor="ctr" anchorCtr="1"/>
              <a:lstStyle/>
              <a:p>
                <a:pPr>
                  <a:defRPr lang="es-ES" sz="1000" b="0" i="0" u="none" strike="noStrike" kern="1200" spc="-1" baseline="0">
                    <a:solidFill>
                      <a:srgbClr val="FFFFFF"/>
                    </a:solidFill>
                    <a:latin typeface="Calibri"/>
                    <a:ea typeface="+mn-ea"/>
                    <a:cs typeface="+mn-cs"/>
                  </a:defRPr>
                </a:pPr>
                <a:endParaRPr lang="es-CO"/>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'5'!$B$32:$B$34</c:f>
              <c:numCache>
                <c:formatCode>_(* #,##0.00_);_(* \(#,##0.00\);_(* \-??_);_(@_)</c:formatCode>
                <c:ptCount val="3"/>
                <c:pt idx="0" formatCode="General">
                  <c:v>0</c:v>
                </c:pt>
                <c:pt idx="1">
                  <c:v>506.92598322440801</c:v>
                </c:pt>
                <c:pt idx="2">
                  <c:v>1013.85196644882</c:v>
                </c:pt>
              </c:numCache>
            </c:numRef>
          </c:cat>
          <c:val>
            <c:numRef>
              <c:f>'5'!$D$32:$D$34</c:f>
              <c:numCache>
                <c:formatCode>_("$ "* #,##0.00_);_("$ "* \(#,##0.00\);_("$ "* \-??_);_(@_)</c:formatCode>
                <c:ptCount val="3"/>
                <c:pt idx="0" formatCode="General">
                  <c:v>0</c:v>
                </c:pt>
                <c:pt idx="1">
                  <c:v>165263157.89473701</c:v>
                </c:pt>
                <c:pt idx="2">
                  <c:v>330526315.78947401</c:v>
                </c:pt>
              </c:numCache>
            </c:numRef>
          </c:val>
          <c:smooth val="0"/>
          <c:extLst>
            <c:ext xmlns:c16="http://schemas.microsoft.com/office/drawing/2014/chart" uri="{C3380CC4-5D6E-409C-BE32-E72D297353CC}">
              <c16:uniqueId val="{00000001-037C-1649-8EE7-D92E39B4250E}"/>
            </c:ext>
          </c:extLst>
        </c:ser>
        <c:ser>
          <c:idx val="2"/>
          <c:order val="2"/>
          <c:tx>
            <c:strRef>
              <c:f>'5'!$F$31</c:f>
              <c:strCache>
                <c:ptCount val="1"/>
                <c:pt idx="0">
                  <c:v>COSTO TOTAL</c:v>
                </c:pt>
              </c:strCache>
            </c:strRef>
          </c:tx>
          <c:spPr>
            <a:ln w="47520" cap="rnd" cmpd="sng" algn="ctr">
              <a:solidFill>
                <a:srgbClr val="818181"/>
              </a:solidFill>
              <a:prstDash val="solid"/>
              <a:round/>
            </a:ln>
          </c:spPr>
          <c:marker>
            <c:symbol val="none"/>
          </c:marker>
          <c:dLbls>
            <c:spPr>
              <a:noFill/>
              <a:ln>
                <a:noFill/>
              </a:ln>
              <a:effectLst/>
            </c:spPr>
            <c:txPr>
              <a:bodyPr rot="0" spcFirstLastPara="0" vertOverflow="ellipsis" vert="horz" wrap="square" lIns="38100" tIns="19050" rIns="38100" bIns="19050" anchor="ctr" anchorCtr="1"/>
              <a:lstStyle/>
              <a:p>
                <a:pPr>
                  <a:defRPr lang="es-ES" sz="1000" b="0" i="0" u="none" strike="noStrike" kern="1200" spc="-1" baseline="0">
                    <a:solidFill>
                      <a:srgbClr val="FFFFFF"/>
                    </a:solidFill>
                    <a:latin typeface="Calibri"/>
                    <a:ea typeface="+mn-ea"/>
                    <a:cs typeface="+mn-cs"/>
                  </a:defRPr>
                </a:pPr>
                <a:endParaRPr lang="es-CO"/>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'5'!$B$32:$B$34</c:f>
              <c:numCache>
                <c:formatCode>_(* #,##0.00_);_(* \(#,##0.00\);_(* \-??_);_(@_)</c:formatCode>
                <c:ptCount val="3"/>
                <c:pt idx="0" formatCode="General">
                  <c:v>0</c:v>
                </c:pt>
                <c:pt idx="1">
                  <c:v>506.92598322440801</c:v>
                </c:pt>
                <c:pt idx="2">
                  <c:v>1013.85196644882</c:v>
                </c:pt>
              </c:numCache>
            </c:numRef>
          </c:cat>
          <c:val>
            <c:numRef>
              <c:f>'5'!$F$32:$F$34</c:f>
              <c:numCache>
                <c:formatCode>_("$ "* #,##0.00_);_("$ "* \(#,##0.00\);_("$ "* \-??_);_(@_)</c:formatCode>
                <c:ptCount val="3"/>
                <c:pt idx="0">
                  <c:v>157000000</c:v>
                </c:pt>
                <c:pt idx="1">
                  <c:v>165263157.89473701</c:v>
                </c:pt>
                <c:pt idx="2">
                  <c:v>173526315.78947401</c:v>
                </c:pt>
              </c:numCache>
            </c:numRef>
          </c:val>
          <c:smooth val="0"/>
          <c:extLst>
            <c:ext xmlns:c16="http://schemas.microsoft.com/office/drawing/2014/chart" uri="{C3380CC4-5D6E-409C-BE32-E72D297353CC}">
              <c16:uniqueId val="{00000002-037C-1649-8EE7-D92E39B4250E}"/>
            </c:ext>
          </c:extLst>
        </c:ser>
        <c:dLbls>
          <c:showLegendKey val="0"/>
          <c:showVal val="0"/>
          <c:showCatName val="0"/>
          <c:showSerName val="0"/>
          <c:showPercent val="0"/>
          <c:showBubbleSize val="0"/>
        </c:dLbls>
        <c:hiLowLines>
          <c:spPr>
            <a:ln w="0" cap="flat" cmpd="sng" algn="ctr">
              <a:noFill/>
              <a:prstDash val="solid"/>
              <a:round/>
            </a:ln>
          </c:spPr>
        </c:hiLowLines>
        <c:smooth val="0"/>
        <c:axId val="189205"/>
        <c:axId val="82697423"/>
      </c:lineChart>
      <c:catAx>
        <c:axId val="189205"/>
        <c:scaling>
          <c:orientation val="minMax"/>
        </c:scaling>
        <c:delete val="0"/>
        <c:axPos val="b"/>
        <c:numFmt formatCode="General" sourceLinked="0"/>
        <c:majorTickMark val="out"/>
        <c:minorTickMark val="none"/>
        <c:tickLblPos val="nextTo"/>
        <c:spPr>
          <a:ln w="9360" cap="flat" cmpd="sng" algn="ctr">
            <a:solidFill>
              <a:srgbClr val="878787"/>
            </a:solidFill>
            <a:prstDash val="solid"/>
            <a:round/>
          </a:ln>
        </c:spPr>
        <c:txPr>
          <a:bodyPr rot="-60000000" spcFirstLastPara="0" vertOverflow="ellipsis" vert="horz" wrap="square" anchor="ctr" anchorCtr="1"/>
          <a:lstStyle/>
          <a:p>
            <a:pPr>
              <a:defRPr lang="es-ES" sz="1000" b="0" i="0" u="none" strike="noStrike" kern="1200" spc="-1" baseline="0">
                <a:solidFill>
                  <a:srgbClr val="FFFFFF"/>
                </a:solidFill>
                <a:latin typeface="Calibri"/>
                <a:ea typeface="+mn-ea"/>
                <a:cs typeface="+mn-cs"/>
              </a:defRPr>
            </a:pPr>
            <a:endParaRPr lang="es-CO"/>
          </a:p>
        </c:txPr>
        <c:crossAx val="82697423"/>
        <c:crosses val="autoZero"/>
        <c:auto val="1"/>
        <c:lblAlgn val="ctr"/>
        <c:lblOffset val="100"/>
        <c:noMultiLvlLbl val="0"/>
      </c:catAx>
      <c:valAx>
        <c:axId val="82697423"/>
        <c:scaling>
          <c:orientation val="minMax"/>
        </c:scaling>
        <c:delete val="0"/>
        <c:axPos val="l"/>
        <c:majorGridlines>
          <c:spPr>
            <a:ln w="9360" cap="flat" cmpd="sng" algn="ctr">
              <a:solidFill>
                <a:srgbClr val="878787"/>
              </a:solidFill>
              <a:prstDash val="solid"/>
              <a:round/>
            </a:ln>
          </c:spPr>
        </c:majorGridlines>
        <c:numFmt formatCode="_(&quot;$ &quot;* #,##0.00_);_(&quot;$ &quot;* \(#,##0.00\);_(&quot;$ &quot;* \-??_);_(@_)" sourceLinked="0"/>
        <c:majorTickMark val="out"/>
        <c:minorTickMark val="none"/>
        <c:tickLblPos val="nextTo"/>
        <c:spPr>
          <a:ln w="9360" cap="flat" cmpd="sng" algn="ctr">
            <a:solidFill>
              <a:srgbClr val="878787"/>
            </a:solidFill>
            <a:prstDash val="solid"/>
            <a:round/>
          </a:ln>
        </c:spPr>
        <c:txPr>
          <a:bodyPr rot="-60000000" spcFirstLastPara="0" vertOverflow="ellipsis" vert="horz" wrap="square" anchor="ctr" anchorCtr="1"/>
          <a:lstStyle/>
          <a:p>
            <a:pPr>
              <a:defRPr lang="es-ES" sz="800" b="0" i="0" u="none" strike="noStrike" kern="1200" spc="-1" baseline="0">
                <a:solidFill>
                  <a:srgbClr val="FFFFFF"/>
                </a:solidFill>
                <a:latin typeface="Arial" panose="020B0704020202020204"/>
                <a:ea typeface="+mn-ea"/>
                <a:cs typeface="+mn-cs"/>
              </a:defRPr>
            </a:pPr>
            <a:endParaRPr lang="es-CO"/>
          </a:p>
        </c:txPr>
        <c:crossAx val="189205"/>
        <c:crosses val="autoZero"/>
        <c:crossBetween val="midCat"/>
      </c:valAx>
      <c:spPr>
        <a:noFill/>
        <a:ln w="0">
          <a:noFill/>
        </a:ln>
      </c:spPr>
    </c:plotArea>
    <c:legend>
      <c:legendPos val="r"/>
      <c:layout>
        <c:manualLayout>
          <c:xMode val="edge"/>
          <c:yMode val="edge"/>
          <c:x val="2.2698594538394699E-2"/>
          <c:y val="0.93824729917921001"/>
          <c:w val="0.95884696821386695"/>
          <c:h val="5.8173535020252402E-2"/>
        </c:manualLayout>
      </c:layout>
      <c:overlay val="0"/>
      <c:spPr>
        <a:noFill/>
        <a:ln w="0">
          <a:noFill/>
        </a:ln>
      </c:spPr>
      <c:txPr>
        <a:bodyPr rot="0" spcFirstLastPara="0" vertOverflow="ellipsis" vert="horz" wrap="square" anchor="ctr" anchorCtr="1"/>
        <a:lstStyle/>
        <a:p>
          <a:pPr>
            <a:defRPr lang="es-ES" sz="1000" b="0" i="0" u="none" strike="noStrike" kern="1200" spc="-1" baseline="0">
              <a:solidFill>
                <a:srgbClr val="FFFFFF"/>
              </a:solidFill>
              <a:latin typeface="Calibri"/>
              <a:ea typeface="+mn-ea"/>
              <a:cs typeface="+mn-cs"/>
            </a:defRPr>
          </a:pPr>
          <a:endParaRPr lang="es-CO"/>
        </a:p>
      </c:txPr>
    </c:legend>
    <c:plotVisOnly val="1"/>
    <c:dispBlanksAs val="gap"/>
    <c:showDLblsOverMax val="1"/>
    <c:extLst>
      <c:ext uri="{0b15fc19-7d7d-44ad-8c2d-2c3a37ce22c3}">
        <chartProps xmlns="https://web.wps.cn/et/2018/main" chartId="{d6a2e122-1f57-4b67-b0ec-a23a440fcac1}"/>
      </c:ext>
    </c:extLst>
  </c:chart>
  <c:spPr>
    <a:solidFill>
      <a:srgbClr val="000000"/>
    </a:solidFill>
    <a:ln w="9360" cap="flat" cmpd="sng" algn="ctr">
      <a:solidFill>
        <a:srgbClr val="D9D9D9"/>
      </a:solidFill>
      <a:prstDash val="solid"/>
      <a:round/>
    </a:ln>
  </c:spPr>
  <c:txPr>
    <a:bodyPr/>
    <a:lstStyle/>
    <a:p>
      <a:pPr>
        <a:defRPr lang="es-ES"/>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200160</xdr:colOff>
      <xdr:row>2</xdr:row>
      <xdr:rowOff>19080</xdr:rowOff>
    </xdr:from>
    <xdr:to>
      <xdr:col>5</xdr:col>
      <xdr:colOff>190440</xdr:colOff>
      <xdr:row>22</xdr:row>
      <xdr:rowOff>95040</xdr:rowOff>
    </xdr:to>
    <xdr:sp macro="" textlink="">
      <xdr:nvSpPr>
        <xdr:cNvPr id="2" name="1 CuadroTexto">
          <a:extLst>
            <a:ext uri="{FF2B5EF4-FFF2-40B4-BE49-F238E27FC236}">
              <a16:creationId xmlns:a16="http://schemas.microsoft.com/office/drawing/2014/main" id="{00000000-0008-0000-0000-000002000000}"/>
            </a:ext>
          </a:extLst>
        </xdr:cNvPr>
        <xdr:cNvSpPr/>
      </xdr:nvSpPr>
      <xdr:spPr>
        <a:xfrm>
          <a:off x="1066800" y="445770"/>
          <a:ext cx="3456940" cy="4342765"/>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gn="just">
            <a:lnSpc>
              <a:spcPct val="100000"/>
            </a:lnSpc>
          </a:pPr>
          <a:r>
            <a:rPr lang="es-CO" sz="1200" b="0" strike="noStrike" spc="-1">
              <a:solidFill>
                <a:schemeClr val="dk1"/>
              </a:solidFill>
              <a:latin typeface="Aharoni"/>
            </a:rPr>
            <a:t>BIENVENIDO A LA SIMULACIÓN FINANCIERA BÁSICA DE TU MODELO DE NEGOCIO.</a:t>
          </a:r>
          <a:endParaRPr lang="en-US" sz="1200" b="0" strike="noStrike" spc="-1">
            <a:latin typeface="Times New Roman" panose="02020603050405020304" pitchFamily="12"/>
          </a:endParaRPr>
        </a:p>
        <a:p>
          <a:pPr algn="just">
            <a:lnSpc>
              <a:spcPct val="100000"/>
            </a:lnSpc>
          </a:pPr>
          <a:endParaRPr lang="en-US" sz="1200" b="0" strike="noStrike" spc="-1">
            <a:latin typeface="Times New Roman" panose="02020603050405020304" pitchFamily="12"/>
          </a:endParaRPr>
        </a:p>
        <a:p>
          <a:pPr algn="just">
            <a:lnSpc>
              <a:spcPct val="100000"/>
            </a:lnSpc>
          </a:pPr>
          <a:r>
            <a:rPr lang="es-CO" sz="1200" b="0" strike="noStrike" spc="-1">
              <a:solidFill>
                <a:schemeClr val="dk1"/>
              </a:solidFill>
              <a:latin typeface="Aharoni"/>
            </a:rPr>
            <a:t>ANTES DE DIGITAR LA INFORMACIÓN EN ESTE SIMULADOR, TEN EN CUENTA QUE:</a:t>
          </a:r>
          <a:endParaRPr lang="en-US" sz="1200" b="0" strike="noStrike" spc="-1">
            <a:latin typeface="Times New Roman" panose="02020603050405020304" pitchFamily="12"/>
          </a:endParaRPr>
        </a:p>
        <a:p>
          <a:pPr algn="just">
            <a:lnSpc>
              <a:spcPct val="100000"/>
            </a:lnSpc>
          </a:pPr>
          <a:endParaRPr lang="en-US" sz="1200" b="0" strike="noStrike" spc="-1">
            <a:latin typeface="Times New Roman" panose="02020603050405020304" pitchFamily="12"/>
          </a:endParaRPr>
        </a:p>
        <a:p>
          <a:pPr algn="just">
            <a:lnSpc>
              <a:spcPct val="100000"/>
            </a:lnSpc>
          </a:pPr>
          <a:r>
            <a:rPr lang="es-CO" sz="1800" b="0" strike="noStrike" spc="-1">
              <a:solidFill>
                <a:schemeClr val="dk1"/>
              </a:solidFill>
              <a:latin typeface="Aharoni"/>
            </a:rPr>
            <a:t>1. </a:t>
          </a:r>
          <a:r>
            <a:rPr lang="es-CO" sz="1100" b="0" strike="noStrike" spc="-1">
              <a:solidFill>
                <a:schemeClr val="dk1"/>
              </a:solidFill>
              <a:latin typeface="Aharoni"/>
            </a:rPr>
            <a:t>SOLO SE PODRÁN MODIFICAR LAS CELDAS RESALTAS CON COLOR AZUL</a:t>
          </a:r>
          <a:r>
            <a:rPr lang="es-CO" sz="1200" b="0" strike="noStrike" spc="-1">
              <a:solidFill>
                <a:schemeClr val="dk1"/>
              </a:solidFill>
              <a:latin typeface="Aharoni"/>
            </a:rPr>
            <a:t>.</a:t>
          </a:r>
          <a:endParaRPr lang="en-US" sz="1200" b="0" strike="noStrike" spc="-1">
            <a:latin typeface="Times New Roman" panose="02020603050405020304" pitchFamily="12"/>
          </a:endParaRPr>
        </a:p>
        <a:p>
          <a:pPr algn="just">
            <a:lnSpc>
              <a:spcPct val="100000"/>
            </a:lnSpc>
          </a:pPr>
          <a:endParaRPr lang="en-US" sz="1200" b="0" strike="noStrike" spc="-1">
            <a:latin typeface="Times New Roman" panose="02020603050405020304" pitchFamily="12"/>
          </a:endParaRPr>
        </a:p>
        <a:p>
          <a:pPr algn="just">
            <a:lnSpc>
              <a:spcPct val="100000"/>
            </a:lnSpc>
          </a:pPr>
          <a:r>
            <a:rPr lang="es-CO" sz="1600" b="0" strike="noStrike" spc="-1">
              <a:solidFill>
                <a:schemeClr val="dk1"/>
              </a:solidFill>
              <a:latin typeface="Aharoni"/>
            </a:rPr>
            <a:t>2. </a:t>
          </a:r>
          <a:r>
            <a:rPr lang="es-CO" sz="1100" b="0" strike="noStrike" spc="-1">
              <a:solidFill>
                <a:schemeClr val="dk1"/>
              </a:solidFill>
              <a:latin typeface="Aharoni"/>
            </a:rPr>
            <a:t>REVISA LOS COMENTARIOS DE LAS CELDAS, TE DARÁN CLAVES PARA EL CORRECTO DILIGENCIAMIENTO DE LA INFORMACIÓN.</a:t>
          </a:r>
          <a:endParaRPr lang="en-US" sz="1100" b="0" strike="noStrike" spc="-1">
            <a:latin typeface="Times New Roman" panose="02020603050405020304" pitchFamily="12"/>
          </a:endParaRPr>
        </a:p>
        <a:p>
          <a:pPr algn="just">
            <a:lnSpc>
              <a:spcPct val="100000"/>
            </a:lnSpc>
          </a:pPr>
          <a:endParaRPr lang="en-US" sz="1200" b="0" strike="noStrike" spc="-1">
            <a:latin typeface="Times New Roman" panose="02020603050405020304" pitchFamily="12"/>
          </a:endParaRPr>
        </a:p>
        <a:p>
          <a:pPr algn="just">
            <a:lnSpc>
              <a:spcPct val="100000"/>
            </a:lnSpc>
          </a:pPr>
          <a:r>
            <a:rPr lang="es-CO" sz="1600" b="0" strike="noStrike" spc="-1">
              <a:solidFill>
                <a:schemeClr val="dk1"/>
              </a:solidFill>
              <a:latin typeface="Aharoni"/>
            </a:rPr>
            <a:t>3. </a:t>
          </a:r>
          <a:r>
            <a:rPr lang="es-CO" sz="1100" b="0" strike="noStrike" spc="-1">
              <a:solidFill>
                <a:schemeClr val="dk1"/>
              </a:solidFill>
              <a:latin typeface="Aharoni"/>
            </a:rPr>
            <a:t>LOS ESTADOS FINANCIEROS SE ELABORAN DE FORMA AUTÓMATICA Y NO REQUIEREN NINGUNA INTERVENCIÓN DEL EMPRENDEDOR.</a:t>
          </a:r>
          <a:endParaRPr lang="en-US" sz="1100" b="0" strike="noStrike" spc="-1">
            <a:latin typeface="Times New Roman" panose="02020603050405020304" pitchFamily="12"/>
          </a:endParaRPr>
        </a:p>
        <a:p>
          <a:pPr algn="just">
            <a:lnSpc>
              <a:spcPct val="100000"/>
            </a:lnSpc>
          </a:pPr>
          <a:endParaRPr lang="en-US" sz="1200" b="0" strike="noStrike" spc="-1">
            <a:latin typeface="Times New Roman" panose="02020603050405020304" pitchFamily="12"/>
          </a:endParaRPr>
        </a:p>
        <a:p>
          <a:pPr>
            <a:lnSpc>
              <a:spcPct val="100000"/>
            </a:lnSpc>
          </a:pPr>
          <a:endParaRPr lang="en-US" sz="1100" b="0" strike="noStrike" spc="-1">
            <a:latin typeface="Times New Roman" panose="02020603050405020304" pitchFamily="12"/>
          </a:endParaRPr>
        </a:p>
        <a:p>
          <a:pPr>
            <a:lnSpc>
              <a:spcPct val="100000"/>
            </a:lnSpc>
          </a:pPr>
          <a:endParaRPr lang="en-US" sz="1100" b="0" strike="noStrike" spc="-1">
            <a:latin typeface="Times New Roman" panose="02020603050405020304" pitchFamily="12"/>
          </a:endParaRPr>
        </a:p>
      </xdr:txBody>
    </xdr:sp>
    <xdr:clientData/>
  </xdr:twoCellAnchor>
  <xdr:twoCellAnchor editAs="oneCell">
    <xdr:from>
      <xdr:col>9</xdr:col>
      <xdr:colOff>257040</xdr:colOff>
      <xdr:row>19</xdr:row>
      <xdr:rowOff>66600</xdr:rowOff>
    </xdr:from>
    <xdr:to>
      <xdr:col>9</xdr:col>
      <xdr:colOff>441360</xdr:colOff>
      <xdr:row>20</xdr:row>
      <xdr:rowOff>140400</xdr:rowOff>
    </xdr:to>
    <xdr:sp macro="" textlink="">
      <xdr:nvSpPr>
        <xdr:cNvPr id="3" name="2 CuadroTexto">
          <a:extLst>
            <a:ext uri="{FF2B5EF4-FFF2-40B4-BE49-F238E27FC236}">
              <a16:creationId xmlns:a16="http://schemas.microsoft.com/office/drawing/2014/main" id="{00000000-0008-0000-0000-000003000000}"/>
            </a:ext>
          </a:extLst>
        </xdr:cNvPr>
        <xdr:cNvSpPr/>
      </xdr:nvSpPr>
      <xdr:spPr>
        <a:xfrm>
          <a:off x="8057515" y="4119880"/>
          <a:ext cx="184785" cy="287655"/>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5</xdr:col>
      <xdr:colOff>237960</xdr:colOff>
      <xdr:row>2</xdr:row>
      <xdr:rowOff>171360</xdr:rowOff>
    </xdr:from>
    <xdr:to>
      <xdr:col>8</xdr:col>
      <xdr:colOff>513720</xdr:colOff>
      <xdr:row>5</xdr:row>
      <xdr:rowOff>151920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4571365" y="597535"/>
          <a:ext cx="2876550" cy="621030"/>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PROYECCIÓN DE VENTAS Y PREMISAS</a:t>
          </a:r>
          <a:endParaRPr lang="en-US" sz="1400" b="0" strike="noStrike" spc="-1">
            <a:latin typeface="Times New Roman" panose="02020603050405020304" pitchFamily="12"/>
          </a:endParaRPr>
        </a:p>
      </xdr:txBody>
    </xdr:sp>
    <xdr:clientData/>
  </xdr:twoCellAnchor>
  <xdr:twoCellAnchor>
    <xdr:from>
      <xdr:col>5</xdr:col>
      <xdr:colOff>228600</xdr:colOff>
      <xdr:row>6</xdr:row>
      <xdr:rowOff>171360</xdr:rowOff>
    </xdr:from>
    <xdr:to>
      <xdr:col>8</xdr:col>
      <xdr:colOff>504360</xdr:colOff>
      <xdr:row>9</xdr:row>
      <xdr:rowOff>151920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4562475" y="1450975"/>
          <a:ext cx="2875915" cy="621030"/>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INFRAESTRUCTURA  Y GASTOS</a:t>
          </a:r>
          <a:endParaRPr lang="en-US" sz="1400" b="0" strike="noStrike" spc="-1">
            <a:latin typeface="Times New Roman" panose="02020603050405020304" pitchFamily="12"/>
          </a:endParaRPr>
        </a:p>
      </xdr:txBody>
    </xdr:sp>
    <xdr:clientData/>
  </xdr:twoCellAnchor>
  <xdr:twoCellAnchor>
    <xdr:from>
      <xdr:col>5</xdr:col>
      <xdr:colOff>209520</xdr:colOff>
      <xdr:row>10</xdr:row>
      <xdr:rowOff>123840</xdr:rowOff>
    </xdr:from>
    <xdr:to>
      <xdr:col>8</xdr:col>
      <xdr:colOff>485280</xdr:colOff>
      <xdr:row>13</xdr:row>
      <xdr:rowOff>104400</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4542790" y="2257425"/>
          <a:ext cx="2876550" cy="620395"/>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INVERSIÓN TOTAL Y FINANCIACIÓN</a:t>
          </a:r>
          <a:endParaRPr lang="en-US" sz="1400" b="0" strike="noStrike" spc="-1">
            <a:latin typeface="Times New Roman" panose="02020603050405020304" pitchFamily="12"/>
          </a:endParaRPr>
        </a:p>
      </xdr:txBody>
    </xdr:sp>
    <xdr:clientData/>
  </xdr:twoCellAnchor>
  <xdr:twoCellAnchor>
    <xdr:from>
      <xdr:col>5</xdr:col>
      <xdr:colOff>200160</xdr:colOff>
      <xdr:row>14</xdr:row>
      <xdr:rowOff>38160</xdr:rowOff>
    </xdr:from>
    <xdr:to>
      <xdr:col>8</xdr:col>
      <xdr:colOff>475920</xdr:colOff>
      <xdr:row>17</xdr:row>
      <xdr:rowOff>18720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4533900" y="3025140"/>
          <a:ext cx="2875915" cy="620395"/>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ESTADOS FINANCIEROS</a:t>
          </a:r>
          <a:endParaRPr lang="en-US" sz="1400" b="0" strike="noStrike" spc="-1">
            <a:latin typeface="Times New Roman" panose="02020603050405020304" pitchFamily="12"/>
          </a:endParaRPr>
        </a:p>
      </xdr:txBody>
    </xdr:sp>
    <xdr:clientData/>
  </xdr:twoCellAnchor>
  <xdr:twoCellAnchor>
    <xdr:from>
      <xdr:col>5</xdr:col>
      <xdr:colOff>181080</xdr:colOff>
      <xdr:row>18</xdr:row>
      <xdr:rowOff>19080</xdr:rowOff>
    </xdr:from>
    <xdr:to>
      <xdr:col>8</xdr:col>
      <xdr:colOff>456840</xdr:colOff>
      <xdr:row>20</xdr:row>
      <xdr:rowOff>190440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xdr:nvSpPr>
      <xdr:spPr>
        <a:xfrm>
          <a:off x="4514850" y="3859530"/>
          <a:ext cx="2875915" cy="597535"/>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RESULTADOS DE LA SIMULACIÓN </a:t>
          </a:r>
          <a:endParaRPr lang="en-US" sz="1400" b="0" strike="noStrike" spc="-1">
            <a:latin typeface="Times New Roman" panose="02020603050405020304" pitchFamily="12"/>
          </a:endParaRPr>
        </a:p>
      </xdr:txBody>
    </xdr:sp>
    <xdr:clientData/>
  </xdr:twoCellAnchor>
  <xdr:twoCellAnchor>
    <xdr:from>
      <xdr:col>1</xdr:col>
      <xdr:colOff>209520</xdr:colOff>
      <xdr:row>21</xdr:row>
      <xdr:rowOff>85680</xdr:rowOff>
    </xdr:from>
    <xdr:to>
      <xdr:col>5</xdr:col>
      <xdr:colOff>199800</xdr:colOff>
      <xdr:row>23</xdr:row>
      <xdr:rowOff>105480</xdr:rowOff>
    </xdr:to>
    <xdr:sp macro="" textlink="">
      <xdr:nvSpPr>
        <xdr:cNvPr id="9" name="12 CuadroTexto">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1075690" y="4565650"/>
          <a:ext cx="3457575" cy="52832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90000" tIns="45000" rIns="90000" bIns="45000" anchor="t">
          <a:noAutofit/>
        </a:bodyPr>
        <a:lstStyle/>
        <a:p>
          <a:pPr>
            <a:lnSpc>
              <a:spcPts val="900"/>
            </a:lnSpc>
          </a:pPr>
          <a:r>
            <a:rPr lang="es-CO" sz="800" b="1" strike="noStrike" spc="-1">
              <a:solidFill>
                <a:schemeClr val="dk1"/>
              </a:solidFill>
              <a:latin typeface="Calibri"/>
            </a:rPr>
            <a:t>Desarrollado por: Magíster Mauricio Reyes Giraldo.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Docente Asociado Universidad  Univerisdad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contacto: dmreyes@ean.edu.co - @dmreyesg</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 </a:t>
          </a:r>
          <a:endParaRPr lang="en-US" sz="800" b="0" strike="noStrike" spc="-1">
            <a:latin typeface="Times New Roman" panose="02020603050405020304" pitchFamily="12"/>
          </a:endParaRPr>
        </a:p>
        <a:p>
          <a:pPr>
            <a:lnSpc>
              <a:spcPts val="500"/>
            </a:lnSpc>
          </a:pPr>
          <a:endParaRPr lang="en-US" sz="500" b="0" strike="noStrike" spc="-1">
            <a:latin typeface="Times New Roman" panose="02020603050405020304" pitchFamily="12"/>
          </a:endParaRPr>
        </a:p>
      </xdr:txBody>
    </xdr:sp>
    <xdr:clientData/>
  </xdr:twoCellAnchor>
  <xdr:twoCellAnchor editAs="oneCell">
    <xdr:from>
      <xdr:col>8</xdr:col>
      <xdr:colOff>581040</xdr:colOff>
      <xdr:row>1</xdr:row>
      <xdr:rowOff>38160</xdr:rowOff>
    </xdr:from>
    <xdr:to>
      <xdr:col>9</xdr:col>
      <xdr:colOff>695160</xdr:colOff>
      <xdr:row>6</xdr:row>
      <xdr:rowOff>41040</xdr:rowOff>
    </xdr:to>
    <xdr:pic>
      <xdr:nvPicPr>
        <xdr:cNvPr id="10" name="Imagen 11">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a:stretch>
          <a:fillRect/>
        </a:stretch>
      </xdr:blipFill>
      <xdr:spPr>
        <a:xfrm>
          <a:off x="7515225" y="251460"/>
          <a:ext cx="980440" cy="10693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48240</xdr:colOff>
      <xdr:row>14</xdr:row>
      <xdr:rowOff>42480</xdr:rowOff>
    </xdr:from>
    <xdr:to>
      <xdr:col>9</xdr:col>
      <xdr:colOff>181080</xdr:colOff>
      <xdr:row>35</xdr:row>
      <xdr:rowOff>176760</xdr:rowOff>
    </xdr:to>
    <xdr:sp macro="" textlink="">
      <xdr:nvSpPr>
        <xdr:cNvPr id="9" name="5 Flecha doblada">
          <a:extLst>
            <a:ext uri="{FF2B5EF4-FFF2-40B4-BE49-F238E27FC236}">
              <a16:creationId xmlns:a16="http://schemas.microsoft.com/office/drawing/2014/main" id="{00000000-0008-0000-0100-000009000000}"/>
            </a:ext>
          </a:extLst>
        </xdr:cNvPr>
        <xdr:cNvSpPr/>
      </xdr:nvSpPr>
      <xdr:spPr>
        <a:xfrm rot="10800000">
          <a:off x="14055090" y="3826510"/>
          <a:ext cx="1677670" cy="5034915"/>
        </a:xfrm>
        <a:prstGeom prst="bentArrow">
          <a:avLst>
            <a:gd name="adj1" fmla="val 25000"/>
            <a:gd name="adj2" fmla="val 25000"/>
            <a:gd name="adj3" fmla="val 25000"/>
            <a:gd name="adj4" fmla="val 43750"/>
          </a:avLst>
        </a:prstGeom>
        <a:solidFill>
          <a:srgbClr val="4F81BD"/>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8</xdr:col>
      <xdr:colOff>399960</xdr:colOff>
      <xdr:row>14</xdr:row>
      <xdr:rowOff>51480</xdr:rowOff>
    </xdr:from>
    <xdr:to>
      <xdr:col>9</xdr:col>
      <xdr:colOff>171000</xdr:colOff>
      <xdr:row>33</xdr:row>
      <xdr:rowOff>64080</xdr:rowOff>
    </xdr:to>
    <xdr:sp macro="" textlink="">
      <xdr:nvSpPr>
        <xdr:cNvPr id="10" name="6 CuadroTexto">
          <a:extLst>
            <a:ext uri="{FF2B5EF4-FFF2-40B4-BE49-F238E27FC236}">
              <a16:creationId xmlns:a16="http://schemas.microsoft.com/office/drawing/2014/main" id="{00000000-0008-0000-0100-00000A000000}"/>
            </a:ext>
          </a:extLst>
        </xdr:cNvPr>
        <xdr:cNvSpPr/>
      </xdr:nvSpPr>
      <xdr:spPr>
        <a:xfrm>
          <a:off x="15179040" y="3836035"/>
          <a:ext cx="543560" cy="4385310"/>
        </a:xfrm>
        <a:prstGeom prst="rect">
          <a:avLst/>
        </a:prstGeom>
        <a:solidFill>
          <a:srgbClr val="FFFFFF"/>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es-CO" sz="900" b="0" strike="noStrike" spc="-1">
              <a:solidFill>
                <a:schemeClr val="dk1"/>
              </a:solidFill>
              <a:latin typeface="Arial Black" panose="020B0A04020102020204"/>
            </a:rPr>
            <a:t>REVISA LAS PROYECCIONES</a:t>
          </a:r>
          <a:endParaRPr lang="en-US" sz="900" b="0" strike="noStrike" spc="-1">
            <a:latin typeface="Times New Roman" panose="02020603050405020304" pitchFamily="12"/>
          </a:endParaRPr>
        </a:p>
      </xdr:txBody>
    </xdr:sp>
    <xdr:clientData/>
  </xdr:twoCellAnchor>
  <xdr:twoCellAnchor>
    <xdr:from>
      <xdr:col>10</xdr:col>
      <xdr:colOff>257040</xdr:colOff>
      <xdr:row>9</xdr:row>
      <xdr:rowOff>165600</xdr:rowOff>
    </xdr:from>
    <xdr:to>
      <xdr:col>27</xdr:col>
      <xdr:colOff>447120</xdr:colOff>
      <xdr:row>12</xdr:row>
      <xdr:rowOff>3600</xdr:rowOff>
    </xdr:to>
    <xdr:sp macro="" textlink="">
      <xdr:nvSpPr>
        <xdr:cNvPr id="11" name="4 CuadroTexto">
          <a:hlinkClick xmlns:r="http://schemas.openxmlformats.org/officeDocument/2006/relationships" r:id="rId1"/>
          <a:extLst>
            <a:ext uri="{FF2B5EF4-FFF2-40B4-BE49-F238E27FC236}">
              <a16:creationId xmlns:a16="http://schemas.microsoft.com/office/drawing/2014/main" id="{00000000-0008-0000-0100-00000B000000}"/>
            </a:ext>
          </a:extLst>
        </xdr:cNvPr>
        <xdr:cNvSpPr/>
      </xdr:nvSpPr>
      <xdr:spPr>
        <a:xfrm>
          <a:off x="16580485" y="2882900"/>
          <a:ext cx="3888740" cy="478155"/>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VOLVER AL MENÚ</a:t>
          </a:r>
          <a:endParaRPr lang="en-US" sz="1400" b="0" strike="noStrike" spc="-1">
            <a:latin typeface="Times New Roman" panose="02020603050405020304" pitchFamily="12"/>
          </a:endParaRPr>
        </a:p>
      </xdr:txBody>
    </xdr:sp>
    <xdr:clientData/>
  </xdr:twoCellAnchor>
  <xdr:twoCellAnchor>
    <xdr:from>
      <xdr:col>6</xdr:col>
      <xdr:colOff>304920</xdr:colOff>
      <xdr:row>13</xdr:row>
      <xdr:rowOff>42120</xdr:rowOff>
    </xdr:from>
    <xdr:to>
      <xdr:col>7</xdr:col>
      <xdr:colOff>295200</xdr:colOff>
      <xdr:row>19</xdr:row>
      <xdr:rowOff>50760</xdr:rowOff>
    </xdr:to>
    <xdr:sp macro="" textlink="">
      <xdr:nvSpPr>
        <xdr:cNvPr id="12" name="1 Flecha abajo">
          <a:extLst>
            <a:ext uri="{FF2B5EF4-FFF2-40B4-BE49-F238E27FC236}">
              <a16:creationId xmlns:a16="http://schemas.microsoft.com/office/drawing/2014/main" id="{00000000-0008-0000-0100-00000C000000}"/>
            </a:ext>
          </a:extLst>
        </xdr:cNvPr>
        <xdr:cNvSpPr/>
      </xdr:nvSpPr>
      <xdr:spPr>
        <a:xfrm>
          <a:off x="13540105" y="3613150"/>
          <a:ext cx="762000" cy="1480820"/>
        </a:xfrm>
        <a:prstGeom prst="downArrow">
          <a:avLst>
            <a:gd name="adj1" fmla="val 50000"/>
            <a:gd name="adj2" fmla="val 50000"/>
          </a:avLst>
        </a:prstGeom>
        <a:solidFill>
          <a:srgbClr val="4F81BD"/>
        </a:solidFill>
        <a:ln w="25400">
          <a:solidFill>
            <a:srgbClr val="3A5F8B"/>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24</xdr:col>
      <xdr:colOff>0</xdr:colOff>
      <xdr:row>37</xdr:row>
      <xdr:rowOff>119160</xdr:rowOff>
    </xdr:from>
    <xdr:to>
      <xdr:col>29</xdr:col>
      <xdr:colOff>254520</xdr:colOff>
      <xdr:row>41</xdr:row>
      <xdr:rowOff>65160</xdr:rowOff>
    </xdr:to>
    <xdr:sp macro="" textlink="">
      <xdr:nvSpPr>
        <xdr:cNvPr id="13" name="12 CuadroTexto">
          <a:hlinkClick xmlns:r="http://schemas.openxmlformats.org/officeDocument/2006/relationships" r:id="rId2"/>
          <a:extLst>
            <a:ext uri="{FF2B5EF4-FFF2-40B4-BE49-F238E27FC236}">
              <a16:creationId xmlns:a16="http://schemas.microsoft.com/office/drawing/2014/main" id="{00000000-0008-0000-0100-00000D000000}"/>
            </a:ext>
          </a:extLst>
        </xdr:cNvPr>
        <xdr:cNvSpPr/>
      </xdr:nvSpPr>
      <xdr:spPr>
        <a:xfrm>
          <a:off x="16676370" y="9230360"/>
          <a:ext cx="5306695" cy="799465"/>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90000" tIns="45000" rIns="90000" bIns="45000" anchor="t">
          <a:noAutofit/>
        </a:bodyPr>
        <a:lstStyle/>
        <a:p>
          <a:pPr>
            <a:lnSpc>
              <a:spcPts val="900"/>
            </a:lnSpc>
          </a:pPr>
          <a:r>
            <a:rPr lang="es-CO" sz="800" b="1" strike="noStrike" spc="-1">
              <a:solidFill>
                <a:schemeClr val="dk1"/>
              </a:solidFill>
              <a:latin typeface="Calibri"/>
            </a:rPr>
            <a:t>Desarrollado por: Magíster Mauricio Reyes Giraldo.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Docente de Tiempo Completo Universidad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Coordinador Núcleo de Emprendimiento Universidad  FEAV Univerisdad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contacto: dmreyes@ean.edu.co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 </a:t>
          </a:r>
          <a:endParaRPr lang="en-US" sz="800" b="0" strike="noStrike" spc="-1">
            <a:latin typeface="Times New Roman" panose="02020603050405020304" pitchFamily="12"/>
          </a:endParaRPr>
        </a:p>
        <a:p>
          <a:pPr>
            <a:lnSpc>
              <a:spcPts val="500"/>
            </a:lnSpc>
          </a:pPr>
          <a:endParaRPr lang="en-US" sz="500" b="0" strike="noStrike" spc="-1">
            <a:latin typeface="Times New Roman" panose="02020603050405020304" pitchFamily="12"/>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1009440</xdr:colOff>
      <xdr:row>7</xdr:row>
      <xdr:rowOff>28080</xdr:rowOff>
    </xdr:to>
    <xdr:sp macro="" textlink="">
      <xdr:nvSpPr>
        <xdr:cNvPr id="14" name="1 CuadroTexto">
          <a:hlinkClick xmlns:r="http://schemas.openxmlformats.org/officeDocument/2006/relationships" r:id="rId1"/>
          <a:extLst>
            <a:ext uri="{FF2B5EF4-FFF2-40B4-BE49-F238E27FC236}">
              <a16:creationId xmlns:a16="http://schemas.microsoft.com/office/drawing/2014/main" id="{00000000-0008-0000-0200-00000E000000}"/>
            </a:ext>
          </a:extLst>
        </xdr:cNvPr>
        <xdr:cNvSpPr/>
      </xdr:nvSpPr>
      <xdr:spPr>
        <a:xfrm>
          <a:off x="5432425" y="878205"/>
          <a:ext cx="2905760" cy="454660"/>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VOLVER AL MENÚ</a:t>
          </a:r>
          <a:endParaRPr lang="en-US" sz="1400" b="0" strike="noStrike" spc="-1">
            <a:latin typeface="Times New Roman" panose="02020603050405020304" pitchFamily="12"/>
          </a:endParaRPr>
        </a:p>
      </xdr:txBody>
    </xdr:sp>
    <xdr:clientData/>
  </xdr:twoCellAnchor>
  <xdr:twoCellAnchor>
    <xdr:from>
      <xdr:col>8</xdr:col>
      <xdr:colOff>685800</xdr:colOff>
      <xdr:row>20</xdr:row>
      <xdr:rowOff>9720</xdr:rowOff>
    </xdr:from>
    <xdr:to>
      <xdr:col>12</xdr:col>
      <xdr:colOff>676080</xdr:colOff>
      <xdr:row>23</xdr:row>
      <xdr:rowOff>145800</xdr:rowOff>
    </xdr:to>
    <xdr:sp macro="" textlink="">
      <xdr:nvSpPr>
        <xdr:cNvPr id="15" name="12 CuadroTexto">
          <a:hlinkClick xmlns:r="http://schemas.openxmlformats.org/officeDocument/2006/relationships" r:id="rId2"/>
          <a:extLst>
            <a:ext uri="{FF2B5EF4-FFF2-40B4-BE49-F238E27FC236}">
              <a16:creationId xmlns:a16="http://schemas.microsoft.com/office/drawing/2014/main" id="{00000000-0008-0000-0200-00000F000000}"/>
            </a:ext>
          </a:extLst>
        </xdr:cNvPr>
        <xdr:cNvSpPr/>
      </xdr:nvSpPr>
      <xdr:spPr>
        <a:xfrm>
          <a:off x="11645265" y="4094480"/>
          <a:ext cx="3728720" cy="786130"/>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90000" tIns="45000" rIns="90000" bIns="45000" anchor="t">
          <a:noAutofit/>
        </a:bodyPr>
        <a:lstStyle/>
        <a:p>
          <a:pPr>
            <a:lnSpc>
              <a:spcPts val="900"/>
            </a:lnSpc>
          </a:pPr>
          <a:r>
            <a:rPr lang="es-CO" sz="800" b="1" strike="noStrike" spc="-1">
              <a:solidFill>
                <a:schemeClr val="dk1"/>
              </a:solidFill>
              <a:latin typeface="Calibri"/>
            </a:rPr>
            <a:t>Desarrollado por: Magíster Mauricio Reyes Giraldo.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Docente de Tiempo Completo Universidad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Coordinador Núcleo de Emprendimiento Universidad  FEAV Univerisdad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contacto: dmreyes@ean.edu.co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 </a:t>
          </a:r>
          <a:endParaRPr lang="en-US" sz="800" b="0" strike="noStrike" spc="-1">
            <a:latin typeface="Times New Roman" panose="02020603050405020304" pitchFamily="12"/>
          </a:endParaRPr>
        </a:p>
        <a:p>
          <a:pPr>
            <a:lnSpc>
              <a:spcPts val="500"/>
            </a:lnSpc>
          </a:pPr>
          <a:endParaRPr lang="en-US" sz="500" b="0" strike="noStrike" spc="-1">
            <a:latin typeface="Times New Roman" panose="02020603050405020304" pitchFamily="12"/>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781200</xdr:colOff>
      <xdr:row>14</xdr:row>
      <xdr:rowOff>0</xdr:rowOff>
    </xdr:from>
    <xdr:to>
      <xdr:col>8</xdr:col>
      <xdr:colOff>504720</xdr:colOff>
      <xdr:row>15</xdr:row>
      <xdr:rowOff>180720</xdr:rowOff>
    </xdr:to>
    <xdr:sp macro="" textlink="">
      <xdr:nvSpPr>
        <xdr:cNvPr id="16" name="1 CuadroTexto">
          <a:hlinkClick xmlns:r="http://schemas.openxmlformats.org/officeDocument/2006/relationships" r:id="rId1"/>
          <a:extLst>
            <a:ext uri="{FF2B5EF4-FFF2-40B4-BE49-F238E27FC236}">
              <a16:creationId xmlns:a16="http://schemas.microsoft.com/office/drawing/2014/main" id="{00000000-0008-0000-0300-000010000000}"/>
            </a:ext>
          </a:extLst>
        </xdr:cNvPr>
        <xdr:cNvSpPr/>
      </xdr:nvSpPr>
      <xdr:spPr>
        <a:xfrm>
          <a:off x="8936355" y="3194685"/>
          <a:ext cx="3340100" cy="393700"/>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VOLVER AL MENÚ</a:t>
          </a:r>
          <a:endParaRPr lang="en-US" sz="1400" b="0" strike="noStrike" spc="-1">
            <a:latin typeface="Times New Roman" panose="02020603050405020304" pitchFamily="12"/>
          </a:endParaRPr>
        </a:p>
      </xdr:txBody>
    </xdr:sp>
    <xdr:clientData/>
  </xdr:twoCellAnchor>
  <xdr:twoCellAnchor>
    <xdr:from>
      <xdr:col>8</xdr:col>
      <xdr:colOff>638280</xdr:colOff>
      <xdr:row>17</xdr:row>
      <xdr:rowOff>75960</xdr:rowOff>
    </xdr:from>
    <xdr:to>
      <xdr:col>12</xdr:col>
      <xdr:colOff>171360</xdr:colOff>
      <xdr:row>21</xdr:row>
      <xdr:rowOff>21960</xdr:rowOff>
    </xdr:to>
    <xdr:sp macro="" textlink="">
      <xdr:nvSpPr>
        <xdr:cNvPr id="17" name="12 CuadroTexto">
          <a:hlinkClick xmlns:r="http://schemas.openxmlformats.org/officeDocument/2006/relationships" r:id="rId2"/>
          <a:extLst>
            <a:ext uri="{FF2B5EF4-FFF2-40B4-BE49-F238E27FC236}">
              <a16:creationId xmlns:a16="http://schemas.microsoft.com/office/drawing/2014/main" id="{00000000-0008-0000-0300-000011000000}"/>
            </a:ext>
          </a:extLst>
        </xdr:cNvPr>
        <xdr:cNvSpPr/>
      </xdr:nvSpPr>
      <xdr:spPr>
        <a:xfrm>
          <a:off x="12410440" y="3920490"/>
          <a:ext cx="4057015" cy="799465"/>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90000" tIns="45000" rIns="90000" bIns="45000" anchor="t">
          <a:noAutofit/>
        </a:bodyPr>
        <a:lstStyle/>
        <a:p>
          <a:pPr>
            <a:lnSpc>
              <a:spcPts val="900"/>
            </a:lnSpc>
          </a:pPr>
          <a:r>
            <a:rPr lang="es-CO" sz="800" b="1" strike="noStrike" spc="-1">
              <a:solidFill>
                <a:schemeClr val="dk1"/>
              </a:solidFill>
              <a:latin typeface="Calibri"/>
            </a:rPr>
            <a:t>Desarrollado por: Magíster Mauricio Reyes Giraldo.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Docente de Tiempo Completo Universidad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Coordinador Núcleo de Emprendimiento Universidad  FEAV Univerisdad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contacto: dmreyes@ean.edu.co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 </a:t>
          </a:r>
          <a:endParaRPr lang="en-US" sz="800" b="0" strike="noStrike" spc="-1">
            <a:latin typeface="Times New Roman" panose="02020603050405020304" pitchFamily="12"/>
          </a:endParaRPr>
        </a:p>
        <a:p>
          <a:pPr>
            <a:lnSpc>
              <a:spcPts val="500"/>
            </a:lnSpc>
          </a:pPr>
          <a:endParaRPr lang="en-US" sz="500" b="0" strike="noStrike" spc="-1">
            <a:latin typeface="Times New Roman" panose="02020603050405020304" pitchFamily="12"/>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76320</xdr:colOff>
      <xdr:row>0</xdr:row>
      <xdr:rowOff>66600</xdr:rowOff>
    </xdr:from>
    <xdr:to>
      <xdr:col>9</xdr:col>
      <xdr:colOff>666360</xdr:colOff>
      <xdr:row>0</xdr:row>
      <xdr:rowOff>371160</xdr:rowOff>
    </xdr:to>
    <xdr:sp macro="" textlink="">
      <xdr:nvSpPr>
        <xdr:cNvPr id="18" name="1 CuadroTexto">
          <a:hlinkClick xmlns:r="http://schemas.openxmlformats.org/officeDocument/2006/relationships" r:id="rId1"/>
          <a:extLst>
            <a:ext uri="{FF2B5EF4-FFF2-40B4-BE49-F238E27FC236}">
              <a16:creationId xmlns:a16="http://schemas.microsoft.com/office/drawing/2014/main" id="{00000000-0008-0000-0400-000012000000}"/>
            </a:ext>
          </a:extLst>
        </xdr:cNvPr>
        <xdr:cNvSpPr/>
      </xdr:nvSpPr>
      <xdr:spPr>
        <a:xfrm>
          <a:off x="12118975" y="66040"/>
          <a:ext cx="2459355" cy="304800"/>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VOLVER AL MENÚ</a:t>
          </a:r>
          <a:endParaRPr lang="en-US" sz="1400" b="0" strike="noStrike" spc="-1">
            <a:latin typeface="Times New Roman" panose="02020603050405020304" pitchFamily="12"/>
          </a:endParaRPr>
        </a:p>
      </xdr:txBody>
    </xdr:sp>
    <xdr:clientData/>
  </xdr:twoCellAnchor>
  <xdr:twoCellAnchor>
    <xdr:from>
      <xdr:col>7</xdr:col>
      <xdr:colOff>190440</xdr:colOff>
      <xdr:row>53</xdr:row>
      <xdr:rowOff>10440</xdr:rowOff>
    </xdr:from>
    <xdr:to>
      <xdr:col>11</xdr:col>
      <xdr:colOff>180720</xdr:colOff>
      <xdr:row>56</xdr:row>
      <xdr:rowOff>144000</xdr:rowOff>
    </xdr:to>
    <xdr:sp macro="" textlink="">
      <xdr:nvSpPr>
        <xdr:cNvPr id="19" name="12 CuadroTexto">
          <a:hlinkClick xmlns:r="http://schemas.openxmlformats.org/officeDocument/2006/relationships" r:id="rId2"/>
          <a:extLst>
            <a:ext uri="{FF2B5EF4-FFF2-40B4-BE49-F238E27FC236}">
              <a16:creationId xmlns:a16="http://schemas.microsoft.com/office/drawing/2014/main" id="{00000000-0008-0000-0400-000013000000}"/>
            </a:ext>
          </a:extLst>
        </xdr:cNvPr>
        <xdr:cNvSpPr/>
      </xdr:nvSpPr>
      <xdr:spPr>
        <a:xfrm>
          <a:off x="12232640" y="12020550"/>
          <a:ext cx="3729355" cy="782955"/>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90000" tIns="45000" rIns="90000" bIns="45000" anchor="t">
          <a:noAutofit/>
        </a:bodyPr>
        <a:lstStyle/>
        <a:p>
          <a:pPr>
            <a:lnSpc>
              <a:spcPts val="900"/>
            </a:lnSpc>
          </a:pPr>
          <a:r>
            <a:rPr lang="es-CO" sz="800" b="1" strike="noStrike" spc="-1">
              <a:solidFill>
                <a:schemeClr val="dk1"/>
              </a:solidFill>
              <a:latin typeface="Calibri"/>
            </a:rPr>
            <a:t>Desarrollado por: Magíster Mauricio Reyes Giraldo.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Docente de Tiempo Completo Universidad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Coordinador Núcleo de Emprendimiento Universidad  FEAV Univerisdad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contacto: dmreyes@ean.edu.co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 </a:t>
          </a:r>
          <a:endParaRPr lang="en-US" sz="800" b="0" strike="noStrike" spc="-1">
            <a:latin typeface="Times New Roman" panose="02020603050405020304" pitchFamily="12"/>
          </a:endParaRPr>
        </a:p>
        <a:p>
          <a:pPr>
            <a:lnSpc>
              <a:spcPts val="500"/>
            </a:lnSpc>
          </a:pPr>
          <a:endParaRPr lang="en-US" sz="500" b="0" strike="noStrike" spc="-1">
            <a:latin typeface="Times New Roman" panose="02020603050405020304" pitchFamily="12"/>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857160</xdr:colOff>
      <xdr:row>12</xdr:row>
      <xdr:rowOff>183960</xdr:rowOff>
    </xdr:from>
    <xdr:to>
      <xdr:col>12</xdr:col>
      <xdr:colOff>190080</xdr:colOff>
      <xdr:row>24</xdr:row>
      <xdr:rowOff>89640</xdr:rowOff>
    </xdr:to>
    <xdr:graphicFrame macro="">
      <xdr:nvGraphicFramePr>
        <xdr:cNvPr id="20" name="1 Gráfico">
          <a:extLst>
            <a:ext uri="{FF2B5EF4-FFF2-40B4-BE49-F238E27FC236}">
              <a16:creationId xmlns:a16="http://schemas.microsoft.com/office/drawing/2014/main" id="{00000000-0008-0000-0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561960</xdr:colOff>
      <xdr:row>1</xdr:row>
      <xdr:rowOff>200160</xdr:rowOff>
    </xdr:from>
    <xdr:to>
      <xdr:col>8</xdr:col>
      <xdr:colOff>676080</xdr:colOff>
      <xdr:row>2</xdr:row>
      <xdr:rowOff>75960</xdr:rowOff>
    </xdr:to>
    <xdr:sp macro="" textlink="">
      <xdr:nvSpPr>
        <xdr:cNvPr id="21" name="2 CuadroTexto">
          <a:hlinkClick xmlns:r="http://schemas.openxmlformats.org/officeDocument/2006/relationships" r:id="rId2"/>
          <a:extLst>
            <a:ext uri="{FF2B5EF4-FFF2-40B4-BE49-F238E27FC236}">
              <a16:creationId xmlns:a16="http://schemas.microsoft.com/office/drawing/2014/main" id="{00000000-0008-0000-0500-000015000000}"/>
            </a:ext>
          </a:extLst>
        </xdr:cNvPr>
        <xdr:cNvSpPr/>
      </xdr:nvSpPr>
      <xdr:spPr>
        <a:xfrm>
          <a:off x="13254990" y="413385"/>
          <a:ext cx="3473450" cy="361315"/>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VOLVER AL MENÚ</a:t>
          </a:r>
          <a:endParaRPr lang="en-US" sz="1400" b="0" strike="noStrike" spc="-1">
            <a:latin typeface="Times New Roman" panose="02020603050405020304" pitchFamily="12"/>
          </a:endParaRPr>
        </a:p>
      </xdr:txBody>
    </xdr:sp>
    <xdr:clientData/>
  </xdr:twoCellAnchor>
  <xdr:twoCellAnchor>
    <xdr:from>
      <xdr:col>6</xdr:col>
      <xdr:colOff>866880</xdr:colOff>
      <xdr:row>25</xdr:row>
      <xdr:rowOff>61560</xdr:rowOff>
    </xdr:from>
    <xdr:to>
      <xdr:col>9</xdr:col>
      <xdr:colOff>218880</xdr:colOff>
      <xdr:row>26</xdr:row>
      <xdr:rowOff>156960</xdr:rowOff>
    </xdr:to>
    <xdr:sp macro="" textlink="">
      <xdr:nvSpPr>
        <xdr:cNvPr id="22" name="3 CuadroTexto">
          <a:hlinkClick xmlns:r="http://schemas.openxmlformats.org/officeDocument/2006/relationships" r:id="rId2"/>
          <a:extLst>
            <a:ext uri="{FF2B5EF4-FFF2-40B4-BE49-F238E27FC236}">
              <a16:creationId xmlns:a16="http://schemas.microsoft.com/office/drawing/2014/main" id="{00000000-0008-0000-0500-000016000000}"/>
            </a:ext>
          </a:extLst>
        </xdr:cNvPr>
        <xdr:cNvSpPr/>
      </xdr:nvSpPr>
      <xdr:spPr>
        <a:xfrm>
          <a:off x="13560425" y="6342380"/>
          <a:ext cx="3645535" cy="616585"/>
        </a:xfrm>
        <a:prstGeom prst="rect">
          <a:avLst/>
        </a:prstGeom>
        <a:gradFill rotWithShape="0">
          <a:gsLst>
            <a:gs pos="0">
              <a:srgbClr val="779637"/>
            </a:gs>
            <a:gs pos="80000">
              <a:srgbClr val="9BC348"/>
            </a:gs>
            <a:gs pos="100000">
              <a:srgbClr val="9CC745"/>
            </a:gs>
          </a:gsLst>
          <a:lin ang="16200000"/>
        </a:gradFill>
        <a:ln w="0">
          <a:noFill/>
        </a:ln>
        <a:effectLst>
          <a:outerShdw blurRad="39960" dist="23040" dir="5400000" rotWithShape="0">
            <a:srgbClr val="000000">
              <a:alpha val="35000"/>
            </a:srgbClr>
          </a:outerShdw>
        </a:effectLst>
      </xdr:spPr>
      <xdr:style>
        <a:lnRef idx="0">
          <a:schemeClr val="accent3"/>
        </a:lnRef>
        <a:fillRef idx="3">
          <a:schemeClr val="accent3"/>
        </a:fillRef>
        <a:effectRef idx="3">
          <a:schemeClr val="accent3"/>
        </a:effectRef>
        <a:fontRef idx="minor"/>
      </xdr:style>
      <xdr:txBody>
        <a:bodyPr vertOverflow="clip" horzOverflow="clip" lIns="90000" tIns="45000" rIns="90000" bIns="45000" anchor="ctr">
          <a:noAutofit/>
        </a:bodyPr>
        <a:lstStyle/>
        <a:p>
          <a:pPr algn="ctr">
            <a:lnSpc>
              <a:spcPct val="100000"/>
            </a:lnSpc>
          </a:pPr>
          <a:r>
            <a:rPr lang="es-CO" sz="1400" b="1" strike="noStrike" spc="-1">
              <a:solidFill>
                <a:schemeClr val="lt1"/>
              </a:solidFill>
              <a:latin typeface="Arial" panose="020B0704020202020204"/>
            </a:rPr>
            <a:t>VOLVER AL MENÚ</a:t>
          </a:r>
          <a:endParaRPr lang="en-US" sz="1400" b="0" strike="noStrike" spc="-1">
            <a:latin typeface="Times New Roman" panose="02020603050405020304" pitchFamily="12"/>
          </a:endParaRPr>
        </a:p>
      </xdr:txBody>
    </xdr:sp>
    <xdr:clientData/>
  </xdr:twoCellAnchor>
  <xdr:twoCellAnchor>
    <xdr:from>
      <xdr:col>8</xdr:col>
      <xdr:colOff>59400</xdr:colOff>
      <xdr:row>29</xdr:row>
      <xdr:rowOff>58320</xdr:rowOff>
    </xdr:from>
    <xdr:to>
      <xdr:col>12</xdr:col>
      <xdr:colOff>13680</xdr:colOff>
      <xdr:row>33</xdr:row>
      <xdr:rowOff>3960</xdr:rowOff>
    </xdr:to>
    <xdr:sp macro="" textlink="">
      <xdr:nvSpPr>
        <xdr:cNvPr id="23" name="12 CuadroTexto">
          <a:hlinkClick xmlns:r="http://schemas.openxmlformats.org/officeDocument/2006/relationships" r:id="rId3"/>
          <a:extLst>
            <a:ext uri="{FF2B5EF4-FFF2-40B4-BE49-F238E27FC236}">
              <a16:creationId xmlns:a16="http://schemas.microsoft.com/office/drawing/2014/main" id="{00000000-0008-0000-0500-000017000000}"/>
            </a:ext>
          </a:extLst>
        </xdr:cNvPr>
        <xdr:cNvSpPr/>
      </xdr:nvSpPr>
      <xdr:spPr>
        <a:xfrm>
          <a:off x="16111855" y="7911465"/>
          <a:ext cx="3733800" cy="799465"/>
        </a:xfrm>
        <a:prstGeom prst="rect">
          <a:avLst/>
        </a:prstGeom>
        <a:solidFill>
          <a:srgbClr val="FFFFFF"/>
        </a:solidFill>
        <a:ln w="9525">
          <a:noFill/>
        </a:ln>
      </xdr:spPr>
      <xdr:style>
        <a:lnRef idx="0">
          <a:scrgbClr r="0" g="0" b="0"/>
        </a:lnRef>
        <a:fillRef idx="0">
          <a:scrgbClr r="0" g="0" b="0"/>
        </a:fillRef>
        <a:effectRef idx="0">
          <a:scrgbClr r="0" g="0" b="0"/>
        </a:effectRef>
        <a:fontRef idx="minor"/>
      </xdr:style>
      <xdr:txBody>
        <a:bodyPr vertOverflow="clip" lIns="90000" tIns="45000" rIns="90000" bIns="45000" anchor="t">
          <a:noAutofit/>
        </a:bodyPr>
        <a:lstStyle/>
        <a:p>
          <a:pPr>
            <a:lnSpc>
              <a:spcPts val="900"/>
            </a:lnSpc>
          </a:pPr>
          <a:r>
            <a:rPr lang="es-CO" sz="800" b="1" strike="noStrike" spc="-1">
              <a:solidFill>
                <a:schemeClr val="dk1"/>
              </a:solidFill>
              <a:latin typeface="Calibri"/>
            </a:rPr>
            <a:t>Desarrollado por: Magíster Mauricio Reyes Giraldo.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Docente de Tiempo Completo Universidad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Coordinador Núcleo de Emprendimiento Universidad  FEAV Univerisdad  -EAN.</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contacto: dmreyes@ean.edu.co</a:t>
          </a:r>
          <a:endParaRPr lang="en-US" sz="800" b="0" strike="noStrike" spc="-1">
            <a:latin typeface="Times New Roman" panose="02020603050405020304" pitchFamily="12"/>
          </a:endParaRPr>
        </a:p>
        <a:p>
          <a:pPr>
            <a:lnSpc>
              <a:spcPts val="900"/>
            </a:lnSpc>
          </a:pPr>
          <a:r>
            <a:rPr lang="es-CO" sz="800" b="1" strike="noStrike" spc="-1">
              <a:solidFill>
                <a:schemeClr val="dk1"/>
              </a:solidFill>
              <a:latin typeface="Calibri"/>
            </a:rPr>
            <a:t> </a:t>
          </a:r>
          <a:endParaRPr lang="en-US" sz="800" b="0" strike="noStrike" spc="-1">
            <a:latin typeface="Times New Roman" panose="02020603050405020304" pitchFamily="12"/>
          </a:endParaRPr>
        </a:p>
        <a:p>
          <a:pPr>
            <a:lnSpc>
              <a:spcPts val="500"/>
            </a:lnSpc>
          </a:pPr>
          <a:endParaRPr lang="en-US" sz="500" b="0" strike="noStrike" spc="-1">
            <a:latin typeface="Times New Roman" panose="02020603050405020304" pitchFamily="12"/>
          </a:endParaRPr>
        </a:p>
      </xdr:txBody>
    </xdr:sp>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zoomScale="95" zoomScaleNormal="95" zoomScalePageLayoutView="142" workbookViewId="0"/>
  </sheetViews>
  <sheetFormatPr baseColWidth="10" defaultColWidth="10.6640625" defaultRowHeight="15"/>
  <sheetData>
    <row r="23" spans="7:8" ht="20">
      <c r="G23" s="137" t="s">
        <v>0</v>
      </c>
      <c r="H23" s="137"/>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511811023622047" footer="0.511811023622047"/>
  <pageSetup paperSize="9" scale="69" orientation="portrait" horizontalDpi="300" verticalDpi="30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4"/>
  <sheetViews>
    <sheetView showGridLines="0" workbookViewId="0">
      <selection activeCell="AH23" sqref="AH23"/>
    </sheetView>
  </sheetViews>
  <sheetFormatPr baseColWidth="10" defaultColWidth="11.5" defaultRowHeight="15"/>
  <cols>
    <col min="1" max="1" width="22.5" style="1" customWidth="1"/>
    <col min="2" max="2" width="36.33203125" style="1" customWidth="1"/>
    <col min="3" max="6" width="26" style="1" customWidth="1"/>
    <col min="7" max="10" width="9.5" style="1" customWidth="1"/>
    <col min="11" max="11" width="4.33203125" style="1" customWidth="1"/>
    <col min="12" max="15" width="11.5" style="1" hidden="1"/>
    <col min="16" max="19" width="12" style="1" hidden="1" customWidth="1"/>
    <col min="20" max="24" width="15.5" style="1" hidden="1" customWidth="1"/>
    <col min="25" max="25" width="22.1640625" style="1" customWidth="1"/>
    <col min="26" max="27" width="9.5" style="1" customWidth="1"/>
    <col min="28" max="28" width="11.5" style="1"/>
    <col min="29" max="29" width="9.5" style="1" customWidth="1"/>
    <col min="30" max="16384" width="11.5" style="1"/>
  </cols>
  <sheetData>
    <row r="1" spans="1:29" ht="30.75" customHeight="1">
      <c r="A1" s="138" t="s">
        <v>1</v>
      </c>
      <c r="B1" s="138"/>
      <c r="C1" s="138"/>
      <c r="D1" s="138"/>
      <c r="E1" s="138"/>
      <c r="G1" s="139" t="s">
        <v>2</v>
      </c>
      <c r="H1" s="139"/>
      <c r="I1" s="139"/>
      <c r="J1" s="139"/>
      <c r="P1" s="1" t="s">
        <v>3</v>
      </c>
      <c r="Y1" s="122" t="s">
        <v>4</v>
      </c>
      <c r="Z1" s="123">
        <v>2027</v>
      </c>
      <c r="AA1" s="67"/>
    </row>
    <row r="2" spans="1:29" ht="32.25" customHeight="1">
      <c r="B2" s="96" t="s">
        <v>5</v>
      </c>
      <c r="C2" s="97" t="s">
        <v>6</v>
      </c>
      <c r="D2" s="96" t="s">
        <v>7</v>
      </c>
      <c r="E2" s="97" t="s">
        <v>8</v>
      </c>
      <c r="F2" s="109" t="s">
        <v>9</v>
      </c>
      <c r="G2" s="110">
        <f>'1'!Z1+1</f>
        <v>2028</v>
      </c>
      <c r="H2" s="110">
        <f>G2+1</f>
        <v>2029</v>
      </c>
      <c r="I2" s="110">
        <f>H2+1</f>
        <v>2030</v>
      </c>
      <c r="J2" s="110">
        <f>I2+1</f>
        <v>2031</v>
      </c>
      <c r="L2" s="1">
        <f>G2</f>
        <v>2028</v>
      </c>
      <c r="M2" s="1">
        <f>H2</f>
        <v>2029</v>
      </c>
      <c r="N2" s="1">
        <f>M2+1</f>
        <v>2030</v>
      </c>
      <c r="O2" s="1">
        <f>N2+1</f>
        <v>2031</v>
      </c>
      <c r="P2" s="1" t="s">
        <v>10</v>
      </c>
      <c r="Q2" s="1" t="s">
        <v>11</v>
      </c>
      <c r="R2" s="1" t="s">
        <v>12</v>
      </c>
      <c r="S2" s="1" t="s">
        <v>13</v>
      </c>
      <c r="T2" s="1" t="s">
        <v>14</v>
      </c>
      <c r="U2" s="1" t="s">
        <v>15</v>
      </c>
      <c r="V2" s="1" t="s">
        <v>16</v>
      </c>
      <c r="W2" s="1" t="s">
        <v>17</v>
      </c>
      <c r="Y2" s="67"/>
      <c r="Z2" s="67"/>
      <c r="AA2" s="67"/>
    </row>
    <row r="3" spans="1:29" ht="23">
      <c r="A3" s="88">
        <v>1</v>
      </c>
      <c r="B3" s="98" t="s">
        <v>18</v>
      </c>
      <c r="C3" s="99">
        <f>(243*2)</f>
        <v>486</v>
      </c>
      <c r="D3" s="89">
        <v>300000</v>
      </c>
      <c r="E3" s="111">
        <f t="shared" ref="E3:E12" si="0">C3*D3</f>
        <v>145800000</v>
      </c>
      <c r="F3" s="112">
        <f t="shared" ref="F3:F12" si="1">IF($E$13=0,0,E3/$E$13)</f>
        <v>0.31681877444589301</v>
      </c>
      <c r="G3" s="113">
        <v>0.2</v>
      </c>
      <c r="H3" s="113">
        <v>0.45</v>
      </c>
      <c r="I3" s="113">
        <v>0.4</v>
      </c>
      <c r="J3" s="113">
        <v>0.35</v>
      </c>
      <c r="K3" s="119"/>
      <c r="L3" s="1">
        <f t="shared" ref="L3:L12" si="2">C3*(1+G3)</f>
        <v>583.20000000000005</v>
      </c>
      <c r="M3" s="1">
        <f t="shared" ref="M3:M12" si="3">L3*(1+H3)</f>
        <v>845.64</v>
      </c>
      <c r="N3" s="1">
        <f t="shared" ref="N3:N12" si="4">M3*(1+I3)</f>
        <v>1183.896</v>
      </c>
      <c r="O3" s="1">
        <f t="shared" ref="O3:O12" si="5">N3*(1+J3)</f>
        <v>1598.2596000000001</v>
      </c>
      <c r="P3" s="51">
        <f>D3*(1+'1'!$Z$4)</f>
        <v>316500</v>
      </c>
      <c r="Q3" s="51">
        <f>P3*(1+'1'!$AA$4)</f>
        <v>333907.5</v>
      </c>
      <c r="R3" s="51">
        <f>Q3*(1+'1'!$AB$4)</f>
        <v>352272.41249999998</v>
      </c>
      <c r="S3" s="51">
        <f>R3*(1+'1'!$AC$4)</f>
        <v>371647.39518749999</v>
      </c>
      <c r="T3" s="18">
        <f t="shared" ref="T3:T12" si="6">L3*P3</f>
        <v>184582800</v>
      </c>
      <c r="U3" s="18">
        <f t="shared" ref="U3:U12" si="7">M3*Q3</f>
        <v>282365538.30000001</v>
      </c>
      <c r="V3" s="18">
        <f t="shared" ref="V3:V12" si="8">N3*R3</f>
        <v>417053900.06910002</v>
      </c>
      <c r="W3" s="18">
        <f t="shared" ref="W3:W12" si="9">O3*S3</f>
        <v>593989017.17341602</v>
      </c>
      <c r="X3" s="18"/>
      <c r="Y3" s="124" t="s">
        <v>19</v>
      </c>
      <c r="Z3" s="125">
        <f>G2</f>
        <v>2028</v>
      </c>
      <c r="AA3" s="125">
        <f>Z3+1</f>
        <v>2029</v>
      </c>
      <c r="AB3" s="125">
        <f>AA3+1</f>
        <v>2030</v>
      </c>
      <c r="AC3" s="131">
        <f>AB3+1</f>
        <v>2031</v>
      </c>
    </row>
    <row r="4" spans="1:29" ht="23">
      <c r="A4" s="88">
        <f t="shared" ref="A4:A12" si="10">A3+1</f>
        <v>2</v>
      </c>
      <c r="B4" s="98" t="s">
        <v>20</v>
      </c>
      <c r="C4" s="99">
        <f>(243*1)</f>
        <v>243</v>
      </c>
      <c r="D4" s="89">
        <v>500000</v>
      </c>
      <c r="E4" s="111">
        <f t="shared" si="0"/>
        <v>121500000</v>
      </c>
      <c r="F4" s="112">
        <f t="shared" si="1"/>
        <v>0.26401564537157801</v>
      </c>
      <c r="G4" s="113">
        <v>0.2</v>
      </c>
      <c r="H4" s="113">
        <v>0.25</v>
      </c>
      <c r="I4" s="113">
        <v>0.25</v>
      </c>
      <c r="J4" s="113">
        <v>0.3</v>
      </c>
      <c r="K4" s="119"/>
      <c r="L4" s="1">
        <f t="shared" si="2"/>
        <v>291.60000000000002</v>
      </c>
      <c r="M4" s="1">
        <f t="shared" si="3"/>
        <v>364.5</v>
      </c>
      <c r="N4" s="1">
        <f t="shared" si="4"/>
        <v>455.625</v>
      </c>
      <c r="O4" s="1">
        <f t="shared" si="5"/>
        <v>592.3125</v>
      </c>
      <c r="P4" s="51">
        <f>D4*(1+'1'!$Z$4)</f>
        <v>527500</v>
      </c>
      <c r="Q4" s="51">
        <f>P4*(1+'1'!$AA$4)</f>
        <v>556512.5</v>
      </c>
      <c r="R4" s="51">
        <f>Q4*(1+'1'!$AB$4)</f>
        <v>587120.6875</v>
      </c>
      <c r="S4" s="51">
        <f>R4*(1+'1'!$AC$4)</f>
        <v>619412.3253125</v>
      </c>
      <c r="T4" s="18">
        <f t="shared" si="6"/>
        <v>153819000</v>
      </c>
      <c r="U4" s="18">
        <f t="shared" si="7"/>
        <v>202848806.25</v>
      </c>
      <c r="V4" s="18">
        <f t="shared" si="8"/>
        <v>267506863.24218699</v>
      </c>
      <c r="W4" s="18">
        <f t="shared" si="9"/>
        <v>366885662.93665999</v>
      </c>
      <c r="X4" s="18"/>
      <c r="Y4" s="126" t="s">
        <v>21</v>
      </c>
      <c r="Z4" s="127">
        <v>5.5E-2</v>
      </c>
      <c r="AA4" s="127">
        <v>5.5E-2</v>
      </c>
      <c r="AB4" s="127">
        <v>5.5E-2</v>
      </c>
      <c r="AC4" s="132">
        <v>5.5E-2</v>
      </c>
    </row>
    <row r="5" spans="1:29" ht="23">
      <c r="A5" s="88">
        <f t="shared" si="10"/>
        <v>3</v>
      </c>
      <c r="B5" s="98" t="s">
        <v>22</v>
      </c>
      <c r="C5" s="99">
        <f>(243*0.5)</f>
        <v>121.5</v>
      </c>
      <c r="D5" s="89">
        <v>600000</v>
      </c>
      <c r="E5" s="111">
        <f t="shared" si="0"/>
        <v>72900000</v>
      </c>
      <c r="F5" s="112">
        <f t="shared" si="1"/>
        <v>0.15840938722294701</v>
      </c>
      <c r="G5" s="114">
        <v>0.2</v>
      </c>
      <c r="H5" s="113">
        <v>0.25</v>
      </c>
      <c r="I5" s="113">
        <v>0.25</v>
      </c>
      <c r="J5" s="113">
        <v>0.3</v>
      </c>
      <c r="K5" s="119"/>
      <c r="L5" s="1">
        <f t="shared" si="2"/>
        <v>145.80000000000001</v>
      </c>
      <c r="M5" s="1">
        <f t="shared" si="3"/>
        <v>182.25</v>
      </c>
      <c r="N5" s="1">
        <f t="shared" si="4"/>
        <v>227.8125</v>
      </c>
      <c r="O5" s="1">
        <f t="shared" si="5"/>
        <v>296.15625</v>
      </c>
      <c r="P5" s="51">
        <f>D5*(1+'1'!$Z$4)</f>
        <v>633000</v>
      </c>
      <c r="Q5" s="51">
        <f>P5*(1+'1'!$AA$4)</f>
        <v>667815</v>
      </c>
      <c r="R5" s="51">
        <f>Q5*(1+'1'!$AB$4)</f>
        <v>704544.82499999995</v>
      </c>
      <c r="S5" s="51">
        <f>R5*(1+'1'!$AC$4)</f>
        <v>743294.79037499998</v>
      </c>
      <c r="T5" s="18">
        <f t="shared" si="6"/>
        <v>92291400</v>
      </c>
      <c r="U5" s="18">
        <f t="shared" si="7"/>
        <v>121709283.75</v>
      </c>
      <c r="V5" s="18">
        <f t="shared" si="8"/>
        <v>160504117.94531199</v>
      </c>
      <c r="W5" s="18">
        <f t="shared" si="9"/>
        <v>220131397.761996</v>
      </c>
      <c r="X5" s="18"/>
      <c r="Y5" s="128" t="s">
        <v>23</v>
      </c>
      <c r="Z5" s="129">
        <v>0.03</v>
      </c>
      <c r="AA5" s="129">
        <v>0.03</v>
      </c>
      <c r="AB5" s="129">
        <v>0.03</v>
      </c>
      <c r="AC5" s="133">
        <v>0.03</v>
      </c>
    </row>
    <row r="6" spans="1:29">
      <c r="A6" s="88">
        <f t="shared" si="10"/>
        <v>4</v>
      </c>
      <c r="B6" s="98" t="s">
        <v>24</v>
      </c>
      <c r="C6" s="99">
        <v>8000</v>
      </c>
      <c r="D6" s="89">
        <v>15000</v>
      </c>
      <c r="E6" s="111">
        <f t="shared" si="0"/>
        <v>120000000</v>
      </c>
      <c r="F6" s="112">
        <f t="shared" si="1"/>
        <v>0.26075619295958302</v>
      </c>
      <c r="G6" s="114">
        <v>0.2</v>
      </c>
      <c r="H6" s="113">
        <v>0.25</v>
      </c>
      <c r="I6" s="113">
        <v>0.25</v>
      </c>
      <c r="J6" s="113">
        <v>0.3</v>
      </c>
      <c r="K6" s="119"/>
      <c r="L6" s="1">
        <f t="shared" si="2"/>
        <v>9600</v>
      </c>
      <c r="M6" s="1">
        <f t="shared" si="3"/>
        <v>12000</v>
      </c>
      <c r="N6" s="1">
        <f t="shared" si="4"/>
        <v>15000</v>
      </c>
      <c r="O6" s="1">
        <f t="shared" si="5"/>
        <v>19500</v>
      </c>
      <c r="P6" s="51">
        <f>D6*(1+'1'!$Z$4)</f>
        <v>15825</v>
      </c>
      <c r="Q6" s="51">
        <f>P6*(1+'1'!$AA$4)</f>
        <v>16695.375</v>
      </c>
      <c r="R6" s="51">
        <f>Q6*(1+'1'!$AB$4)</f>
        <v>17613.620625</v>
      </c>
      <c r="S6" s="51">
        <f>R6*(1+'1'!$AC$4)</f>
        <v>18582.369759375</v>
      </c>
      <c r="T6" s="18">
        <f t="shared" si="6"/>
        <v>151920000</v>
      </c>
      <c r="U6" s="18">
        <f t="shared" si="7"/>
        <v>200344500</v>
      </c>
      <c r="V6" s="18">
        <f t="shared" si="8"/>
        <v>264204309.375</v>
      </c>
      <c r="W6" s="18">
        <f t="shared" si="9"/>
        <v>362356210.30781299</v>
      </c>
      <c r="X6" s="18"/>
    </row>
    <row r="7" spans="1:29" ht="23">
      <c r="A7" s="88">
        <f t="shared" si="10"/>
        <v>5</v>
      </c>
      <c r="B7" s="98"/>
      <c r="C7" s="99"/>
      <c r="D7" s="89"/>
      <c r="E7" s="111">
        <f t="shared" si="0"/>
        <v>0</v>
      </c>
      <c r="F7" s="112">
        <f t="shared" si="1"/>
        <v>0</v>
      </c>
      <c r="G7" s="114">
        <v>0.2</v>
      </c>
      <c r="H7" s="113">
        <v>0.25</v>
      </c>
      <c r="I7" s="113">
        <v>0.25</v>
      </c>
      <c r="J7" s="113">
        <v>0.3</v>
      </c>
      <c r="K7" s="119"/>
      <c r="L7" s="1">
        <f t="shared" si="2"/>
        <v>0</v>
      </c>
      <c r="M7" s="1">
        <f t="shared" si="3"/>
        <v>0</v>
      </c>
      <c r="N7" s="1">
        <f t="shared" si="4"/>
        <v>0</v>
      </c>
      <c r="O7" s="1">
        <f t="shared" si="5"/>
        <v>0</v>
      </c>
      <c r="P7" s="51">
        <f>D7*(1+'1'!$Z$4)</f>
        <v>0</v>
      </c>
      <c r="Q7" s="51">
        <f>P7*(1+'1'!$AA$4)</f>
        <v>0</v>
      </c>
      <c r="R7" s="51">
        <f>Q7*(1+'1'!$AB$4)</f>
        <v>0</v>
      </c>
      <c r="S7" s="51">
        <f>R7*(1+'1'!$AC$4)</f>
        <v>0</v>
      </c>
      <c r="T7" s="18">
        <f t="shared" si="6"/>
        <v>0</v>
      </c>
      <c r="U7" s="18">
        <f t="shared" si="7"/>
        <v>0</v>
      </c>
      <c r="V7" s="18">
        <f t="shared" si="8"/>
        <v>0</v>
      </c>
      <c r="W7" s="18">
        <f t="shared" si="9"/>
        <v>0</v>
      </c>
      <c r="X7" s="18"/>
      <c r="Y7" s="8" t="s">
        <v>25</v>
      </c>
      <c r="Z7" s="9"/>
      <c r="AA7" s="9"/>
      <c r="AB7" s="130">
        <v>0.35</v>
      </c>
      <c r="AC7" s="134"/>
    </row>
    <row r="8" spans="1:29">
      <c r="A8" s="88">
        <f t="shared" si="10"/>
        <v>6</v>
      </c>
      <c r="B8" s="98"/>
      <c r="C8" s="99"/>
      <c r="D8" s="89"/>
      <c r="E8" s="111">
        <f t="shared" si="0"/>
        <v>0</v>
      </c>
      <c r="F8" s="112">
        <f t="shared" si="1"/>
        <v>0</v>
      </c>
      <c r="G8" s="114">
        <v>0.2</v>
      </c>
      <c r="H8" s="113">
        <v>0.25</v>
      </c>
      <c r="I8" s="113">
        <v>0.25</v>
      </c>
      <c r="J8" s="113">
        <v>0.3</v>
      </c>
      <c r="K8" s="119"/>
      <c r="L8" s="1">
        <f t="shared" si="2"/>
        <v>0</v>
      </c>
      <c r="M8" s="1">
        <f t="shared" si="3"/>
        <v>0</v>
      </c>
      <c r="N8" s="1">
        <f t="shared" si="4"/>
        <v>0</v>
      </c>
      <c r="O8" s="1">
        <f t="shared" si="5"/>
        <v>0</v>
      </c>
      <c r="P8" s="51">
        <f>D8*(1+'1'!$Z$4)</f>
        <v>0</v>
      </c>
      <c r="Q8" s="51">
        <f>P8*(1+'1'!$AA$4)</f>
        <v>0</v>
      </c>
      <c r="R8" s="51">
        <f>Q8*(1+'1'!$AB$4)</f>
        <v>0</v>
      </c>
      <c r="S8" s="51">
        <f>R8*(1+'1'!$AC$4)</f>
        <v>0</v>
      </c>
      <c r="T8" s="18">
        <f t="shared" si="6"/>
        <v>0</v>
      </c>
      <c r="U8" s="18">
        <f t="shared" si="7"/>
        <v>0</v>
      </c>
      <c r="V8" s="18">
        <f t="shared" si="8"/>
        <v>0</v>
      </c>
      <c r="W8" s="18">
        <f t="shared" si="9"/>
        <v>0</v>
      </c>
      <c r="X8" s="18"/>
    </row>
    <row r="9" spans="1:29">
      <c r="A9" s="88">
        <f t="shared" si="10"/>
        <v>7</v>
      </c>
      <c r="B9" s="98"/>
      <c r="C9" s="99"/>
      <c r="D9" s="89"/>
      <c r="E9" s="111">
        <f t="shared" si="0"/>
        <v>0</v>
      </c>
      <c r="F9" s="112">
        <f t="shared" si="1"/>
        <v>0</v>
      </c>
      <c r="G9" s="114">
        <v>0.2</v>
      </c>
      <c r="H9" s="113">
        <v>0.25</v>
      </c>
      <c r="I9" s="113">
        <v>0.25</v>
      </c>
      <c r="J9" s="113">
        <v>0.3</v>
      </c>
      <c r="K9" s="119"/>
      <c r="L9" s="1">
        <f t="shared" si="2"/>
        <v>0</v>
      </c>
      <c r="M9" s="1">
        <f t="shared" si="3"/>
        <v>0</v>
      </c>
      <c r="N9" s="1">
        <f t="shared" si="4"/>
        <v>0</v>
      </c>
      <c r="O9" s="1">
        <f t="shared" si="5"/>
        <v>0</v>
      </c>
      <c r="P9" s="51">
        <f>D9*(1+'1'!$Z$4)</f>
        <v>0</v>
      </c>
      <c r="Q9" s="51">
        <f>P9*(1+'1'!$AA$4)</f>
        <v>0</v>
      </c>
      <c r="R9" s="51">
        <f>Q9*(1+'1'!$AB$4)</f>
        <v>0</v>
      </c>
      <c r="S9" s="51">
        <f>R9*(1+'1'!$AC$4)</f>
        <v>0</v>
      </c>
      <c r="T9" s="18">
        <f t="shared" si="6"/>
        <v>0</v>
      </c>
      <c r="U9" s="18">
        <f t="shared" si="7"/>
        <v>0</v>
      </c>
      <c r="V9" s="18">
        <f t="shared" si="8"/>
        <v>0</v>
      </c>
      <c r="W9" s="18">
        <f t="shared" si="9"/>
        <v>0</v>
      </c>
      <c r="X9" s="18"/>
    </row>
    <row r="10" spans="1:29">
      <c r="A10" s="88">
        <f t="shared" si="10"/>
        <v>8</v>
      </c>
      <c r="B10" s="98"/>
      <c r="C10" s="99"/>
      <c r="D10" s="89"/>
      <c r="E10" s="111">
        <f t="shared" si="0"/>
        <v>0</v>
      </c>
      <c r="F10" s="112">
        <f t="shared" si="1"/>
        <v>0</v>
      </c>
      <c r="G10" s="114">
        <v>0</v>
      </c>
      <c r="H10" s="113">
        <v>0</v>
      </c>
      <c r="I10" s="113">
        <v>0</v>
      </c>
      <c r="J10" s="113">
        <v>0</v>
      </c>
      <c r="K10" s="119"/>
      <c r="L10" s="1">
        <f t="shared" si="2"/>
        <v>0</v>
      </c>
      <c r="M10" s="1">
        <f t="shared" si="3"/>
        <v>0</v>
      </c>
      <c r="N10" s="1">
        <f t="shared" si="4"/>
        <v>0</v>
      </c>
      <c r="O10" s="1">
        <f t="shared" si="5"/>
        <v>0</v>
      </c>
      <c r="P10" s="51">
        <f>D10*(1+'1'!$Z$4)</f>
        <v>0</v>
      </c>
      <c r="Q10" s="51">
        <f>P10*(1+'1'!$AA$4)</f>
        <v>0</v>
      </c>
      <c r="R10" s="51">
        <f>Q10*(1+'1'!$AB$4)</f>
        <v>0</v>
      </c>
      <c r="S10" s="51">
        <f>R10*(1+'1'!$AC$4)</f>
        <v>0</v>
      </c>
      <c r="T10" s="18">
        <f t="shared" si="6"/>
        <v>0</v>
      </c>
      <c r="U10" s="18">
        <f t="shared" si="7"/>
        <v>0</v>
      </c>
      <c r="V10" s="18">
        <f t="shared" si="8"/>
        <v>0</v>
      </c>
      <c r="W10" s="18">
        <f t="shared" si="9"/>
        <v>0</v>
      </c>
      <c r="X10" s="18"/>
    </row>
    <row r="11" spans="1:29">
      <c r="A11" s="88">
        <f t="shared" si="10"/>
        <v>9</v>
      </c>
      <c r="B11" s="98"/>
      <c r="C11" s="99">
        <v>0</v>
      </c>
      <c r="D11" s="89">
        <v>0</v>
      </c>
      <c r="E11" s="111">
        <f t="shared" si="0"/>
        <v>0</v>
      </c>
      <c r="F11" s="112">
        <f t="shared" si="1"/>
        <v>0</v>
      </c>
      <c r="G11" s="114">
        <v>0</v>
      </c>
      <c r="H11" s="114">
        <v>0</v>
      </c>
      <c r="I11" s="114">
        <v>0</v>
      </c>
      <c r="J11" s="114">
        <v>0</v>
      </c>
      <c r="K11" s="119"/>
      <c r="L11" s="1">
        <f t="shared" si="2"/>
        <v>0</v>
      </c>
      <c r="M11" s="1">
        <f t="shared" si="3"/>
        <v>0</v>
      </c>
      <c r="N11" s="1">
        <f t="shared" si="4"/>
        <v>0</v>
      </c>
      <c r="O11" s="1">
        <f t="shared" si="5"/>
        <v>0</v>
      </c>
      <c r="P11" s="51">
        <f>D11*(1+'1'!$Z$4)</f>
        <v>0</v>
      </c>
      <c r="Q11" s="51">
        <f>P11*(1+'1'!$AA$4)</f>
        <v>0</v>
      </c>
      <c r="R11" s="51">
        <f>Q11*(1+'1'!$AB$4)</f>
        <v>0</v>
      </c>
      <c r="S11" s="51">
        <f>R11*(1+'1'!$AC$4)</f>
        <v>0</v>
      </c>
      <c r="T11" s="18">
        <f t="shared" si="6"/>
        <v>0</v>
      </c>
      <c r="U11" s="18">
        <f t="shared" si="7"/>
        <v>0</v>
      </c>
      <c r="V11" s="18">
        <f t="shared" si="8"/>
        <v>0</v>
      </c>
      <c r="W11" s="18">
        <f t="shared" si="9"/>
        <v>0</v>
      </c>
      <c r="X11" s="18"/>
    </row>
    <row r="12" spans="1:29">
      <c r="A12" s="88">
        <f t="shared" si="10"/>
        <v>10</v>
      </c>
      <c r="B12" s="98"/>
      <c r="C12" s="99">
        <v>0</v>
      </c>
      <c r="D12" s="89">
        <v>0</v>
      </c>
      <c r="E12" s="111">
        <f t="shared" si="0"/>
        <v>0</v>
      </c>
      <c r="F12" s="112">
        <f t="shared" si="1"/>
        <v>0</v>
      </c>
      <c r="G12" s="114">
        <v>0</v>
      </c>
      <c r="H12" s="114">
        <v>0</v>
      </c>
      <c r="I12" s="114">
        <v>0</v>
      </c>
      <c r="J12" s="114">
        <v>0</v>
      </c>
      <c r="K12" s="119"/>
      <c r="L12" s="1">
        <f t="shared" si="2"/>
        <v>0</v>
      </c>
      <c r="M12" s="1">
        <f t="shared" si="3"/>
        <v>0</v>
      </c>
      <c r="N12" s="1">
        <f t="shared" si="4"/>
        <v>0</v>
      </c>
      <c r="O12" s="1">
        <f t="shared" si="5"/>
        <v>0</v>
      </c>
      <c r="P12" s="51">
        <f>D12*(1+'1'!$Z$4)</f>
        <v>0</v>
      </c>
      <c r="Q12" s="51">
        <f>P12*(1+'1'!$AA$4)</f>
        <v>0</v>
      </c>
      <c r="R12" s="51">
        <f>Q12*(1+'1'!$AB$4)</f>
        <v>0</v>
      </c>
      <c r="S12" s="51">
        <f>R12*(1+'1'!$AC$4)</f>
        <v>0</v>
      </c>
      <c r="T12" s="18">
        <f t="shared" si="6"/>
        <v>0</v>
      </c>
      <c r="U12" s="18">
        <f t="shared" si="7"/>
        <v>0</v>
      </c>
      <c r="V12" s="18">
        <f t="shared" si="8"/>
        <v>0</v>
      </c>
      <c r="W12" s="18">
        <f t="shared" si="9"/>
        <v>0</v>
      </c>
      <c r="X12" s="18"/>
    </row>
    <row r="13" spans="1:29">
      <c r="D13" s="1" t="s">
        <v>26</v>
      </c>
      <c r="E13" s="115">
        <f>SUM(E3:E12)</f>
        <v>460200000</v>
      </c>
      <c r="F13" s="116">
        <f>SUM(F3:F12)</f>
        <v>1</v>
      </c>
      <c r="T13" s="121">
        <f>SUM(T3:T12)</f>
        <v>582613200</v>
      </c>
      <c r="U13" s="121">
        <f>SUM(U3:U12)</f>
        <v>807268128.29999995</v>
      </c>
      <c r="V13" s="121">
        <f>SUM(V3:V12)</f>
        <v>1109269190.6315999</v>
      </c>
      <c r="W13" s="121">
        <f>SUM(W3:W12)</f>
        <v>1543362288.1798799</v>
      </c>
      <c r="X13" s="18"/>
    </row>
    <row r="15" spans="1:29" ht="23.25" customHeight="1">
      <c r="A15" s="138" t="s">
        <v>27</v>
      </c>
      <c r="B15" s="138"/>
      <c r="C15" s="138"/>
      <c r="D15" s="138"/>
      <c r="E15" s="138"/>
      <c r="G15" s="117"/>
    </row>
    <row r="16" spans="1:29" ht="25.5" customHeight="1">
      <c r="B16" s="96" t="s">
        <v>28</v>
      </c>
      <c r="C16" s="100" t="s">
        <v>6</v>
      </c>
      <c r="D16" s="96" t="s">
        <v>29</v>
      </c>
      <c r="E16" s="97" t="s">
        <v>30</v>
      </c>
      <c r="L16" s="1">
        <f t="shared" ref="L16:W16" si="11">L2</f>
        <v>2028</v>
      </c>
      <c r="M16" s="1">
        <f t="shared" si="11"/>
        <v>2029</v>
      </c>
      <c r="N16" s="1">
        <f t="shared" si="11"/>
        <v>2030</v>
      </c>
      <c r="O16" s="1">
        <f t="shared" si="11"/>
        <v>2031</v>
      </c>
      <c r="P16" s="1" t="str">
        <f t="shared" si="11"/>
        <v>AÑO 2</v>
      </c>
      <c r="Q16" s="1" t="str">
        <f t="shared" si="11"/>
        <v>AÑO 3</v>
      </c>
      <c r="R16" s="1" t="str">
        <f t="shared" si="11"/>
        <v>AÑO 4</v>
      </c>
      <c r="S16" s="1" t="str">
        <f t="shared" si="11"/>
        <v>AÑO 5</v>
      </c>
      <c r="T16" s="1" t="str">
        <f t="shared" si="11"/>
        <v>año 2</v>
      </c>
      <c r="U16" s="1" t="str">
        <f t="shared" si="11"/>
        <v>año 3</v>
      </c>
      <c r="V16" s="1" t="str">
        <f t="shared" si="11"/>
        <v>año 4</v>
      </c>
      <c r="W16" s="1" t="str">
        <f t="shared" si="11"/>
        <v>año 5</v>
      </c>
    </row>
    <row r="17" spans="1:24">
      <c r="A17" s="88">
        <f t="shared" ref="A17:C26" si="12">A3</f>
        <v>1</v>
      </c>
      <c r="B17" s="17" t="str">
        <f t="shared" si="12"/>
        <v>Suscripcion Basico Negocios (B2B)</v>
      </c>
      <c r="C17" s="101">
        <f t="shared" si="12"/>
        <v>486</v>
      </c>
      <c r="D17" s="89">
        <v>15000</v>
      </c>
      <c r="E17" s="111">
        <f t="shared" ref="E17:E26" si="13">C17*D17</f>
        <v>7290000</v>
      </c>
      <c r="F17" s="112">
        <f t="shared" ref="F17:F26" si="14">IF($E$27=0,0,E17/$E$27)</f>
        <v>0.31681877444589301</v>
      </c>
      <c r="L17" s="1">
        <f t="shared" ref="L17:L26" si="15">C17*(1+G3)</f>
        <v>583.20000000000005</v>
      </c>
      <c r="M17" s="1">
        <f t="shared" ref="M17:M26" si="16">L17*(1+H3)</f>
        <v>845.64</v>
      </c>
      <c r="N17" s="1">
        <f t="shared" ref="N17:N26" si="17">M17*(1+I3)</f>
        <v>1183.896</v>
      </c>
      <c r="O17" s="1">
        <f t="shared" ref="O17:O26" si="18">N17*(1+J3)</f>
        <v>1598.2596000000001</v>
      </c>
      <c r="P17" s="120">
        <f>D17*(1+'1'!$Z$5)</f>
        <v>15450</v>
      </c>
      <c r="Q17" s="51">
        <f>P17*(1+'1'!$AA$5)</f>
        <v>15913.5</v>
      </c>
      <c r="R17" s="51">
        <f>Q17*(1+'1'!$AB$5)</f>
        <v>16390.904999999999</v>
      </c>
      <c r="S17" s="51">
        <f>R17*(1+'1'!$AC$5)</f>
        <v>16882.632150000001</v>
      </c>
      <c r="T17" s="120">
        <f t="shared" ref="T17:T26" si="19">L17*P17</f>
        <v>9010440</v>
      </c>
      <c r="U17" s="18">
        <f t="shared" ref="U17:U26" si="20">M17*Q17</f>
        <v>13457092.140000001</v>
      </c>
      <c r="V17" s="18">
        <f t="shared" ref="V17:V26" si="21">N17*R17</f>
        <v>19405126.865880001</v>
      </c>
      <c r="W17" s="18">
        <f t="shared" ref="W17:W26" si="22">O17*S17</f>
        <v>26982828.9070061</v>
      </c>
      <c r="X17" s="18"/>
    </row>
    <row r="18" spans="1:24">
      <c r="A18" s="88">
        <f t="shared" si="12"/>
        <v>2</v>
      </c>
      <c r="B18" s="102" t="str">
        <f t="shared" si="12"/>
        <v>Suscripcion Premium Negocios (B2B)</v>
      </c>
      <c r="C18" s="101">
        <f t="shared" si="12"/>
        <v>243</v>
      </c>
      <c r="D18" s="89">
        <v>25000</v>
      </c>
      <c r="E18" s="111">
        <f t="shared" si="13"/>
        <v>6075000</v>
      </c>
      <c r="F18" s="112">
        <f t="shared" si="14"/>
        <v>0.26401564537157801</v>
      </c>
      <c r="L18" s="1">
        <f t="shared" si="15"/>
        <v>291.60000000000002</v>
      </c>
      <c r="M18" s="1">
        <f t="shared" si="16"/>
        <v>364.5</v>
      </c>
      <c r="N18" s="1">
        <f t="shared" si="17"/>
        <v>455.625</v>
      </c>
      <c r="O18" s="1">
        <f t="shared" si="18"/>
        <v>592.3125</v>
      </c>
      <c r="P18" s="120">
        <f>D18*(1+'1'!$Z$5)</f>
        <v>25750</v>
      </c>
      <c r="Q18" s="51">
        <f>P18*(1+'1'!$AA$5)</f>
        <v>26522.5</v>
      </c>
      <c r="R18" s="51">
        <f>Q18*(1+'1'!$AB$5)</f>
        <v>27318.174999999999</v>
      </c>
      <c r="S18" s="51">
        <f>R18*(1+'1'!$AC$5)</f>
        <v>28137.720249999998</v>
      </c>
      <c r="T18" s="120">
        <f t="shared" si="19"/>
        <v>7508700</v>
      </c>
      <c r="U18" s="18">
        <f t="shared" si="20"/>
        <v>9667451.25</v>
      </c>
      <c r="V18" s="18">
        <f t="shared" si="21"/>
        <v>12446843.484375</v>
      </c>
      <c r="W18" s="18">
        <f t="shared" si="22"/>
        <v>16666323.425578101</v>
      </c>
      <c r="X18" s="18"/>
    </row>
    <row r="19" spans="1:24">
      <c r="A19" s="88">
        <f t="shared" si="12"/>
        <v>3</v>
      </c>
      <c r="B19" s="102" t="str">
        <f t="shared" si="12"/>
        <v>Posicionamiento eventos con pauta (B2B)</v>
      </c>
      <c r="C19" s="101">
        <f t="shared" si="12"/>
        <v>121.5</v>
      </c>
      <c r="D19" s="89">
        <v>30000</v>
      </c>
      <c r="E19" s="111">
        <f t="shared" si="13"/>
        <v>3645000</v>
      </c>
      <c r="F19" s="112">
        <f t="shared" si="14"/>
        <v>0.15840938722294701</v>
      </c>
      <c r="L19" s="1">
        <f t="shared" si="15"/>
        <v>145.80000000000001</v>
      </c>
      <c r="M19" s="1">
        <f t="shared" si="16"/>
        <v>182.25</v>
      </c>
      <c r="N19" s="1">
        <f t="shared" si="17"/>
        <v>227.8125</v>
      </c>
      <c r="O19" s="1">
        <f t="shared" si="18"/>
        <v>296.15625</v>
      </c>
      <c r="P19" s="120">
        <f>D19*(1+'1'!$Z$5)</f>
        <v>30900</v>
      </c>
      <c r="Q19" s="51">
        <f>P19*(1+'1'!$AA$5)</f>
        <v>31827</v>
      </c>
      <c r="R19" s="51">
        <f>Q19*(1+'1'!$AB$5)</f>
        <v>32781.81</v>
      </c>
      <c r="S19" s="51">
        <f>R19*(1+'1'!$AC$5)</f>
        <v>33765.264300000003</v>
      </c>
      <c r="T19" s="120">
        <f t="shared" si="19"/>
        <v>4505220</v>
      </c>
      <c r="U19" s="18">
        <f t="shared" si="20"/>
        <v>5800470.75</v>
      </c>
      <c r="V19" s="18">
        <f t="shared" si="21"/>
        <v>7468106.0906250002</v>
      </c>
      <c r="W19" s="18">
        <f t="shared" si="22"/>
        <v>9999794.0553468801</v>
      </c>
      <c r="X19" s="18"/>
    </row>
    <row r="20" spans="1:24">
      <c r="A20" s="88">
        <f t="shared" si="12"/>
        <v>4</v>
      </c>
      <c r="B20" s="102" t="str">
        <f t="shared" si="12"/>
        <v>Suscripcion Premium Individual (B2C)</v>
      </c>
      <c r="C20" s="101">
        <f t="shared" si="12"/>
        <v>8000</v>
      </c>
      <c r="D20" s="89">
        <v>750</v>
      </c>
      <c r="E20" s="111">
        <f t="shared" si="13"/>
        <v>6000000</v>
      </c>
      <c r="F20" s="112">
        <f t="shared" si="14"/>
        <v>0.26075619295958302</v>
      </c>
      <c r="L20" s="1">
        <f t="shared" si="15"/>
        <v>9600</v>
      </c>
      <c r="M20" s="1">
        <f t="shared" si="16"/>
        <v>12000</v>
      </c>
      <c r="N20" s="1">
        <f t="shared" si="17"/>
        <v>15000</v>
      </c>
      <c r="O20" s="1">
        <f t="shared" si="18"/>
        <v>19500</v>
      </c>
      <c r="P20" s="120">
        <f>D20*(1+'1'!$Z$5)</f>
        <v>772.5</v>
      </c>
      <c r="Q20" s="51">
        <f>P20*(1+'1'!$AA$5)</f>
        <v>795.67499999999995</v>
      </c>
      <c r="R20" s="51">
        <f>Q20*(1+'1'!$AB$5)</f>
        <v>819.54525000000001</v>
      </c>
      <c r="S20" s="51">
        <f>R20*(1+'1'!$AC$5)</f>
        <v>844.13160749999997</v>
      </c>
      <c r="T20" s="120">
        <f t="shared" si="19"/>
        <v>7416000</v>
      </c>
      <c r="U20" s="18">
        <f t="shared" si="20"/>
        <v>9548100</v>
      </c>
      <c r="V20" s="18">
        <f t="shared" si="21"/>
        <v>12293178.75</v>
      </c>
      <c r="W20" s="18">
        <f t="shared" si="22"/>
        <v>16460566.346249999</v>
      </c>
      <c r="X20" s="18"/>
    </row>
    <row r="21" spans="1:24">
      <c r="A21" s="88">
        <f t="shared" si="12"/>
        <v>5</v>
      </c>
      <c r="B21" s="102">
        <f t="shared" si="12"/>
        <v>0</v>
      </c>
      <c r="C21" s="101">
        <f t="shared" si="12"/>
        <v>0</v>
      </c>
      <c r="D21" s="89"/>
      <c r="E21" s="111">
        <f t="shared" si="13"/>
        <v>0</v>
      </c>
      <c r="F21" s="112">
        <f t="shared" si="14"/>
        <v>0</v>
      </c>
      <c r="L21" s="1">
        <f t="shared" si="15"/>
        <v>0</v>
      </c>
      <c r="M21" s="1">
        <f t="shared" si="16"/>
        <v>0</v>
      </c>
      <c r="N21" s="1">
        <f t="shared" si="17"/>
        <v>0</v>
      </c>
      <c r="O21" s="1">
        <f t="shared" si="18"/>
        <v>0</v>
      </c>
      <c r="P21" s="120">
        <f>D21*(1+'1'!$Z$5)</f>
        <v>0</v>
      </c>
      <c r="Q21" s="51">
        <f>P21*(1+'1'!$AA$5)</f>
        <v>0</v>
      </c>
      <c r="R21" s="51">
        <f>Q21*(1+'1'!$AB$5)</f>
        <v>0</v>
      </c>
      <c r="S21" s="51">
        <f>R21*(1+'1'!$AC$5)</f>
        <v>0</v>
      </c>
      <c r="T21" s="120">
        <f t="shared" si="19"/>
        <v>0</v>
      </c>
      <c r="U21" s="18">
        <f t="shared" si="20"/>
        <v>0</v>
      </c>
      <c r="V21" s="18">
        <f t="shared" si="21"/>
        <v>0</v>
      </c>
      <c r="W21" s="18">
        <f t="shared" si="22"/>
        <v>0</v>
      </c>
      <c r="X21" s="18"/>
    </row>
    <row r="22" spans="1:24">
      <c r="A22" s="88">
        <f t="shared" si="12"/>
        <v>6</v>
      </c>
      <c r="B22" s="102">
        <f t="shared" si="12"/>
        <v>0</v>
      </c>
      <c r="C22" s="101">
        <f t="shared" si="12"/>
        <v>0</v>
      </c>
      <c r="D22" s="89"/>
      <c r="E22" s="111">
        <f t="shared" si="13"/>
        <v>0</v>
      </c>
      <c r="F22" s="112">
        <f t="shared" si="14"/>
        <v>0</v>
      </c>
      <c r="L22" s="1">
        <f t="shared" si="15"/>
        <v>0</v>
      </c>
      <c r="M22" s="1">
        <f t="shared" si="16"/>
        <v>0</v>
      </c>
      <c r="N22" s="1">
        <f t="shared" si="17"/>
        <v>0</v>
      </c>
      <c r="O22" s="1">
        <f t="shared" si="18"/>
        <v>0</v>
      </c>
      <c r="P22" s="120">
        <f>D22*(1+'1'!$Z$5)</f>
        <v>0</v>
      </c>
      <c r="Q22" s="51">
        <f>P22*(1+'1'!$AA$5)</f>
        <v>0</v>
      </c>
      <c r="R22" s="51">
        <f>Q22*(1+'1'!$AB$5)</f>
        <v>0</v>
      </c>
      <c r="S22" s="51">
        <f>R22*(1+'1'!$AC$5)</f>
        <v>0</v>
      </c>
      <c r="T22" s="120">
        <f t="shared" si="19"/>
        <v>0</v>
      </c>
      <c r="U22" s="18">
        <f t="shared" si="20"/>
        <v>0</v>
      </c>
      <c r="V22" s="18">
        <f t="shared" si="21"/>
        <v>0</v>
      </c>
      <c r="W22" s="18">
        <f t="shared" si="22"/>
        <v>0</v>
      </c>
      <c r="X22" s="18"/>
    </row>
    <row r="23" spans="1:24">
      <c r="A23" s="88">
        <f t="shared" si="12"/>
        <v>7</v>
      </c>
      <c r="B23" s="102">
        <f t="shared" si="12"/>
        <v>0</v>
      </c>
      <c r="C23" s="101">
        <f t="shared" si="12"/>
        <v>0</v>
      </c>
      <c r="D23" s="89"/>
      <c r="E23" s="111">
        <f t="shared" si="13"/>
        <v>0</v>
      </c>
      <c r="F23" s="112">
        <f t="shared" si="14"/>
        <v>0</v>
      </c>
      <c r="L23" s="1">
        <f t="shared" si="15"/>
        <v>0</v>
      </c>
      <c r="M23" s="1">
        <f t="shared" si="16"/>
        <v>0</v>
      </c>
      <c r="N23" s="1">
        <f t="shared" si="17"/>
        <v>0</v>
      </c>
      <c r="O23" s="1">
        <f t="shared" si="18"/>
        <v>0</v>
      </c>
      <c r="P23" s="120">
        <f>D23*(1+'1'!$Z$5)</f>
        <v>0</v>
      </c>
      <c r="Q23" s="51">
        <f>P23*(1+'1'!$AA$5)</f>
        <v>0</v>
      </c>
      <c r="R23" s="51">
        <f>Q23*(1+'1'!$AB$5)</f>
        <v>0</v>
      </c>
      <c r="S23" s="51">
        <f>R23*(1+'1'!$AC$5)</f>
        <v>0</v>
      </c>
      <c r="T23" s="120">
        <f t="shared" si="19"/>
        <v>0</v>
      </c>
      <c r="U23" s="18">
        <f t="shared" si="20"/>
        <v>0</v>
      </c>
      <c r="V23" s="18">
        <f t="shared" si="21"/>
        <v>0</v>
      </c>
      <c r="W23" s="18">
        <f t="shared" si="22"/>
        <v>0</v>
      </c>
      <c r="X23" s="18"/>
    </row>
    <row r="24" spans="1:24">
      <c r="A24" s="88">
        <f t="shared" si="12"/>
        <v>8</v>
      </c>
      <c r="B24" s="102">
        <f t="shared" si="12"/>
        <v>0</v>
      </c>
      <c r="C24" s="101">
        <f t="shared" si="12"/>
        <v>0</v>
      </c>
      <c r="D24" s="89"/>
      <c r="E24" s="111">
        <f t="shared" si="13"/>
        <v>0</v>
      </c>
      <c r="F24" s="112">
        <f t="shared" si="14"/>
        <v>0</v>
      </c>
      <c r="L24" s="1">
        <f t="shared" si="15"/>
        <v>0</v>
      </c>
      <c r="M24" s="1">
        <f t="shared" si="16"/>
        <v>0</v>
      </c>
      <c r="N24" s="1">
        <f t="shared" si="17"/>
        <v>0</v>
      </c>
      <c r="O24" s="1">
        <f t="shared" si="18"/>
        <v>0</v>
      </c>
      <c r="P24" s="120">
        <f>D24*(1+'1'!$Z$5)</f>
        <v>0</v>
      </c>
      <c r="Q24" s="51">
        <f>P24*(1+'1'!$AA$5)</f>
        <v>0</v>
      </c>
      <c r="R24" s="51">
        <f>Q24*(1+'1'!$AB$5)</f>
        <v>0</v>
      </c>
      <c r="S24" s="51">
        <f>R24*(1+'1'!$AC$5)</f>
        <v>0</v>
      </c>
      <c r="T24" s="120">
        <f t="shared" si="19"/>
        <v>0</v>
      </c>
      <c r="U24" s="18">
        <f t="shared" si="20"/>
        <v>0</v>
      </c>
      <c r="V24" s="18">
        <f t="shared" si="21"/>
        <v>0</v>
      </c>
      <c r="W24" s="18">
        <f t="shared" si="22"/>
        <v>0</v>
      </c>
      <c r="X24" s="18"/>
    </row>
    <row r="25" spans="1:24">
      <c r="A25" s="88">
        <f t="shared" si="12"/>
        <v>9</v>
      </c>
      <c r="B25" s="102">
        <f t="shared" si="12"/>
        <v>0</v>
      </c>
      <c r="C25" s="101">
        <f t="shared" si="12"/>
        <v>0</v>
      </c>
      <c r="D25" s="89">
        <v>0</v>
      </c>
      <c r="E25" s="111">
        <f t="shared" si="13"/>
        <v>0</v>
      </c>
      <c r="F25" s="112">
        <f t="shared" si="14"/>
        <v>0</v>
      </c>
      <c r="L25" s="1">
        <f t="shared" si="15"/>
        <v>0</v>
      </c>
      <c r="M25" s="1">
        <f t="shared" si="16"/>
        <v>0</v>
      </c>
      <c r="N25" s="1">
        <f t="shared" si="17"/>
        <v>0</v>
      </c>
      <c r="O25" s="1">
        <f t="shared" si="18"/>
        <v>0</v>
      </c>
      <c r="P25" s="120">
        <f>D25*(1+'1'!$Z$5)</f>
        <v>0</v>
      </c>
      <c r="Q25" s="51">
        <f>P25*(1+'1'!$AA$5)</f>
        <v>0</v>
      </c>
      <c r="R25" s="51">
        <f>Q25*(1+'1'!$AB$5)</f>
        <v>0</v>
      </c>
      <c r="S25" s="51">
        <f>R25*(1+'1'!$AC$5)</f>
        <v>0</v>
      </c>
      <c r="T25" s="120">
        <f t="shared" si="19"/>
        <v>0</v>
      </c>
      <c r="U25" s="18">
        <f t="shared" si="20"/>
        <v>0</v>
      </c>
      <c r="V25" s="18">
        <f t="shared" si="21"/>
        <v>0</v>
      </c>
      <c r="W25" s="18">
        <f t="shared" si="22"/>
        <v>0</v>
      </c>
      <c r="X25" s="18"/>
    </row>
    <row r="26" spans="1:24">
      <c r="A26" s="88">
        <f t="shared" si="12"/>
        <v>10</v>
      </c>
      <c r="B26" s="102">
        <f t="shared" si="12"/>
        <v>0</v>
      </c>
      <c r="C26" s="101">
        <f t="shared" si="12"/>
        <v>0</v>
      </c>
      <c r="D26" s="89">
        <v>0</v>
      </c>
      <c r="E26" s="111">
        <f t="shared" si="13"/>
        <v>0</v>
      </c>
      <c r="F26" s="112">
        <f t="shared" si="14"/>
        <v>0</v>
      </c>
      <c r="L26" s="1">
        <f t="shared" si="15"/>
        <v>0</v>
      </c>
      <c r="M26" s="1">
        <f t="shared" si="16"/>
        <v>0</v>
      </c>
      <c r="N26" s="1">
        <f t="shared" si="17"/>
        <v>0</v>
      </c>
      <c r="O26" s="1">
        <f t="shared" si="18"/>
        <v>0</v>
      </c>
      <c r="P26" s="120">
        <f>D26*(1+'1'!$Z$5)</f>
        <v>0</v>
      </c>
      <c r="Q26" s="51">
        <f>P26*(1+'1'!$AA$5)</f>
        <v>0</v>
      </c>
      <c r="R26" s="51">
        <f>Q26*(1+'1'!$AB$5)</f>
        <v>0</v>
      </c>
      <c r="S26" s="51">
        <f>R26*(1+'1'!$AC$5)</f>
        <v>0</v>
      </c>
      <c r="T26" s="120">
        <f t="shared" si="19"/>
        <v>0</v>
      </c>
      <c r="U26" s="18">
        <f t="shared" si="20"/>
        <v>0</v>
      </c>
      <c r="V26" s="18">
        <f t="shared" si="21"/>
        <v>0</v>
      </c>
      <c r="W26" s="18">
        <f t="shared" si="22"/>
        <v>0</v>
      </c>
      <c r="X26" s="18"/>
    </row>
    <row r="27" spans="1:24">
      <c r="D27" s="1" t="str">
        <f>D13</f>
        <v>TOTAL</v>
      </c>
      <c r="E27" s="115">
        <f>SUM(E17:E26)</f>
        <v>23010000</v>
      </c>
      <c r="F27" s="116">
        <f>SUM(F17:F26)</f>
        <v>1</v>
      </c>
      <c r="T27" s="121">
        <f>SUM(T17:T26)</f>
        <v>28440360</v>
      </c>
      <c r="U27" s="121">
        <f>SUM(U17:U26)</f>
        <v>38473114.140000001</v>
      </c>
      <c r="V27" s="121">
        <f>SUM(V17:V26)</f>
        <v>51613255.190880001</v>
      </c>
      <c r="W27" s="121">
        <f>SUM(W17:W26)</f>
        <v>70109512.734181106</v>
      </c>
      <c r="X27" s="18"/>
    </row>
    <row r="30" spans="1:24">
      <c r="A30" s="140" t="s">
        <v>31</v>
      </c>
      <c r="B30" s="140"/>
      <c r="C30" s="140"/>
      <c r="D30" s="140"/>
      <c r="E30" s="140"/>
      <c r="F30" s="140"/>
    </row>
    <row r="31" spans="1:24" ht="25">
      <c r="A31" s="103" t="s">
        <v>19</v>
      </c>
      <c r="B31" s="104">
        <f>'1'!Z1</f>
        <v>2027</v>
      </c>
      <c r="C31" s="104">
        <f>B31+1</f>
        <v>2028</v>
      </c>
      <c r="D31" s="104">
        <f>C31+1</f>
        <v>2029</v>
      </c>
      <c r="E31" s="104">
        <f>D31+1</f>
        <v>2030</v>
      </c>
      <c r="F31" s="104">
        <f>E31+1</f>
        <v>2031</v>
      </c>
      <c r="H31" s="118"/>
      <c r="I31" s="118"/>
      <c r="J31" s="118"/>
      <c r="K31" s="118"/>
      <c r="L31" s="118"/>
      <c r="M31" s="118"/>
      <c r="N31" s="118"/>
      <c r="O31" s="118"/>
      <c r="P31" s="118"/>
      <c r="Q31" s="118"/>
      <c r="R31" s="118"/>
      <c r="S31" s="118"/>
      <c r="T31" s="118"/>
      <c r="U31" s="118"/>
      <c r="V31" s="118"/>
    </row>
    <row r="32" spans="1:24">
      <c r="A32" s="105" t="s">
        <v>32</v>
      </c>
      <c r="B32" s="106">
        <f>'1'!E13</f>
        <v>460200000</v>
      </c>
      <c r="C32" s="107">
        <f>'1'!T13</f>
        <v>582613200</v>
      </c>
      <c r="D32" s="107">
        <f>'1'!U13</f>
        <v>807268128.29999995</v>
      </c>
      <c r="E32" s="107">
        <f>'1'!V13</f>
        <v>1109269190.6315999</v>
      </c>
      <c r="F32" s="107">
        <f>'1'!W13</f>
        <v>1543362288.1798799</v>
      </c>
    </row>
    <row r="33" spans="1:6">
      <c r="A33" s="105" t="s">
        <v>33</v>
      </c>
      <c r="B33" s="106">
        <f>'1'!E27</f>
        <v>23010000</v>
      </c>
      <c r="C33" s="106">
        <f>'1'!T27</f>
        <v>28440360</v>
      </c>
      <c r="D33" s="106">
        <f>'1'!U27</f>
        <v>38473114.140000001</v>
      </c>
      <c r="E33" s="106">
        <f>'1'!V27</f>
        <v>51613255.190880001</v>
      </c>
      <c r="F33" s="106">
        <f>'1'!W27</f>
        <v>70109512.734181106</v>
      </c>
    </row>
    <row r="34" spans="1:6" ht="20">
      <c r="A34" s="70" t="s">
        <v>34</v>
      </c>
      <c r="B34" s="108">
        <f>B32-B33</f>
        <v>437190000</v>
      </c>
      <c r="C34" s="108">
        <f>C32-C33</f>
        <v>554172840</v>
      </c>
      <c r="D34" s="108">
        <f>D32-D33</f>
        <v>768795014.15999997</v>
      </c>
      <c r="E34" s="108">
        <f>E32-E33</f>
        <v>1057655935.44072</v>
      </c>
      <c r="F34" s="108">
        <f>F32-F33</f>
        <v>1473252775.4456999</v>
      </c>
    </row>
  </sheetData>
  <sheetProtection algorithmName="SHA-512" hashValue="IM2j+jM+f5Q0iSszpln9SjYa1ct3EnrJ+Fgo/eN1hcEJORKRM/VAmG9BLJ7GlrkOo/6UzT1NeQHoNEo7xoCZ8g==" saltValue="pvCg7EA79uYf5kWmnFj3uQ==" spinCount="100000" sheet="1" formatCells="0" formatColumns="0" formatRows="0"/>
  <mergeCells count="4">
    <mergeCell ref="A1:E1"/>
    <mergeCell ref="G1:J1"/>
    <mergeCell ref="A15:E15"/>
    <mergeCell ref="A30:F30"/>
  </mergeCells>
  <conditionalFormatting sqref="B34:F34">
    <cfRule type="cellIs" dxfId="10" priority="2" operator="lessThan">
      <formula>0</formula>
    </cfRule>
  </conditionalFormatting>
  <pageMargins left="0.7" right="0.7" top="0.75" bottom="0.75" header="0.511811023622047" footer="0.511811023622047"/>
  <pageSetup orientation="portrait" horizontalDpi="300" verticalDpi="300"/>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31"/>
  <sheetViews>
    <sheetView showGridLines="0" zoomScale="90" zoomScaleNormal="90" workbookViewId="0">
      <pane ySplit="14" topLeftCell="A15" activePane="bottomLeft" state="frozen"/>
      <selection pane="bottomLeft" activeCell="C11" sqref="C11"/>
    </sheetView>
  </sheetViews>
  <sheetFormatPr baseColWidth="10" defaultColWidth="11.5" defaultRowHeight="15"/>
  <cols>
    <col min="1" max="1" width="5.5" style="1" customWidth="1"/>
    <col min="2" max="2" width="29.5" style="1" customWidth="1"/>
    <col min="3" max="3" width="20.33203125" style="1" customWidth="1"/>
    <col min="4" max="4" width="11.5" style="1"/>
    <col min="5" max="5" width="23.33203125" style="1" customWidth="1"/>
    <col min="6" max="6" width="17.6640625" style="1" customWidth="1"/>
    <col min="7" max="7" width="15.5" style="1" customWidth="1"/>
    <col min="8" max="16384" width="11.5" style="1"/>
  </cols>
  <sheetData>
    <row r="1" spans="2:8" ht="15" customHeight="1">
      <c r="B1" s="135" t="s">
        <v>35</v>
      </c>
      <c r="C1" s="135"/>
      <c r="D1" s="135"/>
      <c r="E1" s="135"/>
      <c r="F1" s="135"/>
      <c r="G1" s="135"/>
      <c r="H1" s="135"/>
    </row>
    <row r="2" spans="2:8" ht="3.75" customHeight="1">
      <c r="B2" s="135"/>
      <c r="C2" s="135"/>
      <c r="D2" s="135"/>
      <c r="E2" s="135"/>
      <c r="F2" s="135"/>
      <c r="G2" s="135"/>
      <c r="H2" s="135"/>
    </row>
    <row r="3" spans="2:8">
      <c r="C3" s="88" t="s">
        <v>36</v>
      </c>
      <c r="F3" s="7" t="s">
        <v>37</v>
      </c>
      <c r="G3" s="7"/>
    </row>
    <row r="4" spans="2:8">
      <c r="B4" s="70" t="s">
        <v>38</v>
      </c>
      <c r="C4" s="89">
        <v>0</v>
      </c>
      <c r="F4" s="7"/>
      <c r="G4" s="7"/>
    </row>
    <row r="5" spans="2:8">
      <c r="B5" s="70" t="s">
        <v>39</v>
      </c>
      <c r="C5" s="89">
        <v>0</v>
      </c>
      <c r="F5" s="7">
        <v>10</v>
      </c>
      <c r="G5" s="20">
        <f t="shared" ref="G5:G11" si="0">C5/F5</f>
        <v>0</v>
      </c>
    </row>
    <row r="6" spans="2:8">
      <c r="B6" s="70" t="s">
        <v>40</v>
      </c>
      <c r="C6" s="89">
        <v>5000000</v>
      </c>
      <c r="F6" s="7">
        <v>5</v>
      </c>
      <c r="G6" s="20">
        <f t="shared" si="0"/>
        <v>1000000</v>
      </c>
    </row>
    <row r="7" spans="2:8">
      <c r="B7" s="70" t="s">
        <v>41</v>
      </c>
      <c r="C7" s="89">
        <v>25000000</v>
      </c>
      <c r="F7" s="7">
        <v>5</v>
      </c>
      <c r="G7" s="20">
        <f t="shared" si="0"/>
        <v>5000000</v>
      </c>
    </row>
    <row r="8" spans="2:8">
      <c r="B8" s="70" t="s">
        <v>42</v>
      </c>
      <c r="C8" s="89"/>
      <c r="F8" s="7">
        <v>5</v>
      </c>
      <c r="G8" s="20">
        <f t="shared" si="0"/>
        <v>0</v>
      </c>
    </row>
    <row r="9" spans="2:8">
      <c r="B9" s="70" t="s">
        <v>43</v>
      </c>
      <c r="C9" s="89"/>
      <c r="F9" s="7">
        <v>5</v>
      </c>
      <c r="G9" s="20">
        <f t="shared" si="0"/>
        <v>0</v>
      </c>
    </row>
    <row r="10" spans="2:8">
      <c r="B10" s="70" t="s">
        <v>44</v>
      </c>
      <c r="C10" s="89">
        <v>5000000</v>
      </c>
      <c r="F10" s="7">
        <v>5</v>
      </c>
      <c r="G10" s="20">
        <f t="shared" si="0"/>
        <v>1000000</v>
      </c>
    </row>
    <row r="11" spans="2:8">
      <c r="B11" s="70" t="s">
        <v>45</v>
      </c>
      <c r="C11" s="89">
        <v>100000000</v>
      </c>
      <c r="F11" s="7">
        <v>5</v>
      </c>
      <c r="G11" s="20">
        <f t="shared" si="0"/>
        <v>20000000</v>
      </c>
    </row>
    <row r="12" spans="2:8" ht="16">
      <c r="B12" s="90" t="s">
        <v>46</v>
      </c>
      <c r="C12" s="68">
        <f>SUM(C4:C11)</f>
        <v>135000000</v>
      </c>
      <c r="F12" s="7"/>
      <c r="G12" s="20">
        <f>SUM(G5:G11)</f>
        <v>27000000</v>
      </c>
    </row>
    <row r="13" spans="2:8" ht="15" customHeight="1">
      <c r="B13" s="136" t="s">
        <v>47</v>
      </c>
      <c r="C13" s="136"/>
      <c r="D13" s="136"/>
      <c r="E13" s="136"/>
      <c r="F13" s="136"/>
      <c r="G13" s="136"/>
      <c r="H13" s="136"/>
    </row>
    <row r="14" spans="2:8">
      <c r="B14" s="136"/>
      <c r="C14" s="136"/>
      <c r="D14" s="136"/>
      <c r="E14" s="136"/>
      <c r="F14" s="136"/>
      <c r="G14" s="136"/>
      <c r="H14" s="136"/>
    </row>
    <row r="15" spans="2:8">
      <c r="B15" s="91"/>
      <c r="C15" s="91"/>
      <c r="D15" s="91"/>
      <c r="E15" s="91"/>
      <c r="F15" s="91"/>
      <c r="G15" s="91"/>
      <c r="H15" s="91"/>
    </row>
    <row r="16" spans="2:8">
      <c r="B16" s="90" t="s">
        <v>48</v>
      </c>
      <c r="E16" s="90" t="s">
        <v>49</v>
      </c>
      <c r="F16" s="14"/>
    </row>
    <row r="17" spans="2:6">
      <c r="C17" s="90" t="s">
        <v>50</v>
      </c>
      <c r="F17" s="90" t="str">
        <f>C17</f>
        <v>VALOR AÑO 1</v>
      </c>
    </row>
    <row r="18" spans="2:6">
      <c r="B18" s="92" t="s">
        <v>51</v>
      </c>
      <c r="C18" s="89">
        <v>18000000</v>
      </c>
      <c r="E18" s="94" t="s">
        <v>52</v>
      </c>
      <c r="F18" s="89">
        <v>0</v>
      </c>
    </row>
    <row r="19" spans="2:6">
      <c r="C19" s="93"/>
      <c r="E19" s="94" t="s">
        <v>53</v>
      </c>
      <c r="F19" s="89">
        <v>2000000</v>
      </c>
    </row>
    <row r="20" spans="2:6">
      <c r="B20" s="92" t="s">
        <v>54</v>
      </c>
      <c r="C20" s="89">
        <v>36000000</v>
      </c>
      <c r="E20" s="94" t="s">
        <v>55</v>
      </c>
      <c r="F20" s="89">
        <v>4000000</v>
      </c>
    </row>
    <row r="21" spans="2:6">
      <c r="C21" s="93"/>
      <c r="E21" s="94" t="s">
        <v>56</v>
      </c>
      <c r="F21" s="89">
        <v>2000000</v>
      </c>
    </row>
    <row r="22" spans="2:6">
      <c r="B22" s="92" t="s">
        <v>57</v>
      </c>
      <c r="C22" s="89">
        <v>18000000</v>
      </c>
      <c r="E22" s="94" t="s">
        <v>58</v>
      </c>
      <c r="F22" s="89">
        <v>0</v>
      </c>
    </row>
    <row r="23" spans="2:6" ht="16">
      <c r="B23" s="1" t="s">
        <v>59</v>
      </c>
      <c r="C23" s="68">
        <f>C18+C20+C22</f>
        <v>72000000</v>
      </c>
      <c r="E23" s="94" t="s">
        <v>60</v>
      </c>
      <c r="F23" s="89"/>
    </row>
    <row r="24" spans="2:6">
      <c r="E24" s="94" t="s">
        <v>61</v>
      </c>
      <c r="F24" s="89">
        <v>2000000</v>
      </c>
    </row>
    <row r="25" spans="2:6" ht="25">
      <c r="B25" s="94" t="s">
        <v>62</v>
      </c>
      <c r="C25" s="89">
        <v>65000000</v>
      </c>
      <c r="E25" s="95" t="s">
        <v>63</v>
      </c>
      <c r="F25" s="89">
        <v>5000000</v>
      </c>
    </row>
    <row r="26" spans="2:6">
      <c r="E26" s="95" t="s">
        <v>64</v>
      </c>
      <c r="F26" s="89">
        <v>5000000</v>
      </c>
    </row>
    <row r="27" spans="2:6">
      <c r="B27" s="31" t="s">
        <v>65</v>
      </c>
      <c r="C27" s="31"/>
      <c r="E27" s="95"/>
      <c r="F27" s="89">
        <v>0</v>
      </c>
    </row>
    <row r="28" spans="2:6">
      <c r="B28" s="49">
        <f>'1'!G2</f>
        <v>2028</v>
      </c>
      <c r="C28" s="89">
        <v>65000000</v>
      </c>
      <c r="E28" s="95"/>
      <c r="F28" s="89">
        <v>0</v>
      </c>
    </row>
    <row r="29" spans="2:6">
      <c r="B29" s="49">
        <f>'1'!H2</f>
        <v>2029</v>
      </c>
      <c r="C29" s="89">
        <v>65000000</v>
      </c>
      <c r="E29" s="95"/>
      <c r="F29" s="89"/>
    </row>
    <row r="30" spans="2:6">
      <c r="B30" s="49">
        <f>'1'!I2</f>
        <v>2030</v>
      </c>
      <c r="C30" s="89">
        <v>65000000</v>
      </c>
      <c r="E30" s="95"/>
      <c r="F30" s="89">
        <v>0</v>
      </c>
    </row>
    <row r="31" spans="2:6" ht="16">
      <c r="B31" s="49">
        <f>'1'!J2</f>
        <v>2031</v>
      </c>
      <c r="C31" s="89">
        <v>65000000</v>
      </c>
      <c r="E31" s="94" t="s">
        <v>66</v>
      </c>
      <c r="F31" s="68">
        <f>SUM(F18:F30)</f>
        <v>20000000</v>
      </c>
    </row>
  </sheetData>
  <sheetProtection password="8F5C" sheet="1" objects="1" scenarios="1" formatCells="0" formatColumns="0" formatRows="0"/>
  <mergeCells count="2">
    <mergeCell ref="B1:H2"/>
    <mergeCell ref="B13:H14"/>
  </mergeCells>
  <pageMargins left="0.7" right="0.7" top="0.75" bottom="0.75" header="0.511811023622047" footer="0.511811023622047"/>
  <pageSetup orientation="portrait" horizontalDpi="300" verticalDpi="300"/>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16"/>
  <sheetViews>
    <sheetView showGridLines="0" zoomScale="95" zoomScaleNormal="95" workbookViewId="0">
      <selection activeCell="D15" sqref="D15"/>
    </sheetView>
  </sheetViews>
  <sheetFormatPr baseColWidth="10" defaultColWidth="11.5" defaultRowHeight="15"/>
  <cols>
    <col min="1" max="1" width="11.5" style="1"/>
    <col min="2" max="2" width="39" style="1" customWidth="1"/>
    <col min="3" max="4" width="18.5" style="1" customWidth="1"/>
    <col min="5" max="5" width="12.83203125" style="1" customWidth="1"/>
    <col min="6" max="6" width="15.5" style="1" customWidth="1"/>
    <col min="7" max="8" width="14.5" style="1" customWidth="1"/>
    <col min="9" max="9" width="17" style="1" customWidth="1"/>
    <col min="10" max="10" width="15.6640625" style="1" customWidth="1"/>
    <col min="11" max="16384" width="11.5" style="1"/>
  </cols>
  <sheetData>
    <row r="2" spans="2:12" ht="29.25" customHeight="1">
      <c r="B2" s="138" t="s">
        <v>67</v>
      </c>
      <c r="C2" s="138"/>
      <c r="D2" s="138"/>
      <c r="E2" s="138"/>
      <c r="F2" s="138"/>
      <c r="G2" s="138"/>
      <c r="H2" s="138"/>
      <c r="I2" s="138"/>
      <c r="J2" s="138"/>
    </row>
    <row r="3" spans="2:12">
      <c r="F3" s="141" t="s">
        <v>68</v>
      </c>
      <c r="G3" s="141"/>
    </row>
    <row r="4" spans="2:12" ht="16">
      <c r="B4" s="67" t="s">
        <v>46</v>
      </c>
      <c r="C4" s="68">
        <f>'2'!C12</f>
        <v>135000000</v>
      </c>
      <c r="F4" s="142">
        <v>0.21</v>
      </c>
      <c r="G4" s="142"/>
      <c r="I4" s="1" t="s">
        <v>69</v>
      </c>
      <c r="J4" s="83">
        <v>5</v>
      </c>
      <c r="L4" s="7">
        <v>1</v>
      </c>
    </row>
    <row r="5" spans="2:12">
      <c r="L5" s="7">
        <v>2</v>
      </c>
    </row>
    <row r="6" spans="2:12">
      <c r="B6" s="67" t="s">
        <v>70</v>
      </c>
      <c r="F6" s="140" t="s">
        <v>71</v>
      </c>
      <c r="G6" s="140"/>
      <c r="H6" s="140"/>
      <c r="I6" s="140"/>
      <c r="J6" s="140"/>
      <c r="L6" s="7">
        <v>3</v>
      </c>
    </row>
    <row r="7" spans="2:12">
      <c r="C7" s="69" t="s">
        <v>72</v>
      </c>
      <c r="D7" s="69" t="s">
        <v>73</v>
      </c>
      <c r="E7" s="76"/>
      <c r="F7" s="77" t="s">
        <v>74</v>
      </c>
      <c r="G7" s="77" t="s">
        <v>75</v>
      </c>
      <c r="H7" s="77" t="s">
        <v>76</v>
      </c>
      <c r="I7" s="77" t="s">
        <v>77</v>
      </c>
      <c r="J7" s="84" t="s">
        <v>78</v>
      </c>
      <c r="L7" s="7">
        <v>4</v>
      </c>
    </row>
    <row r="8" spans="2:12">
      <c r="B8" s="70" t="s">
        <v>79</v>
      </c>
      <c r="C8" s="71">
        <v>4</v>
      </c>
      <c r="D8" s="51">
        <f>('1'!B33/12)*C8</f>
        <v>7670000</v>
      </c>
      <c r="E8" s="78" t="s">
        <v>80</v>
      </c>
      <c r="F8" s="79"/>
      <c r="G8" s="79"/>
      <c r="H8" s="79"/>
      <c r="I8" s="79"/>
      <c r="J8" s="85">
        <f>D16</f>
        <v>166670000</v>
      </c>
      <c r="L8" s="7">
        <v>5</v>
      </c>
    </row>
    <row r="9" spans="2:12">
      <c r="B9" s="70" t="s">
        <v>81</v>
      </c>
      <c r="C9" s="71">
        <v>4</v>
      </c>
      <c r="D9" s="51">
        <f>('2'!C23/12)*C9</f>
        <v>24000000</v>
      </c>
      <c r="E9" s="78">
        <f>'1'!B31</f>
        <v>2027</v>
      </c>
      <c r="F9" s="80">
        <f>IF(J8&gt;0,J8,0)</f>
        <v>166670000</v>
      </c>
      <c r="G9" s="80">
        <f>F9*$F$4</f>
        <v>35000700</v>
      </c>
      <c r="H9" s="80">
        <f>IF(J8&lt;1,0,(I9-G9))</f>
        <v>21961327.4266432</v>
      </c>
      <c r="I9" s="80">
        <f>PMT(F4,J4,J8)*-1</f>
        <v>56962027.4266432</v>
      </c>
      <c r="J9" s="86">
        <f>F9-H9</f>
        <v>144708672.57335699</v>
      </c>
    </row>
    <row r="10" spans="2:12">
      <c r="B10" s="70" t="s">
        <v>82</v>
      </c>
      <c r="C10" s="71">
        <v>8</v>
      </c>
      <c r="D10" s="51">
        <f>('2'!C25/12)*C10</f>
        <v>43333333.333333299</v>
      </c>
      <c r="E10" s="78">
        <f>'1'!C31</f>
        <v>2028</v>
      </c>
      <c r="F10" s="80">
        <f>IF(J9&gt;0,J9,0)</f>
        <v>144708672.57335699</v>
      </c>
      <c r="G10" s="80">
        <f>F10*$F$4</f>
        <v>30388821.2404049</v>
      </c>
      <c r="H10" s="80">
        <f>IF(J9&lt;1,0,(I10-G10))</f>
        <v>26573206.1862383</v>
      </c>
      <c r="I10" s="80">
        <f>IF(J9&lt;1,0,(I9*(1+$K$7)))</f>
        <v>56962027.4266432</v>
      </c>
      <c r="J10" s="86">
        <f>F10-H10</f>
        <v>118135466.387118</v>
      </c>
    </row>
    <row r="11" spans="2:12">
      <c r="B11" s="70" t="s">
        <v>83</v>
      </c>
      <c r="C11" s="71">
        <v>4</v>
      </c>
      <c r="D11" s="51">
        <f>('2'!F31/12)*C11</f>
        <v>6666666.6666666698</v>
      </c>
      <c r="E11" s="78">
        <f>'1'!D31</f>
        <v>2029</v>
      </c>
      <c r="F11" s="80">
        <f>IF(J10&gt;0,J10,0)</f>
        <v>118135466.387118</v>
      </c>
      <c r="G11" s="80">
        <f>F11*$F$4</f>
        <v>24808447.941294901</v>
      </c>
      <c r="H11" s="80">
        <f>IF(J10&lt;1,0,(I11-G11))</f>
        <v>32153579.4853484</v>
      </c>
      <c r="I11" s="80">
        <f>IF(J10&lt;1,0,(I10*(1+$K$7)))</f>
        <v>56962027.4266432</v>
      </c>
      <c r="J11" s="86">
        <f>F11-H11</f>
        <v>85981886.901769996</v>
      </c>
    </row>
    <row r="12" spans="2:12" ht="16">
      <c r="B12" s="72" t="s">
        <v>26</v>
      </c>
      <c r="C12" s="52"/>
      <c r="D12" s="73">
        <f>SUM(D8:D11)</f>
        <v>81670000</v>
      </c>
      <c r="E12" s="78">
        <f>'1'!E31</f>
        <v>2030</v>
      </c>
      <c r="F12" s="80">
        <f>IF(J11&gt;0,J11,0)</f>
        <v>85981886.901769996</v>
      </c>
      <c r="G12" s="80">
        <f>F12*$F$4</f>
        <v>18056196.2493717</v>
      </c>
      <c r="H12" s="80">
        <f>IF(J11&lt;1,0,(I12-G12))</f>
        <v>38905831.1772715</v>
      </c>
      <c r="I12" s="80">
        <f>IF(J11&lt;1,0,(I11*(1+$K$7)))</f>
        <v>56962027.4266432</v>
      </c>
      <c r="J12" s="86">
        <f>F12-H12</f>
        <v>47076055.724498503</v>
      </c>
    </row>
    <row r="13" spans="2:12">
      <c r="E13" s="81">
        <f>'1'!F31</f>
        <v>2031</v>
      </c>
      <c r="F13" s="82">
        <f>IF(J12&gt;0,J12,0)</f>
        <v>47076055.724498503</v>
      </c>
      <c r="G13" s="82">
        <f>F13*$F$4</f>
        <v>9885971.7021446899</v>
      </c>
      <c r="H13" s="82">
        <f>IF(J12&lt;1,0,(I13-G13))</f>
        <v>47076055.7244986</v>
      </c>
      <c r="I13" s="82">
        <f>IF(J12&lt;1,0,(I12*(1+$K$7)))</f>
        <v>56962027.4266432</v>
      </c>
      <c r="J13" s="87">
        <f>F13-H13</f>
        <v>0</v>
      </c>
    </row>
    <row r="14" spans="2:12" ht="16">
      <c r="B14" s="70" t="s">
        <v>84</v>
      </c>
      <c r="D14" s="68">
        <f>C4+D12</f>
        <v>216670000</v>
      </c>
    </row>
    <row r="15" spans="2:12">
      <c r="B15" s="70" t="s">
        <v>85</v>
      </c>
      <c r="D15" s="74">
        <v>50000000</v>
      </c>
    </row>
    <row r="16" spans="2:12" ht="16">
      <c r="B16" s="70" t="s">
        <v>86</v>
      </c>
      <c r="D16" s="75">
        <f>D14-D15</f>
        <v>166670000</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B2:J2"/>
    <mergeCell ref="F3:G3"/>
    <mergeCell ref="F4:G4"/>
    <mergeCell ref="F6:J6"/>
  </mergeCells>
  <dataValidations count="1">
    <dataValidation type="list" allowBlank="1" showInputMessage="1" showErrorMessage="1" sqref="J4 L4" xr:uid="{00000000-0002-0000-0300-000000000000}">
      <formula1>$L$4:$L$8</formula1>
    </dataValidation>
  </dataValidations>
  <pageMargins left="0.7" right="0.7" top="0.75" bottom="0.75" header="0.511811023622047" footer="0.511811023622047"/>
  <pageSetup paperSize="9" orientation="portrait" horizontalDpi="300" verticalDpi="300"/>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
  <sheetViews>
    <sheetView showGridLines="0" zoomScale="140" zoomScaleNormal="140" workbookViewId="0">
      <pane xSplit="7" ySplit="1" topLeftCell="H2" activePane="bottomRight" state="frozen"/>
      <selection pane="topRight"/>
      <selection pane="bottomLeft"/>
      <selection pane="bottomRight" activeCell="E6" sqref="E6"/>
    </sheetView>
  </sheetViews>
  <sheetFormatPr baseColWidth="10" defaultColWidth="11.5" defaultRowHeight="15"/>
  <cols>
    <col min="1" max="1" width="26.6640625" style="1" customWidth="1"/>
    <col min="2" max="2" width="25.83203125" style="1" customWidth="1"/>
    <col min="3" max="3" width="21.6640625" style="1" customWidth="1"/>
    <col min="4" max="7" width="18.5" style="1" customWidth="1"/>
    <col min="8" max="16384" width="11.5" style="1"/>
  </cols>
  <sheetData>
    <row r="1" spans="1:7" ht="34.5" customHeight="1">
      <c r="A1" s="143" t="s">
        <v>87</v>
      </c>
      <c r="B1" s="143"/>
      <c r="C1" s="143"/>
      <c r="D1" s="143"/>
      <c r="E1" s="143"/>
      <c r="F1" s="143"/>
      <c r="G1" s="143"/>
    </row>
    <row r="2" spans="1:7" ht="23">
      <c r="A2" s="144" t="s">
        <v>88</v>
      </c>
      <c r="B2" s="144"/>
      <c r="C2" s="144"/>
      <c r="D2" s="144"/>
      <c r="E2" s="144"/>
      <c r="F2" s="144"/>
      <c r="G2" s="144"/>
    </row>
    <row r="3" spans="1:7" ht="8.25" customHeight="1">
      <c r="A3" s="39"/>
      <c r="B3" s="39"/>
      <c r="C3" s="39"/>
      <c r="D3" s="39"/>
      <c r="E3" s="39"/>
      <c r="F3" s="39"/>
      <c r="G3" s="39"/>
    </row>
    <row r="4" spans="1:7">
      <c r="A4" s="145" t="s">
        <v>89</v>
      </c>
      <c r="B4" s="145"/>
      <c r="C4" s="145"/>
      <c r="D4" s="145"/>
      <c r="E4" s="145"/>
      <c r="F4" s="145"/>
      <c r="G4" s="145"/>
    </row>
    <row r="5" spans="1:7" ht="23">
      <c r="C5" s="40">
        <f>'1'!B31</f>
        <v>2027</v>
      </c>
      <c r="D5" s="40">
        <f>'1'!C31</f>
        <v>2028</v>
      </c>
      <c r="E5" s="40">
        <f>'1'!D31</f>
        <v>2029</v>
      </c>
      <c r="F5" s="40">
        <f>'1'!E31</f>
        <v>2030</v>
      </c>
      <c r="G5" s="40">
        <f>'1'!F31</f>
        <v>2031</v>
      </c>
    </row>
    <row r="6" spans="1:7">
      <c r="B6" s="1" t="s">
        <v>90</v>
      </c>
      <c r="C6" s="41">
        <f>'1'!B32</f>
        <v>460200000</v>
      </c>
      <c r="D6" s="41">
        <f>'1'!C32</f>
        <v>582613200</v>
      </c>
      <c r="E6" s="41">
        <f>'1'!D32</f>
        <v>807268128.29999995</v>
      </c>
      <c r="F6" s="41">
        <f>'1'!E32</f>
        <v>1109269190.6315999</v>
      </c>
      <c r="G6" s="41">
        <f>'1'!F32</f>
        <v>1543362288.1798799</v>
      </c>
    </row>
    <row r="7" spans="1:7">
      <c r="B7" s="1" t="s">
        <v>91</v>
      </c>
      <c r="C7" s="41">
        <f>'1'!B33</f>
        <v>23010000</v>
      </c>
      <c r="D7" s="41">
        <f>'1'!C33</f>
        <v>28440360</v>
      </c>
      <c r="E7" s="41">
        <f>'1'!D33</f>
        <v>38473114.140000001</v>
      </c>
      <c r="F7" s="41">
        <f>'1'!E33</f>
        <v>51613255.190880001</v>
      </c>
      <c r="G7" s="41">
        <f>'1'!F33</f>
        <v>70109512.734181106</v>
      </c>
    </row>
    <row r="8" spans="1:7">
      <c r="B8" s="42" t="s">
        <v>92</v>
      </c>
      <c r="C8" s="43">
        <f>C6-C7</f>
        <v>437190000</v>
      </c>
      <c r="D8" s="43">
        <f>D6-D7</f>
        <v>554172840</v>
      </c>
      <c r="E8" s="43">
        <f>E6-E7</f>
        <v>768795014.15999997</v>
      </c>
      <c r="F8" s="43">
        <f>F6-F7</f>
        <v>1057655935.44072</v>
      </c>
      <c r="G8" s="43">
        <f>G6-G7</f>
        <v>1473252775.4456999</v>
      </c>
    </row>
    <row r="9" spans="1:7">
      <c r="B9" s="1" t="s">
        <v>93</v>
      </c>
      <c r="C9" s="41">
        <f>'2'!C23</f>
        <v>72000000</v>
      </c>
      <c r="D9" s="41">
        <f>C9*(1+'1'!Z4)</f>
        <v>75960000</v>
      </c>
      <c r="E9" s="41">
        <f>D9*(1+'1'!AA4)</f>
        <v>80137800</v>
      </c>
      <c r="F9" s="41">
        <f>E9*(1+'1'!AB4)</f>
        <v>84545379</v>
      </c>
      <c r="G9" s="41">
        <f>F9*(1+'1'!AC4)</f>
        <v>89195374.844999999</v>
      </c>
    </row>
    <row r="10" spans="1:7">
      <c r="B10" s="1" t="s">
        <v>94</v>
      </c>
      <c r="C10" s="41">
        <f>'2'!F31</f>
        <v>20000000</v>
      </c>
      <c r="D10" s="41">
        <f>C10*(1+'1'!Z4)</f>
        <v>21100000</v>
      </c>
      <c r="E10" s="41">
        <f>D10*(1+'1'!AA4)</f>
        <v>22260500</v>
      </c>
      <c r="F10" s="41">
        <f>E10*(1+'1'!AB4)</f>
        <v>23484827.5</v>
      </c>
      <c r="G10" s="41">
        <f>F10*(1+'1'!AC4)</f>
        <v>24776493.012499999</v>
      </c>
    </row>
    <row r="11" spans="1:7">
      <c r="B11" s="1" t="s">
        <v>95</v>
      </c>
      <c r="C11" s="41">
        <f>'2'!C25</f>
        <v>65000000</v>
      </c>
      <c r="D11" s="41">
        <f>'2'!C28</f>
        <v>65000000</v>
      </c>
      <c r="E11" s="41">
        <f>'2'!C29</f>
        <v>65000000</v>
      </c>
      <c r="F11" s="41">
        <f>'2'!C30</f>
        <v>65000000</v>
      </c>
      <c r="G11" s="41">
        <f>'2'!C31</f>
        <v>65000000</v>
      </c>
    </row>
    <row r="12" spans="1:7">
      <c r="B12" s="1" t="s">
        <v>96</v>
      </c>
      <c r="C12" s="41">
        <f>'2'!G12</f>
        <v>27000000</v>
      </c>
      <c r="D12" s="41">
        <f>C12</f>
        <v>27000000</v>
      </c>
      <c r="E12" s="41">
        <f>D12</f>
        <v>27000000</v>
      </c>
      <c r="F12" s="41">
        <f>E12</f>
        <v>27000000</v>
      </c>
      <c r="G12" s="41">
        <f>F12</f>
        <v>27000000</v>
      </c>
    </row>
    <row r="13" spans="1:7">
      <c r="B13" s="42" t="s">
        <v>97</v>
      </c>
      <c r="C13" s="44">
        <f>C8-C9-C10-C11-C12</f>
        <v>253190000</v>
      </c>
      <c r="D13" s="44">
        <f>D8-D9-D10-D11-D12</f>
        <v>365112840</v>
      </c>
      <c r="E13" s="44">
        <f>E8-E9-E10-E11-E12</f>
        <v>574396714.15999997</v>
      </c>
      <c r="F13" s="44">
        <f>F8-F9-F10-F11-F12</f>
        <v>857625728.94071996</v>
      </c>
      <c r="G13" s="44">
        <f>G8-G9-G10-G11-G12</f>
        <v>1267280907.5882001</v>
      </c>
    </row>
    <row r="14" spans="1:7">
      <c r="B14" s="1" t="s">
        <v>98</v>
      </c>
      <c r="C14" s="41">
        <f>'3'!G9</f>
        <v>35000700</v>
      </c>
      <c r="D14" s="41">
        <f>'3'!G10</f>
        <v>30388821.2404049</v>
      </c>
      <c r="E14" s="41">
        <f>'3'!G11</f>
        <v>24808447.941294901</v>
      </c>
      <c r="F14" s="41">
        <f>'3'!G12</f>
        <v>18056196.2493717</v>
      </c>
      <c r="G14" s="41">
        <f>'3'!G13</f>
        <v>9885971.7021446899</v>
      </c>
    </row>
    <row r="15" spans="1:7">
      <c r="B15" s="42" t="s">
        <v>99</v>
      </c>
      <c r="C15" s="44">
        <f>C13-C14</f>
        <v>218189300</v>
      </c>
      <c r="D15" s="44">
        <f>D13-D14</f>
        <v>334724018.75959498</v>
      </c>
      <c r="E15" s="44">
        <f>E13-E14</f>
        <v>549588266.21870506</v>
      </c>
      <c r="F15" s="44">
        <f>F13-F14</f>
        <v>839569532.69134796</v>
      </c>
      <c r="G15" s="44">
        <f>G13-G14</f>
        <v>1257394935.88606</v>
      </c>
    </row>
    <row r="16" spans="1:7">
      <c r="B16" s="1" t="s">
        <v>100</v>
      </c>
      <c r="C16" s="45">
        <f>IF(C15*'1'!$AB$7&lt;0,0,C15*'1'!$AB$7)</f>
        <v>76366255</v>
      </c>
      <c r="D16" s="45">
        <f>IF(D15*'1'!$AB$7&lt;0,0,D15*'1'!$AB$7)</f>
        <v>117153406.56585801</v>
      </c>
      <c r="E16" s="45">
        <f>IF(E15*'1'!$AB$7&lt;0,0,E15*'1'!$AB$7)</f>
        <v>192355893.17654699</v>
      </c>
      <c r="F16" s="45">
        <f>IF(F15*'1'!$AB$7&lt;0,0,F15*'1'!$AB$7)</f>
        <v>293849336.44197202</v>
      </c>
      <c r="G16" s="45">
        <f>IF(G15*'1'!$AB$7&lt;0,0,G15*'1'!$AB$7)</f>
        <v>440088227.56011999</v>
      </c>
    </row>
    <row r="17" spans="1:8">
      <c r="B17" s="46" t="s">
        <v>101</v>
      </c>
      <c r="C17" s="47">
        <f>C15-C16</f>
        <v>141823045</v>
      </c>
      <c r="D17" s="47">
        <f>D15-D16</f>
        <v>217570612.193737</v>
      </c>
      <c r="E17" s="47">
        <f>E15-E16</f>
        <v>357232373.04215801</v>
      </c>
      <c r="F17" s="47">
        <f>F15-F16</f>
        <v>545720196.24937606</v>
      </c>
      <c r="G17" s="47">
        <f>G15-G16</f>
        <v>817306708.32593799</v>
      </c>
    </row>
    <row r="19" spans="1:8">
      <c r="A19" s="145" t="s">
        <v>102</v>
      </c>
      <c r="B19" s="145"/>
      <c r="C19" s="145"/>
      <c r="D19" s="145"/>
      <c r="E19" s="145"/>
      <c r="F19" s="145"/>
      <c r="G19" s="145"/>
    </row>
    <row r="20" spans="1:8" ht="23">
      <c r="B20" s="48" t="s">
        <v>80</v>
      </c>
      <c r="C20" s="40">
        <f>C5</f>
        <v>2027</v>
      </c>
      <c r="D20" s="40">
        <f>D5</f>
        <v>2028</v>
      </c>
      <c r="E20" s="40">
        <f>E5</f>
        <v>2029</v>
      </c>
      <c r="F20" s="40">
        <f>F5</f>
        <v>2030</v>
      </c>
      <c r="G20" s="40">
        <f>G5</f>
        <v>2031</v>
      </c>
    </row>
    <row r="21" spans="1:8">
      <c r="A21" s="146" t="s">
        <v>103</v>
      </c>
      <c r="B21" s="146"/>
      <c r="C21" s="146"/>
      <c r="D21" s="146"/>
      <c r="E21" s="146"/>
      <c r="F21" s="146"/>
      <c r="G21" s="146"/>
    </row>
    <row r="22" spans="1:8">
      <c r="A22" s="1" t="s">
        <v>104</v>
      </c>
      <c r="B22" s="18">
        <f t="shared" ref="B22:G22" si="0">B38-B26</f>
        <v>81670000</v>
      </c>
      <c r="C22" s="18">
        <f t="shared" si="0"/>
        <v>304897972.57335699</v>
      </c>
      <c r="D22" s="18">
        <f t="shared" si="0"/>
        <v>421859485.14671302</v>
      </c>
      <c r="E22" s="18">
        <f t="shared" si="0"/>
        <v>631570153.12047505</v>
      </c>
      <c r="F22" s="18">
        <f t="shared" si="0"/>
        <v>909645588.41584694</v>
      </c>
      <c r="G22" s="18">
        <f t="shared" si="0"/>
        <v>1307394935.88606</v>
      </c>
    </row>
    <row r="23" spans="1:8">
      <c r="A23" s="1" t="s">
        <v>105</v>
      </c>
      <c r="B23" s="18">
        <f>'2'!C4</f>
        <v>0</v>
      </c>
      <c r="C23" s="18">
        <f t="shared" ref="C23:G24" si="1">B23</f>
        <v>0</v>
      </c>
      <c r="D23" s="18">
        <f t="shared" si="1"/>
        <v>0</v>
      </c>
      <c r="E23" s="18">
        <f t="shared" si="1"/>
        <v>0</v>
      </c>
      <c r="F23" s="18">
        <f t="shared" si="1"/>
        <v>0</v>
      </c>
      <c r="G23" s="18">
        <f t="shared" si="1"/>
        <v>0</v>
      </c>
      <c r="H23" s="18"/>
    </row>
    <row r="24" spans="1:8">
      <c r="A24" s="1" t="s">
        <v>106</v>
      </c>
      <c r="B24" s="18">
        <f>'2'!C12-'2'!C4</f>
        <v>135000000</v>
      </c>
      <c r="C24" s="18">
        <f t="shared" si="1"/>
        <v>135000000</v>
      </c>
      <c r="D24" s="18">
        <f t="shared" si="1"/>
        <v>135000000</v>
      </c>
      <c r="E24" s="18">
        <f t="shared" si="1"/>
        <v>135000000</v>
      </c>
      <c r="F24" s="18">
        <f t="shared" si="1"/>
        <v>135000000</v>
      </c>
      <c r="G24" s="18">
        <f t="shared" si="1"/>
        <v>135000000</v>
      </c>
      <c r="H24" s="18"/>
    </row>
    <row r="25" spans="1:8">
      <c r="A25" s="1" t="s">
        <v>107</v>
      </c>
      <c r="B25" s="18">
        <v>0</v>
      </c>
      <c r="C25" s="18">
        <f>C12</f>
        <v>27000000</v>
      </c>
      <c r="D25" s="18">
        <f>D12+C12</f>
        <v>54000000</v>
      </c>
      <c r="E25" s="18">
        <f>E12+D12+C12</f>
        <v>81000000</v>
      </c>
      <c r="F25" s="18">
        <f>F12+E12+D12+C12</f>
        <v>108000000</v>
      </c>
      <c r="G25" s="18">
        <f>F25+G12</f>
        <v>135000000</v>
      </c>
      <c r="H25" s="18"/>
    </row>
    <row r="26" spans="1:8">
      <c r="A26" s="1" t="s">
        <v>108</v>
      </c>
      <c r="B26" s="18">
        <f t="shared" ref="B26:G26" si="2">B23+(B24-B25)</f>
        <v>135000000</v>
      </c>
      <c r="C26" s="18">
        <f t="shared" si="2"/>
        <v>108000000</v>
      </c>
      <c r="D26" s="18">
        <f t="shared" si="2"/>
        <v>81000000</v>
      </c>
      <c r="E26" s="18">
        <f t="shared" si="2"/>
        <v>54000000</v>
      </c>
      <c r="F26" s="18">
        <f t="shared" si="2"/>
        <v>27000000</v>
      </c>
      <c r="G26" s="18">
        <f t="shared" si="2"/>
        <v>0</v>
      </c>
      <c r="H26" s="18"/>
    </row>
    <row r="27" spans="1:8">
      <c r="A27" s="42" t="s">
        <v>109</v>
      </c>
      <c r="B27" s="50">
        <f t="shared" ref="B27:G27" si="3">B22+B26</f>
        <v>216670000</v>
      </c>
      <c r="C27" s="50">
        <f t="shared" si="3"/>
        <v>412897972.57335699</v>
      </c>
      <c r="D27" s="50">
        <f t="shared" si="3"/>
        <v>502859485.14671302</v>
      </c>
      <c r="E27" s="50">
        <f t="shared" si="3"/>
        <v>685570153.12047505</v>
      </c>
      <c r="F27" s="50">
        <f t="shared" si="3"/>
        <v>936645588.41584694</v>
      </c>
      <c r="G27" s="50">
        <f t="shared" si="3"/>
        <v>1307394935.88606</v>
      </c>
      <c r="H27" s="18"/>
    </row>
    <row r="28" spans="1:8">
      <c r="A28" s="146" t="s">
        <v>110</v>
      </c>
      <c r="B28" s="146"/>
      <c r="C28" s="146"/>
      <c r="D28" s="146"/>
      <c r="E28" s="146"/>
      <c r="F28" s="146"/>
      <c r="G28" s="146"/>
    </row>
    <row r="29" spans="1:8">
      <c r="A29" s="1" t="s">
        <v>111</v>
      </c>
      <c r="B29" s="1">
        <v>0</v>
      </c>
      <c r="C29" s="45">
        <f>C16</f>
        <v>76366255</v>
      </c>
      <c r="D29" s="45">
        <f>D16</f>
        <v>117153406.56585801</v>
      </c>
      <c r="E29" s="45">
        <f>E16</f>
        <v>192355893.17654699</v>
      </c>
      <c r="F29" s="45">
        <f>F16</f>
        <v>293849336.44197202</v>
      </c>
      <c r="G29" s="45">
        <f>G16</f>
        <v>440088227.56011999</v>
      </c>
    </row>
    <row r="30" spans="1:8">
      <c r="A30" s="1" t="s">
        <v>112</v>
      </c>
      <c r="B30" s="45">
        <f t="shared" ref="B30:G30" si="4">B29</f>
        <v>0</v>
      </c>
      <c r="C30" s="45">
        <f t="shared" si="4"/>
        <v>76366255</v>
      </c>
      <c r="D30" s="45">
        <f t="shared" si="4"/>
        <v>117153406.56585801</v>
      </c>
      <c r="E30" s="45">
        <f t="shared" si="4"/>
        <v>192355893.17654699</v>
      </c>
      <c r="F30" s="45">
        <f t="shared" si="4"/>
        <v>293849336.44197202</v>
      </c>
      <c r="G30" s="45">
        <f t="shared" si="4"/>
        <v>440088227.56011999</v>
      </c>
    </row>
    <row r="31" spans="1:8">
      <c r="A31" s="1" t="s">
        <v>113</v>
      </c>
      <c r="B31" s="51">
        <f>'3'!J8</f>
        <v>166670000</v>
      </c>
      <c r="C31" s="51">
        <f>'3'!J9</f>
        <v>144708672.57335699</v>
      </c>
      <c r="D31" s="51">
        <f>'3'!J10</f>
        <v>118135466.387118</v>
      </c>
      <c r="E31" s="51">
        <f>'3'!J11</f>
        <v>85981886.901769996</v>
      </c>
      <c r="F31" s="51">
        <f>'3'!J12</f>
        <v>47076055.724498503</v>
      </c>
      <c r="G31" s="51">
        <f>'3'!J13</f>
        <v>0</v>
      </c>
    </row>
    <row r="32" spans="1:8">
      <c r="A32" s="42" t="s">
        <v>110</v>
      </c>
      <c r="B32" s="50">
        <f t="shared" ref="B32:G32" si="5">B30+B31</f>
        <v>166670000</v>
      </c>
      <c r="C32" s="50">
        <f t="shared" si="5"/>
        <v>221074927.57335699</v>
      </c>
      <c r="D32" s="50">
        <f t="shared" si="5"/>
        <v>235288872.952977</v>
      </c>
      <c r="E32" s="50">
        <f t="shared" si="5"/>
        <v>278337780.07831699</v>
      </c>
      <c r="F32" s="50">
        <f t="shared" si="5"/>
        <v>340925392.16646999</v>
      </c>
      <c r="G32" s="50">
        <f t="shared" si="5"/>
        <v>440088227.56011999</v>
      </c>
    </row>
    <row r="33" spans="1:7">
      <c r="A33" s="146" t="s">
        <v>114</v>
      </c>
      <c r="B33" s="146"/>
      <c r="C33" s="146"/>
      <c r="D33" s="146"/>
      <c r="E33" s="146"/>
      <c r="F33" s="146"/>
      <c r="G33" s="146"/>
    </row>
    <row r="34" spans="1:7">
      <c r="A34" s="1" t="s">
        <v>115</v>
      </c>
      <c r="B34" s="18">
        <f>'3'!D15</f>
        <v>50000000</v>
      </c>
      <c r="C34" s="18">
        <f>B34</f>
        <v>50000000</v>
      </c>
      <c r="D34" s="18">
        <f>C34</f>
        <v>50000000</v>
      </c>
      <c r="E34" s="18">
        <f>D34</f>
        <v>50000000</v>
      </c>
      <c r="F34" s="18">
        <f>E34</f>
        <v>50000000</v>
      </c>
      <c r="G34" s="18">
        <f>F34</f>
        <v>50000000</v>
      </c>
    </row>
    <row r="35" spans="1:7">
      <c r="A35" s="1" t="s">
        <v>116</v>
      </c>
      <c r="B35" s="1">
        <v>0</v>
      </c>
      <c r="C35" s="45">
        <f>C17</f>
        <v>141823045</v>
      </c>
      <c r="D35" s="45">
        <f>D17</f>
        <v>217570612.193737</v>
      </c>
      <c r="E35" s="45">
        <f>E17</f>
        <v>357232373.04215801</v>
      </c>
      <c r="F35" s="45">
        <f>F17</f>
        <v>545720196.24937606</v>
      </c>
      <c r="G35" s="45">
        <f>G17</f>
        <v>817306708.32593799</v>
      </c>
    </row>
    <row r="36" spans="1:7">
      <c r="A36" s="42" t="s">
        <v>117</v>
      </c>
      <c r="B36" s="50">
        <f t="shared" ref="B36:G36" si="6">B34+B35</f>
        <v>50000000</v>
      </c>
      <c r="C36" s="50">
        <f t="shared" si="6"/>
        <v>191823045</v>
      </c>
      <c r="D36" s="50">
        <f t="shared" si="6"/>
        <v>267570612.193737</v>
      </c>
      <c r="E36" s="50">
        <f t="shared" si="6"/>
        <v>407232373.04215801</v>
      </c>
      <c r="F36" s="50">
        <f t="shared" si="6"/>
        <v>595720196.24937606</v>
      </c>
      <c r="G36" s="50">
        <f t="shared" si="6"/>
        <v>867306708.32593799</v>
      </c>
    </row>
    <row r="38" spans="1:7">
      <c r="A38" s="42" t="s">
        <v>118</v>
      </c>
      <c r="B38" s="50">
        <f t="shared" ref="B38:G38" si="7">B32+B36</f>
        <v>216670000</v>
      </c>
      <c r="C38" s="50">
        <f t="shared" si="7"/>
        <v>412897972.57335699</v>
      </c>
      <c r="D38" s="50">
        <f t="shared" si="7"/>
        <v>502859485.14671302</v>
      </c>
      <c r="E38" s="50">
        <f t="shared" si="7"/>
        <v>685570153.12047505</v>
      </c>
      <c r="F38" s="50">
        <f t="shared" si="7"/>
        <v>936645588.41584694</v>
      </c>
      <c r="G38" s="50">
        <f t="shared" si="7"/>
        <v>1307394935.88606</v>
      </c>
    </row>
    <row r="39" spans="1:7">
      <c r="A39" s="52" t="s">
        <v>119</v>
      </c>
      <c r="B39" s="53">
        <f t="shared" ref="B39:G39" si="8">B27-B38</f>
        <v>0</v>
      </c>
      <c r="C39" s="53">
        <f t="shared" si="8"/>
        <v>0</v>
      </c>
      <c r="D39" s="53">
        <f t="shared" si="8"/>
        <v>0</v>
      </c>
      <c r="E39" s="53">
        <f t="shared" si="8"/>
        <v>0</v>
      </c>
      <c r="F39" s="53">
        <f t="shared" si="8"/>
        <v>0</v>
      </c>
      <c r="G39" s="53">
        <f t="shared" si="8"/>
        <v>0</v>
      </c>
    </row>
    <row r="41" spans="1:7">
      <c r="A41" s="145" t="s">
        <v>120</v>
      </c>
      <c r="B41" s="145"/>
      <c r="C41" s="145"/>
      <c r="D41" s="145"/>
      <c r="E41" s="145"/>
      <c r="F41" s="145"/>
      <c r="G41" s="145"/>
    </row>
    <row r="42" spans="1:7">
      <c r="A42" s="146" t="s">
        <v>121</v>
      </c>
      <c r="B42" s="146"/>
      <c r="C42" s="146"/>
      <c r="D42" s="146"/>
      <c r="E42" s="146"/>
      <c r="F42" s="146"/>
      <c r="G42" s="146"/>
    </row>
    <row r="43" spans="1:7" ht="23">
      <c r="A43" s="54"/>
      <c r="B43" s="48" t="s">
        <v>80</v>
      </c>
      <c r="C43" s="40">
        <f>C20</f>
        <v>2027</v>
      </c>
      <c r="D43" s="40">
        <f>D20</f>
        <v>2028</v>
      </c>
      <c r="E43" s="40">
        <f>E20</f>
        <v>2029</v>
      </c>
      <c r="F43" s="40">
        <f>F20</f>
        <v>2030</v>
      </c>
      <c r="G43" s="40">
        <f>G20</f>
        <v>2031</v>
      </c>
    </row>
    <row r="44" spans="1:7">
      <c r="A44" s="55" t="s">
        <v>122</v>
      </c>
      <c r="B44" s="56">
        <f t="shared" ref="B44:G44" si="9">B22</f>
        <v>81670000</v>
      </c>
      <c r="C44" s="56">
        <f t="shared" si="9"/>
        <v>304897972.57335699</v>
      </c>
      <c r="D44" s="56">
        <f t="shared" si="9"/>
        <v>421859485.14671302</v>
      </c>
      <c r="E44" s="56">
        <f t="shared" si="9"/>
        <v>631570153.12047505</v>
      </c>
      <c r="F44" s="56">
        <f t="shared" si="9"/>
        <v>909645588.41584694</v>
      </c>
      <c r="G44" s="56">
        <f t="shared" si="9"/>
        <v>1307394935.88606</v>
      </c>
    </row>
    <row r="45" spans="1:7">
      <c r="A45" s="55" t="s">
        <v>123</v>
      </c>
      <c r="B45" s="57">
        <f t="shared" ref="B45:G45" si="10">B29</f>
        <v>0</v>
      </c>
      <c r="C45" s="57">
        <f t="shared" si="10"/>
        <v>76366255</v>
      </c>
      <c r="D45" s="57">
        <f t="shared" si="10"/>
        <v>117153406.56585801</v>
      </c>
      <c r="E45" s="57">
        <f t="shared" si="10"/>
        <v>192355893.17654699</v>
      </c>
      <c r="F45" s="57">
        <f t="shared" si="10"/>
        <v>293849336.44197202</v>
      </c>
      <c r="G45" s="57">
        <f t="shared" si="10"/>
        <v>440088227.56011999</v>
      </c>
    </row>
    <row r="46" spans="1:7">
      <c r="A46" s="58" t="s">
        <v>124</v>
      </c>
      <c r="B46" s="59">
        <f t="shared" ref="B46:G46" si="11">B44-B45</f>
        <v>81670000</v>
      </c>
      <c r="C46" s="59">
        <f t="shared" si="11"/>
        <v>228531717.57335699</v>
      </c>
      <c r="D46" s="59">
        <f t="shared" si="11"/>
        <v>304706078.58085501</v>
      </c>
      <c r="E46" s="59">
        <f t="shared" si="11"/>
        <v>439214259.943928</v>
      </c>
      <c r="F46" s="59">
        <f t="shared" si="11"/>
        <v>615796251.97387505</v>
      </c>
      <c r="G46" s="59">
        <f t="shared" si="11"/>
        <v>867306708.32593799</v>
      </c>
    </row>
    <row r="47" spans="1:7">
      <c r="A47" s="55"/>
      <c r="B47" s="56"/>
      <c r="C47" s="56"/>
      <c r="D47" s="56"/>
      <c r="E47" s="56"/>
      <c r="F47" s="56"/>
      <c r="G47" s="56"/>
    </row>
    <row r="48" spans="1:7">
      <c r="A48" s="58" t="s">
        <v>125</v>
      </c>
      <c r="B48" s="56">
        <f t="shared" ref="B48:G48" si="12">B26</f>
        <v>135000000</v>
      </c>
      <c r="C48" s="56">
        <f t="shared" si="12"/>
        <v>108000000</v>
      </c>
      <c r="D48" s="56">
        <f t="shared" si="12"/>
        <v>81000000</v>
      </c>
      <c r="E48" s="56">
        <f t="shared" si="12"/>
        <v>54000000</v>
      </c>
      <c r="F48" s="56">
        <f t="shared" si="12"/>
        <v>27000000</v>
      </c>
      <c r="G48" s="56">
        <f t="shared" si="12"/>
        <v>0</v>
      </c>
    </row>
    <row r="49" spans="1:7">
      <c r="A49" s="55" t="s">
        <v>126</v>
      </c>
      <c r="B49" s="57">
        <f t="shared" ref="B49:G49" si="13">B25</f>
        <v>0</v>
      </c>
      <c r="C49" s="57">
        <f t="shared" si="13"/>
        <v>27000000</v>
      </c>
      <c r="D49" s="57">
        <f t="shared" si="13"/>
        <v>54000000</v>
      </c>
      <c r="E49" s="57">
        <f t="shared" si="13"/>
        <v>81000000</v>
      </c>
      <c r="F49" s="57">
        <f t="shared" si="13"/>
        <v>108000000</v>
      </c>
      <c r="G49" s="57">
        <f t="shared" si="13"/>
        <v>135000000</v>
      </c>
    </row>
    <row r="50" spans="1:7">
      <c r="A50" s="58" t="s">
        <v>127</v>
      </c>
      <c r="B50" s="59">
        <f t="shared" ref="B50:G50" si="14">B48+B49</f>
        <v>135000000</v>
      </c>
      <c r="C50" s="59">
        <f t="shared" si="14"/>
        <v>135000000</v>
      </c>
      <c r="D50" s="59">
        <f t="shared" si="14"/>
        <v>135000000</v>
      </c>
      <c r="E50" s="59">
        <f t="shared" si="14"/>
        <v>135000000</v>
      </c>
      <c r="F50" s="59">
        <f t="shared" si="14"/>
        <v>135000000</v>
      </c>
      <c r="G50" s="59">
        <f t="shared" si="14"/>
        <v>135000000</v>
      </c>
    </row>
    <row r="51" spans="1:7">
      <c r="A51" s="55"/>
      <c r="B51" s="56"/>
      <c r="C51" s="56"/>
      <c r="D51" s="56"/>
      <c r="E51" s="56"/>
      <c r="F51" s="56"/>
      <c r="G51" s="56"/>
    </row>
    <row r="52" spans="1:7">
      <c r="A52" s="60" t="s">
        <v>128</v>
      </c>
      <c r="B52" s="61">
        <f t="shared" ref="B52:G52" si="15">B46+B48</f>
        <v>216670000</v>
      </c>
      <c r="C52" s="61">
        <f t="shared" si="15"/>
        <v>336531717.57335699</v>
      </c>
      <c r="D52" s="61">
        <f t="shared" si="15"/>
        <v>385706078.58085501</v>
      </c>
      <c r="E52" s="61">
        <f t="shared" si="15"/>
        <v>493214259.943928</v>
      </c>
      <c r="F52" s="61">
        <f t="shared" si="15"/>
        <v>642796251.97387505</v>
      </c>
      <c r="G52" s="61">
        <f t="shared" si="15"/>
        <v>867306708.32593799</v>
      </c>
    </row>
    <row r="53" spans="1:7">
      <c r="A53" s="62"/>
      <c r="B53" s="56"/>
      <c r="C53" s="56"/>
      <c r="D53" s="56"/>
      <c r="E53" s="56"/>
      <c r="F53" s="56"/>
      <c r="G53" s="56"/>
    </row>
    <row r="54" spans="1:7">
      <c r="A54" s="147" t="s">
        <v>129</v>
      </c>
      <c r="B54" s="147"/>
      <c r="C54" s="147"/>
      <c r="D54" s="147"/>
      <c r="E54" s="147"/>
      <c r="F54" s="147"/>
      <c r="G54" s="147"/>
    </row>
    <row r="55" spans="1:7">
      <c r="A55" s="55" t="s">
        <v>130</v>
      </c>
      <c r="C55" s="63">
        <f>C13</f>
        <v>253190000</v>
      </c>
      <c r="D55" s="63">
        <f>D13</f>
        <v>365112840</v>
      </c>
      <c r="E55" s="63">
        <f>E13</f>
        <v>574396714.15999997</v>
      </c>
      <c r="F55" s="63">
        <f>F13</f>
        <v>857625728.94071996</v>
      </c>
      <c r="G55" s="63">
        <f>G13</f>
        <v>1267280907.5882001</v>
      </c>
    </row>
    <row r="56" spans="1:7">
      <c r="A56" s="55" t="s">
        <v>131</v>
      </c>
      <c r="C56" s="64">
        <f>C55*'1'!$AB$7</f>
        <v>88616500</v>
      </c>
      <c r="D56" s="64">
        <f>D55*'1'!$AB$7</f>
        <v>127789494</v>
      </c>
      <c r="E56" s="64">
        <f>E55*'1'!$AB$7</f>
        <v>201038849.956</v>
      </c>
      <c r="F56" s="64">
        <f>F55*'1'!$AB$7</f>
        <v>300169005.12925202</v>
      </c>
      <c r="G56" s="64">
        <f>G55*'1'!$AB$7</f>
        <v>443548317.65587097</v>
      </c>
    </row>
    <row r="57" spans="1:7">
      <c r="A57" s="58" t="s">
        <v>132</v>
      </c>
      <c r="C57" s="63">
        <f>C55-C56</f>
        <v>164573500</v>
      </c>
      <c r="D57" s="63">
        <f>D55-D56</f>
        <v>237323346</v>
      </c>
      <c r="E57" s="63">
        <f>E55-E56</f>
        <v>373357864.204</v>
      </c>
      <c r="F57" s="63">
        <f>F55-F56</f>
        <v>557456723.81146801</v>
      </c>
      <c r="G57" s="63">
        <f>G55-G56</f>
        <v>823732589.93233204</v>
      </c>
    </row>
    <row r="58" spans="1:7">
      <c r="A58" s="55" t="s">
        <v>133</v>
      </c>
      <c r="C58" s="64">
        <f>-(C52-B52)</f>
        <v>-119861717.573357</v>
      </c>
      <c r="D58" s="64">
        <f>-(D52-C52)</f>
        <v>-49174361.007498503</v>
      </c>
      <c r="E58" s="64">
        <f>-(E52-D52)</f>
        <v>-107508181.36307301</v>
      </c>
      <c r="F58" s="64">
        <f>-(F52-E52)</f>
        <v>-149581992.02994701</v>
      </c>
      <c r="G58" s="64">
        <f>-(G52-F52)</f>
        <v>-224510456.352063</v>
      </c>
    </row>
    <row r="59" spans="1:7">
      <c r="A59" s="65" t="s">
        <v>134</v>
      </c>
      <c r="B59" s="52"/>
      <c r="C59" s="66">
        <f>SUM(C57:C58)</f>
        <v>44711782.426643297</v>
      </c>
      <c r="D59" s="66">
        <f>SUM(D57:D58)</f>
        <v>188148984.99250099</v>
      </c>
      <c r="E59" s="66">
        <f>SUM(E57:E58)</f>
        <v>265849682.840927</v>
      </c>
      <c r="F59" s="66">
        <f>SUM(F57:F58)</f>
        <v>407874731.78152102</v>
      </c>
      <c r="G59" s="66">
        <f>SUM(G57:G58)</f>
        <v>599222133.58026898</v>
      </c>
    </row>
  </sheetData>
  <sheetProtection algorithmName="SHA-512" hashValue="KLBhxYPsWRm/mDONeSdAIiuCHDVzFvjvnXci62rP+PvRkwTfgDMBnUm1lUq9hW+nalA7QvZtDlGH44e1gxba/w==" saltValue="qz8Leb/Kc1kBPTEK+6wHOA==" spinCount="100000" sheet="1" formatCells="0" formatColumns="0" formatRows="0"/>
  <mergeCells count="10">
    <mergeCell ref="A28:G28"/>
    <mergeCell ref="A33:G33"/>
    <mergeCell ref="A41:G41"/>
    <mergeCell ref="A42:G42"/>
    <mergeCell ref="A54:G54"/>
    <mergeCell ref="A1:G1"/>
    <mergeCell ref="A2:G2"/>
    <mergeCell ref="A4:G4"/>
    <mergeCell ref="A19:G19"/>
    <mergeCell ref="A21:G21"/>
  </mergeCells>
  <conditionalFormatting sqref="B22:G22">
    <cfRule type="cellIs" dxfId="9" priority="3" operator="lessThan">
      <formula>0</formula>
    </cfRule>
  </conditionalFormatting>
  <conditionalFormatting sqref="C17:G17">
    <cfRule type="cellIs" dxfId="8" priority="4" operator="lessThan">
      <formula>0</formula>
    </cfRule>
  </conditionalFormatting>
  <conditionalFormatting sqref="C59:G59">
    <cfRule type="cellIs" dxfId="7" priority="2" operator="lessThan">
      <formula>0</formula>
    </cfRule>
  </conditionalFormatting>
  <pageMargins left="0.7" right="0.7" top="0.75" bottom="0.75" header="0.511811023622047" footer="0.511811023622047"/>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54"/>
  <sheetViews>
    <sheetView showGridLines="0" tabSelected="1" zoomScale="95" zoomScaleNormal="95" workbookViewId="0">
      <selection activeCell="D7" sqref="D7"/>
    </sheetView>
  </sheetViews>
  <sheetFormatPr baseColWidth="10" defaultColWidth="11.5" defaultRowHeight="15"/>
  <cols>
    <col min="1" max="1" width="11.5" style="1"/>
    <col min="2" max="2" width="32.5" style="1" customWidth="1"/>
    <col min="3" max="3" width="24.33203125" style="1" customWidth="1"/>
    <col min="4" max="4" width="36.33203125" style="1" customWidth="1"/>
    <col min="5" max="5" width="25.5" style="1" customWidth="1"/>
    <col min="6" max="6" width="26" style="1" customWidth="1"/>
    <col min="7" max="8" width="20.6640625" style="1" customWidth="1"/>
    <col min="9" max="9" width="11.5" style="1"/>
    <col min="10" max="10" width="12" style="1" customWidth="1"/>
    <col min="11" max="14" width="11.5" style="1"/>
    <col min="15" max="15" width="15.33203125" style="1" customWidth="1"/>
    <col min="16" max="16" width="21.5" style="1" customWidth="1"/>
    <col min="17" max="16384" width="11.5" style="1"/>
  </cols>
  <sheetData>
    <row r="2" spans="2:16" ht="38.25" customHeight="1">
      <c r="B2" s="138" t="s">
        <v>135</v>
      </c>
      <c r="C2" s="138"/>
      <c r="D2" s="138"/>
      <c r="E2" s="138"/>
      <c r="F2" s="138"/>
      <c r="G2" s="138"/>
      <c r="H2" s="138"/>
    </row>
    <row r="3" spans="2:16" ht="15.75" customHeight="1">
      <c r="B3" s="150" t="s">
        <v>136</v>
      </c>
      <c r="C3" s="150"/>
      <c r="D3" s="150"/>
      <c r="E3" s="151">
        <v>0.22</v>
      </c>
      <c r="F3" s="151"/>
    </row>
    <row r="4" spans="2:16" ht="16.5" customHeight="1">
      <c r="B4" s="150"/>
      <c r="C4" s="150"/>
      <c r="D4" s="150"/>
      <c r="E4" s="151"/>
      <c r="F4" s="151"/>
      <c r="O4" s="35"/>
    </row>
    <row r="5" spans="2:16">
      <c r="O5" s="35"/>
      <c r="P5" s="36"/>
    </row>
    <row r="6" spans="2:16" ht="23">
      <c r="B6" s="2" t="s">
        <v>137</v>
      </c>
      <c r="C6" s="3" t="s">
        <v>138</v>
      </c>
      <c r="D6" s="4">
        <f>'4'!C20</f>
        <v>2027</v>
      </c>
      <c r="E6" s="4">
        <f>'4'!D20</f>
        <v>2028</v>
      </c>
      <c r="F6" s="4">
        <f>'4'!E20</f>
        <v>2029</v>
      </c>
      <c r="G6" s="4">
        <f>'4'!F20</f>
        <v>2030</v>
      </c>
      <c r="H6" s="24">
        <f>'4'!G20</f>
        <v>2031</v>
      </c>
      <c r="O6" s="35"/>
      <c r="P6" s="37"/>
    </row>
    <row r="7" spans="2:16" ht="19">
      <c r="B7" s="5"/>
      <c r="C7" s="6">
        <f>-'3'!D14</f>
        <v>-216670000</v>
      </c>
      <c r="D7" s="6">
        <f>'4'!C59</f>
        <v>44711782.426643297</v>
      </c>
      <c r="E7" s="6">
        <f>'4'!D59</f>
        <v>188148984.99250099</v>
      </c>
      <c r="F7" s="6">
        <f>'4'!E59</f>
        <v>265849682.840927</v>
      </c>
      <c r="G7" s="6">
        <f>'4'!F59</f>
        <v>407874731.78152102</v>
      </c>
      <c r="H7" s="25">
        <f>'4'!G59</f>
        <v>599222133.58026898</v>
      </c>
      <c r="O7" s="35"/>
      <c r="P7" s="37"/>
    </row>
    <row r="8" spans="2:16">
      <c r="C8" s="7">
        <f>C7/(1+$E$3)^0</f>
        <v>-216670000</v>
      </c>
      <c r="D8" s="7">
        <f>D7/(1+$E$3)^1</f>
        <v>36649001.989051796</v>
      </c>
      <c r="E8" s="7">
        <f>E7/(1+$E$3)^2</f>
        <v>126410229.100041</v>
      </c>
      <c r="F8" s="7">
        <f>F7/(1+$E$3)^3</f>
        <v>146405251.34313399</v>
      </c>
      <c r="G8" s="7">
        <f>G7/(1+$E$3)^4</f>
        <v>184114281.94462901</v>
      </c>
      <c r="H8" s="7">
        <f>H7/(1+$E$3)^5</f>
        <v>221711741.48184401</v>
      </c>
      <c r="O8" s="35"/>
      <c r="P8" s="37"/>
    </row>
    <row r="9" spans="2:16" ht="24">
      <c r="B9" s="8" t="s">
        <v>139</v>
      </c>
      <c r="C9" s="9"/>
      <c r="D9" s="10">
        <f>NPV(E3,D7:H7)+$C$7</f>
        <v>498620505.85870099</v>
      </c>
      <c r="O9" s="35"/>
      <c r="P9" s="37"/>
    </row>
    <row r="10" spans="2:16" ht="26">
      <c r="B10" s="11" t="s">
        <v>140</v>
      </c>
      <c r="C10" s="9"/>
      <c r="D10" s="12">
        <f>IF(ISERROR(IRR(C7:H7)),"NO_APLICA",(IRR(C7:H7)))</f>
        <v>0.74978034154362805</v>
      </c>
      <c r="F10" s="26" t="s">
        <v>141</v>
      </c>
      <c r="G10" s="9"/>
      <c r="H10" s="27">
        <f>IF(ISERROR(-C8/AVERAGE(D8:H8)),"NO_APLICA",(-C8/AVERAGE(D8:H8)))</f>
        <v>1.51455945678944</v>
      </c>
      <c r="I10" s="34" t="s">
        <v>142</v>
      </c>
      <c r="P10" s="38"/>
    </row>
    <row r="12" spans="2:16" ht="18">
      <c r="B12" s="148" t="s">
        <v>143</v>
      </c>
      <c r="C12" s="148"/>
      <c r="D12" s="148"/>
      <c r="E12" s="148"/>
      <c r="F12" s="148"/>
      <c r="G12" s="148"/>
      <c r="H12" s="148"/>
    </row>
    <row r="13" spans="2:16" ht="25">
      <c r="B13" s="13" t="str">
        <f>'1'!B2</f>
        <v>NOMBRE DEL PRODUCTO O SERVICIO</v>
      </c>
      <c r="C13" s="13" t="s">
        <v>144</v>
      </c>
      <c r="D13" s="13" t="s">
        <v>145</v>
      </c>
      <c r="E13" s="13" t="s">
        <v>146</v>
      </c>
      <c r="F13" s="13" t="s">
        <v>147</v>
      </c>
      <c r="H13" s="7"/>
      <c r="I13" s="7"/>
      <c r="J13" s="7" t="s">
        <v>148</v>
      </c>
    </row>
    <row r="14" spans="2:16">
      <c r="B14" s="14" t="str">
        <f>'1'!B3</f>
        <v>Suscripcion Basico Negocios (B2B)</v>
      </c>
      <c r="C14" s="15">
        <f>'1'!D3-'1'!D17</f>
        <v>285000</v>
      </c>
      <c r="D14" s="16">
        <f>'1'!F3</f>
        <v>0.31681877444589301</v>
      </c>
      <c r="E14" s="15">
        <f t="shared" ref="E14:E23" si="0">C14*D14</f>
        <v>90293.350717079506</v>
      </c>
      <c r="F14" s="28">
        <f t="shared" ref="F14:F23" si="1">$E$27*D14</f>
        <v>160.60366873993601</v>
      </c>
      <c r="G14" s="14" t="s">
        <v>149</v>
      </c>
      <c r="H14" s="20">
        <f>'1'!D3</f>
        <v>300000</v>
      </c>
      <c r="I14" s="21">
        <f t="shared" ref="I14:I23" si="2">$B$34*D14</f>
        <v>321.20733747987202</v>
      </c>
      <c r="J14" s="20">
        <f>'1'!D17</f>
        <v>15000</v>
      </c>
    </row>
    <row r="15" spans="2:16">
      <c r="B15" s="17" t="str">
        <f>'1'!B4</f>
        <v>Suscripcion Premium Negocios (B2B)</v>
      </c>
      <c r="C15" s="15">
        <f>'1'!D4-'1'!D18</f>
        <v>475000</v>
      </c>
      <c r="D15" s="16">
        <f>'1'!F4</f>
        <v>0.26401564537157801</v>
      </c>
      <c r="E15" s="15">
        <f t="shared" si="0"/>
        <v>125407.431551499</v>
      </c>
      <c r="F15" s="28">
        <f t="shared" si="1"/>
        <v>133.83639061661299</v>
      </c>
      <c r="G15" s="14" t="str">
        <f t="shared" ref="G15:G24" si="3">G14</f>
        <v>UNIDADES</v>
      </c>
      <c r="H15" s="20">
        <f>'1'!D4</f>
        <v>500000</v>
      </c>
      <c r="I15" s="21">
        <f t="shared" si="2"/>
        <v>267.672781233227</v>
      </c>
      <c r="J15" s="20">
        <f>'1'!D18</f>
        <v>25000</v>
      </c>
    </row>
    <row r="16" spans="2:16">
      <c r="B16" s="17" t="str">
        <f>'1'!B5</f>
        <v>Posicionamiento eventos con pauta (B2B)</v>
      </c>
      <c r="C16" s="15">
        <f>'1'!D5-'1'!D19</f>
        <v>570000</v>
      </c>
      <c r="D16" s="16">
        <f>'1'!F5</f>
        <v>0.15840938722294701</v>
      </c>
      <c r="E16" s="15">
        <f t="shared" si="0"/>
        <v>90293.350717079506</v>
      </c>
      <c r="F16" s="28">
        <f t="shared" si="1"/>
        <v>80.301834369968105</v>
      </c>
      <c r="G16" s="14" t="str">
        <f t="shared" si="3"/>
        <v>UNIDADES</v>
      </c>
      <c r="H16" s="20">
        <f>'1'!D5</f>
        <v>600000</v>
      </c>
      <c r="I16" s="21">
        <f t="shared" si="2"/>
        <v>160.60366873993601</v>
      </c>
      <c r="J16" s="20">
        <f>'1'!D19</f>
        <v>30000</v>
      </c>
    </row>
    <row r="17" spans="2:10">
      <c r="B17" s="17" t="str">
        <f>'1'!B6</f>
        <v>Suscripcion Premium Individual (B2C)</v>
      </c>
      <c r="C17" s="15">
        <f>'1'!D6-'1'!D20</f>
        <v>14250</v>
      </c>
      <c r="D17" s="16">
        <f>'1'!F6</f>
        <v>0.26075619295958302</v>
      </c>
      <c r="E17" s="15">
        <f t="shared" si="0"/>
        <v>3715.7757496740601</v>
      </c>
      <c r="F17" s="28">
        <f t="shared" si="1"/>
        <v>132.18408949789</v>
      </c>
      <c r="G17" s="14" t="str">
        <f t="shared" si="3"/>
        <v>UNIDADES</v>
      </c>
      <c r="H17" s="20">
        <f>'1'!D6</f>
        <v>15000</v>
      </c>
      <c r="I17" s="21">
        <f t="shared" si="2"/>
        <v>264.36817899578</v>
      </c>
      <c r="J17" s="20">
        <f>'1'!D20</f>
        <v>750</v>
      </c>
    </row>
    <row r="18" spans="2:10">
      <c r="B18" s="17">
        <f>'1'!B7</f>
        <v>0</v>
      </c>
      <c r="C18" s="15">
        <f>'1'!D7-'1'!D21</f>
        <v>0</v>
      </c>
      <c r="D18" s="16">
        <f>'1'!F7</f>
        <v>0</v>
      </c>
      <c r="E18" s="15">
        <f t="shared" si="0"/>
        <v>0</v>
      </c>
      <c r="F18" s="28">
        <f t="shared" si="1"/>
        <v>0</v>
      </c>
      <c r="G18" s="14" t="str">
        <f t="shared" si="3"/>
        <v>UNIDADES</v>
      </c>
      <c r="H18" s="20">
        <f>'1'!D7</f>
        <v>0</v>
      </c>
      <c r="I18" s="21">
        <f t="shared" si="2"/>
        <v>0</v>
      </c>
      <c r="J18" s="20">
        <f>'1'!D21</f>
        <v>0</v>
      </c>
    </row>
    <row r="19" spans="2:10">
      <c r="B19" s="17">
        <f>'1'!B8</f>
        <v>0</v>
      </c>
      <c r="C19" s="15">
        <f>'1'!D8-'1'!D22</f>
        <v>0</v>
      </c>
      <c r="D19" s="16">
        <f>'1'!F8</f>
        <v>0</v>
      </c>
      <c r="E19" s="15">
        <f t="shared" si="0"/>
        <v>0</v>
      </c>
      <c r="F19" s="28">
        <f t="shared" si="1"/>
        <v>0</v>
      </c>
      <c r="G19" s="14" t="str">
        <f t="shared" si="3"/>
        <v>UNIDADES</v>
      </c>
      <c r="H19" s="20">
        <f>'1'!D8</f>
        <v>0</v>
      </c>
      <c r="I19" s="21">
        <f t="shared" si="2"/>
        <v>0</v>
      </c>
      <c r="J19" s="20">
        <f>'1'!D22</f>
        <v>0</v>
      </c>
    </row>
    <row r="20" spans="2:10">
      <c r="B20" s="17">
        <f>'1'!B9</f>
        <v>0</v>
      </c>
      <c r="C20" s="15">
        <f>'1'!D9-'1'!D23</f>
        <v>0</v>
      </c>
      <c r="D20" s="16">
        <f>'1'!F9</f>
        <v>0</v>
      </c>
      <c r="E20" s="15">
        <f t="shared" si="0"/>
        <v>0</v>
      </c>
      <c r="F20" s="28">
        <f t="shared" si="1"/>
        <v>0</v>
      </c>
      <c r="G20" s="14" t="str">
        <f t="shared" si="3"/>
        <v>UNIDADES</v>
      </c>
      <c r="H20" s="20">
        <f>'1'!D9</f>
        <v>0</v>
      </c>
      <c r="I20" s="21">
        <f t="shared" si="2"/>
        <v>0</v>
      </c>
      <c r="J20" s="20">
        <f>'1'!D23</f>
        <v>0</v>
      </c>
    </row>
    <row r="21" spans="2:10">
      <c r="B21" s="17">
        <f>'1'!B10</f>
        <v>0</v>
      </c>
      <c r="C21" s="15">
        <f>'1'!D10-'1'!D24</f>
        <v>0</v>
      </c>
      <c r="D21" s="16">
        <f>'1'!F10</f>
        <v>0</v>
      </c>
      <c r="E21" s="15">
        <f t="shared" si="0"/>
        <v>0</v>
      </c>
      <c r="F21" s="28">
        <f t="shared" si="1"/>
        <v>0</v>
      </c>
      <c r="G21" s="14" t="str">
        <f t="shared" si="3"/>
        <v>UNIDADES</v>
      </c>
      <c r="H21" s="20">
        <f>'1'!D10</f>
        <v>0</v>
      </c>
      <c r="I21" s="21">
        <f t="shared" si="2"/>
        <v>0</v>
      </c>
      <c r="J21" s="20">
        <f>'1'!D24</f>
        <v>0</v>
      </c>
    </row>
    <row r="22" spans="2:10">
      <c r="B22" s="17">
        <f>'1'!B11</f>
        <v>0</v>
      </c>
      <c r="C22" s="15">
        <f>'1'!D11-'1'!D25</f>
        <v>0</v>
      </c>
      <c r="D22" s="16">
        <f>'1'!F11</f>
        <v>0</v>
      </c>
      <c r="E22" s="15">
        <f t="shared" si="0"/>
        <v>0</v>
      </c>
      <c r="F22" s="28">
        <f t="shared" si="1"/>
        <v>0</v>
      </c>
      <c r="G22" s="14" t="str">
        <f t="shared" si="3"/>
        <v>UNIDADES</v>
      </c>
      <c r="H22" s="20">
        <f>'1'!D11</f>
        <v>0</v>
      </c>
      <c r="I22" s="21">
        <f t="shared" si="2"/>
        <v>0</v>
      </c>
      <c r="J22" s="20">
        <f>'1'!D25</f>
        <v>0</v>
      </c>
    </row>
    <row r="23" spans="2:10">
      <c r="B23" s="14">
        <f>'1'!B12</f>
        <v>0</v>
      </c>
      <c r="C23" s="15">
        <f>'1'!D12-'1'!D26</f>
        <v>0</v>
      </c>
      <c r="D23" s="16">
        <f>'1'!F12</f>
        <v>0</v>
      </c>
      <c r="E23" s="15">
        <f t="shared" si="0"/>
        <v>0</v>
      </c>
      <c r="F23" s="28">
        <f t="shared" si="1"/>
        <v>0</v>
      </c>
      <c r="G23" s="14" t="str">
        <f t="shared" si="3"/>
        <v>UNIDADES</v>
      </c>
      <c r="H23" s="20">
        <f>'1'!D12</f>
        <v>0</v>
      </c>
      <c r="I23" s="21">
        <f t="shared" si="2"/>
        <v>0</v>
      </c>
      <c r="J23" s="20">
        <f>'1'!D26</f>
        <v>0</v>
      </c>
    </row>
    <row r="24" spans="2:10" ht="25">
      <c r="C24" s="18"/>
      <c r="D24" s="19"/>
      <c r="E24" s="18"/>
      <c r="F24" s="29">
        <f>SUM(F14:F23)</f>
        <v>506.92598322440801</v>
      </c>
      <c r="G24" s="1" t="str">
        <f t="shared" si="3"/>
        <v>UNIDADES</v>
      </c>
      <c r="H24" s="20"/>
      <c r="I24" s="21"/>
      <c r="J24" s="20"/>
    </row>
    <row r="25" spans="2:10" ht="12.75" customHeight="1">
      <c r="C25" s="18"/>
      <c r="D25" s="19"/>
      <c r="E25" s="18"/>
      <c r="F25" s="29"/>
      <c r="H25" s="20"/>
      <c r="I25" s="21"/>
      <c r="J25" s="20"/>
    </row>
    <row r="26" spans="2:10" ht="41" customHeight="1">
      <c r="B26" s="149" t="s">
        <v>150</v>
      </c>
      <c r="C26" s="149"/>
      <c r="D26" s="149"/>
      <c r="E26" s="30">
        <f>SUM(E14:E23)</f>
        <v>309709.90873533202</v>
      </c>
      <c r="H26" s="7"/>
      <c r="I26" s="7"/>
      <c r="J26" s="7"/>
    </row>
    <row r="27" spans="2:10" ht="29" customHeight="1">
      <c r="B27" s="149" t="s">
        <v>151</v>
      </c>
      <c r="C27" s="149"/>
      <c r="D27" s="149"/>
      <c r="E27" s="29">
        <f>IF(E26=0,0,('2'!C23+'2'!F31+'2'!C25)/'5'!E26)</f>
        <v>506.92598322440801</v>
      </c>
      <c r="F27" s="31" t="s">
        <v>149</v>
      </c>
      <c r="H27" s="32"/>
    </row>
    <row r="28" spans="2:10" ht="37" customHeight="1">
      <c r="B28" s="149" t="s">
        <v>152</v>
      </c>
      <c r="C28" s="149"/>
      <c r="D28" s="149"/>
      <c r="E28" s="30">
        <f>E48</f>
        <v>165263157.89473701</v>
      </c>
    </row>
    <row r="30" spans="2:10">
      <c r="B30" s="7"/>
      <c r="C30" s="7"/>
      <c r="D30" s="7"/>
      <c r="E30" s="7"/>
      <c r="F30" s="7"/>
      <c r="G30" s="7"/>
    </row>
    <row r="31" spans="2:10">
      <c r="B31" s="7"/>
      <c r="C31" s="7" t="s">
        <v>153</v>
      </c>
      <c r="D31" s="7" t="s">
        <v>154</v>
      </c>
      <c r="E31" s="7" t="s">
        <v>155</v>
      </c>
      <c r="F31" s="7" t="s">
        <v>156</v>
      </c>
      <c r="G31" s="7"/>
      <c r="H31" s="7"/>
    </row>
    <row r="32" spans="2:10">
      <c r="B32" s="7">
        <v>0</v>
      </c>
      <c r="C32" s="20">
        <f>'2'!C25+'2'!F31+'2'!C23</f>
        <v>157000000</v>
      </c>
      <c r="D32" s="7">
        <f>0</f>
        <v>0</v>
      </c>
      <c r="E32" s="7">
        <v>0</v>
      </c>
      <c r="F32" s="20">
        <f>C32+E32</f>
        <v>157000000</v>
      </c>
      <c r="G32" s="7"/>
      <c r="H32" s="7"/>
    </row>
    <row r="33" spans="2:8">
      <c r="B33" s="21">
        <f>F24</f>
        <v>506.92598322440801</v>
      </c>
      <c r="C33" s="20">
        <f>C32</f>
        <v>157000000</v>
      </c>
      <c r="D33" s="22">
        <f>SUMPRODUCT(F14:F23,H14:H23)</f>
        <v>165263157.89473701</v>
      </c>
      <c r="E33" s="22">
        <f>SUMPRODUCT(F14:F23,J14:J23)</f>
        <v>8263157.8947368404</v>
      </c>
      <c r="F33" s="20">
        <f>C33+E33</f>
        <v>165263157.89473701</v>
      </c>
      <c r="G33" s="7"/>
      <c r="H33" s="7"/>
    </row>
    <row r="34" spans="2:8">
      <c r="B34" s="21">
        <f>B33*2</f>
        <v>1013.85196644882</v>
      </c>
      <c r="C34" s="20">
        <f>C33</f>
        <v>157000000</v>
      </c>
      <c r="D34" s="22">
        <f>SUMPRODUCT(H14:H23,I14:I23)</f>
        <v>330526315.78947401</v>
      </c>
      <c r="E34" s="22">
        <f>SUMPRODUCT(I14:I23,J14:J23)</f>
        <v>16526315.789473699</v>
      </c>
      <c r="F34" s="20">
        <f>C34+E34</f>
        <v>173526315.78947401</v>
      </c>
      <c r="G34" s="7"/>
      <c r="H34" s="7"/>
    </row>
    <row r="35" spans="2:8">
      <c r="B35" s="7"/>
      <c r="C35" s="20"/>
      <c r="D35" s="7"/>
      <c r="E35" s="7"/>
      <c r="F35" s="7"/>
      <c r="G35" s="7"/>
      <c r="H35" s="7"/>
    </row>
    <row r="36" spans="2:8">
      <c r="B36" s="7"/>
      <c r="C36" s="20"/>
      <c r="D36" s="7"/>
      <c r="E36" s="7"/>
      <c r="F36" s="7"/>
      <c r="G36" s="7"/>
      <c r="H36" s="7"/>
    </row>
    <row r="37" spans="2:8">
      <c r="B37" s="7"/>
      <c r="C37" s="23" t="s">
        <v>157</v>
      </c>
      <c r="D37" s="7" t="s">
        <v>149</v>
      </c>
      <c r="E37" s="7" t="s">
        <v>158</v>
      </c>
      <c r="F37" s="7"/>
      <c r="G37" s="7"/>
      <c r="H37" s="7"/>
    </row>
    <row r="38" spans="2:8">
      <c r="B38" s="7">
        <v>1</v>
      </c>
      <c r="C38" s="20">
        <f>'1'!D3</f>
        <v>300000</v>
      </c>
      <c r="D38" s="21">
        <f t="shared" ref="D38:D47" si="4">F14</f>
        <v>160.60366873993601</v>
      </c>
      <c r="E38" s="7">
        <f t="shared" ref="E38:E47" si="5">C38*D38</f>
        <v>48181100.621980898</v>
      </c>
      <c r="F38" s="7"/>
      <c r="G38" s="7"/>
      <c r="H38" s="7"/>
    </row>
    <row r="39" spans="2:8">
      <c r="B39" s="7">
        <f t="shared" ref="B39:B47" si="6">B38+1</f>
        <v>2</v>
      </c>
      <c r="C39" s="20">
        <f>'1'!D4</f>
        <v>500000</v>
      </c>
      <c r="D39" s="21">
        <f t="shared" si="4"/>
        <v>133.83639061661299</v>
      </c>
      <c r="E39" s="7">
        <f t="shared" si="5"/>
        <v>66918195.308306701</v>
      </c>
      <c r="F39" s="7"/>
      <c r="G39" s="7"/>
      <c r="H39" s="7"/>
    </row>
    <row r="40" spans="2:8">
      <c r="B40" s="7">
        <f t="shared" si="6"/>
        <v>3</v>
      </c>
      <c r="C40" s="20">
        <f>'1'!D5</f>
        <v>600000</v>
      </c>
      <c r="D40" s="21">
        <f t="shared" si="4"/>
        <v>80.301834369968105</v>
      </c>
      <c r="E40" s="7">
        <f t="shared" si="5"/>
        <v>48181100.621980898</v>
      </c>
      <c r="F40" s="7"/>
      <c r="G40" s="7"/>
      <c r="H40" s="7"/>
    </row>
    <row r="41" spans="2:8">
      <c r="B41" s="7">
        <f t="shared" si="6"/>
        <v>4</v>
      </c>
      <c r="C41" s="20">
        <f>'1'!D6</f>
        <v>15000</v>
      </c>
      <c r="D41" s="21">
        <f t="shared" si="4"/>
        <v>132.18408949789</v>
      </c>
      <c r="E41" s="7">
        <f t="shared" si="5"/>
        <v>1982761.34246835</v>
      </c>
      <c r="F41" s="7"/>
      <c r="G41" s="7"/>
      <c r="H41" s="7"/>
    </row>
    <row r="42" spans="2:8">
      <c r="B42" s="7">
        <f t="shared" si="6"/>
        <v>5</v>
      </c>
      <c r="C42" s="20">
        <f>'1'!D7</f>
        <v>0</v>
      </c>
      <c r="D42" s="21">
        <f t="shared" si="4"/>
        <v>0</v>
      </c>
      <c r="E42" s="7">
        <f t="shared" si="5"/>
        <v>0</v>
      </c>
      <c r="F42" s="7"/>
      <c r="G42" s="7"/>
      <c r="H42" s="7"/>
    </row>
    <row r="43" spans="2:8">
      <c r="B43" s="7">
        <f t="shared" si="6"/>
        <v>6</v>
      </c>
      <c r="C43" s="20">
        <f>'1'!D8</f>
        <v>0</v>
      </c>
      <c r="D43" s="21">
        <f t="shared" si="4"/>
        <v>0</v>
      </c>
      <c r="E43" s="7">
        <f t="shared" si="5"/>
        <v>0</v>
      </c>
      <c r="F43" s="7"/>
      <c r="G43" s="7"/>
      <c r="H43" s="7"/>
    </row>
    <row r="44" spans="2:8">
      <c r="B44" s="7">
        <f t="shared" si="6"/>
        <v>7</v>
      </c>
      <c r="C44" s="20">
        <f>'1'!D9</f>
        <v>0</v>
      </c>
      <c r="D44" s="21">
        <f t="shared" si="4"/>
        <v>0</v>
      </c>
      <c r="E44" s="7">
        <f t="shared" si="5"/>
        <v>0</v>
      </c>
      <c r="F44" s="7"/>
      <c r="G44" s="7"/>
      <c r="H44" s="7"/>
    </row>
    <row r="45" spans="2:8">
      <c r="B45" s="7">
        <f t="shared" si="6"/>
        <v>8</v>
      </c>
      <c r="C45" s="20">
        <f>'1'!D10</f>
        <v>0</v>
      </c>
      <c r="D45" s="21">
        <f t="shared" si="4"/>
        <v>0</v>
      </c>
      <c r="E45" s="7">
        <f t="shared" si="5"/>
        <v>0</v>
      </c>
      <c r="F45" s="7"/>
      <c r="G45" s="7"/>
      <c r="H45" s="7"/>
    </row>
    <row r="46" spans="2:8">
      <c r="B46" s="7">
        <f t="shared" si="6"/>
        <v>9</v>
      </c>
      <c r="C46" s="20">
        <f>'1'!D11</f>
        <v>0</v>
      </c>
      <c r="D46" s="21">
        <f t="shared" si="4"/>
        <v>0</v>
      </c>
      <c r="E46" s="7">
        <f t="shared" si="5"/>
        <v>0</v>
      </c>
      <c r="F46" s="7"/>
      <c r="G46" s="7"/>
      <c r="H46" s="7"/>
    </row>
    <row r="47" spans="2:8">
      <c r="B47" s="7">
        <f t="shared" si="6"/>
        <v>10</v>
      </c>
      <c r="C47" s="20">
        <f>'1'!D12</f>
        <v>0</v>
      </c>
      <c r="D47" s="21">
        <f t="shared" si="4"/>
        <v>0</v>
      </c>
      <c r="E47" s="7">
        <f t="shared" si="5"/>
        <v>0</v>
      </c>
      <c r="F47" s="7"/>
      <c r="G47" s="7"/>
      <c r="H47" s="7"/>
    </row>
    <row r="48" spans="2:8">
      <c r="B48" s="7"/>
      <c r="C48" s="20"/>
      <c r="D48" s="7"/>
      <c r="E48" s="33">
        <f>SUM(E38:E47)</f>
        <v>165263157.89473701</v>
      </c>
      <c r="F48" s="7"/>
      <c r="G48" s="7"/>
      <c r="H48" s="7"/>
    </row>
    <row r="49" spans="2:8">
      <c r="B49" s="7"/>
      <c r="C49" s="7"/>
      <c r="D49" s="7"/>
      <c r="E49" s="7"/>
      <c r="F49" s="7"/>
      <c r="G49" s="7"/>
      <c r="H49" s="7"/>
    </row>
    <row r="50" spans="2:8">
      <c r="B50" s="7"/>
      <c r="C50" s="20"/>
      <c r="D50" s="7"/>
      <c r="E50" s="7"/>
      <c r="F50" s="7"/>
      <c r="G50" s="7"/>
      <c r="H50" s="7"/>
    </row>
    <row r="51" spans="2:8">
      <c r="B51" s="7"/>
      <c r="C51" s="20"/>
      <c r="D51" s="7"/>
      <c r="E51" s="7"/>
      <c r="F51" s="7"/>
      <c r="G51" s="7"/>
      <c r="H51" s="7"/>
    </row>
    <row r="52" spans="2:8">
      <c r="B52" s="7"/>
      <c r="C52" s="20"/>
      <c r="D52" s="7"/>
      <c r="E52" s="7"/>
      <c r="F52" s="7"/>
      <c r="G52" s="7"/>
      <c r="H52" s="7"/>
    </row>
    <row r="53" spans="2:8">
      <c r="B53" s="7"/>
      <c r="C53" s="7"/>
      <c r="D53" s="7"/>
      <c r="E53" s="7"/>
      <c r="F53" s="7"/>
      <c r="G53" s="7"/>
      <c r="H53" s="7"/>
    </row>
    <row r="54" spans="2:8">
      <c r="B54" s="7"/>
      <c r="C54" s="7"/>
      <c r="D54" s="7"/>
      <c r="E54" s="7"/>
      <c r="F54" s="7"/>
      <c r="G54" s="7"/>
      <c r="H54" s="7"/>
    </row>
  </sheetData>
  <sheetProtection algorithmName="SHA-512" hashValue="3+YCEPd7MiOqwxJUwxbw9lH+NZ/deTsqsi74b6CqtvqHoCDjURZmTtZwU3qtErjyzyXe96heae9720a7WTNDKg==" saltValue="8qrNxEUAu0WQgdLevZOh7A==" spinCount="100000" sheet="1" objects="1" scenarios="1" formatCells="0" formatColumns="0" formatRows="0"/>
  <mergeCells count="8">
    <mergeCell ref="B28:D28"/>
    <mergeCell ref="B3:D4"/>
    <mergeCell ref="E3:F4"/>
    <mergeCell ref="B2:F2"/>
    <mergeCell ref="G2:H2"/>
    <mergeCell ref="B12:H12"/>
    <mergeCell ref="B26:D26"/>
    <mergeCell ref="B27:D27"/>
  </mergeCells>
  <conditionalFormatting sqref="D9:D10">
    <cfRule type="cellIs" dxfId="6" priority="5" operator="lessThan">
      <formula>0</formula>
    </cfRule>
  </conditionalFormatting>
  <conditionalFormatting sqref="D10">
    <cfRule type="containsText" dxfId="5" priority="4" operator="containsText" text="NO_APLICA">
      <formula>NOT(ISERROR(SEARCH("NO_APLICA",D10)))</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0">
    <cfRule type="containsText" dxfId="1" priority="2" operator="containsText" text="NO_APLICA">
      <formula>NOT(ISERROR(SEARCH("NO_APLICA",H10)))</formula>
    </cfRule>
    <cfRule type="cellIs" dxfId="0" priority="3" operator="lessThan">
      <formula>0</formula>
    </cfRule>
  </conditionalFormatting>
  <pageMargins left="0.7" right="0.7" top="0.75" bottom="0.75" header="0.511811023622047" footer="0.511811023622047"/>
  <pageSetup orientation="portrait" horizontalDpi="300" verticalDpi="30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Fabio Mora</cp:lastModifiedBy>
  <cp:revision>1</cp:revision>
  <dcterms:created xsi:type="dcterms:W3CDTF">2013-07-29T16:19:00Z</dcterms:created>
  <dcterms:modified xsi:type="dcterms:W3CDTF">2026-04-24T00:24:31Z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CA2082FF691BAE94068ADD694A4B2A3B_43</vt:lpwstr>
  </property>
  <property fmtid="{D5CDD505-2E9C-101B-9397-08002B2CF9AE}" pid="3" name="KSOProductBuildVer">
    <vt:lpwstr>3082-6.13.1.8709</vt:lpwstr>
  </property>
</Properties>
</file>