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defaultThemeVersion="124226"/>
  <mc:AlternateContent xmlns:mc="http://schemas.openxmlformats.org/markup-compatibility/2006">
    <mc:Choice Requires="x15">
      <x15ac:absPath xmlns:x15ac="http://schemas.microsoft.com/office/spreadsheetml/2010/11/ac" url="C:\Users\YLopez6\Downloads\Nueva carpeta\"/>
    </mc:Choice>
  </mc:AlternateContent>
  <xr:revisionPtr revIDLastSave="0" documentId="8_{FAEDB960-5DA1-4091-89E5-912CB79727B6}" xr6:coauthVersionLast="47" xr6:coauthVersionMax="47" xr10:uidLastSave="{00000000-0000-0000-0000-000000000000}"/>
  <bookViews>
    <workbookView xWindow="3024" yWindow="1032" windowWidth="17280" windowHeight="8964" tabRatio="703" activeTab="4"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C22" i="4"/>
  <c r="C18" i="4"/>
  <c r="C30" i="4"/>
  <c r="C31" i="4" s="1"/>
  <c r="C29" i="4"/>
  <c r="C28" i="4"/>
  <c r="F25" i="4"/>
  <c r="D4" i="1"/>
  <c r="F22" i="4" l="1"/>
  <c r="H55" i="6"/>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B39" i="5" s="1"/>
  <c r="C17" i="5"/>
  <c r="C35" i="5" s="1"/>
  <c r="C36" i="5" s="1"/>
  <c r="H9" i="3"/>
  <c r="J9" i="3" s="1"/>
  <c r="I10" i="3" s="1"/>
  <c r="E35" i="6"/>
  <c r="F35" i="6" s="1"/>
  <c r="D35" i="6"/>
  <c r="C30" i="5"/>
  <c r="C45" i="5"/>
  <c r="H52" i="6"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F12" i="3" l="1"/>
  <c r="G12" i="3" s="1"/>
  <c r="F14" i="5" s="1"/>
  <c r="F15" i="5" s="1"/>
  <c r="F16" i="5" s="1"/>
  <c r="F17" i="5" s="1"/>
  <c r="F35" i="5" s="1"/>
  <c r="F36" i="5" s="1"/>
  <c r="E31" i="5"/>
  <c r="E32" i="5" s="1"/>
  <c r="E38" i="5" s="1"/>
  <c r="E22" i="5" s="1"/>
  <c r="E27" i="5" s="1"/>
  <c r="E39" i="5" s="1"/>
  <c r="D46" i="5"/>
  <c r="D52" i="5" s="1"/>
  <c r="D58" i="5" s="1"/>
  <c r="D59" i="5" s="1"/>
  <c r="E8" i="6" s="1"/>
  <c r="H12" i="3" l="1"/>
  <c r="J12" i="3" s="1"/>
  <c r="F13" i="3" s="1"/>
  <c r="G13" i="3" s="1"/>
  <c r="G14" i="5" s="1"/>
  <c r="G15" i="5" s="1"/>
  <c r="G16" i="5" s="1"/>
  <c r="G17" i="5" s="1"/>
  <c r="F29" i="5"/>
  <c r="F45" i="5" s="1"/>
  <c r="E44" i="5"/>
  <c r="G29" i="5" l="1"/>
  <c r="G30" i="5" s="1"/>
  <c r="F31" i="5"/>
  <c r="I13" i="3"/>
  <c r="H13" i="3" s="1"/>
  <c r="J13" i="3" s="1"/>
  <c r="G31" i="5" s="1"/>
  <c r="F30" i="5"/>
  <c r="E46" i="5"/>
  <c r="E52" i="5" s="1"/>
  <c r="E58" i="5" s="1"/>
  <c r="E59" i="5" s="1"/>
  <c r="F8" i="6" s="1"/>
  <c r="G35" i="5"/>
  <c r="G36" i="5" s="1"/>
  <c r="F32" i="5" l="1"/>
  <c r="F38" i="5" s="1"/>
  <c r="F22" i="5" s="1"/>
  <c r="F44" i="5" s="1"/>
  <c r="F46" i="5" s="1"/>
  <c r="F52" i="5" s="1"/>
  <c r="F58" i="5" s="1"/>
  <c r="F59" i="5" s="1"/>
  <c r="G8" i="6" s="1"/>
  <c r="G45" i="5"/>
  <c r="G32" i="5"/>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tc={BDD68980-0545-4BC2-8E16-4F4408FE7C83}</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C6" authorId="1" shapeId="0" xr:uid="{BDD68980-0545-4BC2-8E16-4F4408FE7C83}">
      <text>
        <t>[Comentario encadenado]
Tu versión de Excel te permite leer este comentario encadenado; sin embargo, las ediciones que se apliquen se quitarán si el archivo se abre en una versión más reciente de Excel. Más información: https://go.microsoft.com/fwlink/?linkid=870924
Comentario:
    Se tienen menos comisiones que egresados, contemplando la deserción</t>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tc={C4ED0959-D779-4D27-9963-272FE7DF9AB3}</author>
    <author>tc={BD528E77-0F6C-4273-A21E-3C6C2866FC08}</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7" authorId="1" shapeId="0" xr:uid="{C4ED0959-D779-4D27-9963-272FE7DF9AB3}">
      <text>
        <t>[Comentario encadenado]
Tu versión de Excel te permite leer este comentario encadenado; sin embargo, las ediciones que se apliquen se quitarán si el archivo se abre en una versión más reciente de Excel. Más información: https://go.microsoft.com/fwlink/?linkid=870924
Comentario:
    2 computadores de 2,5 millones cada uno</t>
      </text>
    </comment>
    <comment ref="C11" authorId="2" shapeId="0" xr:uid="{BD528E77-0F6C-4273-A21E-3C6C2866FC08}">
      <text>
        <t>[Comentario encadenado]
Tu versión de Excel te permite leer este comentario encadenado; sin embargo, las ediciones que se apliquen se quitarán si el archivo se abre en una versión más reciente de Excel. Más información: https://go.microsoft.com/fwlink/?linkid=870924
Comentario:
    el valor del formulario RUES -     7.200
los derechos de inscripción  -    53.000
el impuesto de registro      - 4.640.000 
nota: no necesita registro mercantil</t>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<sst xmlns="http://schemas.openxmlformats.org/spreadsheetml/2006/main" count="172" uniqueCount="163">
  <si>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</si>
  <si>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</si>
  <si>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</si>
  <si>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</si>
  <si>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</si>
  <si>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</si>
  <si>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</si>
  <si>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</si>
  <si>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</si>
  <si>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</si>
  <si>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</si>
  <si>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</si>
  <si>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</si>
  <si>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</si>
  <si>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</si>
  <si>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</si>
  <si>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</si>
  <si>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</si>
  <si>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</si>
  <si>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</si>
  <si>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</si>
  <si>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</si>
  <si>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</si>
  <si>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</si>
  <si>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</si>
  <si>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</si>
  <si>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</si>
  <si>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</si>
  <si>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</si>
  <si>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</si>
  <si>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</si>
  <si>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</si>
  <si>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</si>
  <si>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</si>
  <si>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</si>
  <si>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</si>
  <si>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</si>
  <si>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</si>
  <si>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</si>
  <si>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</si>
  <si>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</si>
  <si>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</si>
  <si>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</si>
  <si>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</si>
  <si>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</si>
  <si>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</si>
  <si>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</si>
  <si>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</si>
  <si>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</si>
  <si>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</si>
  <si>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</si>
  <si>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</si>
  <si>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</si>
  <si>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</si>
  <si>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</si>
  <si>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</si>
  <si>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</si>
  <si>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</si>
  <si>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</si>
  <si>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</si>
  <si>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</si>
  <si>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</si>
  <si>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</si>
  <si>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</si>
  <si>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</si>
  <si>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</si>
  <si>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</si>
  <si>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</si>
  <si>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</si>
  <si>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</si>
  <si>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</si>
  <si>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</si>
  <si>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</si>
  <si>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</si>
  <si>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</si>
  <si>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</si>
  <si>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</si>
  <si>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</si>
  <si>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</si>
  <si>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</si>
  <si>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</si>
  <si>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</si>
  <si>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</si>
  <si>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</si>
  <si>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</si>
  <si>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</si>
  <si>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</si>
  <si>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</si>
  <si>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</si>
  <si>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</si>
  <si>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</si>
  <si>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</si>
  <si>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</si>
  <si>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</si>
  <si>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</si>
  <si>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</si>
  <si>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</si>
  <si>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</si>
  <si>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</si>
  <si>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</si>
  <si>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</si>
  <si>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</si>
  <si>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</si>
  <si>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</si>
  <si>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</si>
  <si>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</si>
  <si>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</si>
  <si>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</si>
  <si>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</si>
  <si>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</si>
  <si>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</si>
  <si>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</si>
  <si>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</si>
  <si>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</si>
  <si>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</si>
  <si>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</si>
  <si>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</si>
  <si>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</si>
  <si>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</si>
  <si>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</si>
  <si>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</si>
  <si>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</si>
  <si>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</si>
  <si>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</si>
  <si>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</si>
  <si>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</si>
  <si>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</si>
  <si>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</si>
  <si>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</si>
  <si>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</si>
  <si>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</si>
  <si>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</si>
  <si>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</si>
  <si>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</si>
  <si>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</si>
  <si>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</si>
  <si>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</si>
  <si>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</si>
  <si>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</si>
  <si>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</si>
  <si>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</si>
  <si>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</si>
  <si>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</si>
  <si>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</si>
  <si>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</si>
  <si>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</si>
  <si>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</si>
  <si>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</si>
  <si>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</si>
  <si>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</si>
  <si>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</si>
  <si>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</si>
  <si>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</si>
  <si>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</si>
  <si>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</si>
  <si>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</si>
  <si>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</si>
  <si>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</si>
  <si>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Servicio de asesorias</t>
  </si>
  <si>
    <t>Donaciones de empresas privadas</t>
  </si>
  <si>
    <t>Bonos del gobierno</t>
  </si>
  <si>
    <t>Comisiones de los egresados</t>
  </si>
  <si>
    <t>web hosting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</si>
</sst>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_(* \(#,##0.00\);_(* &quot;-&quot;??_);_(@_)"/>
    <numFmt numFmtId="164" formatCode="&quot;$&quot;#,##0.00;[Red]\-&quot;$&quot;#,##0.00"/>
    <numFmt numFmtId="165" formatCode="&quot;$&quot;\ #,##0.00_);[Red]\(&quot;$&quot;\ #,##0.00\)"/>
    <numFmt numFmtId="166" formatCode="_(&quot;$&quot;\ * #,##0.00_);_(&quot;$&quot;\ * \(#,##0.00\);_(&quot;$&quot;\ *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quot;$&quot;\ * #,##0.00000_);_(&quot;$&quot;\ * \(#,##0.00000\);_(&quot;$&quot;\ * &quot;-&quot;??_);_(@_)"/>
    <numFmt numFmtId="172" formatCode="_ &quot;$&quot;\ * #,##0_ ;_ &quot;$&quot;\ * \-#,##0_ ;_ &quot;$&quot;\ * &quot;-&quot;??_ ;_ @_ "/>
    <numFmt numFmtId="173" formatCode="_(&quot;$&quot;\ * #,##0.0_);_(&quot;$&quot;\ * \(#,##0.0\);_(&quot;$&quot;\ * &quot;-&quot;?_);_(@_)"/>
    <numFmt numFmtId="174" formatCode="_(* #,##0_);_(* \(#,##0\);_(* &quot;-&quot;??_);_(@_)"/>
    <numFmt numFmtId="175" formatCode="_ &quot;$&quot;\ * #,##0.0_ ;_ &quot;$&quot;\ * \-#,##0.0_ ;_ &quot;$&quot;\ * &quot;-&quot;??_ ;_ @_ "/>
    <numFmt numFmtId="176" formatCode="_(* #,##0.0_);_(* \(#,##0.0\);_(* &quot;-&quot;??_);_(@_)"/>
    <numFmt numFmtId="177" formatCode="_ * #,##0.00_ ;_ * \-#,##0.00_ ;_ * &quot;-&quot;??_ ;_ @_ "/>
    <numFmt numFmtId="178" formatCode="&quot;$&quot;#,##0.00"/>
    <numFmt numFmtId="179" formatCode="_-&quot;$&quot;* #,##0.0_-;\-&quot;$&quot;* #,##0.0_-;_-&quot;$&quot;* &quot;-&quot;??_-;_-@_-"/>
  </numFmts>
  <fonts count="54"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b/>
      <sz val="1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font>
    <font>
      <b/>
      <sz val="9"/>
      <color theme="1"/>
      <name val="Aharoni"/>
    </font>
    <font>
      <sz val="10"/>
      <color theme="1"/>
      <name val="Aharoni"/>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s>
  <fills count="9">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theme="2" tint="-0.499984740745262"/>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0" fontId="36" fillId="0" borderId="0" applyNumberFormat="0" applyFill="0" applyBorder="0" applyAlignment="0" applyProtection="0"/>
    <xf numFmtId="0" fontId="20" fillId="0" borderId="0"/>
  </cellStyleXfs>
  <cellXfs count="168">
    <xf numFmtId="0" fontId="0" fillId="0" borderId="0" xfId="0"/>
    <xf numFmtId="0" fontId="25" fillId="0" borderId="0" xfId="0" applyFont="1" applyProtection="1">
      <protection hidden="1"/>
    </xf>
    <xf numFmtId="172" fontId="0" fillId="0" borderId="0" xfId="1" applyNumberFormat="1" applyFont="1" applyFill="1" applyProtection="1">
      <protection hidden="1"/>
    </xf>
    <xf numFmtId="172" fontId="0" fillId="0" borderId="7" xfId="1" applyNumberFormat="1" applyFont="1" applyFill="1" applyBorder="1" applyProtection="1">
      <protection hidden="1"/>
    </xf>
    <xf numFmtId="0" fontId="26" fillId="0" borderId="0" xfId="0" applyFont="1" applyProtection="1">
      <protection hidden="1"/>
    </xf>
    <xf numFmtId="172" fontId="24" fillId="0" borderId="0" xfId="1" applyNumberFormat="1" applyFont="1" applyFill="1" applyProtection="1">
      <protection hidden="1"/>
    </xf>
    <xf numFmtId="172" fontId="24" fillId="0" borderId="1" xfId="1" applyNumberFormat="1" applyFont="1" applyFill="1" applyBorder="1" applyProtection="1">
      <protection hidden="1"/>
    </xf>
    <xf numFmtId="174" fontId="20" fillId="0" borderId="0" xfId="3" applyNumberFormat="1" applyFont="1" applyFill="1" applyProtection="1">
      <protection hidden="1"/>
    </xf>
    <xf numFmtId="0" fontId="0" fillId="0" borderId="0" xfId="0" applyProtection="1">
      <protection hidden="1"/>
    </xf>
    <xf numFmtId="175" fontId="0" fillId="0" borderId="0" xfId="1" applyNumberFormat="1" applyFont="1" applyFill="1" applyProtection="1">
      <protection hidden="1"/>
    </xf>
    <xf numFmtId="175" fontId="0" fillId="0" borderId="7" xfId="1" applyNumberFormat="1" applyFont="1" applyFill="1" applyBorder="1" applyProtection="1">
      <protection hidden="1"/>
    </xf>
    <xf numFmtId="174"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6"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8" fontId="6" fillId="0" borderId="0" xfId="1" applyNumberFormat="1" applyFont="1" applyProtection="1">
      <protection hidden="1"/>
    </xf>
    <xf numFmtId="9" fontId="0" fillId="0" borderId="0" xfId="2" applyFont="1" applyAlignment="1" applyProtection="1">
      <alignment horizontal="center"/>
      <protection hidden="1"/>
    </xf>
    <xf numFmtId="168"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8"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8"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0"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7" fontId="6" fillId="0" borderId="0" xfId="1" applyNumberFormat="1" applyFont="1" applyProtection="1">
      <protection hidden="1"/>
    </xf>
    <xf numFmtId="167"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69" fontId="30" fillId="6" borderId="0" xfId="2" applyNumberFormat="1" applyFont="1" applyFill="1" applyBorder="1" applyProtection="1">
      <protection locked="0"/>
    </xf>
    <xf numFmtId="169" fontId="30" fillId="6" borderId="5" xfId="2" applyNumberFormat="1" applyFont="1" applyFill="1" applyBorder="1" applyProtection="1">
      <protection locked="0"/>
    </xf>
    <xf numFmtId="43" fontId="29" fillId="4" borderId="0" xfId="4" applyFont="1" applyFill="1" applyProtection="1">
      <protection locked="0"/>
    </xf>
    <xf numFmtId="176"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2"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7" fontId="0" fillId="0" borderId="0" xfId="1" applyNumberFormat="1" applyFont="1" applyProtection="1">
      <protection hidden="1"/>
    </xf>
    <xf numFmtId="0" fontId="2" fillId="0" borderId="1" xfId="0" applyFont="1" applyBorder="1" applyProtection="1">
      <protection hidden="1"/>
    </xf>
    <xf numFmtId="167" fontId="0" fillId="0" borderId="1" xfId="0" applyNumberFormat="1" applyBorder="1" applyProtection="1">
      <protection hidden="1"/>
    </xf>
    <xf numFmtId="173" fontId="0" fillId="0" borderId="1" xfId="0" applyNumberFormat="1" applyBorder="1" applyProtection="1">
      <protection hidden="1"/>
    </xf>
    <xf numFmtId="173" fontId="0" fillId="0" borderId="0" xfId="0" applyNumberFormat="1" applyProtection="1">
      <protection hidden="1"/>
    </xf>
    <xf numFmtId="0" fontId="2" fillId="0" borderId="2" xfId="0" applyFont="1" applyBorder="1" applyProtection="1">
      <protection hidden="1"/>
    </xf>
    <xf numFmtId="173"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1"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43" fontId="6" fillId="0" borderId="0" xfId="0" applyNumberFormat="1" applyFont="1" applyProtection="1">
      <protection hidden="1"/>
    </xf>
    <xf numFmtId="43"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43"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43"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7" fontId="20" fillId="0" borderId="0" xfId="6" applyNumberFormat="1"/>
    <xf numFmtId="164"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8" fontId="42" fillId="0" borderId="3" xfId="0" applyNumberFormat="1" applyFont="1" applyBorder="1" applyProtection="1">
      <protection hidden="1"/>
    </xf>
    <xf numFmtId="178" fontId="42" fillId="0" borderId="12" xfId="0" applyNumberFormat="1" applyFont="1" applyBorder="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8" fillId="0" borderId="0" xfId="0" applyFont="1" applyProtection="1">
      <protection hidden="1"/>
    </xf>
    <xf numFmtId="169" fontId="29" fillId="4" borderId="0" xfId="2" applyNumberFormat="1" applyFont="1" applyFill="1" applyProtection="1">
      <protection locked="0"/>
    </xf>
    <xf numFmtId="167"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79" fontId="6" fillId="0" borderId="0" xfId="0" applyNumberFormat="1" applyFont="1"/>
    <xf numFmtId="179" fontId="6" fillId="0" borderId="14" xfId="0" applyNumberFormat="1" applyFont="1" applyBorder="1"/>
    <xf numFmtId="0" fontId="2" fillId="0" borderId="11" xfId="0" applyFont="1" applyBorder="1" applyAlignment="1" applyProtection="1">
      <alignment horizontal="center"/>
      <protection hidden="1"/>
    </xf>
    <xf numFmtId="179" fontId="6" fillId="0" borderId="0" xfId="0" applyNumberFormat="1" applyFont="1" applyProtection="1">
      <protection hidden="1"/>
    </xf>
    <xf numFmtId="179" fontId="6" fillId="0" borderId="14" xfId="0" applyNumberFormat="1" applyFont="1" applyBorder="1" applyProtection="1">
      <protection hidden="1"/>
    </xf>
    <xf numFmtId="179" fontId="6" fillId="0" borderId="3" xfId="0" applyNumberFormat="1" applyFont="1" applyBorder="1" applyProtection="1">
      <protection hidden="1"/>
    </xf>
    <xf numFmtId="179" fontId="6" fillId="0" borderId="12" xfId="0" applyNumberFormat="1" applyFont="1" applyBorder="1" applyProtection="1">
      <protection hidden="1"/>
    </xf>
    <xf numFmtId="0" fontId="18" fillId="4" borderId="0" xfId="0" applyFont="1" applyFill="1" applyProtection="1">
      <protection locked="0" hidden="1"/>
    </xf>
    <xf numFmtId="0" fontId="51"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169" fontId="30" fillId="8" borderId="3" xfId="2" applyNumberFormat="1" applyFont="1" applyFill="1" applyBorder="1" applyProtection="1">
      <protection locked="0"/>
    </xf>
    <xf numFmtId="169" fontId="30" fillId="8" borderId="12" xfId="2" applyNumberFormat="1" applyFont="1" applyFill="1" applyBorder="1" applyProtection="1">
      <protection locked="0"/>
    </xf>
    <xf numFmtId="169" fontId="30" fillId="8" borderId="0" xfId="2" applyNumberFormat="1" applyFont="1" applyFill="1" applyBorder="1" applyProtection="1">
      <protection locked="0"/>
    </xf>
    <xf numFmtId="169" fontId="30" fillId="8" borderId="14" xfId="2" applyNumberFormat="1" applyFont="1" applyFill="1" applyBorder="1" applyProtection="1">
      <protection locked="0"/>
    </xf>
    <xf numFmtId="0" fontId="0" fillId="0" borderId="0" xfId="0" applyProtection="1">
      <protection locked="0"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21.876618281679086</c:v>
                </c:pt>
                <c:pt idx="2">
                  <c:v>43.753236563358172</c:v>
                </c:pt>
              </c:numCache>
            </c:numRef>
          </c:cat>
          <c:val>
            <c:numRef>
              <c:f>'5'!$C$33:$C$35</c:f>
              <c:numCache>
                <c:formatCode>_("$"\ * #,##0.00_);_("$"\ * \(#,##0.00\);_("$"\ * "-"??_);_(@_)</c:formatCode>
                <c:ptCount val="3"/>
                <c:pt idx="0">
                  <c:v>96980000</c:v>
                </c:pt>
                <c:pt idx="1">
                  <c:v>96980000</c:v>
                </c:pt>
                <c:pt idx="2">
                  <c:v>96980000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21.876618281679086</c:v>
                </c:pt>
                <c:pt idx="2">
                  <c:v>43.753236563358172</c:v>
                </c:pt>
              </c:numCache>
            </c:numRef>
          </c:cat>
          <c:val>
            <c:numRef>
              <c:f>'5'!$D$33:$D$35</c:f>
              <c:numCache>
                <c:formatCode>_("$"\ * #,##0.00_);_("$"\ * \(#,##0.00\);_("$"\ * "-"??_);_(@_)</c:formatCode>
                <c:ptCount val="3"/>
                <c:pt idx="0" formatCode="General">
                  <c:v>0</c:v>
                </c:pt>
                <c:pt idx="1">
                  <c:v>96979999.999999985</c:v>
                </c:pt>
                <c:pt idx="2">
                  <c:v>193959999.99999997</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21.876618281679086</c:v>
                </c:pt>
                <c:pt idx="2">
                  <c:v>43.753236563358172</c:v>
                </c:pt>
              </c:numCache>
            </c:numRef>
          </c:cat>
          <c:val>
            <c:numRef>
              <c:f>'5'!$F$33:$F$35</c:f>
              <c:numCache>
                <c:formatCode>_("$"\ * #,##0.00_);_("$"\ * \(#,##0.00\);_("$"\ * "-"??_);_(@_)</c:formatCode>
                <c:ptCount val="3"/>
                <c:pt idx="0">
                  <c:v>96980000</c:v>
                </c:pt>
                <c:pt idx="1">
                  <c:v>96980000</c:v>
                </c:pt>
                <c:pt idx="2">
                  <c:v>96980000</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n-US"/>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persons/person.xml><?xml version="1.0" encoding="utf-8"?>
<personList xmlns="http://schemas.microsoft.com/office/spreadsheetml/2018/threadedcomments" xmlns:x="http://schemas.openxmlformats.org/spreadsheetml/2006/main">
  <person displayName="Yeny Lopez Mendoza" id="{A1FB41AF-2529-4497-8D02-7773F81D082E}" userId="S::YenySteffany.Lopez@rockwellautomation.com::55e04e48-af2b-4f27-9461-d8ac888b6a4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6" dT="2024-02-06T02:06:32.06" personId="{A1FB41AF-2529-4497-8D02-7773F81D082E}" id="{BDD68980-0545-4BC2-8E16-4F4408FE7C83}">
    <text>Se tienen menos comisiones que egresados, contemplando la deserción</text>
  </threadedComment>
</ThreadedComments>
</file>

<file path=xl/threadedComments/threadedComment2.xml><?xml version="1.0" encoding="utf-8"?>
<ThreadedComments xmlns="http://schemas.microsoft.com/office/spreadsheetml/2018/threadedcomments" xmlns:x="http://schemas.openxmlformats.org/spreadsheetml/2006/main">
  <threadedComment ref="C7" dT="2024-02-06T02:25:58.48" personId="{A1FB41AF-2529-4497-8D02-7773F81D082E}" id="{C4ED0959-D779-4D27-9963-272FE7DF9AB3}">
    <text>2 computadores de 2,5 millones cada uno</text>
  </threadedComment>
  <threadedComment ref="C11" dT="2023-06-06T01:07:34.60" personId="{A1FB41AF-2529-4497-8D02-7773F81D082E}" id="{BD528E77-0F6C-4273-A21E-3C6C2866FC08}">
    <text>el valor del formulario RUES -     7.200
los derechos de inscripción  -    53.000
el impuesto de registro      - 4.640.000 
nota: no necesita registro mercantil</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RowHeight="14.4" x14ac:dyDescent="0.3"/>
  <sheetData>
    <row r="23" spans="7:8" ht="20.399999999999999" x14ac:dyDescent="0.35">
      <c r="G23" s="144" t="s">
        <v>135</v>
      </c>
      <c r="H23" s="144"/>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B2" zoomScale="80" zoomScaleNormal="80" workbookViewId="0">
      <selection activeCell="D7" sqref="D7"/>
    </sheetView>
  </sheetViews>
  <sheetFormatPr baseColWidth="10" defaultColWidth="11.44140625" defaultRowHeight="14.4" x14ac:dyDescent="0.3"/>
  <cols>
    <col min="1" max="1" width="22.5546875" style="8" customWidth="1"/>
    <col min="2" max="2" width="34.5546875" style="8" bestFit="1" customWidth="1"/>
    <col min="3" max="6" width="26" style="8" bestFit="1" customWidth="1"/>
    <col min="7" max="10" width="9.44140625" style="8" bestFit="1" customWidth="1"/>
    <col min="11" max="11" width="4.33203125" style="8" customWidth="1"/>
    <col min="12" max="15" width="11.44140625" style="8" hidden="1" customWidth="1"/>
    <col min="16" max="19" width="12" style="8" hidden="1" customWidth="1"/>
    <col min="20" max="24" width="15.5546875" style="8" hidden="1" customWidth="1"/>
    <col min="25" max="25" width="22.109375" style="8" bestFit="1" customWidth="1"/>
    <col min="26" max="27" width="9.44140625" style="8" bestFit="1" customWidth="1"/>
    <col min="28" max="28" width="11.44140625" style="8" bestFit="1" customWidth="1"/>
    <col min="29" max="29" width="9.44140625" style="8" bestFit="1" customWidth="1"/>
    <col min="30" max="16384" width="11.44140625" style="8"/>
  </cols>
  <sheetData>
    <row r="1" spans="1:29" ht="30.75" customHeight="1" x14ac:dyDescent="0.45">
      <c r="A1" s="146" t="s">
        <v>5</v>
      </c>
      <c r="B1" s="146"/>
      <c r="C1" s="146"/>
      <c r="D1" s="146"/>
      <c r="E1" s="146"/>
      <c r="G1" s="147" t="s">
        <v>12</v>
      </c>
      <c r="H1" s="147"/>
      <c r="I1" s="147"/>
      <c r="J1" s="147"/>
      <c r="P1" s="8" t="s">
        <v>16</v>
      </c>
      <c r="Y1" s="15" t="s">
        <v>9</v>
      </c>
      <c r="Z1" s="50">
        <v>2024</v>
      </c>
      <c r="AA1" s="16"/>
    </row>
    <row r="2" spans="1:29" ht="32.25" customHeight="1" thickBot="1" x14ac:dyDescent="0.5">
      <c r="B2" s="17" t="s">
        <v>4</v>
      </c>
      <c r="C2" s="18" t="s">
        <v>0</v>
      </c>
      <c r="D2" s="17" t="s">
        <v>7</v>
      </c>
      <c r="E2" s="18" t="s">
        <v>1</v>
      </c>
      <c r="F2" s="19" t="s">
        <v>27</v>
      </c>
      <c r="G2" s="20">
        <f>'1'!Z1+1</f>
        <v>2025</v>
      </c>
      <c r="H2" s="20">
        <f>G2+1</f>
        <v>2026</v>
      </c>
      <c r="I2" s="20">
        <f t="shared" ref="I2:J2" si="0">H2+1</f>
        <v>2027</v>
      </c>
      <c r="J2" s="20">
        <f t="shared" si="0"/>
        <v>2028</v>
      </c>
      <c r="L2" s="8">
        <f>G2</f>
        <v>2025</v>
      </c>
      <c r="M2" s="8">
        <f>H2</f>
        <v>2026</v>
      </c>
      <c r="N2" s="8">
        <f>M2+1</f>
        <v>2027</v>
      </c>
      <c r="O2" s="8">
        <f>N2+1</f>
        <v>2028</v>
      </c>
      <c r="P2" s="8" t="s">
        <v>13</v>
      </c>
      <c r="Q2" s="8" t="s">
        <v>11</v>
      </c>
      <c r="R2" s="8" t="s">
        <v>23</v>
      </c>
      <c r="S2" s="8" t="s">
        <v>24</v>
      </c>
      <c r="T2" s="8" t="s">
        <v>17</v>
      </c>
      <c r="U2" s="8" t="s">
        <v>18</v>
      </c>
      <c r="V2" s="8" t="s">
        <v>25</v>
      </c>
      <c r="W2" s="8" t="s">
        <v>26</v>
      </c>
      <c r="Y2" s="16"/>
      <c r="Z2" s="16"/>
      <c r="AA2" s="16"/>
    </row>
    <row r="3" spans="1:29" ht="24" thickBot="1" x14ac:dyDescent="0.5">
      <c r="A3" s="21">
        <v>1</v>
      </c>
      <c r="B3" s="13" t="s">
        <v>158</v>
      </c>
      <c r="C3" s="53">
        <v>40</v>
      </c>
      <c r="D3" s="14">
        <v>0</v>
      </c>
      <c r="E3" s="22">
        <f>C3*D3</f>
        <v>0</v>
      </c>
      <c r="F3" s="23">
        <f>IF($E$13=0,0,E3/$E$13)</f>
        <v>0</v>
      </c>
      <c r="G3" s="117">
        <v>0.2</v>
      </c>
      <c r="H3" s="117">
        <v>0.2</v>
      </c>
      <c r="I3" s="117">
        <v>0.2</v>
      </c>
      <c r="J3" s="117">
        <v>0.2</v>
      </c>
      <c r="K3" s="24"/>
      <c r="L3" s="8">
        <f t="shared" ref="L3:L12" si="1">C3*(1+G3)</f>
        <v>48</v>
      </c>
      <c r="M3" s="8">
        <f>L3*(1+H3)</f>
        <v>57.599999999999994</v>
      </c>
      <c r="N3" s="8">
        <f t="shared" ref="N3:O3" si="2">M3*(1+I3)</f>
        <v>69.11999999999999</v>
      </c>
      <c r="O3" s="8">
        <f t="shared" si="2"/>
        <v>82.943999999999988</v>
      </c>
      <c r="P3" s="25">
        <f>D3*(1+'1'!$Z$4)</f>
        <v>0</v>
      </c>
      <c r="Q3" s="25">
        <f>P3*(1+'1'!$AA$4)</f>
        <v>0</v>
      </c>
      <c r="R3" s="25">
        <f>Q3*(1+'1'!$AB$4)</f>
        <v>0</v>
      </c>
      <c r="S3" s="25">
        <f>R3*(1+'1'!$AC$4)</f>
        <v>0</v>
      </c>
      <c r="T3" s="26">
        <f>L3*P3</f>
        <v>0</v>
      </c>
      <c r="U3" s="26">
        <f>M3*Q3</f>
        <v>0</v>
      </c>
      <c r="V3" s="26">
        <f>N3*R3</f>
        <v>0</v>
      </c>
      <c r="W3" s="26">
        <f>O3*S3</f>
        <v>0</v>
      </c>
      <c r="X3" s="26"/>
      <c r="Y3" s="27" t="s">
        <v>10</v>
      </c>
      <c r="Z3" s="28">
        <f>G2</f>
        <v>2025</v>
      </c>
      <c r="AA3" s="28">
        <f>Z3+1</f>
        <v>2026</v>
      </c>
      <c r="AB3" s="28">
        <f t="shared" ref="AB3:AC3" si="3">AA3+1</f>
        <v>2027</v>
      </c>
      <c r="AC3" s="29">
        <f t="shared" si="3"/>
        <v>2028</v>
      </c>
    </row>
    <row r="4" spans="1:29" ht="23.4" x14ac:dyDescent="0.45">
      <c r="A4" s="21">
        <f>A3+1</f>
        <v>2</v>
      </c>
      <c r="B4" s="13" t="s">
        <v>159</v>
      </c>
      <c r="C4" s="53">
        <v>7</v>
      </c>
      <c r="D4" s="14">
        <f>4000000</f>
        <v>4000000</v>
      </c>
      <c r="E4" s="22">
        <f t="shared" ref="E4:E12" si="4">C4*D4</f>
        <v>28000000</v>
      </c>
      <c r="F4" s="23">
        <f t="shared" ref="F4:F12" si="5">IF($E$13=0,0,E4/$E$13)</f>
        <v>0.24347826086956523</v>
      </c>
      <c r="G4" s="117">
        <v>0.1</v>
      </c>
      <c r="H4" s="117">
        <v>0.1</v>
      </c>
      <c r="I4" s="117">
        <v>0.1</v>
      </c>
      <c r="J4" s="117">
        <v>0.1</v>
      </c>
      <c r="K4" s="24"/>
      <c r="L4" s="8">
        <f t="shared" si="1"/>
        <v>7.7000000000000011</v>
      </c>
      <c r="M4" s="8">
        <f t="shared" ref="M4:M12" si="6">L4*(1+H4)</f>
        <v>8.4700000000000024</v>
      </c>
      <c r="N4" s="8">
        <f t="shared" ref="N4:N12" si="7">M4*(1+I4)</f>
        <v>9.3170000000000037</v>
      </c>
      <c r="O4" s="8">
        <f t="shared" ref="O4:O12" si="8">N4*(1+J4)</f>
        <v>10.248700000000005</v>
      </c>
      <c r="P4" s="25">
        <f>D4*(1+'1'!$Z$4)</f>
        <v>4312000</v>
      </c>
      <c r="Q4" s="25">
        <f>P4*(1+'1'!$AA$4)</f>
        <v>4648336</v>
      </c>
      <c r="R4" s="25">
        <f>Q4*(1+'1'!$AB$4)</f>
        <v>5010906.2080000006</v>
      </c>
      <c r="S4" s="25">
        <f>R4*(1+'1'!$AC$4)</f>
        <v>5401756.8922240008</v>
      </c>
      <c r="T4" s="26">
        <f t="shared" ref="T4:T12" si="9">L4*P4</f>
        <v>33202400.000000004</v>
      </c>
      <c r="U4" s="26">
        <f t="shared" ref="U4:U12" si="10">M4*Q4</f>
        <v>39371405.920000009</v>
      </c>
      <c r="V4" s="26">
        <f t="shared" ref="V4:V12" si="11">N4*R4</f>
        <v>46686613.139936022</v>
      </c>
      <c r="W4" s="26">
        <f t="shared" ref="W4:W12" si="12">O4*S4</f>
        <v>55360985.861336142</v>
      </c>
      <c r="X4" s="26"/>
      <c r="Y4" s="119" t="s">
        <v>14</v>
      </c>
      <c r="Z4" s="51">
        <v>7.8E-2</v>
      </c>
      <c r="AA4" s="51">
        <v>7.8E-2</v>
      </c>
      <c r="AB4" s="141">
        <v>7.8E-2</v>
      </c>
      <c r="AC4" s="142">
        <v>7.8E-2</v>
      </c>
    </row>
    <row r="5" spans="1:29" ht="24" thickBot="1" x14ac:dyDescent="0.5">
      <c r="A5" s="21">
        <f t="shared" ref="A5:A12" si="13">A4+1</f>
        <v>3</v>
      </c>
      <c r="B5" s="13" t="s">
        <v>160</v>
      </c>
      <c r="C5" s="53">
        <v>1</v>
      </c>
      <c r="D5" s="14">
        <v>15000000</v>
      </c>
      <c r="E5" s="22">
        <f t="shared" si="4"/>
        <v>15000000</v>
      </c>
      <c r="F5" s="23">
        <f t="shared" si="5"/>
        <v>0.13043478260869565</v>
      </c>
      <c r="G5" s="49">
        <v>0.1</v>
      </c>
      <c r="H5" s="49">
        <v>0.1</v>
      </c>
      <c r="I5" s="49">
        <v>0.1</v>
      </c>
      <c r="J5" s="49">
        <v>0.1</v>
      </c>
      <c r="K5" s="24"/>
      <c r="L5" s="8">
        <f t="shared" si="1"/>
        <v>1.1000000000000001</v>
      </c>
      <c r="M5" s="8">
        <f t="shared" si="6"/>
        <v>1.2100000000000002</v>
      </c>
      <c r="N5" s="8">
        <f t="shared" si="7"/>
        <v>1.3310000000000004</v>
      </c>
      <c r="O5" s="8">
        <f t="shared" si="8"/>
        <v>1.4641000000000006</v>
      </c>
      <c r="P5" s="25">
        <f>D5*(1+'1'!$Z$4)</f>
        <v>16170000.000000002</v>
      </c>
      <c r="Q5" s="25">
        <f>P5*(1+'1'!$AA$4)</f>
        <v>17431260.000000004</v>
      </c>
      <c r="R5" s="25">
        <f>Q5*(1+'1'!$AB$4)</f>
        <v>18790898.280000005</v>
      </c>
      <c r="S5" s="25">
        <f>R5*(1+'1'!$AC$4)</f>
        <v>20256588.345840007</v>
      </c>
      <c r="T5" s="26">
        <f t="shared" si="9"/>
        <v>17787000.000000004</v>
      </c>
      <c r="U5" s="26">
        <f t="shared" si="10"/>
        <v>21091824.600000009</v>
      </c>
      <c r="V5" s="26">
        <f t="shared" si="11"/>
        <v>25010685.610680014</v>
      </c>
      <c r="W5" s="26">
        <f t="shared" si="12"/>
        <v>29657670.997144368</v>
      </c>
      <c r="X5" s="26"/>
      <c r="Y5" s="120" t="s">
        <v>15</v>
      </c>
      <c r="Z5" s="139">
        <v>0.25</v>
      </c>
      <c r="AA5" s="139">
        <v>0.25</v>
      </c>
      <c r="AB5" s="139">
        <v>0.25</v>
      </c>
      <c r="AC5" s="140">
        <v>0.25</v>
      </c>
    </row>
    <row r="6" spans="1:29" ht="15" thickBot="1" x14ac:dyDescent="0.35">
      <c r="A6" s="21">
        <f t="shared" si="13"/>
        <v>4</v>
      </c>
      <c r="B6" s="13" t="s">
        <v>161</v>
      </c>
      <c r="C6" s="53">
        <v>30</v>
      </c>
      <c r="D6" s="14">
        <f>200000*12</f>
        <v>2400000</v>
      </c>
      <c r="E6" s="22">
        <f>C6*D6</f>
        <v>72000000</v>
      </c>
      <c r="F6" s="23">
        <f t="shared" si="5"/>
        <v>0.62608695652173918</v>
      </c>
      <c r="G6" s="49">
        <v>0.1</v>
      </c>
      <c r="H6" s="49">
        <v>0.1</v>
      </c>
      <c r="I6" s="49">
        <v>0.1</v>
      </c>
      <c r="J6" s="49">
        <v>0.1</v>
      </c>
      <c r="K6" s="24"/>
      <c r="L6" s="8">
        <f>C6*(1+G6)</f>
        <v>33</v>
      </c>
      <c r="M6" s="8">
        <f t="shared" si="6"/>
        <v>36.300000000000004</v>
      </c>
      <c r="N6" s="8">
        <f t="shared" si="7"/>
        <v>39.930000000000007</v>
      </c>
      <c r="O6" s="8">
        <f t="shared" si="8"/>
        <v>43.923000000000009</v>
      </c>
      <c r="P6" s="25">
        <f>D6*(1+'1'!$Z$4)</f>
        <v>2587200</v>
      </c>
      <c r="Q6" s="25">
        <f>P6*(1+'1'!$AA$4)</f>
        <v>2789001.6</v>
      </c>
      <c r="R6" s="25">
        <f>Q6*(1+'1'!$AB$4)</f>
        <v>3006543.7248000004</v>
      </c>
      <c r="S6" s="25">
        <f>R6*(1+'1'!$AC$4)</f>
        <v>3241054.1353344005</v>
      </c>
      <c r="T6" s="26">
        <f t="shared" si="9"/>
        <v>85377600</v>
      </c>
      <c r="U6" s="26">
        <f t="shared" si="10"/>
        <v>101240758.08000001</v>
      </c>
      <c r="V6" s="26">
        <f t="shared" si="11"/>
        <v>120051290.93126404</v>
      </c>
      <c r="W6" s="26">
        <f t="shared" si="12"/>
        <v>142356820.78629291</v>
      </c>
      <c r="X6" s="26"/>
    </row>
    <row r="7" spans="1:29" ht="24" thickBot="1" x14ac:dyDescent="0.5">
      <c r="A7" s="21">
        <f t="shared" si="13"/>
        <v>5</v>
      </c>
      <c r="B7" s="13"/>
      <c r="C7" s="53">
        <v>0</v>
      </c>
      <c r="D7" s="14">
        <v>0</v>
      </c>
      <c r="E7" s="22">
        <f>C7*D7</f>
        <v>0</v>
      </c>
      <c r="F7" s="23">
        <f t="shared" si="5"/>
        <v>0</v>
      </c>
      <c r="G7" s="49">
        <v>0</v>
      </c>
      <c r="H7" s="49">
        <v>0</v>
      </c>
      <c r="I7" s="49">
        <v>0</v>
      </c>
      <c r="J7" s="49">
        <v>0</v>
      </c>
      <c r="K7" s="24"/>
      <c r="L7" s="8">
        <f>C7*(1+G7)</f>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91</v>
      </c>
      <c r="Z7" s="31"/>
      <c r="AA7" s="31"/>
      <c r="AB7" s="52">
        <v>0</v>
      </c>
      <c r="AC7" s="32"/>
    </row>
    <row r="8" spans="1:29" x14ac:dyDescent="0.3">
      <c r="A8" s="21">
        <f t="shared" si="13"/>
        <v>6</v>
      </c>
      <c r="B8" s="13"/>
      <c r="C8" s="53">
        <v>0</v>
      </c>
      <c r="D8" s="14">
        <v>0</v>
      </c>
      <c r="E8" s="22">
        <f t="shared" si="4"/>
        <v>0</v>
      </c>
      <c r="F8" s="23">
        <f t="shared" si="5"/>
        <v>0</v>
      </c>
      <c r="G8" s="49">
        <v>0</v>
      </c>
      <c r="H8" s="49">
        <v>0</v>
      </c>
      <c r="I8" s="49">
        <v>0</v>
      </c>
      <c r="J8" s="49">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x14ac:dyDescent="0.3">
      <c r="A9" s="21">
        <f t="shared" si="13"/>
        <v>7</v>
      </c>
      <c r="B9" s="13"/>
      <c r="C9" s="53">
        <v>0</v>
      </c>
      <c r="D9" s="14">
        <v>0</v>
      </c>
      <c r="E9" s="22">
        <f t="shared" si="4"/>
        <v>0</v>
      </c>
      <c r="F9" s="23">
        <f t="shared" si="5"/>
        <v>0</v>
      </c>
      <c r="G9" s="49">
        <v>0</v>
      </c>
      <c r="H9" s="49">
        <v>0</v>
      </c>
      <c r="I9" s="49">
        <v>0</v>
      </c>
      <c r="J9" s="49">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x14ac:dyDescent="0.3">
      <c r="A10" s="21">
        <f t="shared" si="13"/>
        <v>8</v>
      </c>
      <c r="B10" s="13"/>
      <c r="C10" s="53">
        <v>0</v>
      </c>
      <c r="D10" s="14">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x14ac:dyDescent="0.3">
      <c r="A11" s="21">
        <f t="shared" si="13"/>
        <v>9</v>
      </c>
      <c r="B11" s="13"/>
      <c r="C11" s="53">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x14ac:dyDescent="0.3">
      <c r="A12" s="21">
        <f t="shared" si="13"/>
        <v>10</v>
      </c>
      <c r="B12" s="13"/>
      <c r="C12" s="53">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x14ac:dyDescent="0.3">
      <c r="D13" s="8" t="s">
        <v>8</v>
      </c>
      <c r="E13" s="33">
        <f>SUM(E3:E12)</f>
        <v>115000000</v>
      </c>
      <c r="F13" s="34">
        <f>SUM(F3:F12)</f>
        <v>1</v>
      </c>
      <c r="T13" s="35">
        <f>SUM(T3:T12)</f>
        <v>136367000</v>
      </c>
      <c r="U13" s="35">
        <f>SUM(U3:U12)</f>
        <v>161703988.60000002</v>
      </c>
      <c r="V13" s="35">
        <f>SUM(V3:V12)</f>
        <v>191748589.68188009</v>
      </c>
      <c r="W13" s="35">
        <f>SUM(W3:W12)</f>
        <v>227375477.64477342</v>
      </c>
      <c r="X13" s="26"/>
    </row>
    <row r="15" spans="1:29" ht="23.25" customHeight="1" x14ac:dyDescent="0.3">
      <c r="A15" s="146" t="s">
        <v>6</v>
      </c>
      <c r="B15" s="146"/>
      <c r="C15" s="146"/>
      <c r="D15" s="146"/>
      <c r="E15" s="146"/>
      <c r="G15" s="36"/>
    </row>
    <row r="16" spans="1:29" ht="25.5" customHeight="1" x14ac:dyDescent="0.3">
      <c r="B16" s="17" t="s">
        <v>3</v>
      </c>
      <c r="C16" s="37" t="s">
        <v>0</v>
      </c>
      <c r="D16" s="112" t="s">
        <v>137</v>
      </c>
      <c r="E16" s="18" t="s">
        <v>2</v>
      </c>
      <c r="L16" s="8">
        <f>L2</f>
        <v>2025</v>
      </c>
      <c r="M16" s="8">
        <f t="shared" ref="M16:W16" si="14">M2</f>
        <v>2026</v>
      </c>
      <c r="N16" s="8">
        <f t="shared" si="14"/>
        <v>2027</v>
      </c>
      <c r="O16" s="8">
        <f t="shared" si="14"/>
        <v>2028</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x14ac:dyDescent="0.3">
      <c r="A17" s="21">
        <f>A3</f>
        <v>1</v>
      </c>
      <c r="B17" s="92" t="str">
        <f>B3</f>
        <v>Servicio de asesorias</v>
      </c>
      <c r="C17" s="39">
        <f>C3</f>
        <v>40</v>
      </c>
      <c r="D17" s="14">
        <v>250000</v>
      </c>
      <c r="E17" s="22">
        <f>C17*D17</f>
        <v>10000000</v>
      </c>
      <c r="F17" s="23">
        <f>IF($E$27=0,0,E17/$E$27)</f>
        <v>1</v>
      </c>
      <c r="L17" s="8">
        <f t="shared" ref="L17:L26" si="15">C17*(1+G3)</f>
        <v>48</v>
      </c>
      <c r="M17" s="8">
        <f>L17*(1+H3)</f>
        <v>57.599999999999994</v>
      </c>
      <c r="N17" s="8">
        <f t="shared" ref="N17:O17" si="16">M17*(1+I3)</f>
        <v>69.11999999999999</v>
      </c>
      <c r="O17" s="8">
        <f t="shared" si="16"/>
        <v>82.943999999999988</v>
      </c>
      <c r="P17" s="40">
        <f>D17*(1+'1'!$Z$5)</f>
        <v>312500</v>
      </c>
      <c r="Q17" s="25">
        <f>P17*(1+'1'!$AA$5)</f>
        <v>390625</v>
      </c>
      <c r="R17" s="25">
        <f>Q17*(1+'1'!$AB$5)</f>
        <v>488281.25</v>
      </c>
      <c r="S17" s="25">
        <f>R17*(1+'1'!$AC$5)</f>
        <v>610351.5625</v>
      </c>
      <c r="T17" s="40">
        <f t="shared" ref="T17:U19" si="17">L17*P17</f>
        <v>15000000</v>
      </c>
      <c r="U17" s="26">
        <f t="shared" si="17"/>
        <v>22499999.999999996</v>
      </c>
      <c r="V17" s="26">
        <f t="shared" ref="V17:W17" si="18">N17*R17</f>
        <v>33749999.999999993</v>
      </c>
      <c r="W17" s="26">
        <f t="shared" si="18"/>
        <v>50624999.999999993</v>
      </c>
      <c r="X17" s="26"/>
    </row>
    <row r="18" spans="1:24" x14ac:dyDescent="0.3">
      <c r="A18" s="21">
        <f t="shared" ref="A18:B25" si="19">A4</f>
        <v>2</v>
      </c>
      <c r="B18" s="41" t="str">
        <f t="shared" si="19"/>
        <v>Donaciones de empresas privadas</v>
      </c>
      <c r="C18" s="39">
        <f t="shared" ref="C18:C26" si="20">C4</f>
        <v>7</v>
      </c>
      <c r="D18" s="14">
        <v>0</v>
      </c>
      <c r="E18" s="22">
        <f t="shared" ref="E18:E26" si="21">C18*D18</f>
        <v>0</v>
      </c>
      <c r="F18" s="23">
        <f t="shared" ref="F18:F26" si="22">IF($E$27=0,0,E18/$E$27)</f>
        <v>0</v>
      </c>
      <c r="L18" s="8">
        <f t="shared" si="15"/>
        <v>7.7000000000000011</v>
      </c>
      <c r="M18" s="8">
        <f t="shared" ref="M18:M26" si="23">L18*(1+H4)</f>
        <v>8.4700000000000024</v>
      </c>
      <c r="N18" s="8">
        <f t="shared" ref="N18:N26" si="24">M18*(1+I4)</f>
        <v>9.3170000000000037</v>
      </c>
      <c r="O18" s="8">
        <f t="shared" ref="O18:O26" si="25">N18*(1+J4)</f>
        <v>10.248700000000005</v>
      </c>
      <c r="P18" s="40">
        <f>D18*(1+'1'!$Z$5)</f>
        <v>0</v>
      </c>
      <c r="Q18" s="25">
        <f>P18*(1+'1'!$AA$5)</f>
        <v>0</v>
      </c>
      <c r="R18" s="25">
        <f>Q18*(1+'1'!$AB$5)</f>
        <v>0</v>
      </c>
      <c r="S18" s="25">
        <f>R18*(1+'1'!$AC$5)</f>
        <v>0</v>
      </c>
      <c r="T18" s="40">
        <f t="shared" si="17"/>
        <v>0</v>
      </c>
      <c r="U18" s="26">
        <f t="shared" si="17"/>
        <v>0</v>
      </c>
      <c r="V18" s="26">
        <f t="shared" ref="V18:V26" si="26">N18*R18</f>
        <v>0</v>
      </c>
      <c r="W18" s="26">
        <f t="shared" ref="W18:W26" si="27">O18*S18</f>
        <v>0</v>
      </c>
      <c r="X18" s="26"/>
    </row>
    <row r="19" spans="1:24" x14ac:dyDescent="0.3">
      <c r="A19" s="21">
        <f t="shared" si="19"/>
        <v>3</v>
      </c>
      <c r="B19" s="41" t="str">
        <f t="shared" si="19"/>
        <v>Bonos del gobierno</v>
      </c>
      <c r="C19" s="39">
        <f t="shared" si="20"/>
        <v>1</v>
      </c>
      <c r="D19" s="14">
        <v>0</v>
      </c>
      <c r="E19" s="22">
        <f t="shared" si="21"/>
        <v>0</v>
      </c>
      <c r="F19" s="23">
        <f t="shared" si="22"/>
        <v>0</v>
      </c>
      <c r="L19" s="8">
        <f t="shared" si="15"/>
        <v>1.1000000000000001</v>
      </c>
      <c r="M19" s="8">
        <f t="shared" si="23"/>
        <v>1.2100000000000002</v>
      </c>
      <c r="N19" s="8">
        <f t="shared" si="24"/>
        <v>1.3310000000000004</v>
      </c>
      <c r="O19" s="8">
        <f t="shared" si="25"/>
        <v>1.4641000000000006</v>
      </c>
      <c r="P19" s="40">
        <f>D19*(1+'1'!$Z$5)</f>
        <v>0</v>
      </c>
      <c r="Q19" s="25">
        <f>P19*(1+'1'!$AA$5)</f>
        <v>0</v>
      </c>
      <c r="R19" s="25">
        <f>Q19*(1+'1'!$AB$5)</f>
        <v>0</v>
      </c>
      <c r="S19" s="25">
        <f>R19*(1+'1'!$AC$5)</f>
        <v>0</v>
      </c>
      <c r="T19" s="40">
        <f t="shared" si="17"/>
        <v>0</v>
      </c>
      <c r="U19" s="26">
        <f t="shared" si="17"/>
        <v>0</v>
      </c>
      <c r="V19" s="26">
        <f t="shared" si="26"/>
        <v>0</v>
      </c>
      <c r="W19" s="26">
        <f t="shared" si="27"/>
        <v>0</v>
      </c>
      <c r="X19" s="26"/>
    </row>
    <row r="20" spans="1:24" x14ac:dyDescent="0.3">
      <c r="A20" s="21">
        <f t="shared" si="19"/>
        <v>4</v>
      </c>
      <c r="B20" s="41" t="str">
        <f t="shared" si="19"/>
        <v>Comisiones de los egresados</v>
      </c>
      <c r="C20" s="39">
        <f>C6</f>
        <v>30</v>
      </c>
      <c r="D20" s="14">
        <v>0</v>
      </c>
      <c r="E20" s="22">
        <f t="shared" si="21"/>
        <v>0</v>
      </c>
      <c r="F20" s="23">
        <f t="shared" si="22"/>
        <v>0</v>
      </c>
      <c r="L20" s="8">
        <f t="shared" si="15"/>
        <v>33</v>
      </c>
      <c r="M20" s="8">
        <f t="shared" si="23"/>
        <v>36.300000000000004</v>
      </c>
      <c r="N20" s="8">
        <f t="shared" si="24"/>
        <v>39.930000000000007</v>
      </c>
      <c r="O20" s="8">
        <f t="shared" si="25"/>
        <v>43.923000000000009</v>
      </c>
      <c r="P20" s="40">
        <f>D20*(1+'1'!$Z$5)</f>
        <v>0</v>
      </c>
      <c r="Q20" s="25">
        <f>P20*(1+'1'!$AA$5)</f>
        <v>0</v>
      </c>
      <c r="R20" s="25">
        <f>Q20*(1+'1'!$AB$5)</f>
        <v>0</v>
      </c>
      <c r="S20" s="25">
        <f>R20*(1+'1'!$AC$5)</f>
        <v>0</v>
      </c>
      <c r="T20" s="40">
        <f t="shared" ref="T20:T26" si="28">L20*P20</f>
        <v>0</v>
      </c>
      <c r="U20" s="26">
        <f t="shared" ref="U20:U26" si="29">M20*Q20</f>
        <v>0</v>
      </c>
      <c r="V20" s="26">
        <f t="shared" si="26"/>
        <v>0</v>
      </c>
      <c r="W20" s="26">
        <f t="shared" si="27"/>
        <v>0</v>
      </c>
      <c r="X20" s="26"/>
    </row>
    <row r="21" spans="1:24" x14ac:dyDescent="0.3">
      <c r="A21" s="21">
        <f t="shared" si="19"/>
        <v>5</v>
      </c>
      <c r="B21" s="41">
        <f t="shared" si="19"/>
        <v>0</v>
      </c>
      <c r="C21" s="39">
        <f>C7</f>
        <v>0</v>
      </c>
      <c r="D21" s="14">
        <v>0</v>
      </c>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x14ac:dyDescent="0.3">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x14ac:dyDescent="0.3">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x14ac:dyDescent="0.3">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x14ac:dyDescent="0.3">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x14ac:dyDescent="0.3">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x14ac:dyDescent="0.3">
      <c r="D27" s="8" t="str">
        <f>D13</f>
        <v>TOTAL</v>
      </c>
      <c r="E27" s="33">
        <f>SUM(E17:E26)</f>
        <v>10000000</v>
      </c>
      <c r="F27" s="34">
        <f>SUM(F17:F26)</f>
        <v>1</v>
      </c>
      <c r="T27" s="35">
        <f>SUM(T17:T26)</f>
        <v>15000000</v>
      </c>
      <c r="U27" s="35">
        <f>SUM(U17:U26)</f>
        <v>22499999.999999996</v>
      </c>
      <c r="V27" s="35">
        <f t="shared" ref="V27:W27" si="31">SUM(V17:V26)</f>
        <v>33749999.999999993</v>
      </c>
      <c r="W27" s="35">
        <f t="shared" si="31"/>
        <v>50624999.999999993</v>
      </c>
      <c r="X27" s="26"/>
    </row>
    <row r="30" spans="1:24" x14ac:dyDescent="0.3">
      <c r="A30" s="145" t="s">
        <v>19</v>
      </c>
      <c r="B30" s="145"/>
      <c r="C30" s="145"/>
      <c r="D30" s="145"/>
      <c r="E30" s="145"/>
      <c r="F30" s="145"/>
    </row>
    <row r="31" spans="1:24" ht="25.2" x14ac:dyDescent="0.45">
      <c r="A31" s="42" t="s">
        <v>10</v>
      </c>
      <c r="B31" s="43">
        <f>'1'!Z1</f>
        <v>2024</v>
      </c>
      <c r="C31" s="43">
        <f>B31+1</f>
        <v>2025</v>
      </c>
      <c r="D31" s="43">
        <f>C31+1</f>
        <v>2026</v>
      </c>
      <c r="E31" s="43">
        <f>D31+1</f>
        <v>2027</v>
      </c>
      <c r="F31" s="43">
        <f>E31+1</f>
        <v>2028</v>
      </c>
      <c r="H31" s="44"/>
      <c r="I31" s="44"/>
      <c r="J31" s="44"/>
      <c r="K31" s="44"/>
      <c r="L31" s="44"/>
      <c r="M31" s="44"/>
      <c r="N31" s="44"/>
      <c r="O31" s="44"/>
      <c r="P31" s="44"/>
      <c r="Q31" s="44"/>
      <c r="R31" s="44"/>
      <c r="S31" s="44"/>
      <c r="T31" s="44"/>
      <c r="U31" s="44"/>
      <c r="V31" s="44"/>
    </row>
    <row r="32" spans="1:24" x14ac:dyDescent="0.3">
      <c r="A32" s="45" t="s">
        <v>20</v>
      </c>
      <c r="B32" s="46">
        <f>'1'!E13</f>
        <v>115000000</v>
      </c>
      <c r="C32" s="47">
        <f>'1'!T13</f>
        <v>136367000</v>
      </c>
      <c r="D32" s="47">
        <f>'1'!U13</f>
        <v>161703988.60000002</v>
      </c>
      <c r="E32" s="47">
        <f>'1'!V13</f>
        <v>191748589.68188009</v>
      </c>
      <c r="F32" s="47">
        <f>'1'!W13</f>
        <v>227375477.64477342</v>
      </c>
    </row>
    <row r="33" spans="1:6" x14ac:dyDescent="0.3">
      <c r="A33" s="45" t="s">
        <v>21</v>
      </c>
      <c r="B33" s="46">
        <f>'1'!E27</f>
        <v>10000000</v>
      </c>
      <c r="C33" s="46">
        <f>'1'!T27</f>
        <v>15000000</v>
      </c>
      <c r="D33" s="46">
        <f>'1'!U27</f>
        <v>22499999.999999996</v>
      </c>
      <c r="E33" s="46">
        <f>'1'!V27</f>
        <v>33749999.999999993</v>
      </c>
      <c r="F33" s="46">
        <f>'1'!W27</f>
        <v>50624999.999999993</v>
      </c>
    </row>
    <row r="34" spans="1:6" ht="21.6" thickBot="1" x14ac:dyDescent="0.45">
      <c r="A34" s="48" t="s">
        <v>22</v>
      </c>
      <c r="B34" s="118">
        <f>B32-B33</f>
        <v>105000000</v>
      </c>
      <c r="C34" s="118">
        <f t="shared" ref="C34:D34" si="32">C32-C33</f>
        <v>121367000</v>
      </c>
      <c r="D34" s="118">
        <f t="shared" si="32"/>
        <v>139203988.60000002</v>
      </c>
      <c r="E34" s="118">
        <f t="shared" ref="E34" si="33">E32-E33</f>
        <v>157998589.68188009</v>
      </c>
      <c r="F34" s="118">
        <f t="shared" ref="F34" si="34">F32-F33</f>
        <v>176750477.64477342</v>
      </c>
    </row>
    <row r="35" spans="1:6" ht="15" thickTop="1" x14ac:dyDescent="0.3"/>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zoomScaleNormal="100" workbookViewId="0">
      <pane ySplit="14" topLeftCell="A30" activePane="bottomLeft" state="frozenSplit"/>
      <selection activeCell="B40" sqref="B40"/>
      <selection pane="bottomLeft" activeCell="C33" sqref="C33"/>
    </sheetView>
  </sheetViews>
  <sheetFormatPr baseColWidth="10" defaultColWidth="11.44140625" defaultRowHeight="14.4" x14ac:dyDescent="0.3"/>
  <cols>
    <col min="1" max="1" width="5.44140625" style="8" customWidth="1"/>
    <col min="2" max="2" width="29.44140625" style="8" bestFit="1" customWidth="1"/>
    <col min="3" max="3" width="20.33203125" style="8" customWidth="1"/>
    <col min="4" max="4" width="11.44140625" style="8"/>
    <col min="5" max="5" width="23.33203125" style="8" customWidth="1"/>
    <col min="6" max="6" width="17.6640625" style="8" bestFit="1" customWidth="1"/>
    <col min="7" max="7" width="15.5546875" style="8" bestFit="1" customWidth="1"/>
    <col min="8" max="16384" width="11.44140625" style="8"/>
  </cols>
  <sheetData>
    <row r="1" spans="2:8" x14ac:dyDescent="0.3">
      <c r="B1" s="148" t="s">
        <v>133</v>
      </c>
      <c r="C1" s="148"/>
      <c r="D1" s="148"/>
      <c r="E1" s="148"/>
      <c r="F1" s="148"/>
      <c r="G1" s="148"/>
      <c r="H1" s="148"/>
    </row>
    <row r="2" spans="2:8" ht="3.75" customHeight="1" x14ac:dyDescent="0.3">
      <c r="B2" s="148"/>
      <c r="C2" s="148"/>
      <c r="D2" s="148"/>
      <c r="E2" s="148"/>
      <c r="F2" s="148"/>
      <c r="G2" s="148"/>
      <c r="H2" s="148"/>
    </row>
    <row r="3" spans="2:8" x14ac:dyDescent="0.3">
      <c r="C3" s="21" t="s">
        <v>51</v>
      </c>
      <c r="F3" s="71" t="s">
        <v>92</v>
      </c>
      <c r="G3" s="71"/>
    </row>
    <row r="4" spans="2:8" x14ac:dyDescent="0.3">
      <c r="B4" s="48" t="s">
        <v>43</v>
      </c>
      <c r="C4" s="14">
        <v>0</v>
      </c>
      <c r="F4" s="71"/>
      <c r="G4" s="71"/>
    </row>
    <row r="5" spans="2:8" x14ac:dyDescent="0.3">
      <c r="B5" s="48" t="s">
        <v>46</v>
      </c>
      <c r="C5" s="14">
        <v>0</v>
      </c>
      <c r="F5" s="71">
        <v>10</v>
      </c>
      <c r="G5" s="72">
        <f t="shared" ref="G5:G11" si="0">C5/F5</f>
        <v>0</v>
      </c>
    </row>
    <row r="6" spans="2:8" x14ac:dyDescent="0.3">
      <c r="B6" s="48" t="s">
        <v>44</v>
      </c>
      <c r="C6" s="14">
        <v>0</v>
      </c>
      <c r="F6" s="71">
        <v>5</v>
      </c>
      <c r="G6" s="72">
        <f t="shared" si="0"/>
        <v>0</v>
      </c>
    </row>
    <row r="7" spans="2:8" x14ac:dyDescent="0.3">
      <c r="B7" s="48" t="s">
        <v>45</v>
      </c>
      <c r="C7" s="14">
        <v>5000000</v>
      </c>
      <c r="F7" s="71">
        <v>5</v>
      </c>
      <c r="G7" s="72">
        <f t="shared" si="0"/>
        <v>1000000</v>
      </c>
    </row>
    <row r="8" spans="2:8" x14ac:dyDescent="0.3">
      <c r="B8" s="48" t="s">
        <v>47</v>
      </c>
      <c r="C8" s="14">
        <v>0</v>
      </c>
      <c r="F8" s="71">
        <v>5</v>
      </c>
      <c r="G8" s="72">
        <f t="shared" si="0"/>
        <v>0</v>
      </c>
    </row>
    <row r="9" spans="2:8" x14ac:dyDescent="0.3">
      <c r="B9" s="48" t="s">
        <v>48</v>
      </c>
      <c r="C9" s="14">
        <v>0</v>
      </c>
      <c r="F9" s="71">
        <v>5</v>
      </c>
      <c r="G9" s="72">
        <f t="shared" si="0"/>
        <v>0</v>
      </c>
    </row>
    <row r="10" spans="2:8" x14ac:dyDescent="0.3">
      <c r="B10" s="116" t="s">
        <v>140</v>
      </c>
      <c r="C10" s="14">
        <v>0</v>
      </c>
      <c r="F10" s="71">
        <v>5</v>
      </c>
      <c r="G10" s="72">
        <f t="shared" si="0"/>
        <v>0</v>
      </c>
    </row>
    <row r="11" spans="2:8" x14ac:dyDescent="0.3">
      <c r="B11" s="48" t="s">
        <v>49</v>
      </c>
      <c r="C11" s="14">
        <v>4700200</v>
      </c>
      <c r="F11" s="71">
        <v>5</v>
      </c>
      <c r="G11" s="72">
        <f t="shared" si="0"/>
        <v>940040</v>
      </c>
    </row>
    <row r="12" spans="2:8" ht="16.2" thickBot="1" x14ac:dyDescent="0.35">
      <c r="B12" s="73" t="s">
        <v>50</v>
      </c>
      <c r="C12" s="74">
        <f>SUM(C4:C11)</f>
        <v>9700200</v>
      </c>
      <c r="F12" s="71"/>
      <c r="G12" s="72">
        <f>SUM(G5:G11)</f>
        <v>1940040</v>
      </c>
    </row>
    <row r="13" spans="2:8" x14ac:dyDescent="0.3">
      <c r="B13" s="149" t="s">
        <v>42</v>
      </c>
      <c r="C13" s="150"/>
      <c r="D13" s="150"/>
      <c r="E13" s="150"/>
      <c r="F13" s="150"/>
      <c r="G13" s="150"/>
      <c r="H13" s="151"/>
    </row>
    <row r="14" spans="2:8" ht="15" thickBot="1" x14ac:dyDescent="0.35">
      <c r="B14" s="152"/>
      <c r="C14" s="153"/>
      <c r="D14" s="153"/>
      <c r="E14" s="153"/>
      <c r="F14" s="153"/>
      <c r="G14" s="153"/>
      <c r="H14" s="154"/>
    </row>
    <row r="15" spans="2:8" x14ac:dyDescent="0.3">
      <c r="B15" s="75"/>
      <c r="C15" s="75"/>
      <c r="D15" s="75"/>
      <c r="E15" s="75"/>
      <c r="F15" s="75"/>
      <c r="G15" s="75"/>
      <c r="H15" s="75"/>
    </row>
    <row r="16" spans="2:8" x14ac:dyDescent="0.3">
      <c r="B16" s="73" t="s">
        <v>28</v>
      </c>
      <c r="E16" s="73" t="s">
        <v>34</v>
      </c>
      <c r="F16" s="38"/>
    </row>
    <row r="17" spans="2:6" x14ac:dyDescent="0.3">
      <c r="C17" s="73" t="s">
        <v>30</v>
      </c>
      <c r="F17" s="73" t="str">
        <f>C17</f>
        <v>VALOR AÑO 1</v>
      </c>
    </row>
    <row r="18" spans="2:6" x14ac:dyDescent="0.3">
      <c r="B18" s="76" t="s">
        <v>29</v>
      </c>
      <c r="C18" s="14">
        <f>((4000000+1500000)*1.3+1000000/12+300000)*12</f>
        <v>90400000</v>
      </c>
      <c r="E18" s="114" t="s">
        <v>139</v>
      </c>
      <c r="F18" s="14">
        <v>0</v>
      </c>
    </row>
    <row r="19" spans="2:6" x14ac:dyDescent="0.3">
      <c r="C19" s="78"/>
      <c r="E19" s="77" t="s">
        <v>35</v>
      </c>
      <c r="F19" s="14">
        <v>0</v>
      </c>
    </row>
    <row r="20" spans="2:6" x14ac:dyDescent="0.3">
      <c r="B20" s="76" t="s">
        <v>32</v>
      </c>
      <c r="C20" s="14"/>
      <c r="E20" s="77" t="s">
        <v>36</v>
      </c>
      <c r="F20" s="14">
        <v>0</v>
      </c>
    </row>
    <row r="21" spans="2:6" x14ac:dyDescent="0.3">
      <c r="C21" s="78"/>
      <c r="E21" s="77" t="s">
        <v>37</v>
      </c>
      <c r="F21" s="14">
        <v>0</v>
      </c>
    </row>
    <row r="22" spans="2:6" x14ac:dyDescent="0.3">
      <c r="B22" s="113" t="s">
        <v>138</v>
      </c>
      <c r="C22" s="14">
        <f>640000+640000+500000</f>
        <v>1780000</v>
      </c>
      <c r="E22" s="77" t="s">
        <v>38</v>
      </c>
      <c r="F22" s="14">
        <f>100000*12</f>
        <v>1200000</v>
      </c>
    </row>
    <row r="23" spans="2:6" ht="15.6" x14ac:dyDescent="0.3">
      <c r="B23" s="8" t="s">
        <v>56</v>
      </c>
      <c r="C23" s="74">
        <f>C18+C20+C22</f>
        <v>92180000</v>
      </c>
      <c r="E23" s="77" t="s">
        <v>39</v>
      </c>
      <c r="F23" s="14">
        <v>0</v>
      </c>
    </row>
    <row r="24" spans="2:6" x14ac:dyDescent="0.3">
      <c r="E24" s="77" t="s">
        <v>40</v>
      </c>
      <c r="F24" s="14">
        <v>0</v>
      </c>
    </row>
    <row r="25" spans="2:6" ht="24.6" x14ac:dyDescent="0.3">
      <c r="B25" s="77" t="s">
        <v>141</v>
      </c>
      <c r="C25" s="14">
        <v>0</v>
      </c>
      <c r="E25" s="98" t="s">
        <v>162</v>
      </c>
      <c r="F25" s="14">
        <f>300000*12</f>
        <v>3600000</v>
      </c>
    </row>
    <row r="26" spans="2:6" x14ac:dyDescent="0.3">
      <c r="E26" s="98"/>
      <c r="F26" s="14"/>
    </row>
    <row r="27" spans="2:6" x14ac:dyDescent="0.3">
      <c r="B27" s="96" t="s">
        <v>142</v>
      </c>
      <c r="C27" s="96"/>
      <c r="E27" s="98"/>
      <c r="F27" s="14"/>
    </row>
    <row r="28" spans="2:6" x14ac:dyDescent="0.3">
      <c r="B28" s="115">
        <f>'1'!G2</f>
        <v>2025</v>
      </c>
      <c r="C28" s="14">
        <f>200000*12</f>
        <v>2400000</v>
      </c>
      <c r="E28" s="143"/>
      <c r="F28" s="14">
        <v>0</v>
      </c>
    </row>
    <row r="29" spans="2:6" x14ac:dyDescent="0.3">
      <c r="B29" s="115">
        <f>'1'!H2</f>
        <v>2026</v>
      </c>
      <c r="C29" s="14">
        <f>C28*105%</f>
        <v>2520000</v>
      </c>
      <c r="E29" s="143"/>
      <c r="F29" s="14">
        <v>0</v>
      </c>
    </row>
    <row r="30" spans="2:6" x14ac:dyDescent="0.3">
      <c r="B30" s="115">
        <f>'1'!I2</f>
        <v>2027</v>
      </c>
      <c r="C30" s="14">
        <f t="shared" ref="C30:C31" si="1">C29*105%</f>
        <v>2646000</v>
      </c>
      <c r="E30" s="98"/>
      <c r="F30" s="14">
        <v>0</v>
      </c>
    </row>
    <row r="31" spans="2:6" ht="15.6" x14ac:dyDescent="0.3">
      <c r="B31" s="115">
        <f>'1'!J2</f>
        <v>2028</v>
      </c>
      <c r="C31" s="14">
        <f t="shared" si="1"/>
        <v>2778300</v>
      </c>
      <c r="E31" s="77" t="s">
        <v>41</v>
      </c>
      <c r="F31" s="74">
        <f>SUM(F18:F30)</f>
        <v>4800000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topLeftCell="B2" workbookViewId="0">
      <selection activeCell="C4" sqref="C4"/>
    </sheetView>
  </sheetViews>
  <sheetFormatPr baseColWidth="10" defaultColWidth="11.44140625" defaultRowHeight="14.4" x14ac:dyDescent="0.3"/>
  <cols>
    <col min="1" max="1" width="11.44140625" style="8"/>
    <col min="2" max="2" width="39" style="8" bestFit="1" customWidth="1"/>
    <col min="3" max="4" width="18.5546875" style="8" bestFit="1" customWidth="1"/>
    <col min="5" max="5" width="12.88671875" style="8" customWidth="1"/>
    <col min="6" max="6" width="21.88671875" style="8" customWidth="1"/>
    <col min="7" max="7" width="20.33203125" style="8" customWidth="1"/>
    <col min="8" max="8" width="19.88671875" style="8" customWidth="1"/>
    <col min="9" max="9" width="17" style="8" bestFit="1" customWidth="1"/>
    <col min="10" max="10" width="15.6640625" style="8" customWidth="1"/>
    <col min="11" max="16384" width="11.44140625" style="8"/>
  </cols>
  <sheetData>
    <row r="2" spans="2:12" ht="29.25" customHeight="1" x14ac:dyDescent="0.3">
      <c r="B2" s="146" t="s">
        <v>115</v>
      </c>
      <c r="C2" s="146"/>
      <c r="D2" s="146"/>
      <c r="E2" s="146"/>
      <c r="F2" s="146"/>
      <c r="G2" s="146"/>
      <c r="H2" s="146"/>
      <c r="I2" s="146"/>
      <c r="J2" s="146"/>
    </row>
    <row r="3" spans="2:12" x14ac:dyDescent="0.3">
      <c r="F3" s="155" t="s">
        <v>62</v>
      </c>
      <c r="G3" s="155"/>
    </row>
    <row r="4" spans="2:12" ht="15.6" x14ac:dyDescent="0.3">
      <c r="B4" s="16" t="s">
        <v>50</v>
      </c>
      <c r="C4" s="74">
        <f>'2'!C12</f>
        <v>9700200</v>
      </c>
      <c r="F4" s="156">
        <v>0.14499999999999999</v>
      </c>
      <c r="G4" s="156"/>
      <c r="I4" s="8" t="s">
        <v>148</v>
      </c>
      <c r="J4" s="132">
        <v>5</v>
      </c>
      <c r="L4" s="71">
        <v>1</v>
      </c>
    </row>
    <row r="5" spans="2:12" x14ac:dyDescent="0.3">
      <c r="L5" s="71">
        <v>2</v>
      </c>
    </row>
    <row r="6" spans="2:12" ht="15" thickBot="1" x14ac:dyDescent="0.35">
      <c r="B6" s="16" t="s">
        <v>52</v>
      </c>
      <c r="F6" s="145" t="s">
        <v>116</v>
      </c>
      <c r="G6" s="145"/>
      <c r="H6" s="145"/>
      <c r="I6" s="145"/>
      <c r="J6" s="145"/>
      <c r="L6" s="71">
        <v>3</v>
      </c>
    </row>
    <row r="7" spans="2:12" x14ac:dyDescent="0.3">
      <c r="C7" s="79" t="s">
        <v>54</v>
      </c>
      <c r="D7" s="79" t="s">
        <v>55</v>
      </c>
      <c r="E7" s="121"/>
      <c r="F7" s="122" t="s">
        <v>143</v>
      </c>
      <c r="G7" s="122" t="s">
        <v>144</v>
      </c>
      <c r="H7" s="122" t="s">
        <v>145</v>
      </c>
      <c r="I7" s="122" t="s">
        <v>146</v>
      </c>
      <c r="J7" s="123" t="s">
        <v>147</v>
      </c>
      <c r="L7" s="71">
        <v>4</v>
      </c>
    </row>
    <row r="8" spans="2:12" x14ac:dyDescent="0.3">
      <c r="B8" s="48" t="s">
        <v>53</v>
      </c>
      <c r="C8" s="54">
        <v>2</v>
      </c>
      <c r="D8" s="25">
        <f>('1'!B33/12)*C8</f>
        <v>1666666.6666666667</v>
      </c>
      <c r="E8" s="124" t="s">
        <v>84</v>
      </c>
      <c r="F8" s="125"/>
      <c r="G8" s="125"/>
      <c r="H8" s="125"/>
      <c r="I8" s="125"/>
      <c r="J8" s="126">
        <f>D16</f>
        <v>27530200</v>
      </c>
      <c r="L8" s="71">
        <v>5</v>
      </c>
    </row>
    <row r="9" spans="2:12" x14ac:dyDescent="0.3">
      <c r="B9" s="48" t="s">
        <v>57</v>
      </c>
      <c r="C9" s="54">
        <v>2</v>
      </c>
      <c r="D9" s="25">
        <f>('2'!C23/12)*C9</f>
        <v>15363333.333333334</v>
      </c>
      <c r="E9" s="124">
        <f>'1'!B31</f>
        <v>2024</v>
      </c>
      <c r="F9" s="128">
        <f t="shared" ref="F9:F13" si="0">IF(J8&gt;0,J8,0)</f>
        <v>27530200</v>
      </c>
      <c r="G9" s="128">
        <f>F9*$F$4</f>
        <v>3991878.9999999995</v>
      </c>
      <c r="H9" s="128">
        <f>IF(J8&lt;1,0,(I9-G9))</f>
        <v>4123796.7828863212</v>
      </c>
      <c r="I9" s="128">
        <f>PMT(F4,J4,J8)*-1</f>
        <v>8115675.7828863207</v>
      </c>
      <c r="J9" s="129">
        <f>F9-H9</f>
        <v>23406403.217113677</v>
      </c>
    </row>
    <row r="10" spans="2:12" x14ac:dyDescent="0.3">
      <c r="B10" s="48" t="s">
        <v>58</v>
      </c>
      <c r="C10" s="54"/>
      <c r="D10" s="25">
        <f>('2'!C25/12)*C10</f>
        <v>0</v>
      </c>
      <c r="E10" s="124">
        <f>'1'!C31</f>
        <v>2025</v>
      </c>
      <c r="F10" s="128">
        <f t="shared" si="0"/>
        <v>23406403.217113677</v>
      </c>
      <c r="G10" s="128">
        <f t="shared" ref="G10:G13" si="1">F10*$F$4</f>
        <v>3393928.4664814831</v>
      </c>
      <c r="H10" s="128">
        <f t="shared" ref="H10:H13" si="2">IF(J9&lt;1,0,(I10-G10))</f>
        <v>4721747.3164048381</v>
      </c>
      <c r="I10" s="128">
        <f>IF(J9&lt;1,0,(I9*(1+$K$7)))</f>
        <v>8115675.7828863207</v>
      </c>
      <c r="J10" s="129">
        <f t="shared" ref="J10:J13" si="3">F10-H10</f>
        <v>18684655.900708839</v>
      </c>
    </row>
    <row r="11" spans="2:12" x14ac:dyDescent="0.3">
      <c r="B11" s="48" t="s">
        <v>33</v>
      </c>
      <c r="C11" s="54">
        <v>2</v>
      </c>
      <c r="D11" s="25">
        <f>('2'!F31/12)*C11</f>
        <v>800000</v>
      </c>
      <c r="E11" s="124">
        <f>'1'!D31</f>
        <v>2026</v>
      </c>
      <c r="F11" s="128">
        <f t="shared" si="0"/>
        <v>18684655.900708839</v>
      </c>
      <c r="G11" s="128">
        <f t="shared" si="1"/>
        <v>2709275.1056027813</v>
      </c>
      <c r="H11" s="128">
        <f t="shared" si="2"/>
        <v>5406400.6772835394</v>
      </c>
      <c r="I11" s="128">
        <f t="shared" ref="I11:I13" si="4">IF(J10&lt;1,0,(I10*(1+$K$7)))</f>
        <v>8115675.7828863207</v>
      </c>
      <c r="J11" s="129">
        <f t="shared" si="3"/>
        <v>13278255.223425299</v>
      </c>
    </row>
    <row r="12" spans="2:12" ht="15.6" x14ac:dyDescent="0.3">
      <c r="B12" s="80" t="s">
        <v>8</v>
      </c>
      <c r="C12" s="58"/>
      <c r="D12" s="81">
        <f>SUM(D8:D11)</f>
        <v>17830000</v>
      </c>
      <c r="E12" s="124">
        <f>'1'!E31</f>
        <v>2027</v>
      </c>
      <c r="F12" s="128">
        <f t="shared" si="0"/>
        <v>13278255.223425299</v>
      </c>
      <c r="G12" s="128">
        <f t="shared" si="1"/>
        <v>1925347.0073966682</v>
      </c>
      <c r="H12" s="128">
        <f t="shared" si="2"/>
        <v>6190328.7754896525</v>
      </c>
      <c r="I12" s="128">
        <f t="shared" si="4"/>
        <v>8115675.7828863207</v>
      </c>
      <c r="J12" s="129">
        <f t="shared" si="3"/>
        <v>7087926.4479356464</v>
      </c>
    </row>
    <row r="13" spans="2:12" ht="15" thickBot="1" x14ac:dyDescent="0.35">
      <c r="E13" s="127">
        <f>'1'!F31</f>
        <v>2028</v>
      </c>
      <c r="F13" s="130">
        <f t="shared" si="0"/>
        <v>7087926.4479356464</v>
      </c>
      <c r="G13" s="130">
        <f t="shared" si="1"/>
        <v>1027749.3349506686</v>
      </c>
      <c r="H13" s="130">
        <f t="shared" si="2"/>
        <v>7087926.447935652</v>
      </c>
      <c r="I13" s="130">
        <f t="shared" si="4"/>
        <v>8115675.7828863207</v>
      </c>
      <c r="J13" s="131">
        <f t="shared" si="3"/>
        <v>0</v>
      </c>
    </row>
    <row r="14" spans="2:12" ht="15.6" x14ac:dyDescent="0.3">
      <c r="B14" s="48" t="s">
        <v>59</v>
      </c>
      <c r="D14" s="74">
        <f>C4+D12</f>
        <v>27530200</v>
      </c>
    </row>
    <row r="15" spans="2:12" x14ac:dyDescent="0.3">
      <c r="B15" s="48" t="s">
        <v>60</v>
      </c>
      <c r="D15" s="55">
        <v>0</v>
      </c>
    </row>
    <row r="16" spans="2:12" ht="15.6" x14ac:dyDescent="0.3">
      <c r="B16" s="48" t="s">
        <v>61</v>
      </c>
      <c r="D16" s="82">
        <f>D14-D15</f>
        <v>27530200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tabSelected="1" zoomScale="90" zoomScaleNormal="90" workbookViewId="0">
      <pane xSplit="7" ySplit="1" topLeftCell="H14" activePane="bottomRight" state="frozenSplit"/>
      <selection pane="topRight" activeCell="E1" sqref="E1"/>
      <selection pane="bottomLeft" activeCell="A12" sqref="A12"/>
      <selection pane="bottomRight" activeCell="G6" sqref="G6"/>
    </sheetView>
  </sheetViews>
  <sheetFormatPr baseColWidth="10" defaultColWidth="11.44140625" defaultRowHeight="14.4" x14ac:dyDescent="0.3"/>
  <cols>
    <col min="1" max="1" width="26.6640625" style="8" customWidth="1"/>
    <col min="2" max="2" width="25.88671875" style="8" bestFit="1" customWidth="1"/>
    <col min="3" max="3" width="21.6640625" style="8" bestFit="1" customWidth="1"/>
    <col min="4" max="7" width="18.44140625" style="8" bestFit="1" customWidth="1"/>
    <col min="8" max="16384" width="11.44140625" style="8"/>
  </cols>
  <sheetData>
    <row r="1" spans="1:7" ht="34.5" customHeight="1" x14ac:dyDescent="0.3">
      <c r="A1" s="157" t="s">
        <v>117</v>
      </c>
      <c r="B1" s="157"/>
      <c r="C1" s="157"/>
      <c r="D1" s="157"/>
      <c r="E1" s="157"/>
      <c r="F1" s="157"/>
      <c r="G1" s="157"/>
    </row>
    <row r="2" spans="1:7" ht="23.4" x14ac:dyDescent="0.3">
      <c r="A2" s="158" t="s">
        <v>132</v>
      </c>
      <c r="B2" s="158"/>
      <c r="C2" s="158"/>
      <c r="D2" s="158"/>
      <c r="E2" s="158"/>
      <c r="F2" s="158"/>
      <c r="G2" s="158"/>
    </row>
    <row r="3" spans="1:7" ht="8.25" customHeight="1" x14ac:dyDescent="0.3">
      <c r="A3" s="56"/>
      <c r="B3" s="56"/>
      <c r="C3" s="56"/>
      <c r="D3" s="56"/>
      <c r="E3" s="56"/>
      <c r="F3" s="56"/>
      <c r="G3" s="56"/>
    </row>
    <row r="4" spans="1:7" ht="15.6" x14ac:dyDescent="0.3">
      <c r="A4" s="159" t="s">
        <v>89</v>
      </c>
      <c r="B4" s="159"/>
      <c r="C4" s="159"/>
      <c r="D4" s="159"/>
      <c r="E4" s="159"/>
      <c r="F4" s="159"/>
      <c r="G4" s="159"/>
    </row>
    <row r="5" spans="1:7" ht="23.4" x14ac:dyDescent="0.3">
      <c r="C5" s="60">
        <f>'1'!B31</f>
        <v>2024</v>
      </c>
      <c r="D5" s="60">
        <f>'1'!C31</f>
        <v>2025</v>
      </c>
      <c r="E5" s="60">
        <f>'1'!D31</f>
        <v>2026</v>
      </c>
      <c r="F5" s="60">
        <f>'1'!E31</f>
        <v>2027</v>
      </c>
      <c r="G5" s="60">
        <f>'1'!F31</f>
        <v>2028</v>
      </c>
    </row>
    <row r="6" spans="1:7" x14ac:dyDescent="0.3">
      <c r="B6" s="8" t="s">
        <v>31</v>
      </c>
      <c r="C6" s="61">
        <f>'1'!B32</f>
        <v>115000000</v>
      </c>
      <c r="D6" s="61">
        <f>'1'!C32</f>
        <v>136367000</v>
      </c>
      <c r="E6" s="61">
        <f>'1'!D32</f>
        <v>161703988.60000002</v>
      </c>
      <c r="F6" s="61">
        <f>'1'!E32</f>
        <v>191748589.68188009</v>
      </c>
      <c r="G6" s="61">
        <f>'1'!F32</f>
        <v>227375477.64477342</v>
      </c>
    </row>
    <row r="7" spans="1:7" x14ac:dyDescent="0.3">
      <c r="B7" s="8" t="s">
        <v>66</v>
      </c>
      <c r="C7" s="61">
        <f>'1'!B33</f>
        <v>10000000</v>
      </c>
      <c r="D7" s="61">
        <f>'1'!C33</f>
        <v>15000000</v>
      </c>
      <c r="E7" s="61">
        <f>'1'!D33</f>
        <v>22499999.999999996</v>
      </c>
      <c r="F7" s="61">
        <f>'1'!E33</f>
        <v>33749999.999999993</v>
      </c>
      <c r="G7" s="61">
        <f>'1'!F33</f>
        <v>50624999.999999993</v>
      </c>
    </row>
    <row r="8" spans="1:7" ht="15" thickBot="1" x14ac:dyDescent="0.35">
      <c r="B8" s="62" t="s">
        <v>67</v>
      </c>
      <c r="C8" s="63">
        <f>C6-C7</f>
        <v>105000000</v>
      </c>
      <c r="D8" s="63">
        <f t="shared" ref="D8:G8" si="0">D6-D7</f>
        <v>121367000</v>
      </c>
      <c r="E8" s="63">
        <f t="shared" si="0"/>
        <v>139203988.60000002</v>
      </c>
      <c r="F8" s="63">
        <f t="shared" si="0"/>
        <v>157998589.68188009</v>
      </c>
      <c r="G8" s="63">
        <f t="shared" si="0"/>
        <v>176750477.64477342</v>
      </c>
    </row>
    <row r="9" spans="1:7" ht="15" thickTop="1" x14ac:dyDescent="0.3">
      <c r="B9" s="8" t="s">
        <v>68</v>
      </c>
      <c r="C9" s="61">
        <f>'2'!C23</f>
        <v>92180000</v>
      </c>
      <c r="D9" s="61">
        <f>C9*(1+'1'!Z4)</f>
        <v>99370040</v>
      </c>
      <c r="E9" s="61">
        <f>D9*(1+'1'!AA4)</f>
        <v>107120903.12</v>
      </c>
      <c r="F9" s="61">
        <f>E9*(1+'1'!AB4)</f>
        <v>115476333.56336001</v>
      </c>
      <c r="G9" s="61">
        <f>F9*(1+'1'!AC4)</f>
        <v>124483487.58130209</v>
      </c>
    </row>
    <row r="10" spans="1:7" x14ac:dyDescent="0.3">
      <c r="B10" s="8" t="s">
        <v>134</v>
      </c>
      <c r="C10" s="61">
        <f>'2'!F31</f>
        <v>4800000</v>
      </c>
      <c r="D10" s="61">
        <f>C10*(1+'1'!Z4)</f>
        <v>5174400</v>
      </c>
      <c r="E10" s="61">
        <f>D10*(1+'1'!AA4)</f>
        <v>5578003.2000000002</v>
      </c>
      <c r="F10" s="61">
        <f>E10*(1+'1'!AB4)</f>
        <v>6013087.4496000009</v>
      </c>
      <c r="G10" s="61">
        <f>F10*(1+'1'!AC4)</f>
        <v>6482108.2706688009</v>
      </c>
    </row>
    <row r="11" spans="1:7" x14ac:dyDescent="0.3">
      <c r="B11" s="8" t="s">
        <v>69</v>
      </c>
      <c r="C11" s="61">
        <f>'2'!C25</f>
        <v>0</v>
      </c>
      <c r="D11" s="61">
        <f>'2'!C28</f>
        <v>2400000</v>
      </c>
      <c r="E11" s="61">
        <f>'2'!C29</f>
        <v>2520000</v>
      </c>
      <c r="F11" s="61">
        <f>'2'!C30</f>
        <v>2646000</v>
      </c>
      <c r="G11" s="61">
        <f>'2'!C31</f>
        <v>2778300</v>
      </c>
    </row>
    <row r="12" spans="1:7" x14ac:dyDescent="0.3">
      <c r="B12" s="8" t="s">
        <v>86</v>
      </c>
      <c r="C12" s="61">
        <f>'2'!G12</f>
        <v>1940040</v>
      </c>
      <c r="D12" s="61">
        <f>C12</f>
        <v>1940040</v>
      </c>
      <c r="E12" s="61">
        <f t="shared" ref="E12:G12" si="1">D12</f>
        <v>1940040</v>
      </c>
      <c r="F12" s="61">
        <f t="shared" si="1"/>
        <v>1940040</v>
      </c>
      <c r="G12" s="61">
        <f t="shared" si="1"/>
        <v>1940040</v>
      </c>
    </row>
    <row r="13" spans="1:7" ht="15" thickBot="1" x14ac:dyDescent="0.35">
      <c r="B13" s="62" t="s">
        <v>70</v>
      </c>
      <c r="C13" s="64">
        <f>C8-C9-C10-C11-C12</f>
        <v>6079960</v>
      </c>
      <c r="D13" s="64">
        <f t="shared" ref="D13:G13" si="2">D8-D9-D10-D11-D12</f>
        <v>12482520</v>
      </c>
      <c r="E13" s="64">
        <f t="shared" si="2"/>
        <v>22045042.28000002</v>
      </c>
      <c r="F13" s="64">
        <f t="shared" si="2"/>
        <v>31923128.668920077</v>
      </c>
      <c r="G13" s="64">
        <f t="shared" si="2"/>
        <v>41066541.792802528</v>
      </c>
    </row>
    <row r="14" spans="1:7" ht="15" thickTop="1" x14ac:dyDescent="0.3">
      <c r="B14" s="8" t="s">
        <v>71</v>
      </c>
      <c r="C14" s="61">
        <f>'3'!G9</f>
        <v>3991878.9999999995</v>
      </c>
      <c r="D14" s="61">
        <f>'3'!G10</f>
        <v>3393928.4664814831</v>
      </c>
      <c r="E14" s="61">
        <f>'3'!G11</f>
        <v>2709275.1056027813</v>
      </c>
      <c r="F14" s="61">
        <f>'3'!G12</f>
        <v>1925347.0073966682</v>
      </c>
      <c r="G14" s="61">
        <f>'3'!G13</f>
        <v>1027749.3349506686</v>
      </c>
    </row>
    <row r="15" spans="1:7" ht="15" thickBot="1" x14ac:dyDescent="0.35">
      <c r="B15" s="62" t="s">
        <v>72</v>
      </c>
      <c r="C15" s="64">
        <f>C13-C14</f>
        <v>2088081.0000000005</v>
      </c>
      <c r="D15" s="64">
        <f t="shared" ref="D15:G15" si="3">D13-D14</f>
        <v>9088591.5335185174</v>
      </c>
      <c r="E15" s="64">
        <f t="shared" si="3"/>
        <v>19335767.174397238</v>
      </c>
      <c r="F15" s="64">
        <f t="shared" si="3"/>
        <v>29997781.661523409</v>
      </c>
      <c r="G15" s="64">
        <f t="shared" si="3"/>
        <v>40038792.457851857</v>
      </c>
    </row>
    <row r="16" spans="1:7" ht="15" thickTop="1" x14ac:dyDescent="0.3">
      <c r="B16" s="8" t="s">
        <v>73</v>
      </c>
      <c r="C16" s="65">
        <f>IF(C15*'1'!$AB$7&lt;0,0,C15*'1'!$AB$7)</f>
        <v>0</v>
      </c>
      <c r="D16" s="65">
        <f>IF(D15*'1'!$AB$7&lt;0,0,D15*'1'!$AB$7)</f>
        <v>0</v>
      </c>
      <c r="E16" s="65">
        <f>IF(E15*'1'!$AB$7&lt;0,0,E15*'1'!$AB$7)</f>
        <v>0</v>
      </c>
      <c r="F16" s="65">
        <f>IF(F15*'1'!$AB$7&lt;0,0,F15*'1'!$AB$7)</f>
        <v>0</v>
      </c>
      <c r="G16" s="65">
        <f>IF(G15*'1'!$AB$7&lt;0,0,G15*'1'!$AB$7)</f>
        <v>0</v>
      </c>
    </row>
    <row r="17" spans="1:8" ht="15" thickBot="1" x14ac:dyDescent="0.35">
      <c r="B17" s="66" t="s">
        <v>74</v>
      </c>
      <c r="C17" s="67">
        <f>C15-C16</f>
        <v>2088081.0000000005</v>
      </c>
      <c r="D17" s="67">
        <f t="shared" ref="D17:G17" si="4">D15-D16</f>
        <v>9088591.5335185174</v>
      </c>
      <c r="E17" s="67">
        <f t="shared" si="4"/>
        <v>19335767.174397238</v>
      </c>
      <c r="F17" s="67">
        <f t="shared" si="4"/>
        <v>29997781.661523409</v>
      </c>
      <c r="G17" s="67">
        <f t="shared" si="4"/>
        <v>40038792.457851857</v>
      </c>
    </row>
    <row r="19" spans="1:8" ht="15.6" x14ac:dyDescent="0.3">
      <c r="A19" s="159" t="s">
        <v>64</v>
      </c>
      <c r="B19" s="159"/>
      <c r="C19" s="159"/>
      <c r="D19" s="159"/>
      <c r="E19" s="159"/>
      <c r="F19" s="159"/>
      <c r="G19" s="159"/>
    </row>
    <row r="20" spans="1:8" ht="23.4" x14ac:dyDescent="0.3">
      <c r="B20" s="68" t="s">
        <v>84</v>
      </c>
      <c r="C20" s="60">
        <f>C5</f>
        <v>2024</v>
      </c>
      <c r="D20" s="60">
        <f>D5</f>
        <v>2025</v>
      </c>
      <c r="E20" s="60">
        <f>E5</f>
        <v>2026</v>
      </c>
      <c r="F20" s="60">
        <f>F5</f>
        <v>2027</v>
      </c>
      <c r="G20" s="60">
        <f>G5</f>
        <v>2028</v>
      </c>
    </row>
    <row r="21" spans="1:8" x14ac:dyDescent="0.3">
      <c r="A21" s="160" t="s">
        <v>65</v>
      </c>
      <c r="B21" s="160"/>
      <c r="C21" s="160"/>
      <c r="D21" s="160"/>
      <c r="E21" s="160"/>
      <c r="F21" s="160"/>
      <c r="G21" s="160"/>
    </row>
    <row r="22" spans="1:8" x14ac:dyDescent="0.3">
      <c r="A22" s="8" t="s">
        <v>95</v>
      </c>
      <c r="B22" s="26">
        <f>B38-B26</f>
        <v>17830000</v>
      </c>
      <c r="C22" s="26">
        <f t="shared" ref="C22:G22" si="5">C38-C26</f>
        <v>17734324.217113677</v>
      </c>
      <c r="D22" s="26">
        <f t="shared" si="5"/>
        <v>21953127.434227355</v>
      </c>
      <c r="E22" s="26">
        <f t="shared" si="5"/>
        <v>28733942.397822537</v>
      </c>
      <c r="F22" s="26">
        <f t="shared" si="5"/>
        <v>35145668.109459057</v>
      </c>
      <c r="G22" s="26">
        <f t="shared" si="5"/>
        <v>40038792.457851857</v>
      </c>
    </row>
    <row r="23" spans="1:8" x14ac:dyDescent="0.3">
      <c r="A23" s="8" t="s">
        <v>93</v>
      </c>
      <c r="B23" s="26">
        <f>'2'!C4</f>
        <v>0</v>
      </c>
      <c r="C23" s="26">
        <f>B23</f>
        <v>0</v>
      </c>
      <c r="D23" s="26">
        <f t="shared" ref="D23:G23" si="6">C23</f>
        <v>0</v>
      </c>
      <c r="E23" s="26">
        <f t="shared" si="6"/>
        <v>0</v>
      </c>
      <c r="F23" s="26">
        <f t="shared" si="6"/>
        <v>0</v>
      </c>
      <c r="G23" s="26">
        <f t="shared" si="6"/>
        <v>0</v>
      </c>
      <c r="H23" s="26"/>
    </row>
    <row r="24" spans="1:8" x14ac:dyDescent="0.3">
      <c r="A24" s="8" t="s">
        <v>94</v>
      </c>
      <c r="B24" s="26">
        <f>'2'!C12-'2'!C4</f>
        <v>9700200</v>
      </c>
      <c r="C24" s="26">
        <f>B24</f>
        <v>9700200</v>
      </c>
      <c r="D24" s="26">
        <f t="shared" ref="D24:G24" si="7">C24</f>
        <v>9700200</v>
      </c>
      <c r="E24" s="26">
        <f t="shared" si="7"/>
        <v>9700200</v>
      </c>
      <c r="F24" s="26">
        <f t="shared" si="7"/>
        <v>9700200</v>
      </c>
      <c r="G24" s="26">
        <f t="shared" si="7"/>
        <v>9700200</v>
      </c>
      <c r="H24" s="26"/>
    </row>
    <row r="25" spans="1:8" x14ac:dyDescent="0.3">
      <c r="A25" s="8" t="s">
        <v>87</v>
      </c>
      <c r="B25" s="26">
        <v>0</v>
      </c>
      <c r="C25" s="26">
        <f>C12</f>
        <v>1940040</v>
      </c>
      <c r="D25" s="26">
        <f>D12+C12</f>
        <v>3880080</v>
      </c>
      <c r="E25" s="26">
        <f>E12+D12+C12</f>
        <v>5820120</v>
      </c>
      <c r="F25" s="26">
        <f>F12+E12+D12+C12</f>
        <v>7760160</v>
      </c>
      <c r="G25" s="26">
        <f>F25+G12</f>
        <v>9700200</v>
      </c>
      <c r="H25" s="26"/>
    </row>
    <row r="26" spans="1:8" x14ac:dyDescent="0.3">
      <c r="A26" s="8" t="s">
        <v>88</v>
      </c>
      <c r="B26" s="26">
        <f>B23+(B24-B25)</f>
        <v>9700200</v>
      </c>
      <c r="C26" s="26">
        <f>C23+(C24-C25)</f>
        <v>7760160</v>
      </c>
      <c r="D26" s="26">
        <f t="shared" ref="D26:G26" si="8">D23+(D24-D25)</f>
        <v>5820120</v>
      </c>
      <c r="E26" s="26">
        <f t="shared" si="8"/>
        <v>3880080</v>
      </c>
      <c r="F26" s="26">
        <f t="shared" si="8"/>
        <v>1940040</v>
      </c>
      <c r="G26" s="26">
        <f t="shared" si="8"/>
        <v>0</v>
      </c>
      <c r="H26" s="26"/>
    </row>
    <row r="27" spans="1:8" ht="15" thickBot="1" x14ac:dyDescent="0.35">
      <c r="A27" s="62" t="s">
        <v>85</v>
      </c>
      <c r="B27" s="69">
        <f>B22+B26</f>
        <v>27530200</v>
      </c>
      <c r="C27" s="69">
        <f t="shared" ref="C27:G27" si="9">C22+C26</f>
        <v>25494484.217113677</v>
      </c>
      <c r="D27" s="69">
        <f t="shared" si="9"/>
        <v>27773247.434227355</v>
      </c>
      <c r="E27" s="69">
        <f t="shared" si="9"/>
        <v>32614022.397822537</v>
      </c>
      <c r="F27" s="69">
        <f t="shared" si="9"/>
        <v>37085708.109459057</v>
      </c>
      <c r="G27" s="69">
        <f t="shared" si="9"/>
        <v>40038792.457851857</v>
      </c>
      <c r="H27" s="26"/>
    </row>
    <row r="28" spans="1:8" ht="15" thickTop="1" x14ac:dyDescent="0.3">
      <c r="A28" s="160" t="s">
        <v>75</v>
      </c>
      <c r="B28" s="160"/>
      <c r="C28" s="160"/>
      <c r="D28" s="160"/>
      <c r="E28" s="160"/>
      <c r="F28" s="160"/>
      <c r="G28" s="160"/>
    </row>
    <row r="29" spans="1:8" x14ac:dyDescent="0.3">
      <c r="A29" s="8" t="s">
        <v>76</v>
      </c>
      <c r="B29" s="8">
        <v>0</v>
      </c>
      <c r="C29" s="65">
        <f>C16</f>
        <v>0</v>
      </c>
      <c r="D29" s="65">
        <f>D16</f>
        <v>0</v>
      </c>
      <c r="E29" s="65">
        <f>E16</f>
        <v>0</v>
      </c>
      <c r="F29" s="65">
        <f>F16</f>
        <v>0</v>
      </c>
      <c r="G29" s="65">
        <f>G16</f>
        <v>0</v>
      </c>
    </row>
    <row r="30" spans="1:8" x14ac:dyDescent="0.3">
      <c r="A30" s="8" t="s">
        <v>77</v>
      </c>
      <c r="B30" s="65">
        <f>B29</f>
        <v>0</v>
      </c>
      <c r="C30" s="65">
        <f t="shared" ref="C30:G30" si="10">C29</f>
        <v>0</v>
      </c>
      <c r="D30" s="65">
        <f t="shared" si="10"/>
        <v>0</v>
      </c>
      <c r="E30" s="65">
        <f t="shared" si="10"/>
        <v>0</v>
      </c>
      <c r="F30" s="65">
        <f t="shared" si="10"/>
        <v>0</v>
      </c>
      <c r="G30" s="65">
        <f t="shared" si="10"/>
        <v>0</v>
      </c>
    </row>
    <row r="31" spans="1:8" x14ac:dyDescent="0.3">
      <c r="A31" s="8" t="s">
        <v>78</v>
      </c>
      <c r="B31" s="25">
        <f>'3'!J8</f>
        <v>27530200</v>
      </c>
      <c r="C31" s="25">
        <f>'3'!J9</f>
        <v>23406403.217113677</v>
      </c>
      <c r="D31" s="25">
        <f>'3'!J10</f>
        <v>18684655.900708839</v>
      </c>
      <c r="E31" s="25">
        <f>'3'!J11</f>
        <v>13278255.223425299</v>
      </c>
      <c r="F31" s="25">
        <f>'3'!J12</f>
        <v>7087926.4479356464</v>
      </c>
      <c r="G31" s="25">
        <f>'3'!J13</f>
        <v>0</v>
      </c>
    </row>
    <row r="32" spans="1:8" ht="15" thickBot="1" x14ac:dyDescent="0.35">
      <c r="A32" s="62" t="s">
        <v>75</v>
      </c>
      <c r="B32" s="69">
        <f>B30+B31</f>
        <v>27530200</v>
      </c>
      <c r="C32" s="69">
        <f t="shared" ref="C32:G32" si="11">C30+C31</f>
        <v>23406403.217113677</v>
      </c>
      <c r="D32" s="69">
        <f t="shared" si="11"/>
        <v>18684655.900708839</v>
      </c>
      <c r="E32" s="69">
        <f t="shared" si="11"/>
        <v>13278255.223425299</v>
      </c>
      <c r="F32" s="69">
        <f t="shared" si="11"/>
        <v>7087926.4479356464</v>
      </c>
      <c r="G32" s="69">
        <f t="shared" si="11"/>
        <v>0</v>
      </c>
    </row>
    <row r="33" spans="1:7" ht="15" thickTop="1" x14ac:dyDescent="0.3">
      <c r="A33" s="160" t="s">
        <v>79</v>
      </c>
      <c r="B33" s="160"/>
      <c r="C33" s="160"/>
      <c r="D33" s="160"/>
      <c r="E33" s="160"/>
      <c r="F33" s="160"/>
      <c r="G33" s="160"/>
    </row>
    <row r="34" spans="1:7" x14ac:dyDescent="0.3">
      <c r="A34" s="8" t="s">
        <v>80</v>
      </c>
      <c r="B34" s="26">
        <f>'3'!D15</f>
        <v>0</v>
      </c>
      <c r="C34" s="26">
        <f>B34</f>
        <v>0</v>
      </c>
      <c r="D34" s="26">
        <f t="shared" ref="D34:G34" si="12">C34</f>
        <v>0</v>
      </c>
      <c r="E34" s="26">
        <f t="shared" si="12"/>
        <v>0</v>
      </c>
      <c r="F34" s="26">
        <f t="shared" si="12"/>
        <v>0</v>
      </c>
      <c r="G34" s="26">
        <f t="shared" si="12"/>
        <v>0</v>
      </c>
    </row>
    <row r="35" spans="1:7" x14ac:dyDescent="0.3">
      <c r="A35" s="8" t="s">
        <v>81</v>
      </c>
      <c r="B35" s="8">
        <v>0</v>
      </c>
      <c r="C35" s="65">
        <f>C17</f>
        <v>2088081.0000000005</v>
      </c>
      <c r="D35" s="65">
        <f>D17</f>
        <v>9088591.5335185174</v>
      </c>
      <c r="E35" s="65">
        <f>E17</f>
        <v>19335767.174397238</v>
      </c>
      <c r="F35" s="65">
        <f>F17</f>
        <v>29997781.661523409</v>
      </c>
      <c r="G35" s="65">
        <f>G17</f>
        <v>40038792.457851857</v>
      </c>
    </row>
    <row r="36" spans="1:7" ht="15" thickBot="1" x14ac:dyDescent="0.35">
      <c r="A36" s="62" t="s">
        <v>82</v>
      </c>
      <c r="B36" s="69">
        <f>B34+B35</f>
        <v>0</v>
      </c>
      <c r="C36" s="69">
        <f t="shared" ref="C36:G36" si="13">C34+C35</f>
        <v>2088081.0000000005</v>
      </c>
      <c r="D36" s="69">
        <f t="shared" si="13"/>
        <v>9088591.5335185174</v>
      </c>
      <c r="E36" s="69">
        <f t="shared" si="13"/>
        <v>19335767.174397238</v>
      </c>
      <c r="F36" s="69">
        <f t="shared" si="13"/>
        <v>29997781.661523409</v>
      </c>
      <c r="G36" s="69">
        <f t="shared" si="13"/>
        <v>40038792.457851857</v>
      </c>
    </row>
    <row r="37" spans="1:7" ht="15" thickTop="1" x14ac:dyDescent="0.3"/>
    <row r="38" spans="1:7" ht="15" thickBot="1" x14ac:dyDescent="0.35">
      <c r="A38" s="62" t="s">
        <v>83</v>
      </c>
      <c r="B38" s="69">
        <f>B32+B36</f>
        <v>27530200</v>
      </c>
      <c r="C38" s="69">
        <f t="shared" ref="C38:G38" si="14">C32+C36</f>
        <v>25494484.217113677</v>
      </c>
      <c r="D38" s="69">
        <f t="shared" si="14"/>
        <v>27773247.434227355</v>
      </c>
      <c r="E38" s="69">
        <f t="shared" si="14"/>
        <v>32614022.397822537</v>
      </c>
      <c r="F38" s="69">
        <f t="shared" si="14"/>
        <v>37085708.109459057</v>
      </c>
      <c r="G38" s="69">
        <f t="shared" si="14"/>
        <v>40038792.457851857</v>
      </c>
    </row>
    <row r="39" spans="1:7" ht="15" thickTop="1" x14ac:dyDescent="0.3">
      <c r="A39" s="58" t="s">
        <v>90</v>
      </c>
      <c r="B39" s="70">
        <f>B27-B38</f>
        <v>0</v>
      </c>
      <c r="C39" s="70">
        <f t="shared" ref="C39:G39" si="15">C27-C38</f>
        <v>0</v>
      </c>
      <c r="D39" s="70">
        <f t="shared" si="15"/>
        <v>0</v>
      </c>
      <c r="E39" s="70">
        <f t="shared" si="15"/>
        <v>0</v>
      </c>
      <c r="F39" s="70">
        <f t="shared" si="15"/>
        <v>0</v>
      </c>
      <c r="G39" s="70">
        <f t="shared" si="15"/>
        <v>0</v>
      </c>
    </row>
    <row r="41" spans="1:7" ht="15.6" x14ac:dyDescent="0.3">
      <c r="A41" s="159" t="s">
        <v>96</v>
      </c>
      <c r="B41" s="159"/>
      <c r="C41" s="159"/>
      <c r="D41" s="159"/>
      <c r="E41" s="159"/>
      <c r="F41" s="159"/>
      <c r="G41" s="159"/>
    </row>
    <row r="42" spans="1:7" x14ac:dyDescent="0.3">
      <c r="A42" s="160" t="s">
        <v>97</v>
      </c>
      <c r="B42" s="160"/>
      <c r="C42" s="160"/>
      <c r="D42" s="160"/>
      <c r="E42" s="160"/>
      <c r="F42" s="160"/>
      <c r="G42" s="160"/>
    </row>
    <row r="43" spans="1:7" ht="23.4" x14ac:dyDescent="0.3">
      <c r="A43" s="11"/>
      <c r="B43" s="68" t="s">
        <v>84</v>
      </c>
      <c r="C43" s="60">
        <f>C20</f>
        <v>2024</v>
      </c>
      <c r="D43" s="60">
        <f t="shared" ref="D43:G43" si="16">D20</f>
        <v>2025</v>
      </c>
      <c r="E43" s="60">
        <f t="shared" si="16"/>
        <v>2026</v>
      </c>
      <c r="F43" s="60">
        <f t="shared" si="16"/>
        <v>2027</v>
      </c>
      <c r="G43" s="60">
        <f t="shared" si="16"/>
        <v>2028</v>
      </c>
    </row>
    <row r="44" spans="1:7" x14ac:dyDescent="0.3">
      <c r="A44" s="1" t="s">
        <v>98</v>
      </c>
      <c r="B44" s="2">
        <f>B22</f>
        <v>17830000</v>
      </c>
      <c r="C44" s="2">
        <f t="shared" ref="C44:G44" si="17">C22</f>
        <v>17734324.217113677</v>
      </c>
      <c r="D44" s="2">
        <f t="shared" si="17"/>
        <v>21953127.434227355</v>
      </c>
      <c r="E44" s="2">
        <f t="shared" si="17"/>
        <v>28733942.397822537</v>
      </c>
      <c r="F44" s="2">
        <f t="shared" si="17"/>
        <v>35145668.109459057</v>
      </c>
      <c r="G44" s="2">
        <f t="shared" si="17"/>
        <v>40038792.457851857</v>
      </c>
    </row>
    <row r="45" spans="1:7" ht="15" thickBot="1" x14ac:dyDescent="0.35">
      <c r="A45" s="1" t="s">
        <v>99</v>
      </c>
      <c r="B45" s="3">
        <f>B29</f>
        <v>0</v>
      </c>
      <c r="C45" s="3">
        <f t="shared" ref="C45:G45" si="18">C29</f>
        <v>0</v>
      </c>
      <c r="D45" s="3">
        <f t="shared" si="18"/>
        <v>0</v>
      </c>
      <c r="E45" s="3">
        <f t="shared" si="18"/>
        <v>0</v>
      </c>
      <c r="F45" s="3">
        <f t="shared" si="18"/>
        <v>0</v>
      </c>
      <c r="G45" s="3">
        <f t="shared" si="18"/>
        <v>0</v>
      </c>
    </row>
    <row r="46" spans="1:7" ht="15" thickTop="1" x14ac:dyDescent="0.3">
      <c r="A46" s="4" t="s">
        <v>100</v>
      </c>
      <c r="B46" s="5">
        <f t="shared" ref="B46:G46" si="19">B44-B45</f>
        <v>17830000</v>
      </c>
      <c r="C46" s="5">
        <f t="shared" si="19"/>
        <v>17734324.217113677</v>
      </c>
      <c r="D46" s="5">
        <f t="shared" si="19"/>
        <v>21953127.434227355</v>
      </c>
      <c r="E46" s="5">
        <f t="shared" si="19"/>
        <v>28733942.397822537</v>
      </c>
      <c r="F46" s="5">
        <f t="shared" si="19"/>
        <v>35145668.109459057</v>
      </c>
      <c r="G46" s="5">
        <f t="shared" si="19"/>
        <v>40038792.457851857</v>
      </c>
    </row>
    <row r="47" spans="1:7" x14ac:dyDescent="0.3">
      <c r="A47" s="1"/>
      <c r="B47" s="2"/>
      <c r="C47" s="2"/>
      <c r="D47" s="2"/>
      <c r="E47" s="2"/>
      <c r="F47" s="2"/>
      <c r="G47" s="2"/>
    </row>
    <row r="48" spans="1:7" x14ac:dyDescent="0.3">
      <c r="A48" s="4" t="s">
        <v>101</v>
      </c>
      <c r="B48" s="2">
        <f>B26</f>
        <v>9700200</v>
      </c>
      <c r="C48" s="2">
        <f t="shared" ref="C48:G48" si="20">C26</f>
        <v>7760160</v>
      </c>
      <c r="D48" s="2">
        <f t="shared" si="20"/>
        <v>5820120</v>
      </c>
      <c r="E48" s="2">
        <f t="shared" si="20"/>
        <v>3880080</v>
      </c>
      <c r="F48" s="2">
        <f t="shared" si="20"/>
        <v>1940040</v>
      </c>
      <c r="G48" s="2">
        <f t="shared" si="20"/>
        <v>0</v>
      </c>
    </row>
    <row r="49" spans="1:7" ht="15" thickBot="1" x14ac:dyDescent="0.35">
      <c r="A49" s="1" t="s">
        <v>102</v>
      </c>
      <c r="B49" s="3">
        <f>B25</f>
        <v>0</v>
      </c>
      <c r="C49" s="3">
        <f t="shared" ref="C49:G49" si="21">C25</f>
        <v>1940040</v>
      </c>
      <c r="D49" s="3">
        <f t="shared" si="21"/>
        <v>3880080</v>
      </c>
      <c r="E49" s="3">
        <f t="shared" si="21"/>
        <v>5820120</v>
      </c>
      <c r="F49" s="3">
        <f t="shared" si="21"/>
        <v>7760160</v>
      </c>
      <c r="G49" s="3">
        <f t="shared" si="21"/>
        <v>9700200</v>
      </c>
    </row>
    <row r="50" spans="1:7" ht="15" thickTop="1" x14ac:dyDescent="0.3">
      <c r="A50" s="4" t="s">
        <v>103</v>
      </c>
      <c r="B50" s="5">
        <f t="shared" ref="B50:G50" si="22">B48+B49</f>
        <v>9700200</v>
      </c>
      <c r="C50" s="5">
        <f t="shared" si="22"/>
        <v>9700200</v>
      </c>
      <c r="D50" s="5">
        <f t="shared" si="22"/>
        <v>9700200</v>
      </c>
      <c r="E50" s="5">
        <f t="shared" si="22"/>
        <v>9700200</v>
      </c>
      <c r="F50" s="5">
        <f t="shared" si="22"/>
        <v>9700200</v>
      </c>
      <c r="G50" s="5">
        <f t="shared" si="22"/>
        <v>9700200</v>
      </c>
    </row>
    <row r="51" spans="1:7" x14ac:dyDescent="0.3">
      <c r="A51" s="1"/>
      <c r="B51" s="2"/>
      <c r="C51" s="2"/>
      <c r="D51" s="2"/>
      <c r="E51" s="2"/>
      <c r="F51" s="2"/>
      <c r="G51" s="2"/>
    </row>
    <row r="52" spans="1:7" ht="15" thickBot="1" x14ac:dyDescent="0.35">
      <c r="A52" s="12" t="s">
        <v>104</v>
      </c>
      <c r="B52" s="6">
        <f t="shared" ref="B52:G52" si="23">B46+B48</f>
        <v>27530200</v>
      </c>
      <c r="C52" s="6">
        <f t="shared" si="23"/>
        <v>25494484.217113677</v>
      </c>
      <c r="D52" s="6">
        <f t="shared" si="23"/>
        <v>27773247.434227355</v>
      </c>
      <c r="E52" s="6">
        <f t="shared" si="23"/>
        <v>32614022.397822537</v>
      </c>
      <c r="F52" s="6">
        <f t="shared" si="23"/>
        <v>37085708.109459057</v>
      </c>
      <c r="G52" s="6">
        <f t="shared" si="23"/>
        <v>40038792.457851857</v>
      </c>
    </row>
    <row r="53" spans="1:7" ht="15" thickTop="1" x14ac:dyDescent="0.3">
      <c r="A53" s="7"/>
      <c r="B53" s="2"/>
      <c r="C53" s="2"/>
      <c r="D53" s="2"/>
      <c r="E53" s="2"/>
      <c r="F53" s="2"/>
      <c r="G53" s="2"/>
    </row>
    <row r="54" spans="1:7" x14ac:dyDescent="0.3">
      <c r="A54" s="161" t="s">
        <v>105</v>
      </c>
      <c r="B54" s="161"/>
      <c r="C54" s="161"/>
      <c r="D54" s="161"/>
      <c r="E54" s="161"/>
      <c r="F54" s="161"/>
      <c r="G54" s="161"/>
    </row>
    <row r="55" spans="1:7" x14ac:dyDescent="0.3">
      <c r="A55" s="1" t="s">
        <v>106</v>
      </c>
      <c r="C55" s="9">
        <f>C13</f>
        <v>6079960</v>
      </c>
      <c r="D55" s="9">
        <f t="shared" ref="D55:G55" si="24">D13</f>
        <v>12482520</v>
      </c>
      <c r="E55" s="9">
        <f t="shared" si="24"/>
        <v>22045042.28000002</v>
      </c>
      <c r="F55" s="9">
        <f t="shared" si="24"/>
        <v>31923128.668920077</v>
      </c>
      <c r="G55" s="9">
        <f t="shared" si="24"/>
        <v>41066541.792802528</v>
      </c>
    </row>
    <row r="56" spans="1:7" ht="15" thickBot="1" x14ac:dyDescent="0.35">
      <c r="A56" s="1" t="s">
        <v>107</v>
      </c>
      <c r="C56" s="10">
        <f>C55*'1'!$AB$7</f>
        <v>0</v>
      </c>
      <c r="D56" s="10">
        <f>D55*'1'!$AB$7</f>
        <v>0</v>
      </c>
      <c r="E56" s="10">
        <f>E55*'1'!$AB$7</f>
        <v>0</v>
      </c>
      <c r="F56" s="10">
        <f>F55*'1'!$AB$7</f>
        <v>0</v>
      </c>
      <c r="G56" s="10">
        <f>G55*'1'!$AB$7</f>
        <v>0</v>
      </c>
    </row>
    <row r="57" spans="1:7" ht="15" thickTop="1" x14ac:dyDescent="0.3">
      <c r="A57" s="4" t="s">
        <v>108</v>
      </c>
      <c r="C57" s="9">
        <f>C55-C56</f>
        <v>6079960</v>
      </c>
      <c r="D57" s="9">
        <f>D55-D56</f>
        <v>12482520</v>
      </c>
      <c r="E57" s="9">
        <f>E55-E56</f>
        <v>22045042.28000002</v>
      </c>
      <c r="F57" s="9">
        <f>F55-F56</f>
        <v>31923128.668920077</v>
      </c>
      <c r="G57" s="9">
        <f>G55-G56</f>
        <v>41066541.792802528</v>
      </c>
    </row>
    <row r="58" spans="1:7" ht="15" thickBot="1" x14ac:dyDescent="0.35">
      <c r="A58" s="1" t="s">
        <v>109</v>
      </c>
      <c r="C58" s="10">
        <f>-(C52-B52)</f>
        <v>2035715.7828863226</v>
      </c>
      <c r="D58" s="10">
        <f t="shared" ref="D58:G58" si="25">-(D52-C52)</f>
        <v>-2278763.2171136774</v>
      </c>
      <c r="E58" s="10">
        <f t="shared" si="25"/>
        <v>-4840774.9635951817</v>
      </c>
      <c r="F58" s="10">
        <f t="shared" si="25"/>
        <v>-4471685.7116365209</v>
      </c>
      <c r="G58" s="10">
        <f t="shared" si="25"/>
        <v>-2953084.3483927995</v>
      </c>
    </row>
    <row r="59" spans="1:7" ht="15.6" thickTop="1" thickBot="1" x14ac:dyDescent="0.35">
      <c r="A59" s="57" t="s">
        <v>110</v>
      </c>
      <c r="B59" s="58"/>
      <c r="C59" s="59">
        <f>SUM(C57:C58)</f>
        <v>8115675.7828863226</v>
      </c>
      <c r="D59" s="59">
        <f t="shared" ref="D59:G59" si="26">SUM(D57:D58)</f>
        <v>10203756.782886323</v>
      </c>
      <c r="E59" s="59">
        <f t="shared" si="26"/>
        <v>17204267.316404838</v>
      </c>
      <c r="F59" s="59">
        <f t="shared" si="26"/>
        <v>27451442.957283556</v>
      </c>
      <c r="G59" s="59">
        <f t="shared" si="26"/>
        <v>38113457.444409728</v>
      </c>
    </row>
    <row r="60" spans="1:7" ht="15" thickTop="1" x14ac:dyDescent="0.3"/>
  </sheetData>
  <sheetProtection algorithmName="SHA-512" hashValue="IQcSUX7WgA2g30pLr7tJMmGcfuMimbrrDJr6FK6q2BovQKn0/6cnsWuXbCiptrpMrL+x4GNmNQ/jXdjtPO3XfQ==" saltValue="CaVricx0vPQy+wJOqrscFw=="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72" zoomScaleNormal="80" workbookViewId="0">
      <selection activeCell="G4" sqref="G4"/>
    </sheetView>
  </sheetViews>
  <sheetFormatPr baseColWidth="10" defaultColWidth="11.44140625" defaultRowHeight="14.4" x14ac:dyDescent="0.3"/>
  <cols>
    <col min="1" max="1" width="11.44140625" style="8"/>
    <col min="2" max="2" width="32.5546875" style="8" customWidth="1"/>
    <col min="3" max="3" width="24.44140625" style="8" bestFit="1" customWidth="1"/>
    <col min="4" max="4" width="36.44140625" style="8" bestFit="1" customWidth="1"/>
    <col min="5" max="5" width="33.88671875" style="8" customWidth="1"/>
    <col min="6" max="6" width="26" style="8" customWidth="1"/>
    <col min="7" max="8" width="20.77734375" style="8" bestFit="1" customWidth="1"/>
    <col min="9" max="9" width="11.5546875" style="8" bestFit="1" customWidth="1"/>
    <col min="10" max="10" width="13.33203125" style="8" bestFit="1" customWidth="1"/>
    <col min="11" max="14" width="11.44140625" style="8"/>
    <col min="15" max="15" width="15.33203125" style="8" bestFit="1" customWidth="1"/>
    <col min="16" max="16" width="21.5546875" style="8" bestFit="1" customWidth="1"/>
    <col min="17" max="16384" width="11.44140625" style="8"/>
  </cols>
  <sheetData>
    <row r="2" spans="2:16" ht="38.25" customHeight="1" x14ac:dyDescent="0.3">
      <c r="B2" s="146" t="s">
        <v>131</v>
      </c>
      <c r="C2" s="146"/>
      <c r="D2" s="146"/>
      <c r="E2" s="146"/>
      <c r="F2" s="146"/>
      <c r="G2" s="146"/>
      <c r="H2" s="146"/>
    </row>
    <row r="3" spans="2:16" ht="15.75" customHeight="1" x14ac:dyDescent="0.3">
      <c r="B3" s="162" t="s">
        <v>157</v>
      </c>
      <c r="C3" s="162"/>
      <c r="D3" s="162"/>
      <c r="E3" s="163">
        <v>0.2</v>
      </c>
      <c r="F3" s="163"/>
    </row>
    <row r="4" spans="2:16" ht="16.5" customHeight="1" x14ac:dyDescent="0.3">
      <c r="B4" s="162"/>
      <c r="C4" s="162"/>
      <c r="D4" s="162"/>
      <c r="E4" s="163"/>
      <c r="F4" s="163"/>
      <c r="O4" s="100"/>
    </row>
    <row r="5" spans="2:16" ht="16.5" customHeight="1" x14ac:dyDescent="0.3">
      <c r="B5" s="166"/>
      <c r="C5" s="166"/>
      <c r="D5" s="166"/>
      <c r="E5" s="138"/>
      <c r="F5" s="138"/>
      <c r="O5" s="100"/>
    </row>
    <row r="6" spans="2:16" ht="15" thickBot="1" x14ac:dyDescent="0.35">
      <c r="O6" s="100"/>
      <c r="P6" s="103"/>
    </row>
    <row r="7" spans="2:16" ht="23.4" x14ac:dyDescent="0.3">
      <c r="B7" s="99" t="s">
        <v>111</v>
      </c>
      <c r="C7" s="83" t="s">
        <v>112</v>
      </c>
      <c r="D7" s="84">
        <f>'4'!C20</f>
        <v>2024</v>
      </c>
      <c r="E7" s="84">
        <f>'4'!D20</f>
        <v>2025</v>
      </c>
      <c r="F7" s="84">
        <f>'4'!E20</f>
        <v>2026</v>
      </c>
      <c r="G7" s="84">
        <f>'4'!F20</f>
        <v>2027</v>
      </c>
      <c r="H7" s="85">
        <f>'4'!G20</f>
        <v>2028</v>
      </c>
      <c r="O7" s="100"/>
      <c r="P7" s="102"/>
    </row>
    <row r="8" spans="2:16" ht="18.600000000000001" thickBot="1" x14ac:dyDescent="0.4">
      <c r="B8" s="86"/>
      <c r="C8" s="108">
        <f>-'3'!D14</f>
        <v>-27530200</v>
      </c>
      <c r="D8" s="108">
        <f>'4'!C59</f>
        <v>8115675.7828863226</v>
      </c>
      <c r="E8" s="108">
        <f>'4'!D59</f>
        <v>10203756.782886323</v>
      </c>
      <c r="F8" s="108">
        <f>'4'!E59</f>
        <v>17204267.316404838</v>
      </c>
      <c r="G8" s="108">
        <f>'4'!F59</f>
        <v>27451442.957283556</v>
      </c>
      <c r="H8" s="109">
        <f>'4'!G59</f>
        <v>38113457.444409728</v>
      </c>
      <c r="O8" s="100"/>
      <c r="P8" s="102"/>
    </row>
    <row r="9" spans="2:16" ht="15" thickBot="1" x14ac:dyDescent="0.35">
      <c r="C9" s="71">
        <f>C8/(1+$E$3)^0</f>
        <v>-27530200</v>
      </c>
      <c r="D9" s="71">
        <f>D8/(1+$E$3)^1</f>
        <v>6763063.1524052694</v>
      </c>
      <c r="E9" s="71">
        <f>E8/(1+$E$3)^2</f>
        <v>7085942.2103377245</v>
      </c>
      <c r="F9" s="71">
        <f>F8/(1+$E$3)^3</f>
        <v>9956173.2155120596</v>
      </c>
      <c r="G9" s="71">
        <f>G8/(1+$E$3)^4</f>
        <v>13238543.092825789</v>
      </c>
      <c r="H9" s="71">
        <f>H8/(1+$E$3)^5</f>
        <v>15316943.738912089</v>
      </c>
      <c r="O9" s="100"/>
      <c r="P9" s="102"/>
    </row>
    <row r="10" spans="2:16" ht="24" thickBot="1" x14ac:dyDescent="0.5">
      <c r="B10" s="30" t="s">
        <v>113</v>
      </c>
      <c r="C10" s="31"/>
      <c r="D10" s="110">
        <f>NPV(E3,D8:H8)+$C$8</f>
        <v>24830465.409992933</v>
      </c>
      <c r="O10" s="100"/>
      <c r="P10" s="102"/>
    </row>
    <row r="11" spans="2:16" ht="28.8" thickBot="1" x14ac:dyDescent="0.5">
      <c r="B11" s="107" t="s">
        <v>114</v>
      </c>
      <c r="C11" s="31"/>
      <c r="D11" s="111">
        <f>IF(ISERROR(IRR(C8:H8)),"NO_APLICA",(IRR(C8:H8)))</f>
        <v>0.46225917572287401</v>
      </c>
      <c r="F11" s="104" t="s">
        <v>136</v>
      </c>
      <c r="G11" s="31"/>
      <c r="H11" s="105">
        <f>IF(ISERROR(-C9/AVERAGE(D9:H9)),"NO_APLICA",(-C9/AVERAGE(D9:H9)))</f>
        <v>2.6289008919609635</v>
      </c>
      <c r="I11" s="106" t="s">
        <v>63</v>
      </c>
      <c r="P11" s="101"/>
    </row>
    <row r="13" spans="2:16" ht="18" x14ac:dyDescent="0.35">
      <c r="B13" s="164" t="s">
        <v>118</v>
      </c>
      <c r="C13" s="164"/>
      <c r="D13" s="164"/>
      <c r="E13" s="164"/>
      <c r="F13" s="164"/>
      <c r="G13" s="164"/>
      <c r="H13" s="164"/>
    </row>
    <row r="14" spans="2:16" ht="36.6" x14ac:dyDescent="0.3">
      <c r="B14" s="87" t="str">
        <f>'1'!B2</f>
        <v>NOMBRE DEL PRODUCTO O SERVICIO</v>
      </c>
      <c r="C14" s="87" t="s">
        <v>119</v>
      </c>
      <c r="D14" s="87" t="s">
        <v>120</v>
      </c>
      <c r="E14" s="87" t="s">
        <v>121</v>
      </c>
      <c r="F14" s="87" t="s">
        <v>123</v>
      </c>
      <c r="H14" s="71"/>
      <c r="I14" s="71"/>
      <c r="J14" s="71" t="s">
        <v>127</v>
      </c>
    </row>
    <row r="15" spans="2:16" x14ac:dyDescent="0.3">
      <c r="B15" s="38" t="str">
        <f>'1'!B3</f>
        <v>Servicio de asesorias</v>
      </c>
      <c r="C15" s="88">
        <f>'1'!D3-'1'!D17</f>
        <v>-250000</v>
      </c>
      <c r="D15" s="89">
        <f>'1'!F3</f>
        <v>0</v>
      </c>
      <c r="E15" s="88">
        <f>C15*D15</f>
        <v>0</v>
      </c>
      <c r="F15" s="90">
        <f t="shared" ref="F15:F24" si="0">$E$28*D15</f>
        <v>0</v>
      </c>
      <c r="G15" s="38" t="s">
        <v>122</v>
      </c>
      <c r="H15" s="72">
        <f>'1'!D3</f>
        <v>0</v>
      </c>
      <c r="I15" s="91">
        <f t="shared" ref="I15:I24" si="1">$B$35*D15</f>
        <v>0</v>
      </c>
      <c r="J15" s="72">
        <f>'1'!D17</f>
        <v>250000</v>
      </c>
    </row>
    <row r="16" spans="2:16" x14ac:dyDescent="0.3">
      <c r="B16" s="92" t="str">
        <f>'1'!B4</f>
        <v>Donaciones de empresas privadas</v>
      </c>
      <c r="C16" s="88">
        <f>'1'!D4-'1'!D18</f>
        <v>4000000</v>
      </c>
      <c r="D16" s="89">
        <f>'1'!F4</f>
        <v>0.24347826086956523</v>
      </c>
      <c r="E16" s="88">
        <f t="shared" ref="E16:E24" si="2">C16*D16</f>
        <v>973913.04347826086</v>
      </c>
      <c r="F16" s="90">
        <f t="shared" si="0"/>
        <v>5.3264809729305602</v>
      </c>
      <c r="G16" s="38" t="str">
        <f>G15</f>
        <v>UNIDADES</v>
      </c>
      <c r="H16" s="72">
        <f>'1'!D4</f>
        <v>4000000</v>
      </c>
      <c r="I16" s="91">
        <f t="shared" si="1"/>
        <v>10.65296194586112</v>
      </c>
      <c r="J16" s="72">
        <f>'1'!D18</f>
        <v>0</v>
      </c>
    </row>
    <row r="17" spans="2:10" x14ac:dyDescent="0.3">
      <c r="B17" s="92" t="str">
        <f>'1'!B5</f>
        <v>Bonos del gobierno</v>
      </c>
      <c r="C17" s="88">
        <f>'1'!D5-'1'!D19</f>
        <v>15000000</v>
      </c>
      <c r="D17" s="89">
        <f>'1'!F5</f>
        <v>0.13043478260869565</v>
      </c>
      <c r="E17" s="88">
        <f t="shared" si="2"/>
        <v>1956521.7391304348</v>
      </c>
      <c r="F17" s="90">
        <f t="shared" si="0"/>
        <v>2.8534719497842285</v>
      </c>
      <c r="G17" s="38" t="str">
        <f t="shared" ref="G17:G24" si="3">G16</f>
        <v>UNIDADES</v>
      </c>
      <c r="H17" s="72">
        <f>'1'!D5</f>
        <v>15000000</v>
      </c>
      <c r="I17" s="91">
        <f t="shared" si="1"/>
        <v>5.7069438995684569</v>
      </c>
      <c r="J17" s="72">
        <f>'1'!D19</f>
        <v>0</v>
      </c>
    </row>
    <row r="18" spans="2:10" x14ac:dyDescent="0.3">
      <c r="B18" s="92" t="str">
        <f>'1'!B6</f>
        <v>Comisiones de los egresados</v>
      </c>
      <c r="C18" s="88">
        <f>'1'!D6-'1'!D20</f>
        <v>2400000</v>
      </c>
      <c r="D18" s="89">
        <f>'1'!F6</f>
        <v>0.62608695652173918</v>
      </c>
      <c r="E18" s="88">
        <f t="shared" si="2"/>
        <v>1502608.6956521741</v>
      </c>
      <c r="F18" s="90">
        <f t="shared" si="0"/>
        <v>13.696665358964298</v>
      </c>
      <c r="G18" s="38" t="str">
        <f t="shared" si="3"/>
        <v>UNIDADES</v>
      </c>
      <c r="H18" s="72">
        <f>'1'!D6</f>
        <v>2400000</v>
      </c>
      <c r="I18" s="91">
        <f t="shared" si="1"/>
        <v>27.393330717928595</v>
      </c>
      <c r="J18" s="72">
        <f>'1'!D20</f>
        <v>0</v>
      </c>
    </row>
    <row r="19" spans="2:10" x14ac:dyDescent="0.3">
      <c r="B19" s="92">
        <f>'1'!B7</f>
        <v>0</v>
      </c>
      <c r="C19" s="88">
        <f>'1'!D7-'1'!D21</f>
        <v>0</v>
      </c>
      <c r="D19" s="89">
        <f>'1'!F7</f>
        <v>0</v>
      </c>
      <c r="E19" s="88">
        <f t="shared" si="2"/>
        <v>0</v>
      </c>
      <c r="F19" s="90">
        <f t="shared" si="0"/>
        <v>0</v>
      </c>
      <c r="G19" s="38" t="str">
        <f t="shared" si="3"/>
        <v>UNIDADES</v>
      </c>
      <c r="H19" s="72">
        <f>'1'!D7</f>
        <v>0</v>
      </c>
      <c r="I19" s="91">
        <f t="shared" si="1"/>
        <v>0</v>
      </c>
      <c r="J19" s="72">
        <f>'1'!D21</f>
        <v>0</v>
      </c>
    </row>
    <row r="20" spans="2:10" x14ac:dyDescent="0.3">
      <c r="B20" s="92">
        <f>'1'!B8</f>
        <v>0</v>
      </c>
      <c r="C20" s="88">
        <f>'1'!D8-'1'!D22</f>
        <v>0</v>
      </c>
      <c r="D20" s="89">
        <f>'1'!F8</f>
        <v>0</v>
      </c>
      <c r="E20" s="88">
        <f t="shared" si="2"/>
        <v>0</v>
      </c>
      <c r="F20" s="90">
        <f t="shared" si="0"/>
        <v>0</v>
      </c>
      <c r="G20" s="38" t="str">
        <f t="shared" si="3"/>
        <v>UNIDADES</v>
      </c>
      <c r="H20" s="72">
        <f>'1'!D8</f>
        <v>0</v>
      </c>
      <c r="I20" s="91">
        <f t="shared" si="1"/>
        <v>0</v>
      </c>
      <c r="J20" s="72">
        <f>'1'!D22</f>
        <v>0</v>
      </c>
    </row>
    <row r="21" spans="2:10" x14ac:dyDescent="0.3">
      <c r="B21" s="92">
        <f>'1'!B9</f>
        <v>0</v>
      </c>
      <c r="C21" s="88">
        <f>'1'!D9-'1'!D23</f>
        <v>0</v>
      </c>
      <c r="D21" s="89">
        <f>'1'!F9</f>
        <v>0</v>
      </c>
      <c r="E21" s="88">
        <f t="shared" si="2"/>
        <v>0</v>
      </c>
      <c r="F21" s="90">
        <f t="shared" si="0"/>
        <v>0</v>
      </c>
      <c r="G21" s="38" t="str">
        <f t="shared" si="3"/>
        <v>UNIDADES</v>
      </c>
      <c r="H21" s="72">
        <f>'1'!D9</f>
        <v>0</v>
      </c>
      <c r="I21" s="91">
        <f t="shared" si="1"/>
        <v>0</v>
      </c>
      <c r="J21" s="72">
        <f>'1'!D23</f>
        <v>0</v>
      </c>
    </row>
    <row r="22" spans="2:10" x14ac:dyDescent="0.3">
      <c r="B22" s="92">
        <f>'1'!B10</f>
        <v>0</v>
      </c>
      <c r="C22" s="88">
        <f>'1'!D10-'1'!D24</f>
        <v>0</v>
      </c>
      <c r="D22" s="89">
        <f>'1'!F10</f>
        <v>0</v>
      </c>
      <c r="E22" s="88">
        <f t="shared" si="2"/>
        <v>0</v>
      </c>
      <c r="F22" s="90">
        <f t="shared" si="0"/>
        <v>0</v>
      </c>
      <c r="G22" s="38" t="str">
        <f t="shared" si="3"/>
        <v>UNIDADES</v>
      </c>
      <c r="H22" s="72">
        <f>'1'!D10</f>
        <v>0</v>
      </c>
      <c r="I22" s="91">
        <f t="shared" si="1"/>
        <v>0</v>
      </c>
      <c r="J22" s="72">
        <f>'1'!D24</f>
        <v>0</v>
      </c>
    </row>
    <row r="23" spans="2:10" x14ac:dyDescent="0.3">
      <c r="B23" s="92">
        <f>'1'!B11</f>
        <v>0</v>
      </c>
      <c r="C23" s="88">
        <f>'1'!D11-'1'!D25</f>
        <v>0</v>
      </c>
      <c r="D23" s="89">
        <f>'1'!F11</f>
        <v>0</v>
      </c>
      <c r="E23" s="88">
        <f t="shared" si="2"/>
        <v>0</v>
      </c>
      <c r="F23" s="90">
        <f t="shared" si="0"/>
        <v>0</v>
      </c>
      <c r="G23" s="38" t="str">
        <f t="shared" si="3"/>
        <v>UNIDADES</v>
      </c>
      <c r="H23" s="72">
        <f>'1'!D11</f>
        <v>0</v>
      </c>
      <c r="I23" s="91">
        <f t="shared" si="1"/>
        <v>0</v>
      </c>
      <c r="J23" s="72">
        <f>'1'!D25</f>
        <v>0</v>
      </c>
    </row>
    <row r="24" spans="2:10" x14ac:dyDescent="0.3">
      <c r="B24" s="38">
        <f>'1'!B12</f>
        <v>0</v>
      </c>
      <c r="C24" s="88">
        <f>'1'!D12-'1'!D26</f>
        <v>0</v>
      </c>
      <c r="D24" s="89">
        <f>'1'!F12</f>
        <v>0</v>
      </c>
      <c r="E24" s="88">
        <f t="shared" si="2"/>
        <v>0</v>
      </c>
      <c r="F24" s="90">
        <f t="shared" si="0"/>
        <v>0</v>
      </c>
      <c r="G24" s="38" t="str">
        <f t="shared" si="3"/>
        <v>UNIDADES</v>
      </c>
      <c r="H24" s="72">
        <f>'1'!D12</f>
        <v>0</v>
      </c>
      <c r="I24" s="91">
        <f t="shared" si="1"/>
        <v>0</v>
      </c>
      <c r="J24" s="72">
        <f>'1'!D26</f>
        <v>0</v>
      </c>
    </row>
    <row r="25" spans="2:10" ht="25.2" x14ac:dyDescent="0.45">
      <c r="C25" s="26"/>
      <c r="D25" s="93"/>
      <c r="E25" s="26"/>
      <c r="F25" s="94">
        <f>SUM(F15:F24)</f>
        <v>21.876618281679086</v>
      </c>
      <c r="G25" s="8" t="str">
        <f>G24</f>
        <v>UNIDADES</v>
      </c>
      <c r="H25" s="72"/>
      <c r="I25" s="91"/>
      <c r="J25" s="72"/>
    </row>
    <row r="26" spans="2:10" ht="12.75" customHeight="1" x14ac:dyDescent="0.45">
      <c r="C26" s="26"/>
      <c r="D26" s="93"/>
      <c r="E26" s="26"/>
      <c r="F26" s="94"/>
      <c r="H26" s="72"/>
      <c r="I26" s="91"/>
      <c r="J26" s="72"/>
    </row>
    <row r="27" spans="2:10" ht="21" customHeight="1" x14ac:dyDescent="0.45">
      <c r="B27" s="167" t="s">
        <v>130</v>
      </c>
      <c r="C27" s="167"/>
      <c r="D27" s="167"/>
      <c r="E27" s="95">
        <f>SUM(E15:E24)</f>
        <v>4433043.4782608701</v>
      </c>
      <c r="H27" s="71"/>
      <c r="I27" s="71"/>
      <c r="J27" s="71"/>
    </row>
    <row r="28" spans="2:10" ht="19.5" customHeight="1" x14ac:dyDescent="0.45">
      <c r="B28" s="167" t="s">
        <v>129</v>
      </c>
      <c r="C28" s="167"/>
      <c r="D28" s="167"/>
      <c r="E28" s="94">
        <f>IF(E27=0,0,('2'!C23+'2'!F31+'2'!C25)/'5'!E27)</f>
        <v>21.876618281679086</v>
      </c>
      <c r="F28" s="96" t="s">
        <v>122</v>
      </c>
      <c r="H28" s="97"/>
    </row>
    <row r="29" spans="2:10" ht="25.2" x14ac:dyDescent="0.45">
      <c r="B29" s="167" t="s">
        <v>151</v>
      </c>
      <c r="C29" s="167"/>
      <c r="D29" s="167"/>
      <c r="E29" s="95">
        <f>E49</f>
        <v>96979999.999999985</v>
      </c>
    </row>
    <row r="30" spans="2:10" x14ac:dyDescent="0.3">
      <c r="B30" s="133"/>
      <c r="C30" s="133"/>
      <c r="D30" s="133"/>
      <c r="E30" s="133"/>
      <c r="F30" s="133"/>
      <c r="G30" s="133"/>
    </row>
    <row r="31" spans="2:10" s="71" customFormat="1" x14ac:dyDescent="0.3"/>
    <row r="32" spans="2:10" s="71" customFormat="1" x14ac:dyDescent="0.3">
      <c r="C32" s="71" t="s">
        <v>124</v>
      </c>
      <c r="D32" s="71" t="s">
        <v>125</v>
      </c>
      <c r="E32" s="71" t="s">
        <v>128</v>
      </c>
      <c r="F32" s="71" t="s">
        <v>126</v>
      </c>
    </row>
    <row r="33" spans="2:6" s="71" customFormat="1" x14ac:dyDescent="0.3">
      <c r="B33" s="71">
        <v>0</v>
      </c>
      <c r="C33" s="72">
        <f>'2'!C25+'2'!F31+'2'!C23</f>
        <v>96980000</v>
      </c>
      <c r="D33" s="71">
        <f>0</f>
        <v>0</v>
      </c>
      <c r="E33" s="71">
        <v>0</v>
      </c>
      <c r="F33" s="72">
        <f>C33+E33</f>
        <v>96980000</v>
      </c>
    </row>
    <row r="34" spans="2:6" s="71" customFormat="1" x14ac:dyDescent="0.3">
      <c r="B34" s="91">
        <f>F25</f>
        <v>21.876618281679086</v>
      </c>
      <c r="C34" s="72">
        <f>C33</f>
        <v>96980000</v>
      </c>
      <c r="D34" s="134">
        <f>SUMPRODUCT(F15:F24,H15:H24)</f>
        <v>96979999.999999985</v>
      </c>
      <c r="E34" s="134">
        <f>SUMPRODUCT(F15:F24,J15:J24)</f>
        <v>0</v>
      </c>
      <c r="F34" s="72">
        <f t="shared" ref="F34:F35" si="4">C34+E34</f>
        <v>96980000</v>
      </c>
    </row>
    <row r="35" spans="2:6" s="71" customFormat="1" x14ac:dyDescent="0.3">
      <c r="B35" s="91">
        <f>B34*2</f>
        <v>43.753236563358172</v>
      </c>
      <c r="C35" s="72">
        <f>C34</f>
        <v>96980000</v>
      </c>
      <c r="D35" s="134">
        <f>SUMPRODUCT(H15:H24,I15:I24)</f>
        <v>193959999.99999997</v>
      </c>
      <c r="E35" s="134">
        <f>SUMPRODUCT(I15:I24,J15:J24)</f>
        <v>0</v>
      </c>
      <c r="F35" s="72">
        <f t="shared" si="4"/>
        <v>96980000</v>
      </c>
    </row>
    <row r="36" spans="2:6" s="71" customFormat="1" x14ac:dyDescent="0.3">
      <c r="C36" s="72"/>
    </row>
    <row r="37" spans="2:6" s="71" customFormat="1" x14ac:dyDescent="0.3">
      <c r="C37" s="72"/>
    </row>
    <row r="38" spans="2:6" s="71" customFormat="1" x14ac:dyDescent="0.3">
      <c r="C38" s="135" t="s">
        <v>149</v>
      </c>
      <c r="D38" s="71" t="s">
        <v>122</v>
      </c>
      <c r="E38" s="71" t="s">
        <v>150</v>
      </c>
    </row>
    <row r="39" spans="2:6" s="71" customFormat="1" x14ac:dyDescent="0.3">
      <c r="B39" s="71">
        <v>1</v>
      </c>
      <c r="C39" s="72">
        <f>'1'!D3</f>
        <v>0</v>
      </c>
      <c r="D39" s="91">
        <f>F15</f>
        <v>0</v>
      </c>
      <c r="E39" s="71">
        <f>C39*D39</f>
        <v>0</v>
      </c>
    </row>
    <row r="40" spans="2:6" s="71" customFormat="1" x14ac:dyDescent="0.3">
      <c r="B40" s="71">
        <f>B39+1</f>
        <v>2</v>
      </c>
      <c r="C40" s="72">
        <f>'1'!D4</f>
        <v>4000000</v>
      </c>
      <c r="D40" s="91">
        <f t="shared" ref="D40:D48" si="5">F16</f>
        <v>5.3264809729305602</v>
      </c>
      <c r="E40" s="71">
        <f t="shared" ref="E40:E48" si="6">C40*D40</f>
        <v>21305923.89172224</v>
      </c>
    </row>
    <row r="41" spans="2:6" s="71" customFormat="1" x14ac:dyDescent="0.3">
      <c r="B41" s="71">
        <f t="shared" ref="B41:B48" si="7">B40+1</f>
        <v>3</v>
      </c>
      <c r="C41" s="72">
        <f>'1'!D5</f>
        <v>15000000</v>
      </c>
      <c r="D41" s="91">
        <f t="shared" si="5"/>
        <v>2.8534719497842285</v>
      </c>
      <c r="E41" s="71">
        <f t="shared" si="6"/>
        <v>42802079.246763431</v>
      </c>
    </row>
    <row r="42" spans="2:6" s="71" customFormat="1" x14ac:dyDescent="0.3">
      <c r="B42" s="71">
        <f t="shared" si="7"/>
        <v>4</v>
      </c>
      <c r="C42" s="72">
        <f>'1'!D6</f>
        <v>2400000</v>
      </c>
      <c r="D42" s="91">
        <f t="shared" si="5"/>
        <v>13.696665358964298</v>
      </c>
      <c r="E42" s="71">
        <f t="shared" si="6"/>
        <v>32871996.861514315</v>
      </c>
    </row>
    <row r="43" spans="2:6" s="71" customFormat="1" x14ac:dyDescent="0.3">
      <c r="B43" s="71">
        <f t="shared" si="7"/>
        <v>5</v>
      </c>
      <c r="C43" s="72">
        <f>'1'!D7</f>
        <v>0</v>
      </c>
      <c r="D43" s="91">
        <f t="shared" si="5"/>
        <v>0</v>
      </c>
      <c r="E43" s="71">
        <f t="shared" si="6"/>
        <v>0</v>
      </c>
    </row>
    <row r="44" spans="2:6" s="71" customFormat="1" x14ac:dyDescent="0.3">
      <c r="B44" s="71">
        <f t="shared" si="7"/>
        <v>6</v>
      </c>
      <c r="C44" s="72">
        <f>'1'!D8</f>
        <v>0</v>
      </c>
      <c r="D44" s="91">
        <f t="shared" si="5"/>
        <v>0</v>
      </c>
      <c r="E44" s="71">
        <f t="shared" si="6"/>
        <v>0</v>
      </c>
    </row>
    <row r="45" spans="2:6" s="71" customFormat="1" x14ac:dyDescent="0.3">
      <c r="B45" s="71">
        <f t="shared" si="7"/>
        <v>7</v>
      </c>
      <c r="C45" s="72">
        <f>'1'!D9</f>
        <v>0</v>
      </c>
      <c r="D45" s="91">
        <f t="shared" si="5"/>
        <v>0</v>
      </c>
      <c r="E45" s="71">
        <f t="shared" si="6"/>
        <v>0</v>
      </c>
    </row>
    <row r="46" spans="2:6" s="71" customFormat="1" x14ac:dyDescent="0.3">
      <c r="B46" s="71">
        <f t="shared" si="7"/>
        <v>8</v>
      </c>
      <c r="C46" s="72">
        <f>'1'!D10</f>
        <v>0</v>
      </c>
      <c r="D46" s="91">
        <f t="shared" si="5"/>
        <v>0</v>
      </c>
      <c r="E46" s="71">
        <f t="shared" si="6"/>
        <v>0</v>
      </c>
    </row>
    <row r="47" spans="2:6" s="71" customFormat="1" x14ac:dyDescent="0.3">
      <c r="B47" s="71">
        <f t="shared" si="7"/>
        <v>9</v>
      </c>
      <c r="C47" s="72">
        <f>'1'!D11</f>
        <v>0</v>
      </c>
      <c r="D47" s="91">
        <f t="shared" si="5"/>
        <v>0</v>
      </c>
      <c r="E47" s="71">
        <f t="shared" si="6"/>
        <v>0</v>
      </c>
    </row>
    <row r="48" spans="2:6" s="71" customFormat="1" x14ac:dyDescent="0.3">
      <c r="B48" s="71">
        <f t="shared" si="7"/>
        <v>10</v>
      </c>
      <c r="C48" s="72">
        <f>'1'!D12</f>
        <v>0</v>
      </c>
      <c r="D48" s="91">
        <f t="shared" si="5"/>
        <v>0</v>
      </c>
      <c r="E48" s="71">
        <f t="shared" si="6"/>
        <v>0</v>
      </c>
    </row>
    <row r="49" spans="2:8" s="71" customFormat="1" x14ac:dyDescent="0.3">
      <c r="C49" s="72"/>
      <c r="E49" s="136">
        <f>SUM(E39:E48)</f>
        <v>96979999.999999985</v>
      </c>
    </row>
    <row r="50" spans="2:8" s="71" customFormat="1" x14ac:dyDescent="0.3"/>
    <row r="51" spans="2:8" s="71" customFormat="1" x14ac:dyDescent="0.3">
      <c r="C51" s="72"/>
    </row>
    <row r="52" spans="2:8" s="71" customFormat="1" x14ac:dyDescent="0.3">
      <c r="B52" s="165"/>
      <c r="C52" s="165"/>
      <c r="D52" s="165"/>
      <c r="G52" s="71" t="s">
        <v>152</v>
      </c>
      <c r="H52" s="137">
        <f>'4'!B32/'4'!B27</f>
        <v>1</v>
      </c>
    </row>
    <row r="53" spans="2:8" s="71" customFormat="1" x14ac:dyDescent="0.3">
      <c r="C53" s="72"/>
      <c r="G53" s="71" t="s">
        <v>153</v>
      </c>
      <c r="H53" s="137">
        <f>'4'!B36/'4'!B27</f>
        <v>0</v>
      </c>
    </row>
    <row r="54" spans="2:8" s="71" customFormat="1" x14ac:dyDescent="0.3">
      <c r="G54" s="71" t="s">
        <v>154</v>
      </c>
      <c r="H54" s="71">
        <f>'1'!AB7</f>
        <v>0</v>
      </c>
    </row>
    <row r="55" spans="2:8" s="71" customFormat="1" x14ac:dyDescent="0.3">
      <c r="G55" s="71" t="s">
        <v>155</v>
      </c>
      <c r="H55" s="137">
        <f>'3'!F4</f>
        <v>0.14499999999999999</v>
      </c>
    </row>
    <row r="56" spans="2:8" s="71" customFormat="1" x14ac:dyDescent="0.3">
      <c r="G56" s="71" t="s">
        <v>156</v>
      </c>
    </row>
    <row r="57" spans="2:8" s="71" customFormat="1" x14ac:dyDescent="0.3"/>
    <row r="58" spans="2:8" s="71" customFormat="1" x14ac:dyDescent="0.3"/>
    <row r="59" spans="2:8" s="71" customFormat="1" x14ac:dyDescent="0.3"/>
    <row r="60" spans="2:8" s="71" customFormat="1" x14ac:dyDescent="0.3"/>
    <row r="61" spans="2:8" s="71" customFormat="1" x14ac:dyDescent="0.3"/>
    <row r="62" spans="2:8" x14ac:dyDescent="0.3">
      <c r="B62" s="133"/>
      <c r="C62" s="133"/>
      <c r="D62" s="133"/>
      <c r="E62" s="133"/>
      <c r="F62" s="133"/>
      <c r="G62" s="133"/>
    </row>
    <row r="63" spans="2:8" x14ac:dyDescent="0.3">
      <c r="B63" s="133"/>
      <c r="C63" s="133"/>
      <c r="D63" s="133"/>
      <c r="E63" s="133"/>
      <c r="F63" s="133"/>
      <c r="G63" s="133"/>
    </row>
    <row r="64" spans="2:8" x14ac:dyDescent="0.3">
      <c r="B64" s="133"/>
      <c r="C64" s="133"/>
      <c r="D64" s="133"/>
      <c r="E64" s="133"/>
      <c r="F64" s="133"/>
      <c r="G64" s="133"/>
    </row>
    <row r="65" spans="2:7" x14ac:dyDescent="0.3">
      <c r="B65" s="133"/>
      <c r="C65" s="133"/>
      <c r="D65" s="133"/>
      <c r="E65" s="133"/>
      <c r="F65" s="133"/>
      <c r="G65" s="133"/>
    </row>
    <row r="66" spans="2:7" x14ac:dyDescent="0.3">
      <c r="B66" s="133"/>
      <c r="C66" s="133"/>
      <c r="D66" s="133"/>
      <c r="E66" s="133"/>
      <c r="F66" s="133"/>
      <c r="G66" s="133"/>
    </row>
  </sheetData>
  <sheetProtection algorithmName="SHA-512" hashValue="d8YmbEuhgH/1suTHnyk65cUm7JICPWvCYFmBmgZq8qv3j6oNX1dH6pxbsOvEemrfsUtiheOuJ37FLcWPLzLIBA==" saltValue="9SYKwqsdfai2EFAADOs7AQ=="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144d1ed-9578-499b-aab3-473b6fd8290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7D411A79B9F724FA326C1CDA3C33F1C" ma:contentTypeVersion="17" ma:contentTypeDescription="Create a new document." ma:contentTypeScope="" ma:versionID="88f07731be4e2174aabfccc3225d3ddd">
  <xsd:schema xmlns:xsd="http://www.w3.org/2001/XMLSchema" xmlns:xs="http://www.w3.org/2001/XMLSchema" xmlns:p="http://schemas.microsoft.com/office/2006/metadata/properties" xmlns:ns3="0144d1ed-9578-499b-aab3-473b6fd82908" xmlns:ns4="68c579e4-9ed6-40fb-8f8f-8d0e85c5fe54" targetNamespace="http://schemas.microsoft.com/office/2006/metadata/properties" ma:root="true" ma:fieldsID="768fb9303f886b187ec06297129b6cd9" ns3:_="" ns4:_="">
    <xsd:import namespace="0144d1ed-9578-499b-aab3-473b6fd82908"/>
    <xsd:import namespace="68c579e4-9ed6-40fb-8f8f-8d0e85c5fe5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44d1ed-9578-499b-aab3-473b6fd829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8c579e4-9ed6-40fb-8f8f-8d0e85c5fe5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2.xml><?xml version="1.0" encoding="utf-8"?>
<ds:datastoreItem xmlns:ds="http://schemas.openxmlformats.org/officeDocument/2006/customXml" ds:itemID="{1646126D-72FF-43C3-B754-1B03FE5D0211}">
  <ds:schemaRefs>
    <ds:schemaRef ds:uri="http://schemas.microsoft.com/office/2006/documentManagement/types"/>
    <ds:schemaRef ds:uri="68c579e4-9ed6-40fb-8f8f-8d0e85c5fe54"/>
    <ds:schemaRef ds:uri="http://schemas.microsoft.com/office/2006/metadata/properties"/>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 ds:uri="0144d1ed-9578-499b-aab3-473b6fd82908"/>
    <ds:schemaRef ds:uri="http://www.w3.org/XML/1998/namespace"/>
  </ds:schemaRefs>
</ds:datastoreItem>
</file>

<file path=customXml/itemProps3.xml><?xml version="1.0" encoding="utf-8"?>
<ds:datastoreItem xmlns:ds="http://schemas.openxmlformats.org/officeDocument/2006/customXml" ds:itemID="{A61078DD-DFF5-4302-85EB-5D6CF327FD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44d1ed-9578-499b-aab3-473b6fd82908"/>
    <ds:schemaRef ds:uri="68c579e4-9ed6-40fb-8f8f-8d0e85c5fe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Yeny Lopez Mendoza</cp:lastModifiedBy>
  <dcterms:created xsi:type="dcterms:W3CDTF">2013-07-30T17:19:59Z</dcterms:created>
  <dcterms:modified xsi:type="dcterms:W3CDTF">2024-06-06T04:57:35Z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0x01010047D411A79B9F724FA326C1CDA3C33F1C</vt:lpwstr>
  </property>
  <property fmtid="{D5CDD505-2E9C-101B-9397-08002B2CF9AE}" pid="3" name="MSIP_Label_e14c1950-b3a8-4278-88f1-6df69d73b9d5_Enabled">
    <vt:lpwstr>true</vt:lpwstr>
  </property>
  <property fmtid="{D5CDD505-2E9C-101B-9397-08002B2CF9AE}" pid="4" name="MSIP_Label_e14c1950-b3a8-4278-88f1-6df69d73b9d5_SetDate">
    <vt:lpwstr>2023-06-04T05:35:16Z</vt:lpwstr>
  </property>
  <property fmtid="{D5CDD505-2E9C-101B-9397-08002B2CF9AE}" pid="5" name="MSIP_Label_e14c1950-b3a8-4278-88f1-6df69d73b9d5_Method">
    <vt:lpwstr>Standard</vt:lpwstr>
  </property>
  <property fmtid="{D5CDD505-2E9C-101B-9397-08002B2CF9AE}" pid="6" name="MSIP_Label_e14c1950-b3a8-4278-88f1-6df69d73b9d5_Name">
    <vt:lpwstr>e14c1950-b3a8-4278-88f1-6df69d73b9d5</vt:lpwstr>
  </property>
  <property fmtid="{D5CDD505-2E9C-101B-9397-08002B2CF9AE}" pid="7" name="MSIP_Label_e14c1950-b3a8-4278-88f1-6df69d73b9d5_SiteId">
    <vt:lpwstr>855b093e-7340-45c7-9f0c-96150415893e</vt:lpwstr>
  </property>
  <property fmtid="{D5CDD505-2E9C-101B-9397-08002B2CF9AE}" pid="8" name="MSIP_Label_e14c1950-b3a8-4278-88f1-6df69d73b9d5_ActionId">
    <vt:lpwstr>1d3c0790-4afe-4246-a8d9-0b6113153134</vt:lpwstr>
  </property>
  <property fmtid="{D5CDD505-2E9C-101B-9397-08002B2CF9AE}" pid="9" name="MSIP_Label_e14c1950-b3a8-4278-88f1-6df69d73b9d5_ContentBits">
    <vt:lpwstr>0</vt:lpwstr>
  </property>
</Properties>
</file>