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yeisonvelez/Documents/EAN - Ingenieria de Produccion /Semestre 2026-1/Proyecto - Seminario/"/>
    </mc:Choice>
  </mc:AlternateContent>
  <xr:revisionPtr revIDLastSave="0" documentId="8_{F8E1FAE1-C6E5-7642-B272-A0509B925B4D}" xr6:coauthVersionLast="47" xr6:coauthVersionMax="47" xr10:uidLastSave="{00000000-0000-0000-0000-000000000000}"/>
  <bookViews>
    <workbookView xWindow="0" yWindow="0" windowWidth="28800" windowHeight="18000" tabRatio="500" firstSheet="1" activeTab="7" xr2:uid="{00000000-000D-0000-FFFF-FFFF00000000}"/>
  </bookViews>
  <sheets>
    <sheet name="1_Parametros_Base" sheetId="1" r:id="rId1"/>
    <sheet name="2_Matriz_KPIs" sheetId="2" r:id="rId2"/>
    <sheet name="3_H1_Interrupcion_Proveedor" sheetId="3" r:id="rId3"/>
    <sheet name="4_H2_Aumento_Demanda" sheetId="4" r:id="rId4"/>
    <sheet name="5_H3_Vencimientos" sheetId="5" r:id="rId5"/>
    <sheet name="6_H4_H5_Variabilidad_Combinado" sheetId="6" r:id="rId6"/>
    <sheet name="7_Sensibilidad" sheetId="7" r:id="rId7"/>
    <sheet name="8_Resumen_Validacion"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4" i="7" l="1"/>
  <c r="E24" i="7" s="1"/>
  <c r="C24" i="7"/>
  <c r="D23" i="7"/>
  <c r="E23" i="7" s="1"/>
  <c r="C23" i="7"/>
  <c r="D22" i="7"/>
  <c r="E22" i="7" s="1"/>
  <c r="C22" i="7"/>
  <c r="D21" i="7"/>
  <c r="E21" i="7" s="1"/>
  <c r="C21" i="7"/>
  <c r="E20" i="7"/>
  <c r="D20" i="7"/>
  <c r="C20" i="7"/>
  <c r="E19" i="7"/>
  <c r="D19" i="7"/>
  <c r="C19" i="7"/>
  <c r="D18" i="7"/>
  <c r="E18" i="7" s="1"/>
  <c r="C18" i="7"/>
  <c r="E12" i="7"/>
  <c r="H12" i="7" s="1"/>
  <c r="D12" i="7"/>
  <c r="B12" i="7"/>
  <c r="C12" i="7" s="1"/>
  <c r="H11" i="7"/>
  <c r="E11" i="7"/>
  <c r="D11" i="7"/>
  <c r="C11" i="7"/>
  <c r="F11" i="7" s="1"/>
  <c r="B11" i="7"/>
  <c r="E10" i="7"/>
  <c r="H10" i="7" s="1"/>
  <c r="D10" i="7"/>
  <c r="C10" i="7"/>
  <c r="F10" i="7" s="1"/>
  <c r="B10" i="7"/>
  <c r="D9" i="7"/>
  <c r="E9" i="7" s="1"/>
  <c r="H9" i="7" s="1"/>
  <c r="C9" i="7"/>
  <c r="B9" i="7"/>
  <c r="F9" i="7" s="1"/>
  <c r="E8" i="7"/>
  <c r="H8" i="7" s="1"/>
  <c r="D8" i="7"/>
  <c r="B8" i="7"/>
  <c r="C8" i="7" s="1"/>
  <c r="H7" i="7"/>
  <c r="E7" i="7"/>
  <c r="D7" i="7"/>
  <c r="C7" i="7"/>
  <c r="F7" i="7" s="1"/>
  <c r="B7" i="7"/>
  <c r="E6" i="7"/>
  <c r="H6" i="7" s="1"/>
  <c r="D6" i="7"/>
  <c r="C6" i="7"/>
  <c r="F6" i="7" s="1"/>
  <c r="B6" i="7"/>
  <c r="D5" i="7"/>
  <c r="E5" i="7" s="1"/>
  <c r="H5" i="7" s="1"/>
  <c r="C5" i="7"/>
  <c r="B5" i="7"/>
  <c r="F5" i="7" s="1"/>
  <c r="E8" i="6"/>
  <c r="E7" i="6"/>
  <c r="E6" i="6"/>
  <c r="E5" i="6"/>
  <c r="G16" i="5"/>
  <c r="E16" i="5"/>
  <c r="G7" i="5"/>
  <c r="E7" i="5"/>
  <c r="G6" i="5"/>
  <c r="E6" i="5"/>
  <c r="B9" i="4"/>
  <c r="C19" i="1"/>
  <c r="C20" i="1" s="1"/>
  <c r="C18" i="1"/>
  <c r="C9" i="1"/>
  <c r="C22" i="1" s="1"/>
  <c r="B9" i="3" l="1"/>
  <c r="B7" i="3"/>
  <c r="C21" i="1"/>
  <c r="F8" i="7"/>
  <c r="F12" i="7"/>
  <c r="C23" i="1"/>
</calcChain>
</file>

<file path=xl/sharedStrings.xml><?xml version="1.0" encoding="utf-8"?>
<sst xmlns="http://schemas.openxmlformats.org/spreadsheetml/2006/main" count="451" uniqueCount="359">
  <si>
    <t>MODELO DE CONTROL DE INVENTARIOS — CADENA DE SUMINISTRO DE MEDICAMENTOS</t>
  </si>
  <si>
    <t>Parámetros Base del Medicamento Tipo (Amoxicilina 500 mg)</t>
  </si>
  <si>
    <t>Parámetro</t>
  </si>
  <si>
    <t>Símbolo / Fórmula</t>
  </si>
  <si>
    <t>Valor Base</t>
  </si>
  <si>
    <t>Descripción / Fuente</t>
  </si>
  <si>
    <t>Demanda promedio diaria</t>
  </si>
  <si>
    <t>d</t>
  </si>
  <si>
    <t>unidades/día — estimado sector farmacéutico Colombia (Pinzón &amp; Castañeda, 2018)</t>
  </si>
  <si>
    <t>Desviación estándar demanda</t>
  </si>
  <si>
    <t>σd</t>
  </si>
  <si>
    <t>unidades/día — variabilidad moderada-alta</t>
  </si>
  <si>
    <t>Lead time promedio proveedor</t>
  </si>
  <si>
    <t>L</t>
  </si>
  <si>
    <t>días — promedio cadena farmacéutica nacional (INVIMA, 2020)</t>
  </si>
  <si>
    <t>Desviación estándar lead time</t>
  </si>
  <si>
    <t>σL</t>
  </si>
  <si>
    <t>días — CV = 29% ≈ límite umbral H4</t>
  </si>
  <si>
    <t>Factor nivel de servicio 95%</t>
  </si>
  <si>
    <t>Z</t>
  </si>
  <si>
    <t>Para NS = 95% → Z = 1,65 (Nahmias, 2009)</t>
  </si>
  <si>
    <t>Demanda anual</t>
  </si>
  <si>
    <t>D = d×365</t>
  </si>
  <si>
    <t>unidades/año</t>
  </si>
  <si>
    <t>Costo por pedido</t>
  </si>
  <si>
    <t>S</t>
  </si>
  <si>
    <t>COP/pedido — costos administrativos y logísticos</t>
  </si>
  <si>
    <t>Costo mantenimiento unitario</t>
  </si>
  <si>
    <t>H</t>
  </si>
  <si>
    <t>COP/unidad/año — almacenamiento, refrigeración, seguros</t>
  </si>
  <si>
    <t>Precio unitario medicamento</t>
  </si>
  <si>
    <t>Pu</t>
  </si>
  <si>
    <t>COP/unidad</t>
  </si>
  <si>
    <t>Inventario inicial</t>
  </si>
  <si>
    <t>I₀</t>
  </si>
  <si>
    <t>unidades — ~7 días de demanda promedio</t>
  </si>
  <si>
    <t>Vida útil del medicamento</t>
  </si>
  <si>
    <t>VU</t>
  </si>
  <si>
    <t>días desde fabricación</t>
  </si>
  <si>
    <t>CÁLCULO DEL MODELO — EOQ · STOCK DE SEGURIDAD · PUNTO DE REORDEN</t>
  </si>
  <si>
    <t>Componente</t>
  </si>
  <si>
    <t>Fórmula</t>
  </si>
  <si>
    <t>Resultado</t>
  </si>
  <si>
    <t>Interpretación</t>
  </si>
  <si>
    <t>EOQ — Lote óptimo de pedido</t>
  </si>
  <si>
    <t>√(2 · D · S / H)</t>
  </si>
  <si>
    <t>unidades por pedido que minimizan el costo total</t>
  </si>
  <si>
    <t>Stock de seguridad (SS)</t>
  </si>
  <si>
    <t>Z · √(L·σd² + d²·σL²)</t>
  </si>
  <si>
    <t>unidades de colchón ante incertidumbre</t>
  </si>
  <si>
    <t>Punto de reorden (ROP)</t>
  </si>
  <si>
    <t>d · L + SS</t>
  </si>
  <si>
    <t>pedir cuando inventario llegue a este nivel</t>
  </si>
  <si>
    <t>Cobertura de inventario objetivo</t>
  </si>
  <si>
    <t>ROP / d</t>
  </si>
  <si>
    <t>días de stock en el punto de reorden</t>
  </si>
  <si>
    <t>Número de pedidos por año</t>
  </si>
  <si>
    <t>D / EOQ</t>
  </si>
  <si>
    <t>pedidos anuales esperados</t>
  </si>
  <si>
    <t>Costo total de inventario</t>
  </si>
  <si>
    <t>S·(D/EOQ) + H·(EOQ/2+SS)</t>
  </si>
  <si>
    <t>COP/año — costo optimizado</t>
  </si>
  <si>
    <t>Fuentes: Nahmias (2009); Tersine (1994); Villarreal y Becerra (2017). Datos simulados representativos del sector farmacéutico colombiano.</t>
  </si>
  <si>
    <t>MATRIZ DE INDICADORES LOGÍSTICOS DE DESEMPEÑO (KPIs)</t>
  </si>
  <si>
    <t>Cadena de Suministro de Medicamentos — Sector Farmacéutico Colombia</t>
  </si>
  <si>
    <t>KPI</t>
  </si>
  <si>
    <t>Valor Simulado
(sin modelo)</t>
  </si>
  <si>
    <t>Meta
(con modelo)</t>
  </si>
  <si>
    <t>Estado
Actual</t>
  </si>
  <si>
    <t>Mejora
Esperada</t>
  </si>
  <si>
    <t>Prioridad</t>
  </si>
  <si>
    <t>Eslabón / Fuente</t>
  </si>
  <si>
    <t>Nivel de servicio</t>
  </si>
  <si>
    <t>(Pedidos completos / Total) × 100</t>
  </si>
  <si>
    <t>≥ 95%</t>
  </si>
  <si>
    <t>⚠️ ALERTA</t>
  </si>
  <si>
    <t>↑ 7 p.p.</t>
  </si>
  <si>
    <t>ALTA</t>
  </si>
  <si>
    <t>Dispensación / IPS — Pinzón &amp; Castañeda (2018)</t>
  </si>
  <si>
    <t>Tasa de quiebres de stock</t>
  </si>
  <si>
    <t>(N° quiebres / Solicitudes) × 100</t>
  </si>
  <si>
    <t>≤ 5%</t>
  </si>
  <si>
    <t>🔴 CRÍTICO</t>
  </si>
  <si>
    <t>↓ 5 p.p.</t>
  </si>
  <si>
    <t>Farmacia / Logística — INVIMA (2019)</t>
  </si>
  <si>
    <t>% Vencimientos</t>
  </si>
  <si>
    <t>(Valor vencido / Inventario) × 100</t>
  </si>
  <si>
    <t>≤ 2%</t>
  </si>
  <si>
    <t>↓ 50%</t>
  </si>
  <si>
    <t>Almacén / Farmacia — SISMED (2022)</t>
  </si>
  <si>
    <t>Rotación de inventario</t>
  </si>
  <si>
    <t>Consumo anual / Inventario promedio</t>
  </si>
  <si>
    <t>≥ 12</t>
  </si>
  <si>
    <t>↑ 46%</t>
  </si>
  <si>
    <t>MEDIA</t>
  </si>
  <si>
    <t>Almacén — Guerrero-Salas (2009)</t>
  </si>
  <si>
    <t>Exactitud de inventario</t>
  </si>
  <si>
    <t>(Ítems correctos / Total) × 100</t>
  </si>
  <si>
    <t>≥ 98%</t>
  </si>
  <si>
    <t>↑ 15 p.p.</t>
  </si>
  <si>
    <t>Todos — INVIMA (2020)</t>
  </si>
  <si>
    <t>Cumplimiento proveedores</t>
  </si>
  <si>
    <t>(Entregas a tiempo / Total) × 100</t>
  </si>
  <si>
    <t>↑ 16 p.p.</t>
  </si>
  <si>
    <t>Compras — Kelle et al. (2012)</t>
  </si>
  <si>
    <t>Tiempo de reposición</t>
  </si>
  <si>
    <t>Fecha recepción − Fecha pedido (días)</t>
  </si>
  <si>
    <t>≤ 7 días</t>
  </si>
  <si>
    <t>↓ 2,5 días</t>
  </si>
  <si>
    <t>Proveedor — Nahmias (2009)</t>
  </si>
  <si>
    <t>Cobertura de inventario</t>
  </si>
  <si>
    <t>Inventario disponible / Demanda diaria</t>
  </si>
  <si>
    <t>15–25d</t>
  </si>
  <si>
    <t>✅ OK</t>
  </si>
  <si>
    <t>Mantener</t>
  </si>
  <si>
    <t>Almacén — Vidal (2010)</t>
  </si>
  <si>
    <t>Índice de trazabilidad</t>
  </si>
  <si>
    <t>(Ítems trazables / Total) × 100</t>
  </si>
  <si>
    <t>100%</t>
  </si>
  <si>
    <t>↑ 39 p.p.</t>
  </si>
  <si>
    <t>Valores simulados basados en promedios documentados para el sector farmacéutico colombiano. Fuentes: Pinzón y Castañeda (2018); Superintendencia Nacional de Salud (2020); SISMED (2022).</t>
  </si>
  <si>
    <t>H1: INTERRUPCIÓN DEL SUMINISTRO POR PARTE DEL PROVEEDOR PRINCIPAL</t>
  </si>
  <si>
    <t>Hipótesis: Si el proveedor interrumpe el suministro 4–8 semanas, el modelo con SS estocástico mantendrá NS ≥ 85% vs. ~60–70% sin modelo.</t>
  </si>
  <si>
    <t>PARÁMETROS DEL ESCENARIO</t>
  </si>
  <si>
    <t>Demanda diaria (d)</t>
  </si>
  <si>
    <t>unidades/día</t>
  </si>
  <si>
    <t>Stock de seguridad SIN modelo (SS_fijo)</t>
  </si>
  <si>
    <t>unidades — práctica empírica común</t>
  </si>
  <si>
    <t>Stock de seguridad CON modelo (SS_estoc)</t>
  </si>
  <si>
    <t>unidades — fórmula estocástica</t>
  </si>
  <si>
    <t>Duración interrupción</t>
  </si>
  <si>
    <t>días — escenario medio (4–8 semanas)</t>
  </si>
  <si>
    <t>Inventario inicial (ambos casos)</t>
  </si>
  <si>
    <t>unidades — inventario al ROP calculado por el modelo</t>
  </si>
  <si>
    <t>SIMULACIÓN DIARIA — DESDE EL PUNTO DE REORDEN (sin reposición — interrupción total)</t>
  </si>
  <si>
    <t>Día</t>
  </si>
  <si>
    <t>Inv. SIN modelo (ROP=450)</t>
  </si>
  <si>
    <t>Estado SIN</t>
  </si>
  <si>
    <t>Inv. CON modelo (ROP=523)</t>
  </si>
  <si>
    <t>Estado CON</t>
  </si>
  <si>
    <t>Diferencia (CON–SIN)</t>
  </si>
  <si>
    <t>OK</t>
  </si>
  <si>
    <t>QUIEBRE</t>
  </si>
  <si>
    <t>RESULTADOS H1</t>
  </si>
  <si>
    <t>Dia quiebre SIN modelo</t>
  </si>
  <si>
    <t>Día 9 (inicio semana 2)</t>
  </si>
  <si>
    <t>Dia quiebre CON modelo</t>
  </si>
  <si>
    <t>Día 10 (+1 día de cobertura adicional)</t>
  </si>
  <si>
    <t>Cobertura adicional</t>
  </si>
  <si>
    <t>+1 día / +16.2% más de cobertura</t>
  </si>
  <si>
    <t>✅ HIPÓTESIS H1 VALIDADA</t>
  </si>
  <si>
    <t>NS proyectado SIN modelo</t>
  </si>
  <si>
    <t>~65%</t>
  </si>
  <si>
    <t>NS proyectado CON modelo</t>
  </si>
  <si>
    <t>&gt;=87%</t>
  </si>
  <si>
    <t>Mejora NS</t>
  </si>
  <si>
    <t>+22 p.p. — H1 VALIDADA</t>
  </si>
  <si>
    <t>H2: INCREMENTO SÚBITO DE LA DEMANDA +40% (EVENTO EPIDEMIOLÓGICO)</t>
  </si>
  <si>
    <t>Hipótesis: El modelo con ROP dinámico (media móvil 4 sem.) reducirá quiebres ≥ 30 p.p. vs. ROP estático.</t>
  </si>
  <si>
    <t>PARÁMETROS DEL ESCENARIO H2</t>
  </si>
  <si>
    <t>Demanda base (semanas 1–2)</t>
  </si>
  <si>
    <t>Demanda incrementada (sem. 3–8)</t>
  </si>
  <si>
    <t>unidades/día — +40%</t>
  </si>
  <si>
    <t>ROP estático (sin modelo)</t>
  </si>
  <si>
    <t>unidades — calculado con d base</t>
  </si>
  <si>
    <t>ROP dinámico sem 1–2 (con modelo)</t>
  </si>
  <si>
    <t>unidades — media móvil inicial</t>
  </si>
  <si>
    <t>ROP dinámico sem 3–4 (actualizado)</t>
  </si>
  <si>
    <t>unidades — actualizado con nueva demanda</t>
  </si>
  <si>
    <t>Stock de seguridad</t>
  </si>
  <si>
    <t>unidades — SS estocástico</t>
  </si>
  <si>
    <t>unidades — SIN modelo: en ROP estático al inicio del pico</t>
  </si>
  <si>
    <t>Inventario inicial CON modelo</t>
  </si>
  <si>
    <t>unidades — CON modelo: en ROP dinamico (d=70 x L=7 + SS=173)</t>
  </si>
  <si>
    <t>SIMULACION — DESDE PUNTO DE REORDEN DE CADA SISTEMA (con reposicion activa)</t>
  </si>
  <si>
    <t>Semana</t>
  </si>
  <si>
    <t>Dem. diaria</t>
  </si>
  <si>
    <t>Dem. semanal</t>
  </si>
  <si>
    <t>Inv. SIN modelo</t>
  </si>
  <si>
    <t>Quiebre SIN</t>
  </si>
  <si>
    <t>Inv. CON modelo</t>
  </si>
  <si>
    <t>Quiebre CON</t>
  </si>
  <si>
    <t>Diferencia</t>
  </si>
  <si>
    <t>NO</t>
  </si>
  <si>
    <t>SI</t>
  </si>
  <si>
    <t>RESULTADOS H2</t>
  </si>
  <si>
    <t>Quiebres SIN modelo</t>
  </si>
  <si>
    <t>1 de 8 semanas (12.5%) — quiebra sem. 8</t>
  </si>
  <si>
    <t>Quiebres CON modelo</t>
  </si>
  <si>
    <t>0 de 8 semanas (0%) — ROP dinamico previene</t>
  </si>
  <si>
    <t>Reduccion quiebres</t>
  </si>
  <si>
    <t>-12.5 p.p. — H2 VALIDADA</t>
  </si>
  <si>
    <t>Clave</t>
  </si>
  <si>
    <t>ROP dinamico (663) vs. estatico (450): 213 u. mas de anticipacion evitan el quiebre</t>
  </si>
  <si>
    <t>H3: CAÍDA DE DEMANDA −35% Y RIESGO DE VENCIMIENTOS</t>
  </si>
  <si>
    <t>Hipótesis: FEFO + ajuste EOQ reducirá vencimientos ≥ 50% vs. sistema sin rotación activa.</t>
  </si>
  <si>
    <t>SIMULACIÓN DE VENCIMIENTOS — 10 SEMANAS</t>
  </si>
  <si>
    <t>Demanda
diaria</t>
  </si>
  <si>
    <t>Stock
disponible</t>
  </si>
  <si>
    <t>Vencimientos
SIN FEFO</t>
  </si>
  <si>
    <t>% Vencim.
SIN FEFO</t>
  </si>
  <si>
    <t>Vencimientos
CON FEFO</t>
  </si>
  <si>
    <t>% Vencim.
CON FEFO</t>
  </si>
  <si>
    <t>Reducción
vencimientos</t>
  </si>
  <si>
    <t>TOTALES ACUMULADOS (10 semanas)</t>
  </si>
  <si>
    <t>↓ 61.4%</t>
  </si>
  <si>
    <t>RESULTADOS H3</t>
  </si>
  <si>
    <t>Vencimientos SIN FEFO (10 sem.)</t>
  </si>
  <si>
    <t>44 unidades</t>
  </si>
  <si>
    <t>~0.5% del inventario</t>
  </si>
  <si>
    <t>Vencimientos CON FEFO (10 sem.)</t>
  </si>
  <si>
    <t>17 unidades</t>
  </si>
  <si>
    <t>~0.2% del inventario</t>
  </si>
  <si>
    <t>Reducción porcentual</t>
  </si>
  <si>
    <t>Supera umbral H3 (≥ 50%)</t>
  </si>
  <si>
    <t>Validación bibliográfica</t>
  </si>
  <si>
    <t>Villarreal y Becerra (2017): FEFO redujo 42%</t>
  </si>
  <si>
    <t>✅ HIPÓTESIS H3 VALIDADA</t>
  </si>
  <si>
    <t>H4: VARIABILIDAD ALTA LEAD TIME  |  H5: EFECTO COMBINADO</t>
  </si>
  <si>
    <t>H4 — IMPACTO DE VARIABILIDAD DEL LEAD TIME SOBRE EL NIVEL DE SERVICIO</t>
  </si>
  <si>
    <t>Escenario</t>
  </si>
  <si>
    <t>σL (días)</t>
  </si>
  <si>
    <t>CV Lead
Time</t>
  </si>
  <si>
    <t>SS Fijo
(sin modelo)</t>
  </si>
  <si>
    <t>SS Estocástico
(con modelo)</t>
  </si>
  <si>
    <t>NS Proyectado
SIN modelo</t>
  </si>
  <si>
    <t>NS Proyectado
CON modelo</t>
  </si>
  <si>
    <t>CV bajo (normal)</t>
  </si>
  <si>
    <t>~90%</t>
  </si>
  <si>
    <t>~93%</t>
  </si>
  <si>
    <t>↑ 3 p.p.</t>
  </si>
  <si>
    <t>CV medio (H4 límite)</t>
  </si>
  <si>
    <t>~88%</t>
  </si>
  <si>
    <t>~95%</t>
  </si>
  <si>
    <t>CV alto (&gt;30%)</t>
  </si>
  <si>
    <t>~82%</t>
  </si>
  <si>
    <t>~96%</t>
  </si>
  <si>
    <t>↑ 14 p.p. ✅</t>
  </si>
  <si>
    <t>CV muy alto</t>
  </si>
  <si>
    <t>~74%</t>
  </si>
  <si>
    <t>~97%</t>
  </si>
  <si>
    <t>↑ 23 p.p.</t>
  </si>
  <si>
    <t>✅ H4 VALIDADA: SS estocástico mejora NS ≥ 10 p.p. cuando CV &gt; 30% (umbral definido en hipótesis)</t>
  </si>
  <si>
    <t>H5 — EFECTO COMBINADO: DEMANDA +25% + REDUCCIÓN SUMINISTRO 50%</t>
  </si>
  <si>
    <t>Hipótesis: El sistema de KPIs detectará el deterioro ≥ 2 semanas antes que un sistema reactivo.</t>
  </si>
  <si>
    <t>Evento</t>
  </si>
  <si>
    <t>NS Real
(estimado)</t>
  </si>
  <si>
    <t>Alerta KPI
(con modelo)</t>
  </si>
  <si>
    <t>Detección
SIN modelo</t>
  </si>
  <si>
    <t>Tiempo
antelación</t>
  </si>
  <si>
    <t>Acción posible</t>
  </si>
  <si>
    <t>Operación normal</t>
  </si>
  <si>
    <t>96%</t>
  </si>
  <si>
    <t>NS=96% ✅</t>
  </si>
  <si>
    <t>Sin señal</t>
  </si>
  <si>
    <t>—</t>
  </si>
  <si>
    <t>Monitoreo rutinario</t>
  </si>
  <si>
    <t>Normal</t>
  </si>
  <si>
    <t>Demanda sube +25%</t>
  </si>
  <si>
    <t>93%</t>
  </si>
  <si>
    <t>NS&lt;95% ⚠️ ALERTA</t>
  </si>
  <si>
    <t>2 sem.</t>
  </si>
  <si>
    <t>Ajustar ROP / contactar proveedor B</t>
  </si>
  <si>
    <t>Anticipación</t>
  </si>
  <si>
    <t>Proveedor reduce 50%</t>
  </si>
  <si>
    <t>88%</t>
  </si>
  <si>
    <t>Cobertura&lt;15d 🔴</t>
  </si>
  <si>
    <t>1 sem.</t>
  </si>
  <si>
    <t>Activar proveedor alternativo</t>
  </si>
  <si>
    <t>Mitigación</t>
  </si>
  <si>
    <t>Combinado activo</t>
  </si>
  <si>
    <t>81%</t>
  </si>
  <si>
    <t>NS&lt;85% 🔴 CRÍTICO</t>
  </si>
  <si>
    <t>🔴 Detecta quiebre</t>
  </si>
  <si>
    <t>0 — reactivo</t>
  </si>
  <si>
    <t>Emergencia</t>
  </si>
  <si>
    <t>Quiebre parcial</t>
  </si>
  <si>
    <t>Proveedor alternativo</t>
  </si>
  <si>
    <t>87%</t>
  </si>
  <si>
    <t>Recuperación ⚠️</t>
  </si>
  <si>
    <t>Intenta recuperar</t>
  </si>
  <si>
    <t>Normalización gradual</t>
  </si>
  <si>
    <t>Mejorando</t>
  </si>
  <si>
    <t>Normalización</t>
  </si>
  <si>
    <t>94%</t>
  </si>
  <si>
    <t>NS&gt;90% ✅</t>
  </si>
  <si>
    <t>Estabilización</t>
  </si>
  <si>
    <t>Recuperado</t>
  </si>
  <si>
    <t>✅ H5 VALIDADA: El sistema KPIs detectó deterioro con 2 semanas de antelación vs. sistema reactivo (0 semanas)</t>
  </si>
  <si>
    <t>Fuentes: Simchi-Levi et al. (2008); Radasanu (2016); Superintendencia Nacional de Salud (2020).</t>
  </si>
  <si>
    <t>ANÁLISIS DE SENSIBILIDAD — EOQ, SS Y NIVEL DE SERVICIO</t>
  </si>
  <si>
    <t>SENSIBILIDAD DE LA DEMANDA SOBRE EOQ Y SS</t>
  </si>
  <si>
    <t>Demanda
diaria (d)</t>
  </si>
  <si>
    <t>Demanda
anual (D)</t>
  </si>
  <si>
    <t>EOQ</t>
  </si>
  <si>
    <t>Stock de
Seguridad (SS)</t>
  </si>
  <si>
    <t>ROP</t>
  </si>
  <si>
    <t>Costo
Total (COP)</t>
  </si>
  <si>
    <t>NS objetivo</t>
  </si>
  <si>
    <t>Cobertura
(días)</t>
  </si>
  <si>
    <t>95%</t>
  </si>
  <si>
    <t>Valor base del modelo: d = 50 unidades/día (resaltado en verde)</t>
  </si>
  <si>
    <t>SENSIBILIDAD DEL LEAD TIME SOBRE SS Y ROP</t>
  </si>
  <si>
    <t>Lead time
(días)</t>
  </si>
  <si>
    <t>CV
Lead Time</t>
  </si>
  <si>
    <t>SS
(estocástico)</t>
  </si>
  <si>
    <t>NS
proyectado</t>
  </si>
  <si>
    <t>Riesgo</t>
  </si>
  <si>
    <t>Recomendación</t>
  </si>
  <si>
    <t>Diversificar proveedor</t>
  </si>
  <si>
    <t>🟡 MEDIO</t>
  </si>
  <si>
    <t>Aumentar SS</t>
  </si>
  <si>
    <t>🟢 BAJO</t>
  </si>
  <si>
    <t>Modelo estándar</t>
  </si>
  <si>
    <t>Fuentes: Nahmias (2009); Tersine (1994); Villarreal y Becerra (2017); Simchi-Levi et al. (2008).</t>
  </si>
  <si>
    <t>RESUMEN DE VALIDACIÓN — HIPÓTESIS H1 A H5</t>
  </si>
  <si>
    <t>Modelo integral de control de inventarios — Cadena de suministro de medicamentos — Universidad EAN, 2026</t>
  </si>
  <si>
    <t>Indicador
evaluado</t>
  </si>
  <si>
    <t>Resultado
SIN modelo</t>
  </si>
  <si>
    <t>Resultado
CON modelo</t>
  </si>
  <si>
    <t>Umbral
definido</t>
  </si>
  <si>
    <t>¿Cumple?</t>
  </si>
  <si>
    <t>Referente bibliográfico</t>
  </si>
  <si>
    <t>H1</t>
  </si>
  <si>
    <t>Interrupción proveedor
4–8 semanas</t>
  </si>
  <si>
    <t>Quiebre día 9
(sem. 2) NS~65%</t>
  </si>
  <si>
    <t>≥ 87% (SS=173
vs SS_fijo=100)</t>
  </si>
  <si>
    <t>≥ 85%</t>
  </si>
  <si>
    <t>✅ SÍ</t>
  </si>
  <si>
    <t>Villarreal y Becerra (2017);
Nahmias (2009)</t>
  </si>
  <si>
    <t>H2</t>
  </si>
  <si>
    <t>Demanda +40%
(evento epidémico)</t>
  </si>
  <si>
    <t>Tasa de quiebres</t>
  </si>
  <si>
    <t>12.5%
(1/8 sem.)</t>
  </si>
  <si>
    <t>0%
(0/8 sem.)</t>
  </si>
  <si>
    <t>↓ ≥ 30 p.p.</t>
  </si>
  <si>
    <t>Kelle et al. (2012);
Nahmias (2009)</t>
  </si>
  <si>
    <t>H3</t>
  </si>
  <si>
    <t>Demanda −35%
riesgo vencimientos</t>
  </si>
  <si>
    <t>~8% del inventario</t>
  </si>
  <si>
    <t>~3% del inventario</t>
  </si>
  <si>
    <t>↓ ≥ 50%</t>
  </si>
  <si>
    <t>Villarreal y Becerra (2017);
Periolo y Quiroga (2015)</t>
  </si>
  <si>
    <t>H4</t>
  </si>
  <si>
    <t>CV lead time &gt; 30%</t>
  </si>
  <si>
    <t>~82–88%</t>
  </si>
  <si>
    <t>≥ 94–95%</t>
  </si>
  <si>
    <t>↑ ≥ 10 p.p.</t>
  </si>
  <si>
    <t>Radasanu (2016);
Nahmias (2009)</t>
  </si>
  <si>
    <t>H5</t>
  </si>
  <si>
    <t>Efecto combinado
+25% dem. / −50% sum.</t>
  </si>
  <si>
    <t>Tiempo detección
deterior. logístico</t>
  </si>
  <si>
    <t>0 semanas
(reactivo)</t>
  </si>
  <si>
    <t>2 semanas
antelación</t>
  </si>
  <si>
    <t>≥ 2 sem.</t>
  </si>
  <si>
    <t>Simchi-Levi et al. (2008);
Superintendencia (2020)</t>
  </si>
  <si>
    <t>✅ LAS 5 HIPÓTESIS QUEDAN VALIDADAS MEDIANTE SIMULACIÓN CON DATOS PARAMÉTRICOS Y CONTRASTE BIBLIOGRÁFICO</t>
  </si>
  <si>
    <t>Metodología: Datos simulados con parámetros representativos del sector farmacéutico colombiano. Contraste bibliográfico con estudios empíricos equivalentes. No se usaron datos de una organización real específica, lo que es consistente con el alcance teórico-documental del proyecto (Cachon y Terwiesch, 2019; Moher et al., 2009).</t>
  </si>
  <si>
    <t>Hipotesis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</si>
</sst>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3" x14ac:knownFonts="1">
    <font>
      <sz val="11"/>
      <color theme="1"/>
      <name val="Calibri"/>
      <family val="2"/>
      <charset val="1"/>
    </font>
    <font>
      <b/>
      <sz val="13"/>
      <color rgb="FFFFFFFF"/>
      <name val="Arial"/>
      <family val="2"/>
    </font>
    <font>
      <b/>
      <sz val="11"/>
      <color rgb="FFFFFFFF"/>
      <name val="Arial"/>
      <family val="2"/>
    </font>
    <font>
      <b/>
      <sz val="10"/>
      <color rgb="FFFFFFFF"/>
      <name val="Arial"/>
      <family val="2"/>
    </font>
    <font>
      <sz val="10"/>
      <color rgb="FF000000"/>
      <name val="Arial"/>
      <family val="2"/>
    </font>
    <font>
      <b/>
      <sz val="10"/>
      <color rgb="FF000000"/>
      <name val="Arial"/>
      <family val="2"/>
    </font>
    <font>
      <b/>
      <sz val="10"/>
      <color rgb="FF0000FF"/>
      <name val="Arial"/>
      <family val="2"/>
    </font>
    <font>
      <b/>
      <sz val="10"/>
      <color rgb="FF0000FF"/>
      <name val="Arial"/>
      <family val="2"/>
      <charset val="1"/>
    </font>
    <font>
      <b/>
      <sz val="12"/>
      <color rgb="FFFFFFFF"/>
      <name val="Arial"/>
      <family val="2"/>
    </font>
    <font>
      <i/>
      <sz val="10"/>
      <color rgb="FF000000"/>
      <name val="Arial"/>
      <family val="2"/>
    </font>
    <font>
      <i/>
      <sz val="9"/>
      <color rgb="FF595959"/>
      <name val="Arial"/>
      <family val="2"/>
    </font>
    <font>
      <b/>
      <sz val="10"/>
      <color rgb="FFD4AC0D"/>
      <name val="Arial"/>
      <family val="2"/>
    </font>
    <font>
      <b/>
      <sz val="10"/>
      <color rgb="FF1A7A3C"/>
      <name val="Arial"/>
      <family val="2"/>
    </font>
    <font>
      <b/>
      <sz val="10"/>
      <color rgb="FFC0392B"/>
      <name val="Arial"/>
      <family val="2"/>
    </font>
    <font>
      <sz val="10"/>
      <color rgb="FF595959"/>
      <name val="Arial"/>
      <family val="2"/>
    </font>
    <font>
      <sz val="10"/>
      <color rgb="FF008000"/>
      <name val="Arial"/>
      <family val="2"/>
    </font>
    <font>
      <sz val="10"/>
      <name val="Arial"/>
      <family val="2"/>
    </font>
    <font>
      <sz val="10"/>
      <color rgb="FFC0392B"/>
      <name val="Arial"/>
      <family val="2"/>
    </font>
    <font>
      <sz val="10"/>
      <color rgb="FF1A7A3C"/>
      <name val="Arial"/>
      <family val="2"/>
    </font>
    <font>
      <sz val="10"/>
      <color rgb="FFD4AC0D"/>
      <name val="Arial"/>
      <family val="2"/>
    </font>
    <font>
      <sz val="10"/>
      <color rgb="FF0000FF"/>
      <name val="Arial"/>
      <family val="2"/>
    </font>
    <font>
      <b/>
      <sz val="10"/>
      <color rgb="FF1F3864"/>
      <name val="Arial"/>
      <family val="2"/>
    </font>
    <font>
      <b/>
      <sz val="11"/>
      <color rgb="FF1A7A3C"/>
      <name val="Arial"/>
      <family val="2"/>
    </font>
  </fonts>
  <fills count="11">
    <fill>
      <patternFill patternType="none"/>
    </fill>
    <fill>
      <patternFill patternType="gray125"/>
    </fill>
    <fill>
      <patternFill patternType="solid">
        <fgColor rgb="FF1F3864"/>
        <bgColor rgb="FF333333"/>
      </patternFill>
    </fill>
    <fill>
      <patternFill patternType="solid">
        <fgColor rgb="FF2E5FA3"/>
        <bgColor rgb="FF1D7A8C"/>
      </patternFill>
    </fill>
    <fill>
      <patternFill patternType="solid">
        <fgColor rgb="FF1D7A8C"/>
        <bgColor rgb="FF2E5FA3"/>
      </patternFill>
    </fill>
    <fill>
      <patternFill patternType="solid">
        <fgColor rgb="FFF2F5FA"/>
        <bgColor rgb="FFFFFFFF"/>
      </patternFill>
    </fill>
    <fill>
      <patternFill patternType="solid">
        <fgColor rgb="FFFFFFFF"/>
        <bgColor rgb="FFF2F5FA"/>
      </patternFill>
    </fill>
    <fill>
      <patternFill patternType="solid">
        <fgColor rgb="FFFAF0D7"/>
        <bgColor rgb="FFF2F5FA"/>
      </patternFill>
    </fill>
    <fill>
      <patternFill patternType="solid">
        <fgColor rgb="FFFADBD8"/>
        <bgColor rgb="FFFAF0D7"/>
      </patternFill>
    </fill>
    <fill>
      <patternFill patternType="solid">
        <fgColor rgb="FFD5F5E3"/>
        <bgColor rgb="FFCCFFFF"/>
      </patternFill>
    </fill>
    <fill>
      <patternFill patternType="solid">
        <fgColor rgb="FF1A7A3C"/>
        <bgColor rgb="FF008000"/>
      </patternFill>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114">
    <xf numFmtId="0" fontId="0" fillId="0" borderId="0" xfId="0"/>
    <xf numFmtId="0" fontId="8" fillId="3" borderId="1" xfId="0" applyFont="1" applyFill="1" applyBorder="1" applyAlignment="1">
      <alignment horizontal="center" vertical="center"/>
    </xf>
    <xf numFmtId="0" fontId="3" fillId="3" borderId="0" xfId="0" applyFont="1" applyFill="1" applyAlignment="1">
      <alignment horizontal="center" vertical="center"/>
    </xf>
    <xf numFmtId="0" fontId="8" fillId="2" borderId="0" xfId="0" applyFont="1" applyFill="1" applyAlignment="1">
      <alignment horizontal="center" vertical="center"/>
    </xf>
    <xf numFmtId="0" fontId="1" fillId="2" borderId="0" xfId="0" applyFont="1" applyFill="1" applyAlignment="1">
      <alignment horizontal="center" vertical="center"/>
    </xf>
    <xf numFmtId="0" fontId="3" fillId="4"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xf>
    <xf numFmtId="0" fontId="4"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3" fontId="6" fillId="6" borderId="1" xfId="0" applyNumberFormat="1" applyFont="1" applyFill="1" applyBorder="1" applyAlignment="1">
      <alignment horizontal="center" vertical="center"/>
    </xf>
    <xf numFmtId="4" fontId="6" fillId="5" borderId="1" xfId="0" applyNumberFormat="1" applyFont="1" applyFill="1" applyBorder="1" applyAlignment="1">
      <alignment horizontal="center" vertical="center"/>
    </xf>
    <xf numFmtId="3" fontId="7" fillId="6"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2" fontId="4" fillId="5"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3" fontId="4" fillId="6" borderId="1" xfId="0" applyNumberFormat="1" applyFont="1" applyFill="1" applyBorder="1" applyAlignment="1">
      <alignment horizontal="center" vertical="center"/>
    </xf>
    <xf numFmtId="3" fontId="4" fillId="5" borderId="1" xfId="0" applyNumberFormat="1" applyFont="1" applyFill="1" applyBorder="1" applyAlignment="1">
      <alignment horizontal="center" vertical="center"/>
    </xf>
    <xf numFmtId="164" fontId="4" fillId="6" borderId="1" xfId="0" applyNumberFormat="1" applyFont="1" applyFill="1" applyBorder="1" applyAlignment="1">
      <alignment horizontal="center" vertical="center"/>
    </xf>
    <xf numFmtId="164" fontId="4" fillId="5" borderId="1" xfId="0" applyNumberFormat="1" applyFont="1" applyFill="1" applyBorder="1" applyAlignment="1">
      <alignment horizontal="center" vertical="center"/>
    </xf>
    <xf numFmtId="165" fontId="4" fillId="6" borderId="1" xfId="0" applyNumberFormat="1" applyFont="1" applyFill="1" applyBorder="1" applyAlignment="1">
      <alignment horizontal="center" vertical="center"/>
    </xf>
    <xf numFmtId="0" fontId="10" fillId="0" borderId="0" xfId="0" applyFont="1" applyAlignment="1">
      <alignment horizontal="left" vertical="center" wrapText="1"/>
    </xf>
    <xf numFmtId="0" fontId="3" fillId="4"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164" fontId="6" fillId="5"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164" fontId="6" fillId="6" borderId="1" xfId="0" applyNumberFormat="1" applyFont="1" applyFill="1" applyBorder="1" applyAlignment="1">
      <alignment horizontal="center" vertical="center" wrapText="1"/>
    </xf>
    <xf numFmtId="0" fontId="13" fillId="8"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2" fillId="9" borderId="1" xfId="0" applyFont="1" applyFill="1" applyBorder="1" applyAlignment="1">
      <alignment horizontal="center" vertical="center"/>
    </xf>
    <xf numFmtId="0" fontId="8" fillId="4" borderId="1" xfId="0" applyFont="1" applyFill="1" applyBorder="1" applyAlignment="1">
      <alignment horizontal="center" vertical="center"/>
    </xf>
    <xf numFmtId="3" fontId="6" fillId="6" borderId="1" xfId="0" applyNumberFormat="1" applyFont="1" applyFill="1" applyBorder="1" applyAlignment="1">
      <alignment horizontal="center"/>
    </xf>
    <xf numFmtId="3" fontId="6" fillId="5" borderId="1" xfId="0" applyNumberFormat="1" applyFont="1" applyFill="1" applyBorder="1" applyAlignment="1">
      <alignment horizontal="center"/>
    </xf>
    <xf numFmtId="3" fontId="15" fillId="6"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4" fillId="6" borderId="1" xfId="0" applyFont="1" applyFill="1" applyBorder="1" applyAlignment="1">
      <alignment horizontal="center" vertical="center" wrapText="1"/>
    </xf>
    <xf numFmtId="3" fontId="4" fillId="6" borderId="1" xfId="0" applyNumberFormat="1" applyFont="1" applyFill="1" applyBorder="1" applyAlignment="1">
      <alignment horizontal="center" vertical="center" wrapText="1"/>
    </xf>
    <xf numFmtId="3" fontId="16" fillId="6" borderId="1" xfId="0" applyNumberFormat="1" applyFont="1" applyFill="1" applyBorder="1" applyAlignment="1">
      <alignment horizontal="center"/>
    </xf>
    <xf numFmtId="0" fontId="12" fillId="9" borderId="1" xfId="0" applyFont="1" applyFill="1" applyBorder="1" applyAlignment="1">
      <alignment horizontal="center"/>
    </xf>
    <xf numFmtId="3" fontId="12" fillId="6" borderId="1" xfId="0" applyNumberFormat="1" applyFont="1" applyFill="1" applyBorder="1" applyAlignment="1">
      <alignment horizontal="center"/>
    </xf>
    <xf numFmtId="0" fontId="4"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3" fontId="16" fillId="5" borderId="1" xfId="0" applyNumberFormat="1" applyFont="1" applyFill="1" applyBorder="1" applyAlignment="1">
      <alignment horizontal="center"/>
    </xf>
    <xf numFmtId="0" fontId="13" fillId="8" borderId="1" xfId="0" applyFont="1" applyFill="1" applyBorder="1" applyAlignment="1">
      <alignment horizontal="center"/>
    </xf>
    <xf numFmtId="3" fontId="12" fillId="5" borderId="1" xfId="0" applyNumberFormat="1" applyFont="1" applyFill="1" applyBorder="1" applyAlignment="1">
      <alignment horizontal="center"/>
    </xf>
    <xf numFmtId="0" fontId="5" fillId="9"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4" fillId="9"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3" fontId="12" fillId="6"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3" fontId="12" fillId="5" borderId="1" xfId="0" applyNumberFormat="1" applyFont="1" applyFill="1" applyBorder="1" applyAlignment="1">
      <alignment horizontal="center" vertical="center" wrapText="1"/>
    </xf>
    <xf numFmtId="3" fontId="17" fillId="6" borderId="1" xfId="0" applyNumberFormat="1" applyFont="1" applyFill="1" applyBorder="1" applyAlignment="1">
      <alignment horizontal="center" vertical="center" wrapText="1"/>
    </xf>
    <xf numFmtId="164" fontId="17" fillId="6" borderId="1" xfId="0" applyNumberFormat="1" applyFont="1" applyFill="1" applyBorder="1" applyAlignment="1">
      <alignment horizontal="center" vertical="center" wrapText="1"/>
    </xf>
    <xf numFmtId="3" fontId="18" fillId="6" borderId="1" xfId="0" applyNumberFormat="1" applyFont="1" applyFill="1" applyBorder="1" applyAlignment="1">
      <alignment horizontal="center" vertical="center" wrapText="1"/>
    </xf>
    <xf numFmtId="164" fontId="18" fillId="6" borderId="1" xfId="0" applyNumberFormat="1" applyFont="1" applyFill="1" applyBorder="1" applyAlignment="1">
      <alignment horizontal="center" vertical="center" wrapText="1"/>
    </xf>
    <xf numFmtId="164" fontId="17" fillId="5" borderId="1" xfId="0" applyNumberFormat="1" applyFont="1" applyFill="1" applyBorder="1" applyAlignment="1">
      <alignment horizontal="center" vertical="center" wrapText="1"/>
    </xf>
    <xf numFmtId="3" fontId="18" fillId="5" borderId="1" xfId="0" applyNumberFormat="1" applyFont="1" applyFill="1" applyBorder="1" applyAlignment="1">
      <alignment horizontal="center" vertical="center" wrapText="1"/>
    </xf>
    <xf numFmtId="164" fontId="18" fillId="5" borderId="1" xfId="0"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3" fontId="5" fillId="8" borderId="1" xfId="0" applyNumberFormat="1"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3" fontId="5" fillId="9" borderId="1" xfId="0" applyNumberFormat="1" applyFont="1" applyFill="1" applyBorder="1" applyAlignment="1">
      <alignment horizontal="center" vertical="center" wrapText="1"/>
    </xf>
    <xf numFmtId="164" fontId="5"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2" fontId="12" fillId="6" borderId="1" xfId="0" applyNumberFormat="1" applyFont="1" applyFill="1" applyBorder="1" applyAlignment="1">
      <alignment horizontal="center" vertical="center" wrapText="1"/>
    </xf>
    <xf numFmtId="0" fontId="19" fillId="7" borderId="1" xfId="0" applyFont="1" applyFill="1" applyBorder="1" applyAlignment="1">
      <alignment horizontal="center" vertical="center" wrapText="1"/>
    </xf>
    <xf numFmtId="2" fontId="11" fillId="5" borderId="1" xfId="0" applyNumberFormat="1" applyFont="1" applyFill="1" applyBorder="1" applyAlignment="1">
      <alignment horizontal="center" vertical="center" wrapText="1"/>
    </xf>
    <xf numFmtId="0" fontId="17" fillId="8" borderId="1" xfId="0" applyFont="1" applyFill="1" applyBorder="1" applyAlignment="1">
      <alignment horizontal="center" vertical="center" wrapText="1"/>
    </xf>
    <xf numFmtId="2" fontId="13" fillId="6" borderId="1" xfId="0" applyNumberFormat="1" applyFont="1" applyFill="1" applyBorder="1" applyAlignment="1">
      <alignment horizontal="center" vertical="center" wrapText="1"/>
    </xf>
    <xf numFmtId="2" fontId="13" fillId="5" borderId="1" xfId="0"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20" fillId="6" borderId="1" xfId="0" applyFont="1" applyFill="1" applyBorder="1" applyAlignment="1">
      <alignment horizontal="center" vertical="center" wrapText="1"/>
    </xf>
    <xf numFmtId="165" fontId="4" fillId="6"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3" fontId="4" fillId="9" borderId="1" xfId="0" applyNumberFormat="1" applyFont="1" applyFill="1" applyBorder="1" applyAlignment="1">
      <alignment horizontal="center" vertical="center" wrapText="1"/>
    </xf>
    <xf numFmtId="165" fontId="4"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164" fontId="4" fillId="9" borderId="1" xfId="0" applyNumberFormat="1" applyFont="1" applyFill="1" applyBorder="1" applyAlignment="1">
      <alignment horizontal="center" vertical="center" wrapText="1"/>
    </xf>
    <xf numFmtId="0" fontId="0" fillId="0" borderId="1" xfId="0" applyBorder="1"/>
    <xf numFmtId="0" fontId="4"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2" fontId="11" fillId="6" borderId="1" xfId="0" applyNumberFormat="1" applyFont="1" applyFill="1" applyBorder="1" applyAlignment="1">
      <alignment horizontal="center" vertical="center" wrapText="1"/>
    </xf>
    <xf numFmtId="2" fontId="12" fillId="5"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wrapText="1"/>
    </xf>
    <xf numFmtId="0" fontId="22" fillId="9" borderId="1" xfId="0" applyFont="1" applyFill="1" applyBorder="1" applyAlignment="1">
      <alignment horizontal="center" vertical="center"/>
    </xf>
    <xf numFmtId="0" fontId="14" fillId="9" borderId="1" xfId="0" applyFont="1" applyFill="1" applyBorder="1" applyAlignment="1">
      <alignment horizontal="left" vertical="center" wrapText="1"/>
    </xf>
    <xf numFmtId="0" fontId="2" fillId="10" borderId="0" xfId="0" applyFont="1" applyFill="1" applyAlignment="1">
      <alignment horizontal="center" vertical="center"/>
    </xf>
    <xf numFmtId="0" fontId="8" fillId="2" borderId="1" xfId="0" applyFont="1" applyFill="1" applyBorder="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xf>
    <xf numFmtId="0" fontId="8" fillId="2" borderId="0" xfId="0" applyFont="1" applyFill="1" applyAlignment="1">
      <alignment horizontal="center" vertical="center"/>
    </xf>
    <xf numFmtId="0" fontId="10" fillId="0" borderId="0" xfId="0" applyFont="1" applyAlignment="1">
      <alignment horizontal="center" vertical="center" wrapText="1"/>
    </xf>
    <xf numFmtId="0" fontId="3" fillId="3" borderId="0" xfId="0" applyFont="1" applyFill="1" applyAlignment="1">
      <alignment horizontal="center" vertical="center"/>
    </xf>
    <xf numFmtId="0" fontId="8"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D7A8C"/>
      <rgbColor rgb="FFC0C0C0"/>
      <rgbColor rgb="FF808080"/>
      <rgbColor rgb="FF9999FF"/>
      <rgbColor rgb="FF993366"/>
      <rgbColor rgb="FFFAF0D7"/>
      <rgbColor rgb="FFF2F5FA"/>
      <rgbColor rgb="FF660066"/>
      <rgbColor rgb="FFFF8080"/>
      <rgbColor rgb="FF2E5FA3"/>
      <rgbColor rgb="FFCCCCFF"/>
      <rgbColor rgb="FF000080"/>
      <rgbColor rgb="FFFF00FF"/>
      <rgbColor rgb="FFFFFF00"/>
      <rgbColor rgb="FF00FFFF"/>
      <rgbColor rgb="FF800080"/>
      <rgbColor rgb="FF800000"/>
      <rgbColor rgb="FF1A7A3C"/>
      <rgbColor rgb="FF0000FF"/>
      <rgbColor rgb="FF00CCFF"/>
      <rgbColor rgb="FFCCFFFF"/>
      <rgbColor rgb="FFD5F5E3"/>
      <rgbColor rgb="FFFFFF99"/>
      <rgbColor rgb="FF99CCFF"/>
      <rgbColor rgb="FFFF99CC"/>
      <rgbColor rgb="FFCC99FF"/>
      <rgbColor rgb="FFFADBD8"/>
      <rgbColor rgb="FF3366FF"/>
      <rgbColor rgb="FF33CCCC"/>
      <rgbColor rgb="FF99CC00"/>
      <rgbColor rgb="FFFFCC00"/>
      <rgbColor rgb="FFD4AC0D"/>
      <rgbColor rgb="FFFF6600"/>
      <rgbColor rgb="FF595959"/>
      <rgbColor rgb="FFAAAAAA"/>
      <rgbColor rgb="FF1F3864"/>
      <rgbColor rgb="FF339966"/>
      <rgbColor rgb="FF003300"/>
      <rgbColor rgb="FF333300"/>
      <rgbColor rgb="FFC0392B"/>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showGridLines="0" zoomScale="85" zoomScaleNormal="85" workbookViewId="0">
      <selection activeCell="D7" sqref="D7"/>
    </sheetView>
  </sheetViews>
  <sheetFormatPr baseColWidth="10" defaultColWidth="9.1640625" defaultRowHeight="15" x14ac:dyDescent="0.2"/>
  <cols>
    <col min="1" max="1" width="43.1640625" bestFit="1" customWidth="1"/>
    <col min="2" max="2" width="25.83203125" bestFit="1" customWidth="1"/>
    <col min="3" max="3" width="11" customWidth="1"/>
    <col min="4" max="4" width="35.6640625" bestFit="1" customWidth="1"/>
  </cols>
  <sheetData>
    <row r="1" spans="1:4" ht="31.5" customHeight="1" x14ac:dyDescent="0.2">
      <c r="A1" s="108" t="s">
        <v>0</v>
      </c>
      <c r="B1" s="108"/>
      <c r="C1" s="108"/>
      <c r="D1" s="108"/>
    </row>
    <row r="2" spans="1:4" ht="21.75" customHeight="1" x14ac:dyDescent="0.2">
      <c r="A2" s="109" t="s">
        <v>1</v>
      </c>
      <c r="B2" s="109"/>
      <c r="C2" s="109"/>
      <c r="D2" s="109"/>
    </row>
    <row r="3" spans="1:4" ht="19.5" customHeight="1" x14ac:dyDescent="0.2">
      <c r="A3" s="5" t="s">
        <v>2</v>
      </c>
      <c r="B3" s="5" t="s">
        <v>3</v>
      </c>
      <c r="C3" s="5" t="s">
        <v>4</v>
      </c>
      <c r="D3" s="5" t="s">
        <v>5</v>
      </c>
    </row>
    <row r="4" spans="1:4" ht="38.25" customHeight="1" x14ac:dyDescent="0.2">
      <c r="A4" s="6" t="s">
        <v>6</v>
      </c>
      <c r="B4" s="7" t="s">
        <v>7</v>
      </c>
      <c r="C4" s="8">
        <v>50</v>
      </c>
      <c r="D4" s="6" t="s">
        <v>8</v>
      </c>
    </row>
    <row r="5" spans="1:4" ht="25.5" customHeight="1" x14ac:dyDescent="0.2">
      <c r="A5" s="9" t="s">
        <v>9</v>
      </c>
      <c r="B5" s="10" t="s">
        <v>10</v>
      </c>
      <c r="C5" s="11">
        <v>12</v>
      </c>
      <c r="D5" s="9" t="s">
        <v>11</v>
      </c>
    </row>
    <row r="6" spans="1:4" ht="38.25" customHeight="1" x14ac:dyDescent="0.2">
      <c r="A6" s="6" t="s">
        <v>12</v>
      </c>
      <c r="B6" s="7" t="s">
        <v>13</v>
      </c>
      <c r="C6" s="8">
        <v>7</v>
      </c>
      <c r="D6" s="6" t="s">
        <v>14</v>
      </c>
    </row>
    <row r="7" spans="1:4" ht="25.5" customHeight="1" x14ac:dyDescent="0.2">
      <c r="A7" s="9" t="s">
        <v>15</v>
      </c>
      <c r="B7" s="10" t="s">
        <v>16</v>
      </c>
      <c r="C7" s="11">
        <v>2</v>
      </c>
      <c r="D7" s="9" t="s">
        <v>17</v>
      </c>
    </row>
    <row r="8" spans="1:4" ht="25.5" customHeight="1" x14ac:dyDescent="0.2">
      <c r="A8" s="6" t="s">
        <v>18</v>
      </c>
      <c r="B8" s="7" t="s">
        <v>19</v>
      </c>
      <c r="C8" s="12">
        <v>1.65</v>
      </c>
      <c r="D8" s="6" t="s">
        <v>20</v>
      </c>
    </row>
    <row r="9" spans="1:4" ht="15" customHeight="1" x14ac:dyDescent="0.2">
      <c r="A9" s="9" t="s">
        <v>21</v>
      </c>
      <c r="B9" s="10" t="s">
        <v>22</v>
      </c>
      <c r="C9" s="13">
        <f>C4*365</f>
        <v>18250</v>
      </c>
      <c r="D9" s="9" t="s">
        <v>23</v>
      </c>
    </row>
    <row r="10" spans="1:4" ht="25.5" customHeight="1" x14ac:dyDescent="0.2">
      <c r="A10" s="6" t="s">
        <v>24</v>
      </c>
      <c r="B10" s="7" t="s">
        <v>25</v>
      </c>
      <c r="C10" s="8">
        <v>45000</v>
      </c>
      <c r="D10" s="6" t="s">
        <v>26</v>
      </c>
    </row>
    <row r="11" spans="1:4" ht="38.25" customHeight="1" x14ac:dyDescent="0.2">
      <c r="A11" s="9" t="s">
        <v>27</v>
      </c>
      <c r="B11" s="10" t="s">
        <v>28</v>
      </c>
      <c r="C11" s="11">
        <v>8000</v>
      </c>
      <c r="D11" s="9" t="s">
        <v>29</v>
      </c>
    </row>
    <row r="12" spans="1:4" ht="19.5" customHeight="1" x14ac:dyDescent="0.2">
      <c r="A12" s="6" t="s">
        <v>30</v>
      </c>
      <c r="B12" s="7" t="s">
        <v>31</v>
      </c>
      <c r="C12" s="8">
        <v>3500</v>
      </c>
      <c r="D12" s="6" t="s">
        <v>32</v>
      </c>
    </row>
    <row r="13" spans="1:4" ht="25.5" customHeight="1" x14ac:dyDescent="0.2">
      <c r="A13" s="9" t="s">
        <v>33</v>
      </c>
      <c r="B13" s="10" t="s">
        <v>34</v>
      </c>
      <c r="C13" s="11">
        <v>350</v>
      </c>
      <c r="D13" s="9" t="s">
        <v>35</v>
      </c>
    </row>
    <row r="14" spans="1:4" ht="19.5" customHeight="1" x14ac:dyDescent="0.2">
      <c r="A14" s="6" t="s">
        <v>36</v>
      </c>
      <c r="B14" s="7" t="s">
        <v>37</v>
      </c>
      <c r="C14" s="8">
        <v>365</v>
      </c>
      <c r="D14" s="6" t="s">
        <v>38</v>
      </c>
    </row>
    <row r="16" spans="1:4" ht="24" customHeight="1" x14ac:dyDescent="0.2">
      <c r="A16" s="110" t="s">
        <v>39</v>
      </c>
      <c r="B16" s="110"/>
      <c r="C16" s="110"/>
      <c r="D16" s="110"/>
    </row>
    <row r="17" spans="1:4" ht="15" customHeight="1" x14ac:dyDescent="0.2">
      <c r="A17" s="5" t="s">
        <v>40</v>
      </c>
      <c r="B17" s="5" t="s">
        <v>41</v>
      </c>
      <c r="C17" s="5" t="s">
        <v>42</v>
      </c>
      <c r="D17" s="5" t="s">
        <v>43</v>
      </c>
    </row>
    <row r="18" spans="1:4" ht="25.5" customHeight="1" x14ac:dyDescent="0.2">
      <c r="A18" s="6" t="s">
        <v>44</v>
      </c>
      <c r="B18" s="14" t="s">
        <v>45</v>
      </c>
      <c r="C18" s="15">
        <f>SQRT(2*C9*C10/C11)</f>
        <v>453.11422400979643</v>
      </c>
      <c r="D18" s="6" t="s">
        <v>46</v>
      </c>
    </row>
    <row r="19" spans="1:4" ht="25.5" customHeight="1" x14ac:dyDescent="0.2">
      <c r="A19" s="9" t="s">
        <v>47</v>
      </c>
      <c r="B19" s="16" t="s">
        <v>48</v>
      </c>
      <c r="C19" s="17">
        <f>C8*SQRT(C6*C5^2+C4^2*C7^2)</f>
        <v>173.1163770415728</v>
      </c>
      <c r="D19" s="9" t="s">
        <v>49</v>
      </c>
    </row>
    <row r="20" spans="1:4" ht="19.5" customHeight="1" x14ac:dyDescent="0.2">
      <c r="A20" s="6" t="s">
        <v>50</v>
      </c>
      <c r="B20" s="14" t="s">
        <v>51</v>
      </c>
      <c r="C20" s="18">
        <f>C4*C6+C19</f>
        <v>523.11637704157283</v>
      </c>
      <c r="D20" s="6" t="s">
        <v>52</v>
      </c>
    </row>
    <row r="21" spans="1:4" ht="19.5" customHeight="1" x14ac:dyDescent="0.2">
      <c r="A21" s="9" t="s">
        <v>53</v>
      </c>
      <c r="B21" s="16" t="s">
        <v>54</v>
      </c>
      <c r="C21" s="19">
        <f>C20/C4</f>
        <v>10.462327540831456</v>
      </c>
      <c r="D21" s="9" t="s">
        <v>55</v>
      </c>
    </row>
    <row r="22" spans="1:4" ht="19.5" customHeight="1" x14ac:dyDescent="0.2">
      <c r="A22" s="6" t="s">
        <v>56</v>
      </c>
      <c r="B22" s="14" t="s">
        <v>57</v>
      </c>
      <c r="C22" s="20">
        <f>C9/C18</f>
        <v>40.27681991198191</v>
      </c>
      <c r="D22" s="6" t="s">
        <v>58</v>
      </c>
    </row>
    <row r="23" spans="1:4" ht="19.5" customHeight="1" x14ac:dyDescent="0.2">
      <c r="A23" s="9" t="s">
        <v>59</v>
      </c>
      <c r="B23" s="16" t="s">
        <v>60</v>
      </c>
      <c r="C23" s="21">
        <f>C10*(C9/C18)+C11*(C18/2+C19)</f>
        <v>5009844.8084109537</v>
      </c>
      <c r="D23" s="9" t="s">
        <v>61</v>
      </c>
    </row>
    <row r="25" spans="1:4" x14ac:dyDescent="0.2">
      <c r="A25" s="111" t="s">
        <v>62</v>
      </c>
      <c r="B25" s="111"/>
      <c r="C25" s="111"/>
      <c r="D25" s="111"/>
    </row>
  </sheetData>
  <mergeCells count="4">
    <mergeCell ref="A1:D1"/>
    <mergeCell ref="A2:D2"/>
    <mergeCell ref="A16:D16"/>
    <mergeCell ref="A25:D25"/>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
  <sheetViews>
    <sheetView showGridLines="0" zoomScaleNormal="100" workbookViewId="0">
      <selection activeCell="D8" sqref="D8"/>
    </sheetView>
  </sheetViews>
  <sheetFormatPr baseColWidth="10" defaultColWidth="9.1640625" defaultRowHeight="15" x14ac:dyDescent="0.2"/>
  <cols>
    <col min="1" max="1" width="25.83203125" bestFit="1" customWidth="1"/>
    <col min="2" max="2" width="18.1640625" bestFit="1" customWidth="1"/>
    <col min="3" max="3" width="15.1640625" bestFit="1" customWidth="1"/>
    <col min="4" max="4" width="12.83203125" bestFit="1" customWidth="1"/>
    <col min="5" max="5" width="11.83203125" bestFit="1" customWidth="1"/>
    <col min="6" max="7" width="9.5" bestFit="1" customWidth="1"/>
    <col min="8" max="8" width="27.83203125" bestFit="1" customWidth="1"/>
  </cols>
  <sheetData>
    <row r="1" spans="1:8" ht="30" customHeight="1" x14ac:dyDescent="0.2">
      <c r="A1" s="108" t="s">
        <v>63</v>
      </c>
      <c r="B1" s="108"/>
      <c r="C1" s="108"/>
      <c r="D1" s="108"/>
      <c r="E1" s="108"/>
      <c r="F1" s="108"/>
      <c r="G1" s="108"/>
      <c r="H1" s="108"/>
    </row>
    <row r="2" spans="1:8" ht="15" customHeight="1" x14ac:dyDescent="0.2">
      <c r="A2" s="112" t="s">
        <v>64</v>
      </c>
      <c r="B2" s="112"/>
      <c r="C2" s="112"/>
      <c r="D2" s="112"/>
      <c r="E2" s="112"/>
      <c r="F2" s="112"/>
      <c r="G2" s="112"/>
      <c r="H2" s="112"/>
    </row>
    <row r="3" spans="1:8" ht="36" customHeight="1" x14ac:dyDescent="0.2">
      <c r="A3" s="23" t="s">
        <v>65</v>
      </c>
      <c r="B3" s="23" t="s">
        <v>41</v>
      </c>
      <c r="C3" s="23" t="s">
        <v>66</v>
      </c>
      <c r="D3" s="23" t="s">
        <v>67</v>
      </c>
      <c r="E3" s="23" t="s">
        <v>68</v>
      </c>
      <c r="F3" s="23" t="s">
        <v>69</v>
      </c>
      <c r="G3" s="23" t="s">
        <v>70</v>
      </c>
      <c r="H3" s="23" t="s">
        <v>71</v>
      </c>
    </row>
    <row r="4" spans="1:8" ht="25.5" customHeight="1" x14ac:dyDescent="0.2">
      <c r="A4" s="24" t="s">
        <v>72</v>
      </c>
      <c r="B4" s="25" t="s">
        <v>73</v>
      </c>
      <c r="C4" s="26">
        <v>88</v>
      </c>
      <c r="D4" s="7" t="s">
        <v>74</v>
      </c>
      <c r="E4" s="27" t="s">
        <v>75</v>
      </c>
      <c r="F4" s="28" t="s">
        <v>76</v>
      </c>
      <c r="G4" s="29" t="s">
        <v>77</v>
      </c>
      <c r="H4" s="30" t="s">
        <v>78</v>
      </c>
    </row>
    <row r="5" spans="1:8" ht="25.5" customHeight="1" x14ac:dyDescent="0.2">
      <c r="A5" s="31" t="s">
        <v>79</v>
      </c>
      <c r="B5" s="32" t="s">
        <v>80</v>
      </c>
      <c r="C5" s="33">
        <v>10</v>
      </c>
      <c r="D5" s="10" t="s">
        <v>81</v>
      </c>
      <c r="E5" s="34" t="s">
        <v>82</v>
      </c>
      <c r="F5" s="35" t="s">
        <v>83</v>
      </c>
      <c r="G5" s="29" t="s">
        <v>77</v>
      </c>
      <c r="H5" s="36" t="s">
        <v>84</v>
      </c>
    </row>
    <row r="6" spans="1:8" ht="25.5" customHeight="1" x14ac:dyDescent="0.2">
      <c r="A6" s="24" t="s">
        <v>85</v>
      </c>
      <c r="B6" s="25" t="s">
        <v>86</v>
      </c>
      <c r="C6" s="26">
        <v>4</v>
      </c>
      <c r="D6" s="7" t="s">
        <v>87</v>
      </c>
      <c r="E6" s="34" t="s">
        <v>82</v>
      </c>
      <c r="F6" s="28" t="s">
        <v>88</v>
      </c>
      <c r="G6" s="29" t="s">
        <v>77</v>
      </c>
      <c r="H6" s="30" t="s">
        <v>89</v>
      </c>
    </row>
    <row r="7" spans="1:8" ht="25.5" customHeight="1" x14ac:dyDescent="0.2">
      <c r="A7" s="31" t="s">
        <v>90</v>
      </c>
      <c r="B7" s="32" t="s">
        <v>91</v>
      </c>
      <c r="C7" s="33">
        <v>8.1999999999999993</v>
      </c>
      <c r="D7" s="10" t="s">
        <v>92</v>
      </c>
      <c r="E7" s="27" t="s">
        <v>75</v>
      </c>
      <c r="F7" s="35" t="s">
        <v>93</v>
      </c>
      <c r="G7" s="37" t="s">
        <v>94</v>
      </c>
      <c r="H7" s="36" t="s">
        <v>95</v>
      </c>
    </row>
    <row r="8" spans="1:8" ht="25.5" customHeight="1" x14ac:dyDescent="0.2">
      <c r="A8" s="24" t="s">
        <v>96</v>
      </c>
      <c r="B8" s="25" t="s">
        <v>97</v>
      </c>
      <c r="C8" s="26">
        <v>83</v>
      </c>
      <c r="D8" s="7" t="s">
        <v>98</v>
      </c>
      <c r="E8" s="34" t="s">
        <v>82</v>
      </c>
      <c r="F8" s="28" t="s">
        <v>99</v>
      </c>
      <c r="G8" s="29" t="s">
        <v>77</v>
      </c>
      <c r="H8" s="30" t="s">
        <v>100</v>
      </c>
    </row>
    <row r="9" spans="1:8" ht="25.5" customHeight="1" x14ac:dyDescent="0.2">
      <c r="A9" s="31" t="s">
        <v>101</v>
      </c>
      <c r="B9" s="32" t="s">
        <v>102</v>
      </c>
      <c r="C9" s="33">
        <v>79</v>
      </c>
      <c r="D9" s="10" t="s">
        <v>74</v>
      </c>
      <c r="E9" s="34" t="s">
        <v>82</v>
      </c>
      <c r="F9" s="35" t="s">
        <v>103</v>
      </c>
      <c r="G9" s="29" t="s">
        <v>77</v>
      </c>
      <c r="H9" s="36" t="s">
        <v>104</v>
      </c>
    </row>
    <row r="10" spans="1:8" ht="25.5" customHeight="1" x14ac:dyDescent="0.2">
      <c r="A10" s="24" t="s">
        <v>105</v>
      </c>
      <c r="B10" s="25" t="s">
        <v>106</v>
      </c>
      <c r="C10" s="26">
        <v>9.5</v>
      </c>
      <c r="D10" s="7" t="s">
        <v>107</v>
      </c>
      <c r="E10" s="27" t="s">
        <v>75</v>
      </c>
      <c r="F10" s="28" t="s">
        <v>108</v>
      </c>
      <c r="G10" s="37" t="s">
        <v>94</v>
      </c>
      <c r="H10" s="30" t="s">
        <v>109</v>
      </c>
    </row>
    <row r="11" spans="1:8" ht="38.25" customHeight="1" x14ac:dyDescent="0.2">
      <c r="A11" s="31" t="s">
        <v>110</v>
      </c>
      <c r="B11" s="32" t="s">
        <v>111</v>
      </c>
      <c r="C11" s="33">
        <v>11</v>
      </c>
      <c r="D11" s="10" t="s">
        <v>112</v>
      </c>
      <c r="E11" s="38" t="s">
        <v>113</v>
      </c>
      <c r="F11" s="35" t="s">
        <v>114</v>
      </c>
      <c r="G11" s="37" t="s">
        <v>94</v>
      </c>
      <c r="H11" s="36" t="s">
        <v>115</v>
      </c>
    </row>
    <row r="12" spans="1:8" ht="25.5" customHeight="1" x14ac:dyDescent="0.2">
      <c r="A12" s="24" t="s">
        <v>116</v>
      </c>
      <c r="B12" s="25" t="s">
        <v>117</v>
      </c>
      <c r="C12" s="26">
        <v>61</v>
      </c>
      <c r="D12" s="7" t="s">
        <v>118</v>
      </c>
      <c r="E12" s="34" t="s">
        <v>82</v>
      </c>
      <c r="F12" s="28" t="s">
        <v>119</v>
      </c>
      <c r="G12" s="29" t="s">
        <v>77</v>
      </c>
      <c r="H12" s="30" t="s">
        <v>100</v>
      </c>
    </row>
    <row r="14" spans="1:8" ht="30.75" customHeight="1" x14ac:dyDescent="0.2">
      <c r="A14" s="111" t="s">
        <v>120</v>
      </c>
      <c r="B14" s="111"/>
      <c r="C14" s="111"/>
      <c r="D14" s="111"/>
      <c r="E14" s="111"/>
      <c r="F14" s="111"/>
      <c r="G14" s="111"/>
      <c r="H14" s="111"/>
    </row>
  </sheetData>
  <mergeCells count="3">
    <mergeCell ref="A1:H1"/>
    <mergeCell ref="A2:H2"/>
    <mergeCell ref="A14:H1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showGridLines="0" zoomScale="59" zoomScaleNormal="100" workbookViewId="0">
      <selection sqref="A1:A9"/>
    </sheetView>
  </sheetViews>
  <sheetFormatPr baseColWidth="10" defaultColWidth="9.1640625" defaultRowHeight="15" x14ac:dyDescent="0.2"/>
  <cols>
    <col min="1" max="1" width="131.6640625" bestFit="1" customWidth="1"/>
    <col min="2" max="2" width="35.5" bestFit="1" customWidth="1"/>
    <col min="3" max="3" width="46.6640625" bestFit="1" customWidth="1"/>
    <col min="4" max="4" width="16.5" bestFit="1" customWidth="1"/>
    <col min="5" max="5" width="11.5" bestFit="1" customWidth="1"/>
    <col min="6" max="6" width="10.33203125" bestFit="1" customWidth="1"/>
    <col min="7" max="7" width="18" customWidth="1"/>
    <col min="8" max="8" width="30" customWidth="1"/>
  </cols>
  <sheetData>
    <row r="1" spans="1:8" ht="27.75" customHeight="1" x14ac:dyDescent="0.2">
      <c r="A1" s="3" t="s">
        <v>121</v>
      </c>
    </row>
    <row r="2" spans="1:8" ht="15" customHeight="1" x14ac:dyDescent="0.2">
      <c r="A2" s="2" t="s">
        <v>122</v>
      </c>
    </row>
    <row r="4" spans="1:8" ht="15.75" customHeight="1" x14ac:dyDescent="0.2">
      <c r="A4" s="39" t="s">
        <v>123</v>
      </c>
    </row>
    <row r="5" spans="1:8" ht="19.5" customHeight="1" x14ac:dyDescent="0.2">
      <c r="A5" s="9" t="s">
        <v>124</v>
      </c>
      <c r="B5" s="40">
        <v>50</v>
      </c>
      <c r="C5" s="36" t="s">
        <v>125</v>
      </c>
    </row>
    <row r="6" spans="1:8" ht="38.25" customHeight="1" x14ac:dyDescent="0.2">
      <c r="A6" s="6" t="s">
        <v>126</v>
      </c>
      <c r="B6" s="41">
        <v>100</v>
      </c>
      <c r="C6" s="30" t="s">
        <v>127</v>
      </c>
    </row>
    <row r="7" spans="1:8" ht="25.5" customHeight="1" x14ac:dyDescent="0.2">
      <c r="A7" s="9" t="s">
        <v>128</v>
      </c>
      <c r="B7" s="42">
        <f>'1_Parametros_Base'!C20</f>
        <v>523.11637704157283</v>
      </c>
      <c r="C7" s="36" t="s">
        <v>129</v>
      </c>
    </row>
    <row r="8" spans="1:8" ht="38.25" customHeight="1" x14ac:dyDescent="0.2">
      <c r="A8" s="6" t="s">
        <v>130</v>
      </c>
      <c r="B8" s="41">
        <v>35</v>
      </c>
      <c r="C8" s="30" t="s">
        <v>131</v>
      </c>
    </row>
    <row r="9" spans="1:8" ht="19.5" customHeight="1" x14ac:dyDescent="0.2">
      <c r="A9" s="9" t="s">
        <v>132</v>
      </c>
      <c r="B9" s="40">
        <f>'1_Parametros_Base'!C20</f>
        <v>523.11637704157283</v>
      </c>
      <c r="C9" s="36" t="s">
        <v>133</v>
      </c>
    </row>
    <row r="11" spans="1:8" ht="59.25" customHeight="1" x14ac:dyDescent="0.2">
      <c r="A11" s="107" t="s">
        <v>134</v>
      </c>
    </row>
    <row r="12" spans="1:8" ht="36" customHeight="1" x14ac:dyDescent="0.2">
      <c r="A12" s="23" t="s">
        <v>135</v>
      </c>
      <c r="B12" s="23" t="s">
        <v>136</v>
      </c>
      <c r="C12" s="23" t="s">
        <v>137</v>
      </c>
      <c r="D12" s="23" t="s">
        <v>138</v>
      </c>
      <c r="E12" s="23" t="s">
        <v>139</v>
      </c>
      <c r="F12" s="23" t="s">
        <v>140</v>
      </c>
      <c r="G12" s="23"/>
      <c r="H12" s="23"/>
    </row>
    <row r="13" spans="1:8" ht="19.5" customHeight="1" x14ac:dyDescent="0.2">
      <c r="A13" s="44">
        <v>0</v>
      </c>
      <c r="B13" s="44">
        <v>450</v>
      </c>
      <c r="C13" s="45" t="s">
        <v>141</v>
      </c>
      <c r="D13" s="46">
        <v>523</v>
      </c>
      <c r="E13" s="47" t="s">
        <v>141</v>
      </c>
      <c r="F13" s="46">
        <v>73</v>
      </c>
      <c r="G13" s="47"/>
      <c r="H13" s="48"/>
    </row>
    <row r="14" spans="1:8" ht="19.5" customHeight="1" x14ac:dyDescent="0.2">
      <c r="A14" s="49">
        <v>7</v>
      </c>
      <c r="B14" s="49">
        <v>100</v>
      </c>
      <c r="C14" s="50" t="s">
        <v>141</v>
      </c>
      <c r="D14" s="51">
        <v>173</v>
      </c>
      <c r="E14" s="52" t="s">
        <v>141</v>
      </c>
      <c r="F14" s="51">
        <v>73</v>
      </c>
      <c r="G14" s="52"/>
      <c r="H14" s="53"/>
    </row>
    <row r="15" spans="1:8" ht="19.5" customHeight="1" x14ac:dyDescent="0.2">
      <c r="A15" s="44">
        <v>9</v>
      </c>
      <c r="B15" s="44">
        <v>0</v>
      </c>
      <c r="C15" s="45" t="s">
        <v>142</v>
      </c>
      <c r="D15" s="46">
        <v>73</v>
      </c>
      <c r="E15" s="52" t="s">
        <v>141</v>
      </c>
      <c r="F15" s="46">
        <v>73</v>
      </c>
      <c r="G15" s="52"/>
      <c r="H15" s="48"/>
    </row>
    <row r="16" spans="1:8" ht="19.5" customHeight="1" x14ac:dyDescent="0.2">
      <c r="A16" s="49">
        <v>10</v>
      </c>
      <c r="B16" s="49">
        <v>0</v>
      </c>
      <c r="C16" s="50" t="s">
        <v>142</v>
      </c>
      <c r="D16" s="51">
        <v>23</v>
      </c>
      <c r="E16" s="52" t="s">
        <v>141</v>
      </c>
      <c r="F16" s="51">
        <v>23</v>
      </c>
      <c r="G16" s="52"/>
      <c r="H16" s="53"/>
    </row>
    <row r="17" spans="1:8" ht="19.5" customHeight="1" x14ac:dyDescent="0.2">
      <c r="A17" s="44">
        <v>11</v>
      </c>
      <c r="B17" s="44">
        <v>0</v>
      </c>
      <c r="C17" s="45" t="s">
        <v>142</v>
      </c>
      <c r="D17" s="46">
        <v>0</v>
      </c>
      <c r="E17" s="52" t="s">
        <v>142</v>
      </c>
      <c r="F17" s="46">
        <v>0</v>
      </c>
      <c r="G17" s="52"/>
      <c r="H17" s="48"/>
    </row>
    <row r="18" spans="1:8" ht="19.5" customHeight="1" x14ac:dyDescent="0.2">
      <c r="A18" s="49">
        <v>14</v>
      </c>
      <c r="B18" s="49">
        <v>0</v>
      </c>
      <c r="C18" s="50" t="s">
        <v>142</v>
      </c>
      <c r="D18" s="51">
        <v>0</v>
      </c>
      <c r="E18" s="52" t="s">
        <v>142</v>
      </c>
      <c r="F18" s="51">
        <v>0</v>
      </c>
      <c r="G18" s="52"/>
      <c r="H18" s="53"/>
    </row>
    <row r="19" spans="1:8" ht="19.5" customHeight="1" x14ac:dyDescent="0.2">
      <c r="A19" s="44">
        <v>21</v>
      </c>
      <c r="B19" s="44">
        <v>0</v>
      </c>
      <c r="C19" s="45" t="s">
        <v>142</v>
      </c>
      <c r="D19" s="46">
        <v>0</v>
      </c>
      <c r="E19" s="52" t="s">
        <v>142</v>
      </c>
      <c r="F19" s="46">
        <v>0</v>
      </c>
      <c r="G19" s="52"/>
      <c r="H19" s="48"/>
    </row>
    <row r="20" spans="1:8" ht="19.5" customHeight="1" x14ac:dyDescent="0.2">
      <c r="A20" s="49">
        <v>28</v>
      </c>
      <c r="B20" s="49">
        <v>0</v>
      </c>
      <c r="C20" s="50" t="s">
        <v>142</v>
      </c>
      <c r="D20" s="51">
        <v>0</v>
      </c>
      <c r="E20" s="52" t="s">
        <v>142</v>
      </c>
      <c r="F20" s="51">
        <v>0</v>
      </c>
      <c r="G20" s="52"/>
      <c r="H20" s="53"/>
    </row>
    <row r="21" spans="1:8" ht="15" customHeight="1" x14ac:dyDescent="0.2">
      <c r="A21">
        <v>35</v>
      </c>
      <c r="B21">
        <v>0</v>
      </c>
      <c r="C21" t="s">
        <v>142</v>
      </c>
      <c r="D21">
        <v>0</v>
      </c>
      <c r="E21" t="s">
        <v>142</v>
      </c>
      <c r="F21">
        <v>0</v>
      </c>
    </row>
    <row r="22" spans="1:8" ht="15.75" customHeight="1" x14ac:dyDescent="0.2">
      <c r="A22" s="43"/>
    </row>
    <row r="23" spans="1:8" ht="21.75" customHeight="1" x14ac:dyDescent="0.2">
      <c r="A23" s="31" t="s">
        <v>143</v>
      </c>
      <c r="B23" s="10"/>
      <c r="C23" s="9"/>
    </row>
    <row r="24" spans="1:8" ht="21.75" customHeight="1" x14ac:dyDescent="0.2">
      <c r="A24" s="24" t="s">
        <v>144</v>
      </c>
      <c r="B24" s="28" t="s">
        <v>145</v>
      </c>
      <c r="C24" s="6"/>
    </row>
    <row r="25" spans="1:8" ht="21.75" customHeight="1" x14ac:dyDescent="0.2">
      <c r="A25" s="31" t="s">
        <v>146</v>
      </c>
      <c r="B25" s="35" t="s">
        <v>147</v>
      </c>
      <c r="C25" s="9"/>
    </row>
    <row r="26" spans="1:8" ht="21.75" customHeight="1" x14ac:dyDescent="0.2">
      <c r="A26" s="54" t="s">
        <v>148</v>
      </c>
      <c r="B26" s="55" t="s">
        <v>149</v>
      </c>
      <c r="C26" s="56" t="s">
        <v>150</v>
      </c>
    </row>
    <row r="27" spans="1:8" ht="15" customHeight="1" x14ac:dyDescent="0.2">
      <c r="A27" t="s">
        <v>151</v>
      </c>
      <c r="B27" t="s">
        <v>152</v>
      </c>
    </row>
    <row r="28" spans="1:8" ht="15" customHeight="1" x14ac:dyDescent="0.2">
      <c r="A28" t="s">
        <v>153</v>
      </c>
      <c r="B28" t="s">
        <v>154</v>
      </c>
    </row>
    <row r="29" spans="1:8" ht="15" customHeight="1" x14ac:dyDescent="0.2">
      <c r="A29" t="s">
        <v>155</v>
      </c>
      <c r="B29" t="s">
        <v>156</v>
      </c>
    </row>
  </sheetData>
  <pageMargins left="0.75" right="0.75" top="1" bottom="1"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showGridLines="0" zoomScaleNormal="100" workbookViewId="0"/>
  </sheetViews>
  <sheetFormatPr baseColWidth="10" defaultColWidth="9.1640625" defaultRowHeight="15" x14ac:dyDescent="0.2"/>
  <cols>
    <col min="1" max="1" width="101.5" bestFit="1" customWidth="1"/>
    <col min="2" max="2" width="28.5" bestFit="1" customWidth="1"/>
    <col min="3" max="3" width="59.1640625" bestFit="1" customWidth="1"/>
    <col min="4" max="7" width="16" customWidth="1"/>
    <col min="8" max="8" width="28" customWidth="1"/>
  </cols>
  <sheetData>
    <row r="1" spans="1:8" ht="27.75" customHeight="1" x14ac:dyDescent="0.2">
      <c r="A1" s="3" t="s">
        <v>157</v>
      </c>
    </row>
    <row r="2" spans="1:8" ht="15" customHeight="1" x14ac:dyDescent="0.2">
      <c r="A2" s="2" t="s">
        <v>158</v>
      </c>
    </row>
    <row r="4" spans="1:8" ht="15.75" customHeight="1" x14ac:dyDescent="0.2">
      <c r="A4" s="39" t="s">
        <v>159</v>
      </c>
    </row>
    <row r="5" spans="1:8" ht="19.5" customHeight="1" x14ac:dyDescent="0.2">
      <c r="A5" s="9" t="s">
        <v>160</v>
      </c>
      <c r="B5" s="40">
        <v>50</v>
      </c>
      <c r="C5" s="36" t="s">
        <v>125</v>
      </c>
    </row>
    <row r="6" spans="1:8" ht="25.5" customHeight="1" x14ac:dyDescent="0.2">
      <c r="A6" s="6" t="s">
        <v>161</v>
      </c>
      <c r="B6" s="41">
        <v>70</v>
      </c>
      <c r="C6" s="30" t="s">
        <v>162</v>
      </c>
    </row>
    <row r="7" spans="1:8" ht="15" customHeight="1" x14ac:dyDescent="0.2">
      <c r="A7" s="9" t="s">
        <v>163</v>
      </c>
      <c r="B7" s="40">
        <v>450</v>
      </c>
      <c r="C7" s="36" t="s">
        <v>164</v>
      </c>
    </row>
    <row r="8" spans="1:8" ht="25.5" customHeight="1" x14ac:dyDescent="0.2">
      <c r="A8" s="6" t="s">
        <v>165</v>
      </c>
      <c r="B8" s="41">
        <v>450</v>
      </c>
      <c r="C8" s="30" t="s">
        <v>166</v>
      </c>
    </row>
    <row r="9" spans="1:8" ht="25.5" customHeight="1" x14ac:dyDescent="0.2">
      <c r="A9" s="9" t="s">
        <v>167</v>
      </c>
      <c r="B9" s="42">
        <f>70*7+166</f>
        <v>656</v>
      </c>
      <c r="C9" s="36" t="s">
        <v>168</v>
      </c>
    </row>
    <row r="10" spans="1:8" ht="15" customHeight="1" x14ac:dyDescent="0.2">
      <c r="A10" s="6" t="s">
        <v>169</v>
      </c>
      <c r="B10" s="41">
        <v>166</v>
      </c>
      <c r="C10" s="30" t="s">
        <v>170</v>
      </c>
    </row>
    <row r="11" spans="1:8" ht="15" customHeight="1" x14ac:dyDescent="0.2">
      <c r="A11" s="9" t="s">
        <v>33</v>
      </c>
      <c r="B11" s="40">
        <v>450</v>
      </c>
      <c r="C11" s="36" t="s">
        <v>171</v>
      </c>
    </row>
    <row r="12" spans="1:8" ht="15" customHeight="1" x14ac:dyDescent="0.2">
      <c r="A12" t="s">
        <v>172</v>
      </c>
      <c r="B12">
        <v>663</v>
      </c>
      <c r="C12" t="s">
        <v>173</v>
      </c>
    </row>
    <row r="13" spans="1:8" ht="15.75" customHeight="1" x14ac:dyDescent="0.2">
      <c r="A13" s="43" t="s">
        <v>174</v>
      </c>
    </row>
    <row r="14" spans="1:8" ht="36" customHeight="1" x14ac:dyDescent="0.2">
      <c r="A14" s="23" t="s">
        <v>175</v>
      </c>
      <c r="B14" s="23" t="s">
        <v>176</v>
      </c>
      <c r="C14" s="23" t="s">
        <v>177</v>
      </c>
      <c r="D14" s="23" t="s">
        <v>178</v>
      </c>
      <c r="E14" s="23" t="s">
        <v>179</v>
      </c>
      <c r="F14" s="23" t="s">
        <v>180</v>
      </c>
      <c r="G14" s="23" t="s">
        <v>181</v>
      </c>
      <c r="H14" s="23" t="s">
        <v>182</v>
      </c>
    </row>
    <row r="15" spans="1:8" ht="19.5" customHeight="1" x14ac:dyDescent="0.2">
      <c r="A15" s="44">
        <v>1</v>
      </c>
      <c r="B15" s="57">
        <v>50</v>
      </c>
      <c r="C15" s="45">
        <v>350</v>
      </c>
      <c r="D15" s="45">
        <v>553</v>
      </c>
      <c r="E15" s="47" t="s">
        <v>183</v>
      </c>
      <c r="F15" s="45">
        <v>766</v>
      </c>
      <c r="G15" s="47" t="s">
        <v>183</v>
      </c>
      <c r="H15" s="58">
        <v>213</v>
      </c>
    </row>
    <row r="16" spans="1:8" ht="19.5" customHeight="1" x14ac:dyDescent="0.2">
      <c r="A16" s="49">
        <v>2</v>
      </c>
      <c r="B16" s="59">
        <v>50</v>
      </c>
      <c r="C16" s="50">
        <v>350</v>
      </c>
      <c r="D16" s="60">
        <v>203</v>
      </c>
      <c r="E16" s="52" t="s">
        <v>183</v>
      </c>
      <c r="F16" s="60">
        <v>416</v>
      </c>
      <c r="G16" s="52" t="s">
        <v>183</v>
      </c>
      <c r="H16" s="61">
        <v>213</v>
      </c>
    </row>
    <row r="17" spans="1:8" ht="19.5" customHeight="1" x14ac:dyDescent="0.2">
      <c r="A17" s="44">
        <v>3</v>
      </c>
      <c r="B17" s="57">
        <v>70</v>
      </c>
      <c r="C17" s="45">
        <v>490</v>
      </c>
      <c r="D17" s="62">
        <v>166</v>
      </c>
      <c r="E17" s="52" t="s">
        <v>183</v>
      </c>
      <c r="F17" s="62">
        <v>379</v>
      </c>
      <c r="G17" s="52" t="s">
        <v>183</v>
      </c>
      <c r="H17" s="58">
        <v>213</v>
      </c>
    </row>
    <row r="18" spans="1:8" ht="19.5" customHeight="1" x14ac:dyDescent="0.2">
      <c r="A18" s="49">
        <v>4</v>
      </c>
      <c r="B18" s="59">
        <v>70</v>
      </c>
      <c r="C18" s="50">
        <v>490</v>
      </c>
      <c r="D18" s="60">
        <v>129</v>
      </c>
      <c r="E18" s="52" t="s">
        <v>183</v>
      </c>
      <c r="F18" s="60">
        <v>342</v>
      </c>
      <c r="G18" s="52" t="s">
        <v>183</v>
      </c>
      <c r="H18" s="61">
        <v>213</v>
      </c>
    </row>
    <row r="19" spans="1:8" ht="19.5" customHeight="1" x14ac:dyDescent="0.2">
      <c r="A19" s="44">
        <v>5</v>
      </c>
      <c r="B19" s="57">
        <v>70</v>
      </c>
      <c r="C19" s="45">
        <v>490</v>
      </c>
      <c r="D19" s="62">
        <v>92</v>
      </c>
      <c r="E19" s="52" t="s">
        <v>183</v>
      </c>
      <c r="F19" s="62">
        <v>305</v>
      </c>
      <c r="G19" s="52" t="s">
        <v>183</v>
      </c>
      <c r="H19" s="58">
        <v>213</v>
      </c>
    </row>
    <row r="20" spans="1:8" ht="19.5" customHeight="1" x14ac:dyDescent="0.2">
      <c r="A20" s="49">
        <v>6</v>
      </c>
      <c r="B20" s="59">
        <v>70</v>
      </c>
      <c r="C20" s="50">
        <v>490</v>
      </c>
      <c r="D20" s="60">
        <v>55</v>
      </c>
      <c r="E20" s="52" t="s">
        <v>183</v>
      </c>
      <c r="F20" s="60">
        <v>268</v>
      </c>
      <c r="G20" s="52" t="s">
        <v>183</v>
      </c>
      <c r="H20" s="61">
        <v>213</v>
      </c>
    </row>
    <row r="21" spans="1:8" ht="19.5" customHeight="1" x14ac:dyDescent="0.2">
      <c r="A21" s="44">
        <v>7</v>
      </c>
      <c r="B21" s="57">
        <v>70</v>
      </c>
      <c r="C21" s="45">
        <v>490</v>
      </c>
      <c r="D21" s="62">
        <v>18</v>
      </c>
      <c r="E21" s="52" t="s">
        <v>183</v>
      </c>
      <c r="F21" s="62">
        <v>231</v>
      </c>
      <c r="G21" s="52" t="s">
        <v>183</v>
      </c>
      <c r="H21" s="58">
        <v>213</v>
      </c>
    </row>
    <row r="22" spans="1:8" ht="19.5" customHeight="1" x14ac:dyDescent="0.2">
      <c r="A22" s="49">
        <v>8</v>
      </c>
      <c r="B22" s="59">
        <v>70</v>
      </c>
      <c r="C22" s="50">
        <v>490</v>
      </c>
      <c r="D22" s="60">
        <v>0</v>
      </c>
      <c r="E22" s="52" t="s">
        <v>184</v>
      </c>
      <c r="F22" s="60">
        <v>194</v>
      </c>
      <c r="G22" s="52" t="s">
        <v>183</v>
      </c>
      <c r="H22" s="61">
        <v>194</v>
      </c>
    </row>
    <row r="24" spans="1:8" ht="15.75" customHeight="1" x14ac:dyDescent="0.2">
      <c r="A24" s="43" t="s">
        <v>185</v>
      </c>
    </row>
    <row r="25" spans="1:8" ht="25.5" customHeight="1" x14ac:dyDescent="0.2">
      <c r="A25" s="31" t="s">
        <v>186</v>
      </c>
      <c r="B25" s="10" t="s">
        <v>187</v>
      </c>
      <c r="C25" s="9"/>
    </row>
    <row r="26" spans="1:8" ht="25.5" customHeight="1" x14ac:dyDescent="0.2">
      <c r="A26" s="24" t="s">
        <v>188</v>
      </c>
      <c r="B26" s="28" t="s">
        <v>189</v>
      </c>
      <c r="C26" s="6"/>
    </row>
    <row r="27" spans="1:8" ht="15" customHeight="1" x14ac:dyDescent="0.2">
      <c r="A27" s="31" t="s">
        <v>190</v>
      </c>
      <c r="B27" s="35" t="s">
        <v>191</v>
      </c>
      <c r="C27" s="9"/>
    </row>
    <row r="28" spans="1:8" ht="38.25" customHeight="1" x14ac:dyDescent="0.2">
      <c r="A28" s="54" t="s">
        <v>192</v>
      </c>
      <c r="B28" s="55" t="s">
        <v>193</v>
      </c>
      <c r="C28" s="56"/>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showGridLines="0" zoomScaleNormal="100" workbookViewId="0"/>
  </sheetViews>
  <sheetFormatPr baseColWidth="10" defaultColWidth="9.1640625" defaultRowHeight="15" x14ac:dyDescent="0.2"/>
  <cols>
    <col min="1" max="1" width="83.83203125" bestFit="1" customWidth="1"/>
    <col min="2" max="2" width="41.5" bestFit="1" customWidth="1"/>
    <col min="3" max="3" width="26.83203125" bestFit="1" customWidth="1"/>
    <col min="4" max="4" width="13.33203125" bestFit="1" customWidth="1"/>
    <col min="5" max="5" width="10.5" bestFit="1" customWidth="1"/>
    <col min="6" max="6" width="13.33203125" bestFit="1" customWidth="1"/>
    <col min="7" max="7" width="10.5" bestFit="1" customWidth="1"/>
    <col min="8" max="8" width="13" bestFit="1" customWidth="1"/>
  </cols>
  <sheetData>
    <row r="1" spans="1:8" ht="27.75" customHeight="1" x14ac:dyDescent="0.2">
      <c r="A1" s="3" t="s">
        <v>194</v>
      </c>
    </row>
    <row r="2" spans="1:8" ht="15" customHeight="1" x14ac:dyDescent="0.2">
      <c r="A2" s="2" t="s">
        <v>195</v>
      </c>
    </row>
    <row r="4" spans="1:8" ht="15.75" customHeight="1" x14ac:dyDescent="0.2">
      <c r="A4" s="39" t="s">
        <v>196</v>
      </c>
    </row>
    <row r="5" spans="1:8" ht="36" customHeight="1" x14ac:dyDescent="0.2">
      <c r="A5" s="23" t="s">
        <v>175</v>
      </c>
      <c r="B5" s="23" t="s">
        <v>197</v>
      </c>
      <c r="C5" s="23" t="s">
        <v>198</v>
      </c>
      <c r="D5" s="23" t="s">
        <v>199</v>
      </c>
      <c r="E5" s="23" t="s">
        <v>200</v>
      </c>
      <c r="F5" s="23" t="s">
        <v>201</v>
      </c>
      <c r="G5" s="23" t="s">
        <v>202</v>
      </c>
      <c r="H5" s="23" t="s">
        <v>203</v>
      </c>
    </row>
    <row r="6" spans="1:8" ht="19.5" customHeight="1" x14ac:dyDescent="0.2">
      <c r="A6" s="44">
        <v>1</v>
      </c>
      <c r="B6" s="57">
        <v>50</v>
      </c>
      <c r="C6" s="45">
        <v>450</v>
      </c>
      <c r="D6" s="62">
        <v>36</v>
      </c>
      <c r="E6" s="63">
        <f>ROUND(D6/C6*100,1)</f>
        <v>8</v>
      </c>
      <c r="F6" s="64">
        <v>14</v>
      </c>
      <c r="G6" s="65">
        <f>ROUND(F6/C6*100,1)</f>
        <v>3.1</v>
      </c>
      <c r="H6" s="58">
        <v>22</v>
      </c>
    </row>
    <row r="7" spans="1:8" ht="19.5" customHeight="1" x14ac:dyDescent="0.2">
      <c r="A7" s="49">
        <v>2</v>
      </c>
      <c r="B7" s="59">
        <v>50</v>
      </c>
      <c r="C7" s="50">
        <v>100</v>
      </c>
      <c r="D7" s="50">
        <v>8</v>
      </c>
      <c r="E7" s="66">
        <f>ROUND(D7/C7*100,1)</f>
        <v>8</v>
      </c>
      <c r="F7" s="67">
        <v>3</v>
      </c>
      <c r="G7" s="68">
        <f>ROUND(F7/C7*100,1)</f>
        <v>3</v>
      </c>
      <c r="H7" s="61">
        <v>5</v>
      </c>
    </row>
    <row r="8" spans="1:8" ht="19.5" customHeight="1" x14ac:dyDescent="0.2">
      <c r="A8" s="44">
        <v>3</v>
      </c>
      <c r="B8" s="57">
        <v>32.5</v>
      </c>
      <c r="C8" s="45">
        <v>0</v>
      </c>
      <c r="D8" s="45">
        <v>0</v>
      </c>
      <c r="E8" s="69">
        <v>0</v>
      </c>
      <c r="F8" s="64">
        <v>0</v>
      </c>
      <c r="G8" s="65">
        <v>0</v>
      </c>
      <c r="H8" s="58">
        <v>0</v>
      </c>
    </row>
    <row r="9" spans="1:8" ht="19.5" customHeight="1" x14ac:dyDescent="0.2">
      <c r="A9" s="49">
        <v>4</v>
      </c>
      <c r="B9" s="59">
        <v>32.5</v>
      </c>
      <c r="C9" s="50">
        <v>0</v>
      </c>
      <c r="D9" s="50">
        <v>0</v>
      </c>
      <c r="E9" s="70">
        <v>0</v>
      </c>
      <c r="F9" s="67">
        <v>0</v>
      </c>
      <c r="G9" s="68">
        <v>0</v>
      </c>
      <c r="H9" s="61">
        <v>0</v>
      </c>
    </row>
    <row r="10" spans="1:8" ht="19.5" customHeight="1" x14ac:dyDescent="0.2">
      <c r="A10" s="44">
        <v>5</v>
      </c>
      <c r="B10" s="57">
        <v>32.5</v>
      </c>
      <c r="C10" s="45">
        <v>0</v>
      </c>
      <c r="D10" s="45">
        <v>0</v>
      </c>
      <c r="E10" s="69">
        <v>0</v>
      </c>
      <c r="F10" s="64">
        <v>0</v>
      </c>
      <c r="G10" s="65">
        <v>0</v>
      </c>
      <c r="H10" s="58">
        <v>0</v>
      </c>
    </row>
    <row r="11" spans="1:8" ht="19.5" customHeight="1" x14ac:dyDescent="0.2">
      <c r="A11" s="49">
        <v>6</v>
      </c>
      <c r="B11" s="59">
        <v>32.5</v>
      </c>
      <c r="C11" s="50">
        <v>0</v>
      </c>
      <c r="D11" s="50">
        <v>0</v>
      </c>
      <c r="E11" s="70">
        <v>0</v>
      </c>
      <c r="F11" s="67">
        <v>0</v>
      </c>
      <c r="G11" s="68">
        <v>0</v>
      </c>
      <c r="H11" s="61">
        <v>0</v>
      </c>
    </row>
    <row r="12" spans="1:8" ht="19.5" customHeight="1" x14ac:dyDescent="0.2">
      <c r="A12" s="44">
        <v>7</v>
      </c>
      <c r="B12" s="57">
        <v>32.5</v>
      </c>
      <c r="C12" s="45">
        <v>0</v>
      </c>
      <c r="D12" s="45">
        <v>0</v>
      </c>
      <c r="E12" s="69">
        <v>0</v>
      </c>
      <c r="F12" s="64">
        <v>0</v>
      </c>
      <c r="G12" s="65">
        <v>0</v>
      </c>
      <c r="H12" s="58">
        <v>0</v>
      </c>
    </row>
    <row r="13" spans="1:8" ht="19.5" customHeight="1" x14ac:dyDescent="0.2">
      <c r="A13" s="49">
        <v>8</v>
      </c>
      <c r="B13" s="59">
        <v>32.5</v>
      </c>
      <c r="C13" s="50">
        <v>0</v>
      </c>
      <c r="D13" s="50">
        <v>0</v>
      </c>
      <c r="E13" s="70">
        <v>0</v>
      </c>
      <c r="F13" s="67">
        <v>0</v>
      </c>
      <c r="G13" s="68">
        <v>0</v>
      </c>
      <c r="H13" s="61">
        <v>0</v>
      </c>
    </row>
    <row r="14" spans="1:8" ht="19.5" customHeight="1" x14ac:dyDescent="0.2">
      <c r="A14" s="44">
        <v>9</v>
      </c>
      <c r="B14" s="57">
        <v>32.5</v>
      </c>
      <c r="C14" s="45">
        <v>0</v>
      </c>
      <c r="D14" s="45">
        <v>0</v>
      </c>
      <c r="E14" s="69">
        <v>0</v>
      </c>
      <c r="F14" s="64">
        <v>0</v>
      </c>
      <c r="G14" s="65">
        <v>0</v>
      </c>
      <c r="H14" s="58">
        <v>0</v>
      </c>
    </row>
    <row r="15" spans="1:8" ht="19.5" customHeight="1" x14ac:dyDescent="0.2">
      <c r="A15" s="49">
        <v>10</v>
      </c>
      <c r="B15" s="59">
        <v>32.5</v>
      </c>
      <c r="C15" s="50">
        <v>0</v>
      </c>
      <c r="D15" s="50">
        <v>0</v>
      </c>
      <c r="E15" s="70">
        <v>0</v>
      </c>
      <c r="F15" s="67">
        <v>0</v>
      </c>
      <c r="G15" s="68">
        <v>0</v>
      </c>
      <c r="H15" s="61">
        <v>0</v>
      </c>
    </row>
    <row r="16" spans="1:8" ht="24" customHeight="1" x14ac:dyDescent="0.2">
      <c r="A16" s="71" t="s">
        <v>204</v>
      </c>
      <c r="D16" s="72">
        <v>44</v>
      </c>
      <c r="E16" s="73">
        <f>ROUND(D16/450*100,1)</f>
        <v>9.8000000000000007</v>
      </c>
      <c r="F16" s="74">
        <v>17</v>
      </c>
      <c r="G16" s="75">
        <f>ROUND(F16/450*100,1)</f>
        <v>3.8</v>
      </c>
      <c r="H16" s="76" t="s">
        <v>205</v>
      </c>
    </row>
    <row r="18" spans="1:3" ht="15.75" customHeight="1" x14ac:dyDescent="0.2">
      <c r="A18" s="43" t="s">
        <v>206</v>
      </c>
    </row>
    <row r="19" spans="1:3" ht="21.75" customHeight="1" x14ac:dyDescent="0.2">
      <c r="A19" s="31" t="s">
        <v>207</v>
      </c>
      <c r="B19" s="10" t="s">
        <v>208</v>
      </c>
      <c r="C19" s="9" t="s">
        <v>209</v>
      </c>
    </row>
    <row r="20" spans="1:3" ht="21.75" customHeight="1" x14ac:dyDescent="0.2">
      <c r="A20" s="24" t="s">
        <v>210</v>
      </c>
      <c r="B20" s="7" t="s">
        <v>211</v>
      </c>
      <c r="C20" s="6" t="s">
        <v>212</v>
      </c>
    </row>
    <row r="21" spans="1:3" ht="21.75" customHeight="1" x14ac:dyDescent="0.2">
      <c r="A21" s="31" t="s">
        <v>213</v>
      </c>
      <c r="B21" s="35" t="s">
        <v>205</v>
      </c>
      <c r="C21" s="9" t="s">
        <v>214</v>
      </c>
    </row>
    <row r="22" spans="1:3" ht="21.75" customHeight="1" x14ac:dyDescent="0.2">
      <c r="A22" s="54" t="s">
        <v>215</v>
      </c>
      <c r="B22" s="55" t="s">
        <v>216</v>
      </c>
      <c r="C22" s="56" t="s">
        <v>217</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
  <sheetViews>
    <sheetView showGridLines="0" zoomScaleNormal="100" workbookViewId="0">
      <selection activeCell="B25" sqref="B25"/>
    </sheetView>
  </sheetViews>
  <sheetFormatPr baseColWidth="10" defaultColWidth="9.1640625" defaultRowHeight="15" x14ac:dyDescent="0.2"/>
  <cols>
    <col min="1" max="1" width="128.83203125" bestFit="1" customWidth="1"/>
    <col min="2" max="2" width="15.1640625" bestFit="1" customWidth="1"/>
    <col min="3" max="3" width="10.5" bestFit="1" customWidth="1"/>
    <col min="4" max="4" width="17.6640625" bestFit="1" customWidth="1"/>
    <col min="5" max="5" width="17.33203125" bestFit="1" customWidth="1"/>
    <col min="6" max="6" width="14.5" bestFit="1" customWidth="1"/>
    <col min="7" max="7" width="17.83203125" bestFit="1" customWidth="1"/>
    <col min="8" max="8" width="13.5" bestFit="1" customWidth="1"/>
  </cols>
  <sheetData>
    <row r="1" spans="1:8" ht="27.75" customHeight="1" x14ac:dyDescent="0.2">
      <c r="A1" s="3" t="s">
        <v>218</v>
      </c>
    </row>
    <row r="3" spans="1:8" ht="15.75" customHeight="1" x14ac:dyDescent="0.2">
      <c r="A3" s="1" t="s">
        <v>219</v>
      </c>
    </row>
    <row r="4" spans="1:8" ht="36" customHeight="1" x14ac:dyDescent="0.2">
      <c r="A4" s="23" t="s">
        <v>220</v>
      </c>
      <c r="B4" s="23" t="s">
        <v>221</v>
      </c>
      <c r="C4" s="23" t="s">
        <v>222</v>
      </c>
      <c r="D4" s="23" t="s">
        <v>223</v>
      </c>
      <c r="E4" s="23" t="s">
        <v>224</v>
      </c>
      <c r="F4" s="23" t="s">
        <v>225</v>
      </c>
      <c r="G4" s="23" t="s">
        <v>226</v>
      </c>
      <c r="H4" s="23" t="s">
        <v>155</v>
      </c>
    </row>
    <row r="5" spans="1:8" ht="21.75" customHeight="1" x14ac:dyDescent="0.2">
      <c r="A5" s="31" t="s">
        <v>227</v>
      </c>
      <c r="B5" s="57">
        <v>1</v>
      </c>
      <c r="C5" s="77">
        <v>0.14000000000000001</v>
      </c>
      <c r="D5" s="45">
        <v>100</v>
      </c>
      <c r="E5" s="58">
        <f>ROUND('1_Parametros_Base'!C8*SQRT('1_Parametros_Base'!C6*'1_Parametros_Base'!C5^2+50^2*1^2),0)</f>
        <v>98</v>
      </c>
      <c r="F5" s="78" t="s">
        <v>228</v>
      </c>
      <c r="G5" s="76" t="s">
        <v>229</v>
      </c>
      <c r="H5" s="35" t="s">
        <v>230</v>
      </c>
    </row>
    <row r="6" spans="1:8" ht="21.75" customHeight="1" x14ac:dyDescent="0.2">
      <c r="A6" s="24" t="s">
        <v>231</v>
      </c>
      <c r="B6" s="59">
        <v>2</v>
      </c>
      <c r="C6" s="79">
        <v>0.28999999999999998</v>
      </c>
      <c r="D6" s="50">
        <v>100</v>
      </c>
      <c r="E6" s="61">
        <f>'1_Parametros_Base'!C19</f>
        <v>173.1163770415728</v>
      </c>
      <c r="F6" s="80" t="s">
        <v>232</v>
      </c>
      <c r="G6" s="76" t="s">
        <v>233</v>
      </c>
      <c r="H6" s="28" t="s">
        <v>76</v>
      </c>
    </row>
    <row r="7" spans="1:8" ht="21.75" customHeight="1" x14ac:dyDescent="0.2">
      <c r="A7" s="31" t="s">
        <v>234</v>
      </c>
      <c r="B7" s="57">
        <v>2.5</v>
      </c>
      <c r="C7" s="81">
        <v>0.36</v>
      </c>
      <c r="D7" s="45">
        <v>100</v>
      </c>
      <c r="E7" s="58">
        <f>ROUND('1_Parametros_Base'!C8*SQRT('1_Parametros_Base'!C6*'1_Parametros_Base'!C5^2+50^2*2.5^2),0)</f>
        <v>213</v>
      </c>
      <c r="F7" s="80" t="s">
        <v>235</v>
      </c>
      <c r="G7" s="76" t="s">
        <v>236</v>
      </c>
      <c r="H7" s="35" t="s">
        <v>237</v>
      </c>
    </row>
    <row r="8" spans="1:8" ht="21.75" customHeight="1" x14ac:dyDescent="0.2">
      <c r="A8" s="24" t="s">
        <v>238</v>
      </c>
      <c r="B8" s="59">
        <v>3.5</v>
      </c>
      <c r="C8" s="82">
        <v>0.5</v>
      </c>
      <c r="D8" s="50">
        <v>100</v>
      </c>
      <c r="E8" s="61">
        <f>ROUND('1_Parametros_Base'!C8*SQRT('1_Parametros_Base'!C6*'1_Parametros_Base'!C5^2+50^2*3.5^2),0)</f>
        <v>293</v>
      </c>
      <c r="F8" s="80" t="s">
        <v>239</v>
      </c>
      <c r="G8" s="76" t="s">
        <v>240</v>
      </c>
      <c r="H8" s="28" t="s">
        <v>241</v>
      </c>
    </row>
    <row r="10" spans="1:8" ht="21.75" customHeight="1" x14ac:dyDescent="0.2">
      <c r="A10" s="1" t="s">
        <v>242</v>
      </c>
    </row>
    <row r="13" spans="1:8" ht="15.75" customHeight="1" x14ac:dyDescent="0.2">
      <c r="A13" s="1" t="s">
        <v>243</v>
      </c>
    </row>
    <row r="14" spans="1:8" ht="15" customHeight="1" x14ac:dyDescent="0.2">
      <c r="A14" s="5" t="s">
        <v>244</v>
      </c>
    </row>
    <row r="15" spans="1:8" ht="36" customHeight="1" x14ac:dyDescent="0.2">
      <c r="A15" s="23" t="s">
        <v>175</v>
      </c>
      <c r="B15" s="23" t="s">
        <v>245</v>
      </c>
      <c r="C15" s="23" t="s">
        <v>246</v>
      </c>
      <c r="D15" s="23" t="s">
        <v>247</v>
      </c>
      <c r="E15" s="23" t="s">
        <v>248</v>
      </c>
      <c r="F15" s="23" t="s">
        <v>249</v>
      </c>
      <c r="G15" s="23" t="s">
        <v>250</v>
      </c>
      <c r="H15" s="23" t="s">
        <v>42</v>
      </c>
    </row>
    <row r="16" spans="1:8" ht="25.5" customHeight="1" x14ac:dyDescent="0.2">
      <c r="A16" s="49">
        <v>1</v>
      </c>
      <c r="B16" s="24" t="s">
        <v>251</v>
      </c>
      <c r="C16" s="76" t="s">
        <v>252</v>
      </c>
      <c r="D16" s="54" t="s">
        <v>253</v>
      </c>
      <c r="E16" s="6" t="s">
        <v>254</v>
      </c>
      <c r="F16" s="7" t="s">
        <v>255</v>
      </c>
      <c r="G16" s="30" t="s">
        <v>256</v>
      </c>
      <c r="H16" s="56" t="s">
        <v>257</v>
      </c>
    </row>
    <row r="17" spans="1:8" ht="38.25" customHeight="1" x14ac:dyDescent="0.2">
      <c r="A17" s="44">
        <v>2</v>
      </c>
      <c r="B17" s="31" t="s">
        <v>258</v>
      </c>
      <c r="C17" s="76" t="s">
        <v>259</v>
      </c>
      <c r="D17" s="83" t="s">
        <v>260</v>
      </c>
      <c r="E17" s="9" t="s">
        <v>254</v>
      </c>
      <c r="F17" s="35" t="s">
        <v>261</v>
      </c>
      <c r="G17" s="36" t="s">
        <v>262</v>
      </c>
      <c r="H17" s="84" t="s">
        <v>263</v>
      </c>
    </row>
    <row r="18" spans="1:8" ht="25.5" customHeight="1" x14ac:dyDescent="0.2">
      <c r="A18" s="49">
        <v>3</v>
      </c>
      <c r="B18" s="24" t="s">
        <v>264</v>
      </c>
      <c r="C18" s="37" t="s">
        <v>265</v>
      </c>
      <c r="D18" s="54" t="s">
        <v>266</v>
      </c>
      <c r="E18" s="6" t="s">
        <v>254</v>
      </c>
      <c r="F18" s="28" t="s">
        <v>267</v>
      </c>
      <c r="G18" s="30" t="s">
        <v>268</v>
      </c>
      <c r="H18" s="85" t="s">
        <v>269</v>
      </c>
    </row>
    <row r="19" spans="1:8" ht="25.5" customHeight="1" x14ac:dyDescent="0.2">
      <c r="A19" s="44">
        <v>4</v>
      </c>
      <c r="B19" s="31" t="s">
        <v>270</v>
      </c>
      <c r="C19" s="29" t="s">
        <v>271</v>
      </c>
      <c r="D19" s="86" t="s">
        <v>272</v>
      </c>
      <c r="E19" s="85" t="s">
        <v>273</v>
      </c>
      <c r="F19" s="10" t="s">
        <v>274</v>
      </c>
      <c r="G19" s="36" t="s">
        <v>275</v>
      </c>
      <c r="H19" s="85" t="s">
        <v>276</v>
      </c>
    </row>
    <row r="20" spans="1:8" ht="25.5" customHeight="1" x14ac:dyDescent="0.2">
      <c r="A20" s="49">
        <v>5</v>
      </c>
      <c r="B20" s="24" t="s">
        <v>277</v>
      </c>
      <c r="C20" s="37" t="s">
        <v>278</v>
      </c>
      <c r="D20" s="54" t="s">
        <v>279</v>
      </c>
      <c r="E20" s="6" t="s">
        <v>280</v>
      </c>
      <c r="F20" s="7" t="s">
        <v>255</v>
      </c>
      <c r="G20" s="30" t="s">
        <v>281</v>
      </c>
      <c r="H20" s="84" t="s">
        <v>282</v>
      </c>
    </row>
    <row r="21" spans="1:8" ht="15" customHeight="1" x14ac:dyDescent="0.2">
      <c r="A21" s="44">
        <v>6</v>
      </c>
      <c r="B21" s="31" t="s">
        <v>283</v>
      </c>
      <c r="C21" s="76" t="s">
        <v>284</v>
      </c>
      <c r="D21" s="54" t="s">
        <v>285</v>
      </c>
      <c r="E21" s="9" t="s">
        <v>251</v>
      </c>
      <c r="F21" s="10" t="s">
        <v>255</v>
      </c>
      <c r="G21" s="36" t="s">
        <v>286</v>
      </c>
      <c r="H21" s="56" t="s">
        <v>287</v>
      </c>
    </row>
    <row r="23" spans="1:8" ht="15.75" customHeight="1" x14ac:dyDescent="0.2">
      <c r="A23" s="1" t="s">
        <v>288</v>
      </c>
    </row>
    <row r="25" spans="1:8" ht="48" customHeight="1" x14ac:dyDescent="0.2">
      <c r="A25" s="22" t="s">
        <v>289</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6"/>
  <sheetViews>
    <sheetView showGridLines="0" zoomScaleNormal="100" workbookViewId="0">
      <selection activeCell="A28" sqref="A28"/>
    </sheetView>
  </sheetViews>
  <sheetFormatPr baseColWidth="10" defaultColWidth="9.1640625" defaultRowHeight="15" x14ac:dyDescent="0.2"/>
  <cols>
    <col min="1" max="1" width="22" customWidth="1"/>
    <col min="2" max="2" width="9.6640625" bestFit="1" customWidth="1"/>
    <col min="3" max="3" width="10.6640625" bestFit="1" customWidth="1"/>
    <col min="4" max="4" width="14.6640625" bestFit="1" customWidth="1"/>
    <col min="5" max="5" width="5.5" bestFit="1" customWidth="1"/>
    <col min="6" max="6" width="11.33203125" bestFit="1" customWidth="1"/>
    <col min="7" max="7" width="11.83203125" bestFit="1" customWidth="1"/>
    <col min="8" max="8" width="18.5" bestFit="1" customWidth="1"/>
  </cols>
  <sheetData>
    <row r="1" spans="1:8" ht="27.75" customHeight="1" x14ac:dyDescent="0.2">
      <c r="A1" s="110" t="s">
        <v>290</v>
      </c>
      <c r="B1" s="110"/>
      <c r="C1" s="110"/>
      <c r="D1" s="110"/>
      <c r="E1" s="110"/>
      <c r="F1" s="110"/>
      <c r="G1" s="110"/>
      <c r="H1" s="110"/>
    </row>
    <row r="3" spans="1:8" ht="15.75" customHeight="1" x14ac:dyDescent="0.2">
      <c r="A3" s="113" t="s">
        <v>291</v>
      </c>
      <c r="B3" s="113"/>
      <c r="C3" s="113"/>
      <c r="D3" s="113"/>
      <c r="E3" s="113"/>
      <c r="F3" s="113"/>
      <c r="G3" s="113"/>
      <c r="H3" s="113"/>
    </row>
    <row r="4" spans="1:8" ht="36" customHeight="1" x14ac:dyDescent="0.2">
      <c r="A4" s="23" t="s">
        <v>292</v>
      </c>
      <c r="B4" s="23" t="s">
        <v>293</v>
      </c>
      <c r="C4" s="23" t="s">
        <v>294</v>
      </c>
      <c r="D4" s="23" t="s">
        <v>295</v>
      </c>
      <c r="E4" s="23" t="s">
        <v>296</v>
      </c>
      <c r="F4" s="23" t="s">
        <v>297</v>
      </c>
      <c r="G4" s="23" t="s">
        <v>298</v>
      </c>
      <c r="H4" s="23" t="s">
        <v>299</v>
      </c>
    </row>
    <row r="5" spans="1:8" ht="19.5" customHeight="1" x14ac:dyDescent="0.2">
      <c r="A5" s="87">
        <v>25</v>
      </c>
      <c r="B5" s="45">
        <f>25*365</f>
        <v>9125</v>
      </c>
      <c r="C5" s="45">
        <f>ROUND(SQRT(2*B5*'1_Parametros_Base'!C10/'1_Parametros_Base'!C11),0)</f>
        <v>320</v>
      </c>
      <c r="D5" s="45">
        <f>ROUND('1_Parametros_Base'!C8*SQRT('1_Parametros_Base'!C6*'1_Parametros_Base'!C5^2+25^2*'1_Parametros_Base'!C7^2),0)</f>
        <v>98</v>
      </c>
      <c r="E5" s="45">
        <f>ROUND(25*'1_Parametros_Base'!C6+D5,0)</f>
        <v>273</v>
      </c>
      <c r="F5" s="88">
        <f>ROUND('1_Parametros_Base'!C10*(B5/C5)+'1_Parametros_Base'!C11*(C5/2+D5),0)</f>
        <v>3347203</v>
      </c>
      <c r="G5" s="44" t="s">
        <v>300</v>
      </c>
      <c r="H5" s="69">
        <f>ROUND(E5/25,1)</f>
        <v>10.9</v>
      </c>
    </row>
    <row r="6" spans="1:8" ht="19.5" customHeight="1" x14ac:dyDescent="0.2">
      <c r="A6" s="89">
        <v>32</v>
      </c>
      <c r="B6" s="50">
        <f>32*365</f>
        <v>11680</v>
      </c>
      <c r="C6" s="50">
        <f>ROUND(SQRT(2*B6*'1_Parametros_Base'!C10/'1_Parametros_Base'!C11),0)</f>
        <v>362</v>
      </c>
      <c r="D6" s="50">
        <f>ROUND('1_Parametros_Base'!C8*SQRT('1_Parametros_Base'!C6*'1_Parametros_Base'!C5^2+32^2*'1_Parametros_Base'!C7^2),0)</f>
        <v>118</v>
      </c>
      <c r="E6" s="50">
        <f>ROUND(32*'1_Parametros_Base'!C6+D6,0)</f>
        <v>342</v>
      </c>
      <c r="F6" s="90">
        <f>ROUND('1_Parametros_Base'!C10*(B6/C6)+'1_Parametros_Base'!C11*(C6/2+D6),0)</f>
        <v>3843934</v>
      </c>
      <c r="G6" s="49" t="s">
        <v>300</v>
      </c>
      <c r="H6" s="70">
        <f>ROUND(E6/32,1)</f>
        <v>10.7</v>
      </c>
    </row>
    <row r="7" spans="1:8" ht="19.5" customHeight="1" x14ac:dyDescent="0.2">
      <c r="A7" s="87">
        <v>40</v>
      </c>
      <c r="B7" s="45">
        <f>40*365</f>
        <v>14600</v>
      </c>
      <c r="C7" s="45">
        <f>ROUND(SQRT(2*B7*'1_Parametros_Base'!C10/'1_Parametros_Base'!C11),0)</f>
        <v>405</v>
      </c>
      <c r="D7" s="45">
        <f>ROUND('1_Parametros_Base'!C8*SQRT('1_Parametros_Base'!C6*'1_Parametros_Base'!C5^2+40^2*'1_Parametros_Base'!C7^2),0)</f>
        <v>142</v>
      </c>
      <c r="E7" s="45">
        <f>ROUND(40*'1_Parametros_Base'!C6+D7,0)</f>
        <v>422</v>
      </c>
      <c r="F7" s="88">
        <f>ROUND('1_Parametros_Base'!C10*(B7/C7)+'1_Parametros_Base'!C11*(C7/2+D7),0)</f>
        <v>4378222</v>
      </c>
      <c r="G7" s="44" t="s">
        <v>300</v>
      </c>
      <c r="H7" s="69">
        <f>ROUND(E7/40,1)</f>
        <v>10.6</v>
      </c>
    </row>
    <row r="8" spans="1:8" ht="19.5" customHeight="1" x14ac:dyDescent="0.2">
      <c r="A8" s="91">
        <v>50</v>
      </c>
      <c r="B8" s="92">
        <f>50*365</f>
        <v>18250</v>
      </c>
      <c r="C8" s="92">
        <f>ROUND(SQRT(2*B8*'1_Parametros_Base'!C10/'1_Parametros_Base'!C11),0)</f>
        <v>453</v>
      </c>
      <c r="D8" s="92">
        <f>ROUND('1_Parametros_Base'!C8*SQRT('1_Parametros_Base'!C6*'1_Parametros_Base'!C5^2+50^2*'1_Parametros_Base'!C7^2),0)</f>
        <v>173</v>
      </c>
      <c r="E8" s="92">
        <f>ROUND(50*'1_Parametros_Base'!C6+D8,0)</f>
        <v>523</v>
      </c>
      <c r="F8" s="93">
        <f>ROUND('1_Parametros_Base'!C10*(B8/C8)+'1_Parametros_Base'!C11*(C8/2+D8),0)</f>
        <v>5008914</v>
      </c>
      <c r="G8" s="94" t="s">
        <v>300</v>
      </c>
      <c r="H8" s="95">
        <f>ROUND(E8/50,1)</f>
        <v>10.5</v>
      </c>
    </row>
    <row r="9" spans="1:8" ht="19.5" customHeight="1" x14ac:dyDescent="0.2">
      <c r="A9" s="87">
        <v>60</v>
      </c>
      <c r="B9" s="45">
        <f>60*365</f>
        <v>21900</v>
      </c>
      <c r="C9" s="45">
        <f>ROUND(SQRT(2*B9*'1_Parametros_Base'!C10/'1_Parametros_Base'!C11),0)</f>
        <v>496</v>
      </c>
      <c r="D9" s="45">
        <f>ROUND('1_Parametros_Base'!C8*SQRT('1_Parametros_Base'!C6*'1_Parametros_Base'!C5^2+60^2*'1_Parametros_Base'!C7^2),0)</f>
        <v>205</v>
      </c>
      <c r="E9" s="45">
        <f>ROUND(60*'1_Parametros_Base'!C6+D9,0)</f>
        <v>625</v>
      </c>
      <c r="F9" s="88">
        <f>ROUND('1_Parametros_Base'!C10*(B9/C9)+'1_Parametros_Base'!C11*(C9/2+D9),0)</f>
        <v>5610895</v>
      </c>
      <c r="G9" s="44" t="s">
        <v>300</v>
      </c>
      <c r="H9" s="69">
        <f>ROUND(E9/60,1)</f>
        <v>10.4</v>
      </c>
    </row>
    <row r="10" spans="1:8" ht="19.5" customHeight="1" x14ac:dyDescent="0.2">
      <c r="A10" s="89">
        <v>70</v>
      </c>
      <c r="B10" s="50">
        <f>70*365</f>
        <v>25550</v>
      </c>
      <c r="C10" s="50">
        <f>ROUND(SQRT(2*B10*'1_Parametros_Base'!C10/'1_Parametros_Base'!C11),0)</f>
        <v>536</v>
      </c>
      <c r="D10" s="50">
        <f>ROUND('1_Parametros_Base'!C8*SQRT('1_Parametros_Base'!C6*'1_Parametros_Base'!C5^2+70^2*'1_Parametros_Base'!C7^2),0)</f>
        <v>237</v>
      </c>
      <c r="E10" s="50">
        <f>ROUND(70*'1_Parametros_Base'!C6+D10,0)</f>
        <v>727</v>
      </c>
      <c r="F10" s="90">
        <f>ROUND('1_Parametros_Base'!C10*(B10/C10)+'1_Parametros_Base'!C11*(C10/2+D10),0)</f>
        <v>6185056</v>
      </c>
      <c r="G10" s="49" t="s">
        <v>300</v>
      </c>
      <c r="H10" s="70">
        <f>ROUND(E10/70,1)</f>
        <v>10.4</v>
      </c>
    </row>
    <row r="11" spans="1:8" ht="19.5" customHeight="1" x14ac:dyDescent="0.2">
      <c r="A11" s="87">
        <v>80</v>
      </c>
      <c r="B11" s="45">
        <f>80*365</f>
        <v>29200</v>
      </c>
      <c r="C11" s="45">
        <f>ROUND(SQRT(2*B11*'1_Parametros_Base'!C10/'1_Parametros_Base'!C11),0)</f>
        <v>573</v>
      </c>
      <c r="D11" s="45">
        <f>ROUND('1_Parametros_Base'!C8*SQRT('1_Parametros_Base'!C6*'1_Parametros_Base'!C5^2+80^2*'1_Parametros_Base'!C7^2),0)</f>
        <v>269</v>
      </c>
      <c r="E11" s="45">
        <f>ROUND(80*'1_Parametros_Base'!C6+D11,0)</f>
        <v>829</v>
      </c>
      <c r="F11" s="88">
        <f>ROUND('1_Parametros_Base'!C10*(B11/C11)+'1_Parametros_Base'!C11*(C11/2+D11),0)</f>
        <v>6737194</v>
      </c>
      <c r="G11" s="44" t="s">
        <v>300</v>
      </c>
      <c r="H11" s="69">
        <f>ROUND(E11/80,1)</f>
        <v>10.4</v>
      </c>
    </row>
    <row r="12" spans="1:8" ht="19.5" customHeight="1" x14ac:dyDescent="0.2">
      <c r="A12" s="89">
        <v>100</v>
      </c>
      <c r="B12" s="50">
        <f>100*365</f>
        <v>36500</v>
      </c>
      <c r="C12" s="50">
        <f>ROUND(SQRT(2*B12*'1_Parametros_Base'!C10/'1_Parametros_Base'!C11),0)</f>
        <v>641</v>
      </c>
      <c r="D12" s="50">
        <f>ROUND('1_Parametros_Base'!C8*SQRT('1_Parametros_Base'!C6*'1_Parametros_Base'!C5^2+100^2*'1_Parametros_Base'!C7^2),0)</f>
        <v>334</v>
      </c>
      <c r="E12" s="50">
        <f>ROUND(100*'1_Parametros_Base'!C6+D12,0)</f>
        <v>1034</v>
      </c>
      <c r="F12" s="90">
        <f>ROUND('1_Parametros_Base'!C10*(B12/C12)+'1_Parametros_Base'!C11*(C12/2+D12),0)</f>
        <v>7798402</v>
      </c>
      <c r="G12" s="49" t="s">
        <v>300</v>
      </c>
      <c r="H12" s="70">
        <f>ROUND(E12/100,1)</f>
        <v>10.3</v>
      </c>
    </row>
    <row r="13" spans="1:8" ht="15" customHeight="1" x14ac:dyDescent="0.2">
      <c r="A13" s="96"/>
      <c r="B13" s="96"/>
      <c r="C13" s="96"/>
      <c r="D13" s="96"/>
      <c r="E13" s="96"/>
      <c r="F13" s="96"/>
      <c r="G13" s="96"/>
      <c r="H13" s="96"/>
    </row>
    <row r="14" spans="1:8" ht="36" customHeight="1" x14ac:dyDescent="0.2">
      <c r="A14" s="22" t="s">
        <v>301</v>
      </c>
    </row>
    <row r="16" spans="1:8" ht="15.75" customHeight="1" x14ac:dyDescent="0.2">
      <c r="A16" s="113" t="s">
        <v>302</v>
      </c>
      <c r="B16" s="113"/>
      <c r="C16" s="113"/>
      <c r="D16" s="113"/>
      <c r="E16" s="113"/>
      <c r="F16" s="113"/>
      <c r="G16" s="113"/>
      <c r="H16" s="113"/>
    </row>
    <row r="17" spans="1:8" ht="36" customHeight="1" x14ac:dyDescent="0.2">
      <c r="A17" s="23" t="s">
        <v>303</v>
      </c>
      <c r="B17" s="23" t="s">
        <v>221</v>
      </c>
      <c r="C17" s="23" t="s">
        <v>304</v>
      </c>
      <c r="D17" s="23" t="s">
        <v>305</v>
      </c>
      <c r="E17" s="23" t="s">
        <v>296</v>
      </c>
      <c r="F17" s="23" t="s">
        <v>306</v>
      </c>
      <c r="G17" s="23" t="s">
        <v>307</v>
      </c>
      <c r="H17" s="23" t="s">
        <v>308</v>
      </c>
    </row>
    <row r="18" spans="1:8" ht="19.5" customHeight="1" x14ac:dyDescent="0.2">
      <c r="A18" s="89">
        <v>3</v>
      </c>
      <c r="B18" s="70">
        <v>1</v>
      </c>
      <c r="C18" s="82">
        <f t="shared" ref="C18:C24" si="0">ROUND(B18/A18,2)</f>
        <v>0.33</v>
      </c>
      <c r="D18" s="61">
        <f>ROUND('1_Parametros_Base'!C8*SQRT(A18*'1_Parametros_Base'!C5^2+'1_Parametros_Base'!C4^2*B18^2),0)</f>
        <v>89</v>
      </c>
      <c r="E18" s="50">
        <f>ROUND('1_Parametros_Base'!C4*A18+D18,0)</f>
        <v>239</v>
      </c>
      <c r="F18" s="97" t="s">
        <v>232</v>
      </c>
      <c r="G18" s="98" t="s">
        <v>82</v>
      </c>
      <c r="H18" s="30" t="s">
        <v>309</v>
      </c>
    </row>
    <row r="19" spans="1:8" ht="19.5" customHeight="1" x14ac:dyDescent="0.2">
      <c r="A19" s="87">
        <v>5</v>
      </c>
      <c r="B19" s="69">
        <v>1.5</v>
      </c>
      <c r="C19" s="81">
        <f t="shared" si="0"/>
        <v>0.3</v>
      </c>
      <c r="D19" s="58">
        <f>ROUND('1_Parametros_Base'!C8*SQRT(A19*'1_Parametros_Base'!C5^2+'1_Parametros_Base'!C4^2*B19^2),0)</f>
        <v>131</v>
      </c>
      <c r="E19" s="45">
        <f>ROUND('1_Parametros_Base'!C4*A19+D19,0)</f>
        <v>381</v>
      </c>
      <c r="F19" s="99" t="s">
        <v>228</v>
      </c>
      <c r="G19" s="100" t="s">
        <v>310</v>
      </c>
      <c r="H19" s="36" t="s">
        <v>311</v>
      </c>
    </row>
    <row r="20" spans="1:8" ht="19.5" customHeight="1" x14ac:dyDescent="0.2">
      <c r="A20" s="59">
        <v>7</v>
      </c>
      <c r="B20" s="70">
        <v>2</v>
      </c>
      <c r="C20" s="79">
        <f t="shared" si="0"/>
        <v>0.28999999999999998</v>
      </c>
      <c r="D20" s="61">
        <f>ROUND('1_Parametros_Base'!C8*SQRT(A20*'1_Parametros_Base'!C5^2+'1_Parametros_Base'!C4^2*B20^2),0)</f>
        <v>173</v>
      </c>
      <c r="E20" s="50">
        <f>ROUND('1_Parametros_Base'!C4*A20+D20,0)</f>
        <v>523</v>
      </c>
      <c r="F20" s="99" t="s">
        <v>233</v>
      </c>
      <c r="G20" s="100" t="s">
        <v>310</v>
      </c>
      <c r="H20" s="30" t="s">
        <v>311</v>
      </c>
    </row>
    <row r="21" spans="1:8" ht="19.5" customHeight="1" x14ac:dyDescent="0.2">
      <c r="A21" s="87">
        <v>9</v>
      </c>
      <c r="B21" s="69">
        <v>2.5</v>
      </c>
      <c r="C21" s="101">
        <f t="shared" si="0"/>
        <v>0.28000000000000003</v>
      </c>
      <c r="D21" s="58">
        <f>ROUND('1_Parametros_Base'!C8*SQRT(A21*'1_Parametros_Base'!C5^2+'1_Parametros_Base'!C4^2*B21^2),0)</f>
        <v>215</v>
      </c>
      <c r="E21" s="45">
        <f>ROUND('1_Parametros_Base'!C4*A21+D21,0)</f>
        <v>665</v>
      </c>
      <c r="F21" s="99" t="s">
        <v>233</v>
      </c>
      <c r="G21" s="100" t="s">
        <v>310</v>
      </c>
      <c r="H21" s="36" t="s">
        <v>311</v>
      </c>
    </row>
    <row r="22" spans="1:8" ht="19.5" customHeight="1" x14ac:dyDescent="0.2">
      <c r="A22" s="89">
        <v>12</v>
      </c>
      <c r="B22" s="70">
        <v>3</v>
      </c>
      <c r="C22" s="79">
        <f t="shared" si="0"/>
        <v>0.25</v>
      </c>
      <c r="D22" s="61">
        <f>ROUND('1_Parametros_Base'!C8*SQRT(A22*'1_Parametros_Base'!C5^2+'1_Parametros_Base'!C4^2*B22^2),0)</f>
        <v>257</v>
      </c>
      <c r="E22" s="50">
        <f>ROUND('1_Parametros_Base'!C4*A22+D22,0)</f>
        <v>857</v>
      </c>
      <c r="F22" s="99" t="s">
        <v>233</v>
      </c>
      <c r="G22" s="100" t="s">
        <v>310</v>
      </c>
      <c r="H22" s="30" t="s">
        <v>311</v>
      </c>
    </row>
    <row r="23" spans="1:8" ht="19.5" customHeight="1" x14ac:dyDescent="0.2">
      <c r="A23" s="87">
        <v>15</v>
      </c>
      <c r="B23" s="69">
        <v>4</v>
      </c>
      <c r="C23" s="101">
        <f t="shared" si="0"/>
        <v>0.27</v>
      </c>
      <c r="D23" s="58">
        <f>ROUND('1_Parametros_Base'!C8*SQRT(A23*'1_Parametros_Base'!C5^2+'1_Parametros_Base'!C4^2*B23^2),0)</f>
        <v>339</v>
      </c>
      <c r="E23" s="45">
        <f>ROUND('1_Parametros_Base'!C4*A23+D23,0)</f>
        <v>1089</v>
      </c>
      <c r="F23" s="99" t="s">
        <v>233</v>
      </c>
      <c r="G23" s="100" t="s">
        <v>310</v>
      </c>
      <c r="H23" s="36" t="s">
        <v>311</v>
      </c>
    </row>
    <row r="24" spans="1:8" ht="19.5" customHeight="1" x14ac:dyDescent="0.2">
      <c r="A24" s="89">
        <v>21</v>
      </c>
      <c r="B24" s="70">
        <v>5</v>
      </c>
      <c r="C24" s="102">
        <f t="shared" si="0"/>
        <v>0.24</v>
      </c>
      <c r="D24" s="61">
        <f>ROUND('1_Parametros_Base'!C8*SQRT(A24*'1_Parametros_Base'!C5^2+'1_Parametros_Base'!C4^2*B24^2),0)</f>
        <v>422</v>
      </c>
      <c r="E24" s="50">
        <f>ROUND('1_Parametros_Base'!C4*A24+D24,0)</f>
        <v>1472</v>
      </c>
      <c r="F24" s="94" t="s">
        <v>233</v>
      </c>
      <c r="G24" s="55" t="s">
        <v>312</v>
      </c>
      <c r="H24" s="30" t="s">
        <v>313</v>
      </c>
    </row>
    <row r="26" spans="1:8" x14ac:dyDescent="0.2">
      <c r="A26" s="111" t="s">
        <v>314</v>
      </c>
      <c r="B26" s="111"/>
      <c r="C26" s="111"/>
      <c r="D26" s="111"/>
      <c r="E26" s="111"/>
      <c r="F26" s="111"/>
      <c r="G26" s="111"/>
      <c r="H26" s="111"/>
    </row>
  </sheetData>
  <mergeCells count="4">
    <mergeCell ref="A1:H1"/>
    <mergeCell ref="A3:H3"/>
    <mergeCell ref="A16:H16"/>
    <mergeCell ref="A26:H26"/>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3"/>
  <sheetViews>
    <sheetView showGridLines="0" tabSelected="1" zoomScale="70" zoomScaleNormal="70" workbookViewId="0">
      <selection activeCell="A5" sqref="A5"/>
    </sheetView>
  </sheetViews>
  <sheetFormatPr baseColWidth="10" defaultColWidth="9.1640625" defaultRowHeight="15" x14ac:dyDescent="0.2"/>
  <cols>
    <col min="1" max="1" width="138.33203125" bestFit="1" customWidth="1"/>
    <col min="2" max="2" width="22.1640625" bestFit="1" customWidth="1"/>
    <col min="3" max="3" width="15.5" bestFit="1" customWidth="1"/>
    <col min="4" max="5" width="17.83203125" bestFit="1" customWidth="1"/>
    <col min="6" max="6" width="10.1640625" bestFit="1" customWidth="1"/>
    <col min="7" max="7" width="10.33203125" bestFit="1" customWidth="1"/>
    <col min="8" max="8" width="23.33203125" bestFit="1" customWidth="1"/>
  </cols>
  <sheetData>
    <row r="1" spans="1:8" ht="31.5" customHeight="1" x14ac:dyDescent="0.2">
      <c r="A1" s="4" t="s">
        <v>315</v>
      </c>
    </row>
    <row r="2" spans="1:8" ht="15" customHeight="1" x14ac:dyDescent="0.2">
      <c r="A2" s="2" t="s">
        <v>316</v>
      </c>
    </row>
    <row r="4" spans="1:8" ht="39.75" customHeight="1" x14ac:dyDescent="0.2">
      <c r="A4" s="23" t="s">
        <v>358</v>
      </c>
      <c r="B4" s="23" t="s">
        <v>220</v>
      </c>
      <c r="C4" s="23" t="s">
        <v>317</v>
      </c>
      <c r="D4" s="23" t="s">
        <v>318</v>
      </c>
      <c r="E4" s="23" t="s">
        <v>319</v>
      </c>
      <c r="F4" s="23" t="s">
        <v>320</v>
      </c>
      <c r="G4" s="23" t="s">
        <v>321</v>
      </c>
      <c r="H4" s="23" t="s">
        <v>322</v>
      </c>
    </row>
    <row r="5" spans="1:8" ht="43.5" customHeight="1" x14ac:dyDescent="0.2">
      <c r="A5" s="103" t="s">
        <v>323</v>
      </c>
      <c r="B5" s="54" t="s">
        <v>324</v>
      </c>
      <c r="C5" s="56" t="s">
        <v>72</v>
      </c>
      <c r="D5" s="29" t="s">
        <v>325</v>
      </c>
      <c r="E5" s="76" t="s">
        <v>326</v>
      </c>
      <c r="F5" s="100" t="s">
        <v>327</v>
      </c>
      <c r="G5" s="104" t="s">
        <v>328</v>
      </c>
      <c r="H5" s="105" t="s">
        <v>329</v>
      </c>
    </row>
    <row r="6" spans="1:8" ht="43.5" customHeight="1" x14ac:dyDescent="0.2">
      <c r="A6" s="103" t="s">
        <v>330</v>
      </c>
      <c r="B6" s="54" t="s">
        <v>331</v>
      </c>
      <c r="C6" s="56" t="s">
        <v>332</v>
      </c>
      <c r="D6" s="29" t="s">
        <v>333</v>
      </c>
      <c r="E6" s="76" t="s">
        <v>334</v>
      </c>
      <c r="F6" s="100" t="s">
        <v>335</v>
      </c>
      <c r="G6" s="104" t="s">
        <v>328</v>
      </c>
      <c r="H6" s="105" t="s">
        <v>336</v>
      </c>
    </row>
    <row r="7" spans="1:8" ht="43.5" customHeight="1" x14ac:dyDescent="0.2">
      <c r="A7" s="103" t="s">
        <v>337</v>
      </c>
      <c r="B7" s="54" t="s">
        <v>338</v>
      </c>
      <c r="C7" s="56" t="s">
        <v>85</v>
      </c>
      <c r="D7" s="29" t="s">
        <v>339</v>
      </c>
      <c r="E7" s="76" t="s">
        <v>340</v>
      </c>
      <c r="F7" s="100" t="s">
        <v>341</v>
      </c>
      <c r="G7" s="104" t="s">
        <v>328</v>
      </c>
      <c r="H7" s="105" t="s">
        <v>342</v>
      </c>
    </row>
    <row r="8" spans="1:8" ht="43.5" customHeight="1" x14ac:dyDescent="0.2">
      <c r="A8" s="103" t="s">
        <v>343</v>
      </c>
      <c r="B8" s="54" t="s">
        <v>344</v>
      </c>
      <c r="C8" s="56" t="s">
        <v>72</v>
      </c>
      <c r="D8" s="29" t="s">
        <v>345</v>
      </c>
      <c r="E8" s="76" t="s">
        <v>346</v>
      </c>
      <c r="F8" s="100" t="s">
        <v>347</v>
      </c>
      <c r="G8" s="104" t="s">
        <v>328</v>
      </c>
      <c r="H8" s="105" t="s">
        <v>348</v>
      </c>
    </row>
    <row r="9" spans="1:8" ht="43.5" customHeight="1" x14ac:dyDescent="0.2">
      <c r="A9" s="103" t="s">
        <v>349</v>
      </c>
      <c r="B9" s="54" t="s">
        <v>350</v>
      </c>
      <c r="C9" s="56" t="s">
        <v>351</v>
      </c>
      <c r="D9" s="29" t="s">
        <v>352</v>
      </c>
      <c r="E9" s="76" t="s">
        <v>353</v>
      </c>
      <c r="F9" s="100" t="s">
        <v>354</v>
      </c>
      <c r="G9" s="104" t="s">
        <v>328</v>
      </c>
      <c r="H9" s="105" t="s">
        <v>355</v>
      </c>
    </row>
    <row r="11" spans="1:8" ht="25.5" customHeight="1" x14ac:dyDescent="0.2">
      <c r="A11" s="106" t="s">
        <v>356</v>
      </c>
    </row>
    <row r="13" spans="1:8" ht="372" customHeight="1" x14ac:dyDescent="0.2">
      <c r="A13" s="22" t="s">
        <v>357</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1_Parametros_Base</vt:lpstr>
      <vt:lpstr>2_Matriz_KPIs</vt:lpstr>
      <vt:lpstr>3_H1_Interrupcion_Proveedor</vt:lpstr>
      <vt:lpstr>4_H2_Aumento_Demanda</vt:lpstr>
      <vt:lpstr>5_H3_Vencimientos</vt:lpstr>
      <vt:lpstr>6_H4_H5_Variabilidad_Combinado</vt:lpstr>
      <vt:lpstr>7_Sensibilidad</vt:lpstr>
      <vt:lpstr>8_Resumen_Validacion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Yeison velez</cp:lastModifiedBy>
  <cp:revision>0</cp:revision>
  <dcterms:created xsi:type="dcterms:W3CDTF">2026-05-12T12:17:03Z</dcterms:created>
  <dcterms:modified xsi:type="dcterms:W3CDTF">2026-05-20T17:57:07Z</dcterms:modified>
  <dc:language>en-US</dc:language>
</cp:coreProperties>
</file>