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15"/>
  <workbookPr codeName="ThisWorkbook" defaultThemeVersion="124226"/>
  <mc:AlternateContent xmlns:mc="http://schemas.openxmlformats.org/markup-compatibility/2006">
    <mc:Choice Requires="x15">
      <x15ac:absPath xmlns:x15ac="http://schemas.microsoft.com/office/spreadsheetml/2010/11/ac" url="https://universidadeaneduco.sharepoint.com/sites/ProyectodeGrado-Emprendy/Documentos compartidos/Emprendy/2. Entregable/Anexos/"/>
    </mc:Choice>
  </mc:AlternateContent>
  <xr:revisionPtr revIDLastSave="370" documentId="13_ncr:1_{F9B41D64-4707-4BD3-A497-3724449313E2}" xr6:coauthVersionLast="47" xr6:coauthVersionMax="47" xr10:uidLastSave="{39ED4E56-4A67-47ED-92D8-136D5FC1009C}"/>
  <bookViews>
    <workbookView xWindow="-28920" yWindow="-120" windowWidth="29040" windowHeight="15720" tabRatio="703" firstSheet="5" activeTab="5" xr2:uid="{00000000-000D-0000-FFFF-FFFF00000000}"/>
  </bookViews>
  <sheets>
    <sheet name="Menú" sheetId="7" r:id="rId1"/>
    <sheet name="1" sheetId="1" r:id="rId2"/>
    <sheet name="2" sheetId="4" r:id="rId3"/>
    <sheet name="3" sheetId="3" r:id="rId4"/>
    <sheet name="4" sheetId="5" r:id="rId5"/>
    <sheet name="5" sheetId="6" r:id="rId6"/>
    <sheet name="Otros" sheetId="8" r:id="rId7"/>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4" l="1"/>
  <c r="C5" i="1"/>
  <c r="C4" i="1"/>
  <c r="C3" i="1"/>
  <c r="C28" i="4"/>
  <c r="C29" i="4" s="1"/>
  <c r="C30" i="4" s="1"/>
  <c r="C31" i="4" s="1"/>
  <c r="D5" i="1"/>
  <c r="D4" i="1"/>
  <c r="D3" i="1"/>
  <c r="H14" i="8" l="1"/>
  <c r="H13" i="8"/>
  <c r="H25" i="8"/>
  <c r="H24" i="8"/>
  <c r="H9" i="8"/>
  <c r="H10" i="8"/>
  <c r="H11" i="8"/>
  <c r="H12" i="8"/>
  <c r="H15" i="8"/>
  <c r="H16" i="8"/>
  <c r="H17" i="8"/>
  <c r="H18" i="8"/>
  <c r="H19" i="8"/>
  <c r="H20" i="8"/>
  <c r="H21" i="8"/>
  <c r="H22" i="8"/>
  <c r="H23" i="8"/>
  <c r="H4" i="8"/>
  <c r="H5" i="8"/>
  <c r="H6" i="8"/>
  <c r="H7" i="8"/>
  <c r="H8" i="8"/>
  <c r="H3" i="8"/>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C22" i="1"/>
  <c r="E22" i="1" s="1"/>
  <c r="C23" i="1"/>
  <c r="E23" i="1" s="1"/>
  <c r="C24" i="1"/>
  <c r="E24" i="1" s="1"/>
  <c r="C25" i="1"/>
  <c r="E25" i="1" s="1"/>
  <c r="C26" i="1"/>
  <c r="E26" i="1" s="1"/>
  <c r="C17" i="1"/>
  <c r="E17" i="1" s="1"/>
  <c r="A17" i="1"/>
  <c r="A4" i="1"/>
  <c r="A18" i="1" s="1"/>
  <c r="L21" i="1" l="1"/>
  <c r="M21" i="1" s="1"/>
  <c r="N21" i="1" s="1"/>
  <c r="O21" i="1" s="1"/>
  <c r="C5" i="5"/>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Q17" i="1"/>
  <c r="R17" i="1" s="1"/>
  <c r="S17" i="1" s="1"/>
  <c r="L26" i="1"/>
  <c r="M26" i="1" s="1"/>
  <c r="U6" i="1"/>
  <c r="L24" i="1"/>
  <c r="M24" i="1" s="1"/>
  <c r="N24" i="1" s="1"/>
  <c r="O24" i="1" s="1"/>
  <c r="L20" i="1"/>
  <c r="M20" i="1" s="1"/>
  <c r="Q24" i="1"/>
  <c r="R24" i="1" s="1"/>
  <c r="Q22" i="1"/>
  <c r="R22" i="1" s="1"/>
  <c r="S22" i="1" s="1"/>
  <c r="Q18" i="1"/>
  <c r="R18" i="1" s="1"/>
  <c r="T9" i="1"/>
  <c r="U5" i="1"/>
  <c r="U10" i="1"/>
  <c r="T3" i="1"/>
  <c r="T10" i="1"/>
  <c r="T6" i="1"/>
  <c r="U11" i="1"/>
  <c r="U7" i="1"/>
  <c r="U3" i="1"/>
  <c r="T5" i="1"/>
  <c r="U12" i="1"/>
  <c r="T12" i="1"/>
  <c r="T8" i="1"/>
  <c r="T4" i="1"/>
  <c r="T11" i="1"/>
  <c r="M9" i="1"/>
  <c r="M8" i="1"/>
  <c r="T7" i="1"/>
  <c r="M4" i="1"/>
  <c r="E13" i="1"/>
  <c r="J19" i="6" l="1"/>
  <c r="C19" i="6"/>
  <c r="P21" i="1"/>
  <c r="D5" i="5"/>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Q21" i="1" l="1"/>
  <c r="T21" i="1"/>
  <c r="T27" i="1" s="1"/>
  <c r="C33" i="1" s="1"/>
  <c r="D43" i="5"/>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R21" i="1" l="1"/>
  <c r="U21" i="1"/>
  <c r="U27" i="1" s="1"/>
  <c r="D33" i="1" s="1"/>
  <c r="D34" i="1" s="1"/>
  <c r="E43" i="5"/>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W13" i="1"/>
  <c r="E26" i="5"/>
  <c r="E48" i="5" s="1"/>
  <c r="E50" i="5" s="1"/>
  <c r="G49" i="5"/>
  <c r="C34" i="1"/>
  <c r="D7" i="5"/>
  <c r="D8" i="5" s="1"/>
  <c r="F31" i="1"/>
  <c r="E13" i="3" s="1"/>
  <c r="E7" i="5" l="1"/>
  <c r="E8" i="5" s="1"/>
  <c r="E13" i="5" s="1"/>
  <c r="E55" i="5" s="1"/>
  <c r="E56" i="5" s="1"/>
  <c r="E57" i="5" s="1"/>
  <c r="S21" i="1"/>
  <c r="W21" i="1" s="1"/>
  <c r="W27" i="1" s="1"/>
  <c r="F33" i="1" s="1"/>
  <c r="G7" i="5" s="1"/>
  <c r="V21" i="1"/>
  <c r="V27" i="1" s="1"/>
  <c r="E33" i="1" s="1"/>
  <c r="F7" i="5" s="1"/>
  <c r="E49" i="6"/>
  <c r="E29" i="6" s="1"/>
  <c r="F43" i="5"/>
  <c r="J8" i="3"/>
  <c r="B31" i="5" s="1"/>
  <c r="B32" i="5" s="1"/>
  <c r="F32" i="1"/>
  <c r="G6" i="5" s="1"/>
  <c r="E32" i="1"/>
  <c r="F6" i="5" s="1"/>
  <c r="F8" i="5" s="1"/>
  <c r="F13" i="5" s="1"/>
  <c r="D13" i="5"/>
  <c r="D55" i="5" s="1"/>
  <c r="D56" i="5" s="1"/>
  <c r="D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F29" i="5" l="1"/>
  <c r="F45" i="5" s="1"/>
  <c r="H12" i="3"/>
  <c r="J12" i="3" s="1"/>
  <c r="F13" i="3" s="1"/>
  <c r="G13" i="3" s="1"/>
  <c r="G14" i="5" s="1"/>
  <c r="G15" i="5" s="1"/>
  <c r="G16" i="5" s="1"/>
  <c r="G17" i="5" s="1"/>
  <c r="E44" i="5"/>
  <c r="F30" i="5" l="1"/>
  <c r="I13" i="3"/>
  <c r="H13" i="3" s="1"/>
  <c r="J13" i="3" s="1"/>
  <c r="G31" i="5" s="1"/>
  <c r="G29" i="5"/>
  <c r="G30" i="5" s="1"/>
  <c r="F31"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D17" authorId="0" shapeId="0" xr:uid="{6789372C-CC9B-46A4-AAB7-64E53555A73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<sst xmlns="http://schemas.openxmlformats.org/spreadsheetml/2006/main" count="272" uniqueCount="210">
  <si>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</si>
  <si>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</si>
  <si>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</si>
  <si>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</si>
  <si>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</si>
  <si>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</si>
  <si>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</si>
  <si>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</si>
  <si>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</si>
  <si>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</si>
  <si>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</si>
  <si>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</si>
  <si>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</si>
  <si>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</si>
  <si>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</si>
  <si>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</si>
  <si>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</si>
  <si>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</si>
  <si>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Plan Emprende Básico</t>
  </si>
  <si>
    <t>AÑO</t>
  </si>
  <si>
    <t>Plan Emprende Avanzado</t>
  </si>
  <si>
    <t>INFLACIÓN</t>
  </si>
  <si>
    <t>Plan Emprende Pro</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</si>
  <si>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</si>
  <si>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</si>
  <si>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</si>
  <si>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</si>
  <si>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</si>
  <si>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</si>
  <si>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</si>
  <si>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</si>
  <si>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</si>
  <si>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</si>
  <si>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</si>
  <si>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</si>
  <si>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</si>
  <si>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</si>
  <si>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</si>
  <si>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</si>
  <si>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</si>
  <si>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</si>
  <si>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</si>
  <si>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</si>
  <si>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</si>
  <si>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</si>
  <si>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</si>
  <si>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</si>
  <si>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</si>
  <si>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</si>
  <si>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</si>
  <si>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</si>
  <si>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</si>
  <si>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</si>
  <si>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</si>
  <si>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</si>
  <si>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</si>
  <si>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</si>
  <si>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</si>
  <si>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</si>
  <si>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</si>
  <si>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</si>
  <si>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</si>
  <si>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Costos sostenimiento plataforma</t>
  </si>
  <si>
    <t>Otros costos</t>
  </si>
  <si>
    <t>GASTO PUBLICITARIO AÑOS SIGUIENTES</t>
  </si>
  <si>
    <t>Herramientas de automat</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</si>
  <si>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</si>
  <si>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</si>
  <si>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</si>
  <si>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</si>
  <si>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</si>
  <si>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</si>
  <si>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</si>
  <si>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</si>
  <si>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</si>
  <si>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</si>
  <si>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</si>
  <si>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</si>
  <si>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</si>
  <si>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</si>
  <si>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</si>
  <si>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</si>
  <si>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</si>
  <si>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</si>
  <si>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</si>
  <si>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</si>
  <si>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</si>
  <si>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</si>
  <si>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</si>
  <si>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</si>
  <si>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</si>
  <si>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</si>
  <si>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</si>
  <si>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</si>
  <si>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</si>
  <si>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</si>
  <si>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</si>
  <si>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</si>
  <si>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</si>
  <si>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</si>
  <si>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</si>
  <si>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</si>
  <si>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</si>
  <si>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</si>
  <si>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</si>
  <si>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</si>
  <si>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</si>
  <si>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</si>
  <si>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</si>
  <si>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</si>
  <si>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</si>
  <si>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</si>
  <si>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</si>
  <si>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</si>
  <si>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</si>
  <si>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</si>
  <si>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</si>
  <si>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</si>
  <si>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</si>
  <si>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</si>
  <si>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</si>
  <si>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</si>
  <si>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</si>
  <si>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</si>
  <si>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</si>
  <si>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</si>
  <si>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</si>
  <si>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</si>
  <si>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</si>
  <si>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</si>
  <si>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</si>
  <si>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</si>
  <si>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</si>
  <si>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</si>
  <si>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</si>
  <si>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</si>
  <si>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</si>
  <si>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</si>
  <si>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</si>
  <si>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</si>
  <si>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</si>
  <si>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</si>
  <si>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</si>
  <si>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</si>
  <si>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</si>
  <si>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</si>
  <si>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</si>
  <si>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</si>
  <si>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</si>
  <si>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</si>
  <si>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</si>
  <si>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</si>
  <si>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</si>
  <si>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</si>
  <si>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</si>
  <si>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</si>
  <si>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</si>
  <si>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</si>
  <si>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</si>
  <si>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</si>
  <si>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</si>
  <si>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</si>
  <si>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</si>
  <si>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</si>
  <si>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Categoría</t>
  </si>
  <si>
    <t>Elemento</t>
  </si>
  <si>
    <t>Tipo de Costo</t>
  </si>
  <si>
    <t>Unidad</t>
  </si>
  <si>
    <t>Cantidad Estimada</t>
  </si>
  <si>
    <t>Costo Unitario Estimado (COP)</t>
  </si>
  <si>
    <t>Costo Total Estimado (COP)</t>
  </si>
  <si>
    <t>Recurso Humano</t>
  </si>
  <si>
    <t>Desarrollador Full Stack</t>
  </si>
  <si>
    <t>Nómina</t>
  </si>
  <si>
    <t>mes</t>
  </si>
  <si>
    <t>Abogado</t>
  </si>
  <si>
    <t>Financiero</t>
  </si>
  <si>
    <t>Contador</t>
  </si>
  <si>
    <t>Publicista</t>
  </si>
  <si>
    <t>Community Manager</t>
  </si>
  <si>
    <t>Temporal (Proyecto)</t>
  </si>
  <si>
    <t>Diseñador UI/UX</t>
  </si>
  <si>
    <t>Especialista DevOps</t>
  </si>
  <si>
    <t>Tester / QA</t>
  </si>
  <si>
    <t>Mentor en emprendimiento</t>
  </si>
  <si>
    <t>Por demanda</t>
  </si>
  <si>
    <t>Unico</t>
  </si>
  <si>
    <t>Mentor en emprendimiento experto</t>
  </si>
  <si>
    <t>Infraestructura</t>
  </si>
  <si>
    <t>Hosting Cloud</t>
  </si>
  <si>
    <t>Recurrente (Mensual)</t>
  </si>
  <si>
    <t>Dominio Web</t>
  </si>
  <si>
    <t>Recurrente (Anual)</t>
  </si>
  <si>
    <t>año</t>
  </si>
  <si>
    <t>Certificado SSL</t>
  </si>
  <si>
    <t>Base de Datos</t>
  </si>
  <si>
    <t>Incluido en Hosting</t>
  </si>
  <si>
    <t>Correo transaccional</t>
  </si>
  <si>
    <t>Almacenamiento multimedia</t>
  </si>
  <si>
    <t>Herramienta Complementaria</t>
  </si>
  <si>
    <t>CMS / Panel de Admin</t>
  </si>
  <si>
    <t>Desarrollo Interno</t>
  </si>
  <si>
    <t>Herramientas de analítica</t>
  </si>
  <si>
    <t>Gratuito</t>
  </si>
  <si>
    <t>mensual</t>
  </si>
  <si>
    <t>Sistema de pagos</t>
  </si>
  <si>
    <t>Comisión por transacción</t>
  </si>
  <si>
    <t>Por transacción</t>
  </si>
  <si>
    <t>Siigo Nube o Factura.com</t>
  </si>
  <si>
    <t>Zoho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</si>
</sst>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_(* \(#,##0.00\);_(* &quot;-&quot;??_);_(@_)"/>
    <numFmt numFmtId="165" formatCode="&quot;$&quot;#,##0.00;[Red]\-&quot;$&quot;#,##0.00"/>
    <numFmt numFmtId="166" formatCode="&quot;$&quot;\ #,##0.00_);[Red]\(&quot;$&quot;\ #,##0.00\)"/>
    <numFmt numFmtId="167" formatCode="_(&quot;$&quot;\ * #,##0.00_);_(&quot;$&quot;\ * \(#,##0.00\);_(&quot;$&quot;\ *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0">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7" fontId="1" fillId="0" borderId="0" applyFont="0" applyFill="0" applyBorder="0" applyAlignment="0" applyProtection="0"/>
    <xf numFmtId="9"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0" fontId="36" fillId="0" borderId="0" applyNumberFormat="0" applyFill="0" applyBorder="0" applyAlignment="0" applyProtection="0"/>
    <xf numFmtId="0" fontId="20" fillId="0" borderId="0"/>
  </cellStyleXfs>
  <cellXfs count="168">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7"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7" fontId="0" fillId="0" borderId="0" xfId="1" applyFont="1" applyProtection="1">
      <protection hidden="1"/>
    </xf>
    <xf numFmtId="167"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7"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4" fontId="29" fillId="4" borderId="0" xfId="4" applyFont="1" applyFill="1" applyProtection="1">
      <protection locked="0"/>
    </xf>
    <xf numFmtId="177" fontId="29" fillId="4" borderId="0" xfId="4" applyNumberFormat="1" applyFont="1" applyFill="1" applyAlignment="1" applyProtection="1">
      <alignment horizontal="center"/>
      <protection locked="0"/>
    </xf>
    <xf numFmtId="167"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7" fontId="2" fillId="0" borderId="1" xfId="0" applyNumberFormat="1" applyFont="1" applyBorder="1" applyProtection="1">
      <protection hidden="1"/>
    </xf>
    <xf numFmtId="167" fontId="0" fillId="5" borderId="0" xfId="0" applyNumberFormat="1" applyFill="1" applyProtection="1">
      <protection hidden="1"/>
    </xf>
    <xf numFmtId="0" fontId="18" fillId="0" borderId="0" xfId="0" applyFont="1" applyProtection="1">
      <protection hidden="1"/>
    </xf>
    <xf numFmtId="167" fontId="18" fillId="0" borderId="0" xfId="0" applyNumberFormat="1" applyFont="1" applyProtection="1">
      <protection hidden="1"/>
    </xf>
    <xf numFmtId="0" fontId="7" fillId="0" borderId="0" xfId="0" applyFont="1" applyProtection="1">
      <protection hidden="1"/>
    </xf>
    <xf numFmtId="167"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7" fontId="21" fillId="5" borderId="0" xfId="0" applyNumberFormat="1" applyFont="1" applyFill="1" applyProtection="1">
      <protection hidden="1"/>
    </xf>
    <xf numFmtId="167"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7" fontId="6" fillId="0" borderId="0" xfId="0" applyNumberFormat="1" applyFont="1" applyProtection="1">
      <protection hidden="1"/>
    </xf>
    <xf numFmtId="9" fontId="6" fillId="0" borderId="0" xfId="0" applyNumberFormat="1" applyFont="1" applyProtection="1">
      <protection hidden="1"/>
    </xf>
    <xf numFmtId="164" fontId="6" fillId="0" borderId="0" xfId="0" applyNumberFormat="1" applyFont="1" applyProtection="1">
      <protection hidden="1"/>
    </xf>
    <xf numFmtId="164"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4" fontId="35" fillId="0" borderId="0" xfId="4" applyFont="1" applyProtection="1">
      <protection hidden="1"/>
    </xf>
    <xf numFmtId="167" fontId="35" fillId="0" borderId="0" xfId="1" applyFont="1" applyProtection="1">
      <protection hidden="1"/>
    </xf>
    <xf numFmtId="0" fontId="2" fillId="0" borderId="0" xfId="0" applyFont="1" applyProtection="1">
      <protection hidden="1"/>
    </xf>
    <xf numFmtId="164"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5" fontId="0" fillId="0" borderId="0" xfId="0" applyNumberFormat="1" applyProtection="1">
      <protection hidden="1"/>
    </xf>
    <xf numFmtId="0" fontId="20" fillId="0" borderId="0" xfId="6"/>
    <xf numFmtId="178" fontId="20" fillId="0" borderId="0" xfId="6" applyNumberFormat="1"/>
    <xf numFmtId="165"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6"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7" fontId="18" fillId="0" borderId="0" xfId="1" applyFont="1" applyProtection="1">
      <protection hidden="1"/>
    </xf>
    <xf numFmtId="0" fontId="18" fillId="0" borderId="0" xfId="0" applyFont="1" applyAlignment="1" applyProtection="1">
      <alignment horizontal="center"/>
      <protection hidden="1"/>
    </xf>
    <xf numFmtId="167"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0" fontId="0" fillId="0" borderId="0" xfId="0" applyAlignment="1">
      <alignment horizontal="center" vertical="center"/>
    </xf>
    <xf numFmtId="167" fontId="0" fillId="0" borderId="0" xfId="1" applyFont="1" applyAlignment="1">
      <alignment horizontal="center" vertical="center"/>
    </xf>
    <xf numFmtId="167" fontId="0" fillId="0" borderId="0" xfId="1" applyFont="1"/>
    <xf numFmtId="1" fontId="0" fillId="0" borderId="0" xfId="1" applyNumberFormat="1" applyFont="1" applyAlignment="1">
      <alignment horizontal="center" vertical="center"/>
    </xf>
    <xf numFmtId="175" fontId="29" fillId="4" borderId="0" xfId="4" applyNumberFormat="1" applyFont="1" applyFill="1" applyProtection="1">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Comma" xfId="4" builtinId="3"/>
    <cellStyle name="Currency" xfId="1" builtinId="4"/>
    <cellStyle name="Hyperlink" xfId="5" builtinId="8"/>
    <cellStyle name="Millares_Modelo Financiero ACME Final 2" xfId="3" xr:uid="{00000000-0005-0000-0000-000002000000}"/>
    <cellStyle name="Normal" xfId="0" builtinId="0"/>
    <cellStyle name="Normal 2" xfId="6" xr:uid="{00000000-0005-0000-0000-000005000000}"/>
    <cellStyle name="Percent" xfId="2" builtinId="5"/>
  </cellStyles>
  <dxfs count="17">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11041.639722799722</c:v>
                </c:pt>
                <c:pt idx="2">
                  <c:v>22083.279445599444</c:v>
                </c:pt>
              </c:numCache>
            </c:numRef>
          </c:cat>
          <c:val>
            <c:numRef>
              <c:f>'5'!$C$33:$C$35</c:f>
              <c:numCache>
                <c:formatCode>_("$"\ * #,##0.00_);_("$"\ * \(#,##0.00\);_("$"\ * "-"??_);_(@_)</c:formatCode>
                <c:ptCount val="3"/>
                <c:pt idx="0">
                  <c:v>1761730000</c:v>
                </c:pt>
                <c:pt idx="1">
                  <c:v>1761730000</c:v>
                </c:pt>
                <c:pt idx="2">
                  <c:v>1761730000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11041.639722799722</c:v>
                </c:pt>
                <c:pt idx="2">
                  <c:v>22083.279445599444</c:v>
                </c:pt>
              </c:numCache>
            </c:numRef>
          </c:cat>
          <c:val>
            <c:numRef>
              <c:f>'5'!$D$33:$D$35</c:f>
              <c:numCache>
                <c:formatCode>_("$"\ * #,##0.00_);_("$"\ * \(#,##0.00\);_("$"\ * "-"??_);_(@_)</c:formatCode>
                <c:ptCount val="3"/>
                <c:pt idx="0" formatCode="General">
                  <c:v>0</c:v>
                </c:pt>
                <c:pt idx="1">
                  <c:v>1761730000</c:v>
                </c:pt>
                <c:pt idx="2">
                  <c:v>3523460000</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11041.639722799722</c:v>
                </c:pt>
                <c:pt idx="2">
                  <c:v>22083.279445599444</c:v>
                </c:pt>
              </c:numCache>
            </c:numRef>
          </c:cat>
          <c:val>
            <c:numRef>
              <c:f>'5'!$F$33:$F$35</c:f>
              <c:numCache>
                <c:formatCode>_("$"\ * #,##0.00_);_("$"\ * \(#,##0.00\);_("$"\ * "-"??_);_(@_)</c:formatCode>
                <c:ptCount val="3"/>
                <c:pt idx="0">
                  <c:v>1761730000</c:v>
                </c:pt>
                <c:pt idx="1">
                  <c:v>1761730000</c:v>
                </c:pt>
                <c:pt idx="2">
                  <c:v>1761730000</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DE148D6-6596-4B80-9BAA-9FBC6EA60787}" name="Table2" displayName="Table2" ref="B2:H25" totalsRowShown="0" headerRowDxfId="5">
  <autoFilter ref="B2:H25" xr:uid="{33D296B4-0EAE-4DC1-A68F-F95EC971195C}"/>
  <tableColumns count="7">
    <tableColumn id="1" xr3:uid="{25C5B1D7-5BE7-4079-95AD-D1A13C3CF5F2}" name="Categoría" dataDxfId="4"/>
    <tableColumn id="2" xr3:uid="{AEA71A4A-000C-40BF-A3DD-4812D54764E1}" name="Elemento" dataDxfId="3"/>
    <tableColumn id="3" xr3:uid="{A55692D1-E1F7-418A-BD85-579CFE5FE0F9}" name="Tipo de Costo" dataDxfId="2"/>
    <tableColumn id="4" xr3:uid="{534DAFAC-7D30-47CB-B240-09558D0BD16A}" name="Unidad" dataDxfId="1"/>
    <tableColumn id="5" xr3:uid="{6AFA61F5-604A-43C5-9ED5-619E86D2A9CE}" name="Cantidad Estimada" dataDxfId="0"/>
    <tableColumn id="6" xr3:uid="{B98C4846-7712-442E-9140-EF9717EBF145}" name="Costo Unitario Estimado (COP)"/>
    <tableColumn id="7" xr3:uid="{0461A5AB-1759-4643-9CF8-3C93730F8DC3}" name="Costo Total Estimado (COP)">
      <calculatedColumnFormula>+Table2[[#This Row],[Cantidad Estimada]]*Table2[[#This Row],[Costo Unitario Estimado (COP)]]</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4.45"/>
  <sheetData>
    <row r="23" spans="7:8" ht="20.45">
      <c r="G23" s="144" t="s">
        <v>0</v>
      </c>
      <c r="H23" s="144"/>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Normal="100" workbookViewId="0">
      <selection activeCell="C3" sqref="C3"/>
    </sheetView>
  </sheetViews>
  <sheetFormatPr defaultColWidth="11.42578125" defaultRowHeight="14.45"/>
  <cols>
    <col min="1" max="1" width="22.5703125" style="8" customWidth="1"/>
    <col min="2" max="2" width="65.85546875" style="8" customWidth="1"/>
    <col min="3" max="5" width="28.7109375" style="8" bestFit="1" customWidth="1"/>
    <col min="6" max="6" width="30"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6" t="s">
        <v>1</v>
      </c>
      <c r="B1" s="146"/>
      <c r="C1" s="146"/>
      <c r="D1" s="146"/>
      <c r="E1" s="146"/>
      <c r="G1" s="147" t="s">
        <v>2</v>
      </c>
      <c r="H1" s="147"/>
      <c r="I1" s="147"/>
      <c r="J1" s="147"/>
      <c r="P1" s="8" t="s">
        <v>3</v>
      </c>
      <c r="Y1" s="15" t="s">
        <v>4</v>
      </c>
      <c r="Z1" s="50">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5.5" customHeight="1" thickBot="1">
      <c r="A3" s="21">
        <v>1</v>
      </c>
      <c r="B3" s="13" t="s">
        <v>18</v>
      </c>
      <c r="C3" s="143">
        <f>990*12/2</f>
        <v>5940</v>
      </c>
      <c r="D3" s="14">
        <f>70000/1.19</f>
        <v>58823.529411764706</v>
      </c>
      <c r="E3" s="22">
        <f>C3*D3</f>
        <v>349411764.70588237</v>
      </c>
      <c r="F3" s="23">
        <f>IF($E$13=0,0,E3/$E$13)</f>
        <v>0.21710526315789475</v>
      </c>
      <c r="G3" s="116">
        <v>0.2</v>
      </c>
      <c r="H3" s="116">
        <v>0.4</v>
      </c>
      <c r="I3" s="116">
        <v>0.5</v>
      </c>
      <c r="J3" s="116">
        <v>0.3</v>
      </c>
      <c r="K3" s="24"/>
      <c r="L3" s="8">
        <f t="shared" ref="L3:L12" si="1">C3*(1+G3)</f>
        <v>7128</v>
      </c>
      <c r="M3" s="8">
        <f>L3*(1+H3)</f>
        <v>9979.1999999999989</v>
      </c>
      <c r="N3" s="8">
        <f t="shared" ref="N3:O3" si="2">M3*(1+I3)</f>
        <v>14968.8</v>
      </c>
      <c r="O3" s="8">
        <f t="shared" si="2"/>
        <v>19459.439999999999</v>
      </c>
      <c r="P3" s="25">
        <f>D3*(1+'1'!$Z$4)</f>
        <v>60941.176470588238</v>
      </c>
      <c r="Q3" s="25">
        <f>P3*(1+'1'!$AA$4)</f>
        <v>63135.05882352942</v>
      </c>
      <c r="R3" s="25">
        <f>Q3*(1+'1'!$AB$4)</f>
        <v>65407.920941176482</v>
      </c>
      <c r="S3" s="25">
        <f>R3*(1+'1'!$AC$4)</f>
        <v>67762.606095058843</v>
      </c>
      <c r="T3" s="26">
        <f>L3*P3</f>
        <v>434388705.88235295</v>
      </c>
      <c r="U3" s="26">
        <f>M3*Q3</f>
        <v>630037379.01176476</v>
      </c>
      <c r="V3" s="26">
        <f>N3*R3</f>
        <v>979078086.98428249</v>
      </c>
      <c r="W3" s="26">
        <f>O3*S3</f>
        <v>1318622367.5504317</v>
      </c>
      <c r="X3" s="26"/>
      <c r="Y3" s="27" t="s">
        <v>19</v>
      </c>
      <c r="Z3" s="28">
        <f>G2</f>
        <v>2026</v>
      </c>
      <c r="AA3" s="28">
        <f>Z3+1</f>
        <v>2027</v>
      </c>
      <c r="AB3" s="28">
        <f t="shared" ref="AB3:AC3" si="3">AA3+1</f>
        <v>2028</v>
      </c>
      <c r="AC3" s="29">
        <f t="shared" si="3"/>
        <v>2029</v>
      </c>
    </row>
    <row r="4" spans="1:29" ht="25.5" customHeight="1">
      <c r="A4" s="21">
        <f>A3+1</f>
        <v>2</v>
      </c>
      <c r="B4" s="13" t="s">
        <v>20</v>
      </c>
      <c r="C4" s="143">
        <f>854*12/2</f>
        <v>5124</v>
      </c>
      <c r="D4" s="14">
        <f>150000/1.19</f>
        <v>126050.42016806723</v>
      </c>
      <c r="E4" s="22">
        <f t="shared" ref="E4:E12" si="4">C4*D4</f>
        <v>645882352.94117641</v>
      </c>
      <c r="F4" s="23">
        <f t="shared" ref="F4:F12" si="5">IF($E$13=0,0,E4/$E$13)</f>
        <v>0.40131578947368418</v>
      </c>
      <c r="G4" s="116">
        <v>0.2</v>
      </c>
      <c r="H4" s="116">
        <v>0.4</v>
      </c>
      <c r="I4" s="116">
        <v>0.5</v>
      </c>
      <c r="J4" s="116">
        <v>0.3</v>
      </c>
      <c r="K4" s="24"/>
      <c r="L4" s="8">
        <f t="shared" si="1"/>
        <v>6148.8</v>
      </c>
      <c r="M4" s="8">
        <f t="shared" ref="M4:M12" si="6">L4*(1+H4)</f>
        <v>8608.32</v>
      </c>
      <c r="N4" s="8">
        <f t="shared" ref="N4:N12" si="7">M4*(1+I4)</f>
        <v>12912.48</v>
      </c>
      <c r="O4" s="8">
        <f t="shared" ref="O4:O12" si="8">N4*(1+J4)</f>
        <v>16786.223999999998</v>
      </c>
      <c r="P4" s="25">
        <f>D4*(1+'1'!$Z$4)</f>
        <v>130588.23529411765</v>
      </c>
      <c r="Q4" s="25">
        <f>P4*(1+'1'!$AA$4)</f>
        <v>135289.4117647059</v>
      </c>
      <c r="R4" s="25">
        <f>Q4*(1+'1'!$AB$4)</f>
        <v>140159.83058823532</v>
      </c>
      <c r="S4" s="25">
        <f>R4*(1+'1'!$AC$4)</f>
        <v>145205.58448941179</v>
      </c>
      <c r="T4" s="26">
        <f t="shared" ref="T4:T12" si="9">L4*P4</f>
        <v>802960941.17647064</v>
      </c>
      <c r="U4" s="26">
        <f t="shared" ref="U4:U12" si="10">M4*Q4</f>
        <v>1164614549.0823531</v>
      </c>
      <c r="V4" s="26">
        <f t="shared" ref="V4:V12" si="11">N4*R4</f>
        <v>1809811009.2739768</v>
      </c>
      <c r="W4" s="26">
        <f t="shared" ref="W4:W12" si="12">O4*S4</f>
        <v>2437453467.2901917</v>
      </c>
      <c r="X4" s="26"/>
      <c r="Y4" s="118" t="s">
        <v>21</v>
      </c>
      <c r="Z4" s="51">
        <v>3.5999999999999997E-2</v>
      </c>
      <c r="AA4" s="51">
        <v>3.5999999999999997E-2</v>
      </c>
      <c r="AB4" s="51">
        <v>3.5999999999999997E-2</v>
      </c>
      <c r="AC4" s="52">
        <v>3.5999999999999997E-2</v>
      </c>
    </row>
    <row r="5" spans="1:29" ht="25.5" customHeight="1" thickBot="1">
      <c r="A5" s="21">
        <f t="shared" ref="A5:A12" si="13">A4+1</f>
        <v>3</v>
      </c>
      <c r="B5" s="13" t="s">
        <v>22</v>
      </c>
      <c r="C5" s="143">
        <f>406*12/2</f>
        <v>2436</v>
      </c>
      <c r="D5" s="14">
        <f>300000/1.19</f>
        <v>252100.84033613445</v>
      </c>
      <c r="E5" s="22">
        <f t="shared" si="4"/>
        <v>614117647.05882359</v>
      </c>
      <c r="F5" s="23">
        <f t="shared" si="5"/>
        <v>0.38157894736842107</v>
      </c>
      <c r="G5" s="116">
        <v>0.2</v>
      </c>
      <c r="H5" s="116">
        <v>0.4</v>
      </c>
      <c r="I5" s="116">
        <v>0.5</v>
      </c>
      <c r="J5" s="116">
        <v>0.3</v>
      </c>
      <c r="K5" s="24"/>
      <c r="L5" s="8">
        <f t="shared" si="1"/>
        <v>2923.2</v>
      </c>
      <c r="M5" s="8">
        <f t="shared" si="6"/>
        <v>4092.4799999999996</v>
      </c>
      <c r="N5" s="8">
        <f t="shared" si="7"/>
        <v>6138.7199999999993</v>
      </c>
      <c r="O5" s="8">
        <f t="shared" si="8"/>
        <v>7980.3359999999993</v>
      </c>
      <c r="P5" s="25">
        <f>D5*(1+'1'!$Z$4)</f>
        <v>261176.4705882353</v>
      </c>
      <c r="Q5" s="25">
        <f>P5*(1+'1'!$AA$4)</f>
        <v>270578.82352941181</v>
      </c>
      <c r="R5" s="25">
        <f>Q5*(1+'1'!$AB$4)</f>
        <v>280319.66117647063</v>
      </c>
      <c r="S5" s="25">
        <f>R5*(1+'1'!$AC$4)</f>
        <v>290411.16897882358</v>
      </c>
      <c r="T5" s="26">
        <f t="shared" si="9"/>
        <v>763471058.82352936</v>
      </c>
      <c r="U5" s="26">
        <f t="shared" si="10"/>
        <v>1107338423.7176471</v>
      </c>
      <c r="V5" s="26">
        <f t="shared" si="11"/>
        <v>1720803910.4572237</v>
      </c>
      <c r="W5" s="26">
        <f t="shared" si="12"/>
        <v>2317578706.6037889</v>
      </c>
      <c r="X5" s="26"/>
      <c r="Y5" s="119" t="s">
        <v>23</v>
      </c>
      <c r="Z5" s="53">
        <v>0</v>
      </c>
      <c r="AA5" s="53">
        <v>0</v>
      </c>
      <c r="AB5" s="53">
        <v>0</v>
      </c>
      <c r="AC5" s="54">
        <v>0</v>
      </c>
    </row>
    <row r="6" spans="1:29" ht="25.5" customHeight="1" thickBot="1">
      <c r="A6" s="21">
        <f t="shared" si="13"/>
        <v>4</v>
      </c>
      <c r="B6" s="13"/>
      <c r="C6" s="56"/>
      <c r="D6" s="14"/>
      <c r="E6" s="22">
        <f t="shared" si="4"/>
        <v>0</v>
      </c>
      <c r="F6" s="23">
        <f t="shared" si="5"/>
        <v>0</v>
      </c>
      <c r="G6" s="49">
        <v>0</v>
      </c>
      <c r="H6" s="49">
        <v>0</v>
      </c>
      <c r="I6" s="49">
        <v>0</v>
      </c>
      <c r="J6" s="49">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5.5" customHeight="1" thickBot="1">
      <c r="A7" s="21">
        <f t="shared" si="13"/>
        <v>5</v>
      </c>
      <c r="B7" s="13"/>
      <c r="C7" s="56"/>
      <c r="D7" s="14"/>
      <c r="E7" s="22">
        <f t="shared" si="4"/>
        <v>0</v>
      </c>
      <c r="F7" s="23">
        <f t="shared" si="5"/>
        <v>0</v>
      </c>
      <c r="G7" s="49">
        <v>0</v>
      </c>
      <c r="H7" s="49">
        <v>0</v>
      </c>
      <c r="I7" s="49">
        <v>0</v>
      </c>
      <c r="J7" s="49">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24</v>
      </c>
      <c r="Z7" s="31"/>
      <c r="AA7" s="31"/>
      <c r="AB7" s="55">
        <v>0.35</v>
      </c>
      <c r="AC7" s="32"/>
    </row>
    <row r="8" spans="1:29" ht="25.5" customHeight="1">
      <c r="A8" s="21">
        <f t="shared" si="13"/>
        <v>6</v>
      </c>
      <c r="B8" s="13"/>
      <c r="C8" s="56"/>
      <c r="D8" s="14"/>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ht="25.5" customHeight="1">
      <c r="A9" s="21">
        <f t="shared" si="13"/>
        <v>7</v>
      </c>
      <c r="B9" s="13"/>
      <c r="C9" s="56"/>
      <c r="D9" s="14"/>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ht="25.5" customHeight="1">
      <c r="A10" s="21">
        <f t="shared" si="13"/>
        <v>8</v>
      </c>
      <c r="B10" s="13"/>
      <c r="C10" s="56"/>
      <c r="D10" s="14"/>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ht="25.5" customHeight="1">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ht="25.5" customHeight="1">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25</v>
      </c>
      <c r="E13" s="33">
        <f>SUM(E3:E12)</f>
        <v>1609411764.7058823</v>
      </c>
      <c r="F13" s="34">
        <f>SUM(F3:F12)</f>
        <v>1</v>
      </c>
      <c r="T13" s="35">
        <f>SUM(T3:T12)</f>
        <v>2000820705.8823528</v>
      </c>
      <c r="U13" s="35">
        <f>SUM(U3:U12)</f>
        <v>2901990351.8117647</v>
      </c>
      <c r="V13" s="35">
        <f>SUM(V3:V12)</f>
        <v>4509693006.7154827</v>
      </c>
      <c r="W13" s="35">
        <f>SUM(W3:W12)</f>
        <v>6073654541.4444122</v>
      </c>
      <c r="X13" s="26"/>
    </row>
    <row r="15" spans="1:29" ht="23.25" customHeight="1">
      <c r="A15" s="146" t="s">
        <v>26</v>
      </c>
      <c r="B15" s="146"/>
      <c r="C15" s="146"/>
      <c r="D15" s="146"/>
      <c r="E15" s="146"/>
      <c r="G15" s="36"/>
    </row>
    <row r="16" spans="1:29" ht="25.5" customHeight="1">
      <c r="B16" s="17" t="s">
        <v>27</v>
      </c>
      <c r="C16" s="37" t="s">
        <v>6</v>
      </c>
      <c r="D16" s="114" t="s">
        <v>28</v>
      </c>
      <c r="E16" s="18" t="s">
        <v>29</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ht="25.5" customHeight="1">
      <c r="A17" s="21">
        <f>A3</f>
        <v>1</v>
      </c>
      <c r="B17" s="95" t="str">
        <f>B3</f>
        <v>Plan Emprende Básico</v>
      </c>
      <c r="C17" s="39">
        <f>C3</f>
        <v>5940</v>
      </c>
      <c r="D17" s="14">
        <v>0</v>
      </c>
      <c r="E17" s="22">
        <f>C17*D17</f>
        <v>0</v>
      </c>
      <c r="F17" s="23">
        <f>IF($E$27=0,0,E17/$E$27)</f>
        <v>0</v>
      </c>
      <c r="L17" s="8">
        <f t="shared" ref="L17:L26" si="15">C17*(1+G3)</f>
        <v>7128</v>
      </c>
      <c r="M17" s="8">
        <f>L17*(1+H3)</f>
        <v>9979.1999999999989</v>
      </c>
      <c r="N17" s="8">
        <f t="shared" ref="N17:O17" si="16">M17*(1+I3)</f>
        <v>14968.8</v>
      </c>
      <c r="O17" s="8">
        <f t="shared" si="16"/>
        <v>19459.439999999999</v>
      </c>
      <c r="P17" s="40">
        <f>D17*(1+'1'!$Z$5)</f>
        <v>0</v>
      </c>
      <c r="Q17" s="25">
        <f>P17*(1+'1'!$AA$5)</f>
        <v>0</v>
      </c>
      <c r="R17" s="25">
        <f>Q17*(1+'1'!$AB$5)</f>
        <v>0</v>
      </c>
      <c r="S17" s="25">
        <f>R17*(1+'1'!$AC$5)</f>
        <v>0</v>
      </c>
      <c r="T17" s="40">
        <f t="shared" ref="T17:U19" si="17">L17*P17</f>
        <v>0</v>
      </c>
      <c r="U17" s="26">
        <f t="shared" si="17"/>
        <v>0</v>
      </c>
      <c r="V17" s="26">
        <f t="shared" ref="V17:W17" si="18">N17*R17</f>
        <v>0</v>
      </c>
      <c r="W17" s="26">
        <f t="shared" si="18"/>
        <v>0</v>
      </c>
      <c r="X17" s="26"/>
    </row>
    <row r="18" spans="1:24" ht="25.5" customHeight="1">
      <c r="A18" s="21">
        <f t="shared" ref="A18:B25" si="19">A4</f>
        <v>2</v>
      </c>
      <c r="B18" s="41" t="str">
        <f t="shared" si="19"/>
        <v>Plan Emprende Avanzado</v>
      </c>
      <c r="C18" s="39">
        <f t="shared" ref="C18:C26" si="20">C4</f>
        <v>5124</v>
      </c>
      <c r="D18" s="14">
        <v>0</v>
      </c>
      <c r="E18" s="22">
        <f t="shared" ref="E18:E26" si="21">C18*D18</f>
        <v>0</v>
      </c>
      <c r="F18" s="23">
        <f t="shared" ref="F18:F26" si="22">IF($E$27=0,0,E18/$E$27)</f>
        <v>0</v>
      </c>
      <c r="L18" s="8">
        <f t="shared" si="15"/>
        <v>6148.8</v>
      </c>
      <c r="M18" s="8">
        <f t="shared" ref="M18:M26" si="23">L18*(1+H4)</f>
        <v>8608.32</v>
      </c>
      <c r="N18" s="8">
        <f t="shared" ref="N18:N26" si="24">M18*(1+I4)</f>
        <v>12912.48</v>
      </c>
      <c r="O18" s="8">
        <f t="shared" ref="O18:O26" si="25">N18*(1+J4)</f>
        <v>16786.223999999998</v>
      </c>
      <c r="P18" s="40">
        <f>D18*(1+'1'!$Z$5)</f>
        <v>0</v>
      </c>
      <c r="Q18" s="25">
        <f>P18*(1+'1'!$AA$5)</f>
        <v>0</v>
      </c>
      <c r="R18" s="25">
        <f>Q18*(1+'1'!$AB$5)</f>
        <v>0</v>
      </c>
      <c r="S18" s="25">
        <f>R18*(1+'1'!$AC$5)</f>
        <v>0</v>
      </c>
      <c r="T18" s="40">
        <f t="shared" si="17"/>
        <v>0</v>
      </c>
      <c r="U18" s="26">
        <f t="shared" si="17"/>
        <v>0</v>
      </c>
      <c r="V18" s="26">
        <f t="shared" ref="V18:V26" si="26">N18*R18</f>
        <v>0</v>
      </c>
      <c r="W18" s="26">
        <f t="shared" ref="W18:W26" si="27">O18*S18</f>
        <v>0</v>
      </c>
      <c r="X18" s="26"/>
    </row>
    <row r="19" spans="1:24" ht="25.5" customHeight="1">
      <c r="A19" s="21">
        <f t="shared" si="19"/>
        <v>3</v>
      </c>
      <c r="B19" s="41" t="str">
        <f t="shared" si="19"/>
        <v>Plan Emprende Pro</v>
      </c>
      <c r="C19" s="39">
        <f t="shared" si="20"/>
        <v>2436</v>
      </c>
      <c r="D19" s="14">
        <v>0</v>
      </c>
      <c r="E19" s="22">
        <f t="shared" si="21"/>
        <v>0</v>
      </c>
      <c r="F19" s="23">
        <f t="shared" si="22"/>
        <v>0</v>
      </c>
      <c r="L19" s="8">
        <f t="shared" si="15"/>
        <v>2923.2</v>
      </c>
      <c r="M19" s="8">
        <f t="shared" si="23"/>
        <v>4092.4799999999996</v>
      </c>
      <c r="N19" s="8">
        <f t="shared" si="24"/>
        <v>6138.7199999999993</v>
      </c>
      <c r="O19" s="8">
        <f t="shared" si="25"/>
        <v>7980.3359999999993</v>
      </c>
      <c r="P19" s="40">
        <f>D19*(1+'1'!$Z$5)</f>
        <v>0</v>
      </c>
      <c r="Q19" s="25">
        <f>P19*(1+'1'!$AA$5)</f>
        <v>0</v>
      </c>
      <c r="R19" s="25">
        <f>Q19*(1+'1'!$AB$5)</f>
        <v>0</v>
      </c>
      <c r="S19" s="25">
        <f>R19*(1+'1'!$AC$5)</f>
        <v>0</v>
      </c>
      <c r="T19" s="40">
        <f t="shared" si="17"/>
        <v>0</v>
      </c>
      <c r="U19" s="26">
        <f t="shared" si="17"/>
        <v>0</v>
      </c>
      <c r="V19" s="26">
        <f t="shared" si="26"/>
        <v>0</v>
      </c>
      <c r="W19" s="26">
        <f t="shared" si="27"/>
        <v>0</v>
      </c>
      <c r="X19" s="26"/>
    </row>
    <row r="20" spans="1:24" ht="25.5" customHeight="1">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ht="25.5" customHeight="1">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ht="25.5" customHeight="1">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ht="25.5" customHeight="1">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ht="25.5" customHeight="1">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ht="25.5" customHeight="1">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ht="25.5" customHeight="1">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0</v>
      </c>
      <c r="F27" s="34">
        <f>SUM(F17:F26)</f>
        <v>0</v>
      </c>
      <c r="T27" s="35">
        <f>SUM(T17:T26)</f>
        <v>0</v>
      </c>
      <c r="U27" s="35">
        <f>SUM(U17:U26)</f>
        <v>0</v>
      </c>
      <c r="V27" s="35">
        <f t="shared" ref="V27:W27" si="31">SUM(V17:V26)</f>
        <v>0</v>
      </c>
      <c r="W27" s="35">
        <f t="shared" si="31"/>
        <v>0</v>
      </c>
      <c r="X27" s="26"/>
    </row>
    <row r="30" spans="1:24">
      <c r="A30" s="145" t="s">
        <v>30</v>
      </c>
      <c r="B30" s="145"/>
      <c r="C30" s="145"/>
      <c r="D30" s="145"/>
      <c r="E30" s="145"/>
      <c r="F30" s="145"/>
    </row>
    <row r="31" spans="1:24" ht="25.1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c r="A32" s="45" t="s">
        <v>31</v>
      </c>
      <c r="B32" s="46">
        <f>'1'!E13</f>
        <v>1609411764.7058823</v>
      </c>
      <c r="C32" s="47">
        <f>'1'!T13</f>
        <v>2000820705.8823528</v>
      </c>
      <c r="D32" s="47">
        <f>'1'!U13</f>
        <v>2901990351.8117647</v>
      </c>
      <c r="E32" s="47">
        <f>'1'!V13</f>
        <v>4509693006.7154827</v>
      </c>
      <c r="F32" s="47">
        <f>'1'!W13</f>
        <v>6073654541.4444122</v>
      </c>
    </row>
    <row r="33" spans="1:6">
      <c r="A33" s="45" t="s">
        <v>32</v>
      </c>
      <c r="B33" s="46">
        <f>'1'!E27</f>
        <v>0</v>
      </c>
      <c r="C33" s="46">
        <f>'1'!T27</f>
        <v>0</v>
      </c>
      <c r="D33" s="46">
        <f>'1'!U27</f>
        <v>0</v>
      </c>
      <c r="E33" s="46">
        <f>'1'!V27</f>
        <v>0</v>
      </c>
      <c r="F33" s="46">
        <f>'1'!W27</f>
        <v>0</v>
      </c>
    </row>
    <row r="34" spans="1:6" ht="21.6" thickBot="1">
      <c r="A34" s="48" t="s">
        <v>33</v>
      </c>
      <c r="B34" s="117">
        <f>B32-B33</f>
        <v>1609411764.7058823</v>
      </c>
      <c r="C34" s="117">
        <f t="shared" ref="C34:D34" si="32">C32-C33</f>
        <v>2000820705.8823528</v>
      </c>
      <c r="D34" s="117">
        <f t="shared" si="32"/>
        <v>2901990351.8117647</v>
      </c>
      <c r="E34" s="117">
        <f t="shared" ref="E34" si="33">E32-E33</f>
        <v>4509693006.7154827</v>
      </c>
      <c r="F34" s="117">
        <f t="shared" ref="F34" si="34">F32-F33</f>
        <v>6073654541.4444122</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6"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21" activePane="bottomLeft" state="frozenSplit"/>
      <selection pane="bottomLeft" activeCell="F27" sqref="F27"/>
      <selection activeCell="B40" sqref="B40"/>
    </sheetView>
  </sheetViews>
  <sheetFormatPr defaultColWidth="11.42578125" defaultRowHeight="14.4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c r="B1" s="148" t="s">
        <v>34</v>
      </c>
      <c r="C1" s="148"/>
      <c r="D1" s="148"/>
      <c r="E1" s="148"/>
      <c r="F1" s="148"/>
      <c r="G1" s="148"/>
      <c r="H1" s="148"/>
    </row>
    <row r="2" spans="2:8" ht="3.75" customHeight="1">
      <c r="B2" s="148"/>
      <c r="C2" s="148"/>
      <c r="D2" s="148"/>
      <c r="E2" s="148"/>
      <c r="F2" s="148"/>
      <c r="G2" s="148"/>
      <c r="H2" s="148"/>
    </row>
    <row r="3" spans="2:8">
      <c r="C3" s="21" t="s">
        <v>35</v>
      </c>
      <c r="F3" s="74" t="s">
        <v>36</v>
      </c>
      <c r="G3" s="74"/>
    </row>
    <row r="4" spans="2:8">
      <c r="B4" s="48" t="s">
        <v>37</v>
      </c>
      <c r="C4" s="14">
        <v>0</v>
      </c>
      <c r="F4" s="74"/>
      <c r="G4" s="74"/>
    </row>
    <row r="5" spans="2:8">
      <c r="B5" s="48" t="s">
        <v>38</v>
      </c>
      <c r="C5" s="14">
        <v>0</v>
      </c>
      <c r="F5" s="74">
        <v>10</v>
      </c>
      <c r="G5" s="75">
        <f t="shared" ref="G5:G11" si="0">C5/F5</f>
        <v>0</v>
      </c>
    </row>
    <row r="6" spans="2:8">
      <c r="B6" s="48" t="s">
        <v>39</v>
      </c>
      <c r="C6" s="14">
        <v>0</v>
      </c>
      <c r="F6" s="74">
        <v>5</v>
      </c>
      <c r="G6" s="75">
        <f t="shared" si="0"/>
        <v>0</v>
      </c>
    </row>
    <row r="7" spans="2:8">
      <c r="B7" s="48" t="s">
        <v>40</v>
      </c>
      <c r="C7" s="14">
        <v>0</v>
      </c>
      <c r="F7" s="74">
        <v>5</v>
      </c>
      <c r="G7" s="75">
        <f t="shared" si="0"/>
        <v>0</v>
      </c>
    </row>
    <row r="8" spans="2:8">
      <c r="B8" s="48" t="s">
        <v>41</v>
      </c>
      <c r="C8" s="14">
        <v>0</v>
      </c>
      <c r="F8" s="74">
        <v>5</v>
      </c>
      <c r="G8" s="75">
        <f t="shared" si="0"/>
        <v>0</v>
      </c>
    </row>
    <row r="9" spans="2:8">
      <c r="B9" s="48" t="s">
        <v>42</v>
      </c>
      <c r="C9" s="14">
        <v>0</v>
      </c>
      <c r="F9" s="74">
        <v>5</v>
      </c>
      <c r="G9" s="75">
        <f t="shared" si="0"/>
        <v>0</v>
      </c>
    </row>
    <row r="10" spans="2:8">
      <c r="B10" s="48" t="s">
        <v>43</v>
      </c>
      <c r="C10" s="14">
        <v>0</v>
      </c>
      <c r="F10" s="74">
        <v>5</v>
      </c>
      <c r="G10" s="75">
        <f t="shared" si="0"/>
        <v>0</v>
      </c>
    </row>
    <row r="11" spans="2:8">
      <c r="B11" s="48" t="s">
        <v>44</v>
      </c>
      <c r="C11" s="14">
        <v>54000000</v>
      </c>
      <c r="F11" s="74">
        <v>5</v>
      </c>
      <c r="G11" s="75">
        <f t="shared" si="0"/>
        <v>10800000</v>
      </c>
    </row>
    <row r="12" spans="2:8" ht="16.149999999999999" thickBot="1">
      <c r="B12" s="76" t="s">
        <v>45</v>
      </c>
      <c r="C12" s="77">
        <f>SUM(C4:C11)</f>
        <v>54000000</v>
      </c>
      <c r="F12" s="74"/>
      <c r="G12" s="75">
        <f>SUM(G5:G11)</f>
        <v>10800000</v>
      </c>
    </row>
    <row r="13" spans="2:8">
      <c r="B13" s="149" t="s">
        <v>46</v>
      </c>
      <c r="C13" s="150"/>
      <c r="D13" s="150"/>
      <c r="E13" s="150"/>
      <c r="F13" s="150"/>
      <c r="G13" s="150"/>
      <c r="H13" s="151"/>
    </row>
    <row r="14" spans="2:8" ht="15" thickBot="1">
      <c r="B14" s="152"/>
      <c r="C14" s="153"/>
      <c r="D14" s="153"/>
      <c r="E14" s="153"/>
      <c r="F14" s="153"/>
      <c r="G14" s="153"/>
      <c r="H14" s="154"/>
    </row>
    <row r="15" spans="2:8">
      <c r="B15" s="78"/>
      <c r="C15" s="78"/>
      <c r="D15" s="78"/>
      <c r="E15" s="78"/>
      <c r="F15" s="78"/>
      <c r="G15" s="78"/>
      <c r="H15" s="78"/>
    </row>
    <row r="16" spans="2:8">
      <c r="B16" s="76" t="s">
        <v>47</v>
      </c>
      <c r="E16" s="76" t="s">
        <v>48</v>
      </c>
      <c r="F16" s="38"/>
    </row>
    <row r="17" spans="2:6">
      <c r="C17" s="76" t="s">
        <v>49</v>
      </c>
      <c r="F17" s="76" t="str">
        <f>C17</f>
        <v>VALOR AÑO 1</v>
      </c>
    </row>
    <row r="18" spans="2:6">
      <c r="B18" s="79" t="s">
        <v>50</v>
      </c>
      <c r="C18" s="14"/>
      <c r="E18" s="80" t="s">
        <v>51</v>
      </c>
      <c r="F18" s="14">
        <v>0</v>
      </c>
    </row>
    <row r="19" spans="2:6">
      <c r="C19" s="81"/>
      <c r="E19" s="80" t="s">
        <v>52</v>
      </c>
      <c r="F19" s="14">
        <v>0</v>
      </c>
    </row>
    <row r="20" spans="2:6">
      <c r="B20" s="79" t="s">
        <v>53</v>
      </c>
      <c r="C20" s="14"/>
      <c r="E20" s="80" t="s">
        <v>54</v>
      </c>
      <c r="F20" s="14"/>
    </row>
    <row r="21" spans="2:6">
      <c r="C21" s="81"/>
      <c r="E21" s="80" t="s">
        <v>55</v>
      </c>
      <c r="F21" s="14">
        <v>0</v>
      </c>
    </row>
    <row r="22" spans="2:6">
      <c r="B22" s="79" t="s">
        <v>56</v>
      </c>
      <c r="C22" s="14">
        <v>1692000000</v>
      </c>
      <c r="E22" s="80" t="s">
        <v>57</v>
      </c>
      <c r="F22" s="14">
        <v>0</v>
      </c>
    </row>
    <row r="23" spans="2:6" ht="15.6">
      <c r="B23" s="8" t="s">
        <v>58</v>
      </c>
      <c r="C23" s="77">
        <f>C18+C20+C22</f>
        <v>1692000000</v>
      </c>
      <c r="E23" s="80" t="s">
        <v>59</v>
      </c>
      <c r="F23" s="14">
        <v>0</v>
      </c>
    </row>
    <row r="24" spans="2:6">
      <c r="E24" s="80" t="s">
        <v>60</v>
      </c>
      <c r="F24" s="14">
        <v>0</v>
      </c>
    </row>
    <row r="25" spans="2:6" ht="24.6">
      <c r="B25" s="80" t="s">
        <v>61</v>
      </c>
      <c r="C25" s="14">
        <v>59000000</v>
      </c>
      <c r="E25" s="101" t="s">
        <v>62</v>
      </c>
      <c r="F25" s="14">
        <v>6730000</v>
      </c>
    </row>
    <row r="26" spans="2:6">
      <c r="E26" s="101" t="s">
        <v>63</v>
      </c>
      <c r="F26" s="14"/>
    </row>
    <row r="27" spans="2:6">
      <c r="B27" s="99" t="s">
        <v>64</v>
      </c>
      <c r="C27" s="99"/>
      <c r="E27" s="101" t="s">
        <v>65</v>
      </c>
      <c r="F27" s="14">
        <f>4000000</f>
        <v>4000000</v>
      </c>
    </row>
    <row r="28" spans="2:6">
      <c r="B28" s="115">
        <f>'1'!G2</f>
        <v>2026</v>
      </c>
      <c r="C28" s="14">
        <f>+C25*1.1</f>
        <v>64900000.000000007</v>
      </c>
      <c r="E28" s="101"/>
      <c r="F28" s="14">
        <v>0</v>
      </c>
    </row>
    <row r="29" spans="2:6">
      <c r="B29" s="115">
        <f>'1'!H2</f>
        <v>2027</v>
      </c>
      <c r="C29" s="14">
        <f>+C28*1.1</f>
        <v>71390000.000000015</v>
      </c>
      <c r="E29" s="101"/>
      <c r="F29" s="14">
        <v>0</v>
      </c>
    </row>
    <row r="30" spans="2:6">
      <c r="B30" s="115">
        <f>'1'!I2</f>
        <v>2028</v>
      </c>
      <c r="C30" s="14">
        <f>+C29*1.1</f>
        <v>78529000.00000003</v>
      </c>
      <c r="E30" s="101"/>
      <c r="F30" s="14">
        <v>0</v>
      </c>
    </row>
    <row r="31" spans="2:6" ht="15.6">
      <c r="B31" s="115">
        <f>'1'!J2</f>
        <v>2029</v>
      </c>
      <c r="C31" s="14">
        <f>+C30*1.1</f>
        <v>86381900.000000045</v>
      </c>
      <c r="E31" s="80" t="s">
        <v>66</v>
      </c>
      <c r="F31" s="77">
        <f>SUM(F18:F30)</f>
        <v>10730000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C22" sqref="C22"/>
    </sheetView>
  </sheetViews>
  <sheetFormatPr defaultColWidth="11.42578125" defaultRowHeight="14.45"/>
  <cols>
    <col min="1" max="1" width="11.42578125" style="8"/>
    <col min="2" max="2" width="39" style="8" bestFit="1" customWidth="1"/>
    <col min="3" max="3" width="18.5703125" style="8" bestFit="1" customWidth="1"/>
    <col min="4" max="4" width="19.42578125" style="8" bestFit="1" customWidth="1"/>
    <col min="5" max="5" width="10.140625" style="8" customWidth="1"/>
    <col min="6" max="10" width="17" style="8" customWidth="1"/>
    <col min="11" max="16384" width="11.42578125" style="8"/>
  </cols>
  <sheetData>
    <row r="2" spans="2:12" ht="29.25" customHeight="1">
      <c r="B2" s="146" t="s">
        <v>67</v>
      </c>
      <c r="C2" s="146"/>
      <c r="D2" s="146"/>
      <c r="E2" s="146"/>
      <c r="F2" s="146"/>
      <c r="G2" s="146"/>
      <c r="H2" s="146"/>
      <c r="I2" s="146"/>
      <c r="J2" s="146"/>
    </row>
    <row r="3" spans="2:12">
      <c r="F3" s="155" t="s">
        <v>68</v>
      </c>
      <c r="G3" s="155"/>
    </row>
    <row r="4" spans="2:12" ht="15.6">
      <c r="B4" s="16" t="s">
        <v>45</v>
      </c>
      <c r="C4" s="77">
        <f>'2'!C12</f>
        <v>54000000</v>
      </c>
      <c r="F4" s="156">
        <v>0.16</v>
      </c>
      <c r="G4" s="156"/>
      <c r="I4" s="8" t="s">
        <v>69</v>
      </c>
      <c r="J4" s="131">
        <v>2</v>
      </c>
      <c r="L4" s="74">
        <v>1</v>
      </c>
    </row>
    <row r="5" spans="2:12">
      <c r="L5" s="74">
        <v>2</v>
      </c>
    </row>
    <row r="6" spans="2:12" ht="15" thickBot="1">
      <c r="B6" s="16" t="s">
        <v>70</v>
      </c>
      <c r="F6" s="145" t="s">
        <v>71</v>
      </c>
      <c r="G6" s="145"/>
      <c r="H6" s="145"/>
      <c r="I6" s="145"/>
      <c r="J6" s="145"/>
      <c r="L6" s="74">
        <v>3</v>
      </c>
    </row>
    <row r="7" spans="2:12">
      <c r="C7" s="82" t="s">
        <v>72</v>
      </c>
      <c r="D7" s="82" t="s">
        <v>73</v>
      </c>
      <c r="E7" s="120"/>
      <c r="F7" s="121" t="s">
        <v>74</v>
      </c>
      <c r="G7" s="121" t="s">
        <v>75</v>
      </c>
      <c r="H7" s="121" t="s">
        <v>76</v>
      </c>
      <c r="I7" s="121" t="s">
        <v>77</v>
      </c>
      <c r="J7" s="122" t="s">
        <v>78</v>
      </c>
      <c r="L7" s="74">
        <v>4</v>
      </c>
    </row>
    <row r="8" spans="2:12">
      <c r="B8" s="48" t="s">
        <v>79</v>
      </c>
      <c r="C8" s="57">
        <v>3</v>
      </c>
      <c r="D8" s="25">
        <f>('1'!B33/12)*C8</f>
        <v>0</v>
      </c>
      <c r="E8" s="123" t="s">
        <v>80</v>
      </c>
      <c r="F8" s="124"/>
      <c r="G8" s="124"/>
      <c r="H8" s="124"/>
      <c r="I8" s="124"/>
      <c r="J8" s="125">
        <f>D16</f>
        <v>464432500</v>
      </c>
      <c r="L8" s="74">
        <v>5</v>
      </c>
    </row>
    <row r="9" spans="2:12">
      <c r="B9" s="48" t="s">
        <v>81</v>
      </c>
      <c r="C9" s="57">
        <v>3</v>
      </c>
      <c r="D9" s="25">
        <f>('2'!C23/12)*C9</f>
        <v>423000000</v>
      </c>
      <c r="E9" s="123">
        <f>'1'!B31</f>
        <v>2025</v>
      </c>
      <c r="F9" s="127">
        <f t="shared" ref="F9:F13" si="0">IF(J8&gt;0,J8,0)</f>
        <v>464432500</v>
      </c>
      <c r="G9" s="127">
        <f>F9*$F$4</f>
        <v>74309200</v>
      </c>
      <c r="H9" s="127">
        <f>IF(J8&lt;1,0,(I9-G9))</f>
        <v>215015046.2962963</v>
      </c>
      <c r="I9" s="127">
        <f>PMT(F4,J4,J8)*-1</f>
        <v>289324246.2962963</v>
      </c>
      <c r="J9" s="128">
        <f>F9-H9</f>
        <v>249417453.7037037</v>
      </c>
    </row>
    <row r="10" spans="2:12">
      <c r="B10" s="48" t="s">
        <v>82</v>
      </c>
      <c r="C10" s="57">
        <v>3</v>
      </c>
      <c r="D10" s="25">
        <f>('2'!C25/12)*C10</f>
        <v>14750000</v>
      </c>
      <c r="E10" s="123">
        <f>'1'!C31</f>
        <v>2026</v>
      </c>
      <c r="F10" s="127">
        <f t="shared" si="0"/>
        <v>249417453.7037037</v>
      </c>
      <c r="G10" s="127">
        <f t="shared" ref="G10:G13" si="1">F10*$F$4</f>
        <v>39906792.59259259</v>
      </c>
      <c r="H10" s="127">
        <f t="shared" ref="H10:H13" si="2">IF(J9&lt;1,0,(I10-G10))</f>
        <v>249417453.7037037</v>
      </c>
      <c r="I10" s="127">
        <f>IF(J9&lt;1,0,(I9*(1+$K$7)))</f>
        <v>289324246.2962963</v>
      </c>
      <c r="J10" s="128">
        <f t="shared" ref="J10:J13" si="3">F10-H10</f>
        <v>0</v>
      </c>
    </row>
    <row r="11" spans="2:12">
      <c r="B11" s="48" t="s">
        <v>83</v>
      </c>
      <c r="C11" s="57">
        <v>3</v>
      </c>
      <c r="D11" s="25">
        <f>('2'!F31/12)*C11</f>
        <v>2682500</v>
      </c>
      <c r="E11" s="123">
        <f>'1'!D31</f>
        <v>2027</v>
      </c>
      <c r="F11" s="127">
        <f t="shared" si="0"/>
        <v>0</v>
      </c>
      <c r="G11" s="127">
        <f t="shared" si="1"/>
        <v>0</v>
      </c>
      <c r="H11" s="127">
        <f t="shared" si="2"/>
        <v>0</v>
      </c>
      <c r="I11" s="127">
        <f t="shared" ref="I11:I13" si="4">IF(J10&lt;1,0,(I10*(1+$K$7)))</f>
        <v>0</v>
      </c>
      <c r="J11" s="128">
        <f t="shared" si="3"/>
        <v>0</v>
      </c>
    </row>
    <row r="12" spans="2:12" ht="15.6">
      <c r="B12" s="83" t="s">
        <v>25</v>
      </c>
      <c r="C12" s="61"/>
      <c r="D12" s="84">
        <f>SUM(D8:D11)</f>
        <v>440432500</v>
      </c>
      <c r="E12" s="123">
        <f>'1'!E31</f>
        <v>2028</v>
      </c>
      <c r="F12" s="127">
        <f t="shared" si="0"/>
        <v>0</v>
      </c>
      <c r="G12" s="127">
        <f t="shared" si="1"/>
        <v>0</v>
      </c>
      <c r="H12" s="127">
        <f t="shared" si="2"/>
        <v>0</v>
      </c>
      <c r="I12" s="127">
        <f t="shared" si="4"/>
        <v>0</v>
      </c>
      <c r="J12" s="128">
        <f t="shared" si="3"/>
        <v>0</v>
      </c>
    </row>
    <row r="13" spans="2:12" ht="15" thickBot="1">
      <c r="E13" s="126">
        <f>'1'!F31</f>
        <v>2029</v>
      </c>
      <c r="F13" s="129">
        <f t="shared" si="0"/>
        <v>0</v>
      </c>
      <c r="G13" s="129">
        <f t="shared" si="1"/>
        <v>0</v>
      </c>
      <c r="H13" s="129">
        <f t="shared" si="2"/>
        <v>0</v>
      </c>
      <c r="I13" s="129">
        <f t="shared" si="4"/>
        <v>0</v>
      </c>
      <c r="J13" s="130">
        <f t="shared" si="3"/>
        <v>0</v>
      </c>
    </row>
    <row r="14" spans="2:12" ht="15.6">
      <c r="B14" s="48" t="s">
        <v>84</v>
      </c>
      <c r="D14" s="77">
        <f>C4+D12</f>
        <v>494432500</v>
      </c>
    </row>
    <row r="15" spans="2:12">
      <c r="B15" s="48" t="s">
        <v>85</v>
      </c>
      <c r="D15" s="58">
        <v>30000000</v>
      </c>
    </row>
    <row r="16" spans="2:12" ht="15.6">
      <c r="B16" s="48" t="s">
        <v>86</v>
      </c>
      <c r="D16" s="85">
        <f>D14-D15</f>
        <v>464432500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Normal="100" workbookViewId="0">
      <pane xSplit="7" ySplit="1" topLeftCell="H35" activePane="bottomRight" state="frozenSplit"/>
      <selection pane="bottomRight" activeCell="K25" sqref="K25"/>
      <selection pane="bottomLeft" activeCell="A12" sqref="A12"/>
      <selection pane="topRight" activeCell="E1" sqref="E1"/>
    </sheetView>
  </sheetViews>
  <sheetFormatPr defaultColWidth="11.42578125" defaultRowHeight="14.45"/>
  <cols>
    <col min="1" max="1" width="26.7109375" style="8" customWidth="1"/>
    <col min="2" max="7" width="27.140625" style="8" customWidth="1"/>
    <col min="8" max="16384" width="11.42578125" style="8"/>
  </cols>
  <sheetData>
    <row r="1" spans="1:7" ht="34.5" customHeight="1">
      <c r="A1" s="160" t="s">
        <v>87</v>
      </c>
      <c r="B1" s="160"/>
      <c r="C1" s="160"/>
      <c r="D1" s="160"/>
      <c r="E1" s="160"/>
      <c r="F1" s="160"/>
      <c r="G1" s="160"/>
    </row>
    <row r="2" spans="1:7" ht="23.45">
      <c r="A2" s="161" t="s">
        <v>88</v>
      </c>
      <c r="B2" s="161"/>
      <c r="C2" s="161"/>
      <c r="D2" s="161"/>
      <c r="E2" s="161"/>
      <c r="F2" s="161"/>
      <c r="G2" s="161"/>
    </row>
    <row r="3" spans="1:7" ht="8.25" customHeight="1">
      <c r="A3" s="59"/>
      <c r="B3" s="59"/>
      <c r="C3" s="59"/>
      <c r="D3" s="59"/>
      <c r="E3" s="59"/>
      <c r="F3" s="59"/>
      <c r="G3" s="59"/>
    </row>
    <row r="4" spans="1:7" ht="15.6">
      <c r="A4" s="159" t="s">
        <v>89</v>
      </c>
      <c r="B4" s="159"/>
      <c r="C4" s="159"/>
      <c r="D4" s="159"/>
      <c r="E4" s="159"/>
      <c r="F4" s="159"/>
      <c r="G4" s="159"/>
    </row>
    <row r="5" spans="1:7" ht="23.45">
      <c r="C5" s="63">
        <f>'1'!B31</f>
        <v>2025</v>
      </c>
      <c r="D5" s="63">
        <f>'1'!C31</f>
        <v>2026</v>
      </c>
      <c r="E5" s="63">
        <f>'1'!D31</f>
        <v>2027</v>
      </c>
      <c r="F5" s="63">
        <f>'1'!E31</f>
        <v>2028</v>
      </c>
      <c r="G5" s="63">
        <f>'1'!F31</f>
        <v>2029</v>
      </c>
    </row>
    <row r="6" spans="1:7">
      <c r="B6" s="8" t="s">
        <v>90</v>
      </c>
      <c r="C6" s="64">
        <f>'1'!B32</f>
        <v>1609411764.7058823</v>
      </c>
      <c r="D6" s="64">
        <f>'1'!C32</f>
        <v>2000820705.8823528</v>
      </c>
      <c r="E6" s="64">
        <f>'1'!D32</f>
        <v>2901990351.8117647</v>
      </c>
      <c r="F6" s="64">
        <f>'1'!E32</f>
        <v>4509693006.7154827</v>
      </c>
      <c r="G6" s="64">
        <f>'1'!F32</f>
        <v>6073654541.4444122</v>
      </c>
    </row>
    <row r="7" spans="1:7">
      <c r="B7" s="8" t="s">
        <v>91</v>
      </c>
      <c r="C7" s="64">
        <f>'1'!B33</f>
        <v>0</v>
      </c>
      <c r="D7" s="64">
        <f>'1'!C33</f>
        <v>0</v>
      </c>
      <c r="E7" s="64">
        <f>'1'!D33</f>
        <v>0</v>
      </c>
      <c r="F7" s="64">
        <f>'1'!E33</f>
        <v>0</v>
      </c>
      <c r="G7" s="64">
        <f>'1'!F33</f>
        <v>0</v>
      </c>
    </row>
    <row r="8" spans="1:7" ht="15" thickBot="1">
      <c r="B8" s="65" t="s">
        <v>92</v>
      </c>
      <c r="C8" s="66">
        <f>C6-C7</f>
        <v>1609411764.7058823</v>
      </c>
      <c r="D8" s="66">
        <f t="shared" ref="D8:G8" si="0">D6-D7</f>
        <v>2000820705.8823528</v>
      </c>
      <c r="E8" s="66">
        <f t="shared" si="0"/>
        <v>2901990351.8117647</v>
      </c>
      <c r="F8" s="66">
        <f t="shared" si="0"/>
        <v>4509693006.7154827</v>
      </c>
      <c r="G8" s="66">
        <f t="shared" si="0"/>
        <v>6073654541.4444122</v>
      </c>
    </row>
    <row r="9" spans="1:7" ht="15" thickTop="1">
      <c r="B9" s="8" t="s">
        <v>93</v>
      </c>
      <c r="C9" s="64">
        <f>'2'!C23</f>
        <v>1692000000</v>
      </c>
      <c r="D9" s="64">
        <f>C9*(1+'1'!Z4)</f>
        <v>1752912000</v>
      </c>
      <c r="E9" s="64">
        <f>D9*(1+'1'!AA4)</f>
        <v>1816016832</v>
      </c>
      <c r="F9" s="64">
        <f>E9*(1+'1'!AB4)</f>
        <v>1881393437.9520001</v>
      </c>
      <c r="G9" s="64">
        <f>F9*(1+'1'!AC4)</f>
        <v>1949123601.7182722</v>
      </c>
    </row>
    <row r="10" spans="1:7">
      <c r="B10" s="8" t="s">
        <v>94</v>
      </c>
      <c r="C10" s="64">
        <f>'2'!F31</f>
        <v>10730000</v>
      </c>
      <c r="D10" s="64">
        <f>C10*(1+'1'!Z4)</f>
        <v>11116280</v>
      </c>
      <c r="E10" s="64">
        <f>D10*(1+'1'!AA4)</f>
        <v>11516466.08</v>
      </c>
      <c r="F10" s="64">
        <f>E10*(1+'1'!AB4)</f>
        <v>11931058.85888</v>
      </c>
      <c r="G10" s="64">
        <f>F10*(1+'1'!AC4)</f>
        <v>12360576.97779968</v>
      </c>
    </row>
    <row r="11" spans="1:7">
      <c r="B11" s="8" t="s">
        <v>95</v>
      </c>
      <c r="C11" s="64">
        <f>'2'!C25</f>
        <v>59000000</v>
      </c>
      <c r="D11" s="64">
        <f>'2'!C28</f>
        <v>64900000.000000007</v>
      </c>
      <c r="E11" s="64">
        <f>'2'!C29</f>
        <v>71390000.000000015</v>
      </c>
      <c r="F11" s="64">
        <f>'2'!C30</f>
        <v>78529000.00000003</v>
      </c>
      <c r="G11" s="64">
        <f>'2'!C31</f>
        <v>86381900.000000045</v>
      </c>
    </row>
    <row r="12" spans="1:7">
      <c r="B12" s="8" t="s">
        <v>96</v>
      </c>
      <c r="C12" s="64">
        <f>'2'!G12</f>
        <v>10800000</v>
      </c>
      <c r="D12" s="64">
        <f>C12</f>
        <v>10800000</v>
      </c>
      <c r="E12" s="64">
        <f t="shared" ref="E12:G12" si="1">D12</f>
        <v>10800000</v>
      </c>
      <c r="F12" s="64">
        <f t="shared" si="1"/>
        <v>10800000</v>
      </c>
      <c r="G12" s="64">
        <f t="shared" si="1"/>
        <v>10800000</v>
      </c>
    </row>
    <row r="13" spans="1:7" ht="15" thickBot="1">
      <c r="B13" s="65" t="s">
        <v>97</v>
      </c>
      <c r="C13" s="67">
        <f>C8-C9-C10-C11-C12</f>
        <v>-163118235.29411769</v>
      </c>
      <c r="D13" s="67">
        <f t="shared" ref="D13:G13" si="2">D8-D9-D10-D11-D12</f>
        <v>161092425.88235283</v>
      </c>
      <c r="E13" s="67">
        <f t="shared" si="2"/>
        <v>992267053.73176479</v>
      </c>
      <c r="F13" s="67">
        <f t="shared" si="2"/>
        <v>2527039509.9046025</v>
      </c>
      <c r="G13" s="67">
        <f t="shared" si="2"/>
        <v>4014988462.7483401</v>
      </c>
    </row>
    <row r="14" spans="1:7" ht="15" thickTop="1">
      <c r="B14" s="8" t="s">
        <v>98</v>
      </c>
      <c r="C14" s="64">
        <f>'3'!G9</f>
        <v>74309200</v>
      </c>
      <c r="D14" s="64">
        <f>'3'!G10</f>
        <v>39906792.59259259</v>
      </c>
      <c r="E14" s="64">
        <f>'3'!G11</f>
        <v>0</v>
      </c>
      <c r="F14" s="64">
        <f>'3'!G12</f>
        <v>0</v>
      </c>
      <c r="G14" s="64">
        <f>'3'!G13</f>
        <v>0</v>
      </c>
    </row>
    <row r="15" spans="1:7" ht="15" thickBot="1">
      <c r="B15" s="65" t="s">
        <v>99</v>
      </c>
      <c r="C15" s="67">
        <f>C13-C14</f>
        <v>-237427435.29411769</v>
      </c>
      <c r="D15" s="67">
        <f t="shared" ref="D15:G15" si="3">D13-D14</f>
        <v>121185633.28976023</v>
      </c>
      <c r="E15" s="67">
        <f t="shared" si="3"/>
        <v>992267053.73176479</v>
      </c>
      <c r="F15" s="67">
        <f t="shared" si="3"/>
        <v>2527039509.9046025</v>
      </c>
      <c r="G15" s="67">
        <f t="shared" si="3"/>
        <v>4014988462.7483401</v>
      </c>
    </row>
    <row r="16" spans="1:7" ht="15" thickTop="1">
      <c r="B16" s="8" t="s">
        <v>100</v>
      </c>
      <c r="C16" s="68">
        <f>IF(C15*'1'!$AB$7&lt;0,0,C15*'1'!$AB$7)</f>
        <v>0</v>
      </c>
      <c r="D16" s="68">
        <f>IF(D15*'1'!$AB$7&lt;0,0,D15*'1'!$AB$7)</f>
        <v>42414971.651416078</v>
      </c>
      <c r="E16" s="68">
        <f>IF(E15*'1'!$AB$7&lt;0,0,E15*'1'!$AB$7)</f>
        <v>347293468.80611765</v>
      </c>
      <c r="F16" s="68">
        <f>IF(F15*'1'!$AB$7&lt;0,0,F15*'1'!$AB$7)</f>
        <v>884463828.46661079</v>
      </c>
      <c r="G16" s="68">
        <f>IF(G15*'1'!$AB$7&lt;0,0,G15*'1'!$AB$7)</f>
        <v>1405245961.9619191</v>
      </c>
    </row>
    <row r="17" spans="1:8" ht="15" thickBot="1">
      <c r="B17" s="69" t="s">
        <v>101</v>
      </c>
      <c r="C17" s="70">
        <f>C15-C16</f>
        <v>-237427435.29411769</v>
      </c>
      <c r="D17" s="70">
        <f t="shared" ref="D17:G17" si="4">D15-D16</f>
        <v>78770661.638344154</v>
      </c>
      <c r="E17" s="70">
        <f t="shared" si="4"/>
        <v>644973584.92564714</v>
      </c>
      <c r="F17" s="70">
        <f t="shared" si="4"/>
        <v>1642575681.4379916</v>
      </c>
      <c r="G17" s="70">
        <f t="shared" si="4"/>
        <v>2609742500.7864208</v>
      </c>
    </row>
    <row r="19" spans="1:8" ht="15.6">
      <c r="A19" s="159" t="s">
        <v>102</v>
      </c>
      <c r="B19" s="159"/>
      <c r="C19" s="159"/>
      <c r="D19" s="159"/>
      <c r="E19" s="159"/>
      <c r="F19" s="159"/>
      <c r="G19" s="159"/>
    </row>
    <row r="20" spans="1:8" ht="23.45">
      <c r="B20" s="71" t="s">
        <v>80</v>
      </c>
      <c r="C20" s="63">
        <f>C5</f>
        <v>2025</v>
      </c>
      <c r="D20" s="63">
        <f>D5</f>
        <v>2026</v>
      </c>
      <c r="E20" s="63">
        <f>E5</f>
        <v>2027</v>
      </c>
      <c r="F20" s="63">
        <f>F5</f>
        <v>2028</v>
      </c>
      <c r="G20" s="63">
        <f>G5</f>
        <v>2029</v>
      </c>
    </row>
    <row r="21" spans="1:8">
      <c r="A21" s="158" t="s">
        <v>103</v>
      </c>
      <c r="B21" s="158"/>
      <c r="C21" s="158"/>
      <c r="D21" s="158"/>
      <c r="E21" s="158"/>
      <c r="F21" s="158"/>
      <c r="G21" s="158"/>
    </row>
    <row r="22" spans="1:8">
      <c r="A22" s="8" t="s">
        <v>104</v>
      </c>
      <c r="B22" s="26">
        <f>B38-B26</f>
        <v>440432500</v>
      </c>
      <c r="C22" s="26">
        <f t="shared" ref="C22:G22" si="5">C38-C26</f>
        <v>-1209981.5904139876</v>
      </c>
      <c r="D22" s="26">
        <f t="shared" si="5"/>
        <v>118785633.28976023</v>
      </c>
      <c r="E22" s="26">
        <f t="shared" si="5"/>
        <v>1000667053.7317648</v>
      </c>
      <c r="F22" s="26">
        <f t="shared" si="5"/>
        <v>2546239509.9046025</v>
      </c>
      <c r="G22" s="26">
        <f t="shared" si="5"/>
        <v>4044988462.7483397</v>
      </c>
    </row>
    <row r="23" spans="1:8">
      <c r="A23" s="8" t="s">
        <v>105</v>
      </c>
      <c r="B23" s="26">
        <f>'2'!C4</f>
        <v>0</v>
      </c>
      <c r="C23" s="26">
        <f>B23</f>
        <v>0</v>
      </c>
      <c r="D23" s="26">
        <f t="shared" ref="D23:G23" si="6">C23</f>
        <v>0</v>
      </c>
      <c r="E23" s="26">
        <f t="shared" si="6"/>
        <v>0</v>
      </c>
      <c r="F23" s="26">
        <f t="shared" si="6"/>
        <v>0</v>
      </c>
      <c r="G23" s="26">
        <f t="shared" si="6"/>
        <v>0</v>
      </c>
      <c r="H23" s="26"/>
    </row>
    <row r="24" spans="1:8">
      <c r="A24" s="8" t="s">
        <v>106</v>
      </c>
      <c r="B24" s="26">
        <f>'2'!C12-'2'!C4</f>
        <v>54000000</v>
      </c>
      <c r="C24" s="26">
        <f>B24</f>
        <v>54000000</v>
      </c>
      <c r="D24" s="26">
        <f t="shared" ref="D24:G24" si="7">C24</f>
        <v>54000000</v>
      </c>
      <c r="E24" s="26">
        <f t="shared" si="7"/>
        <v>54000000</v>
      </c>
      <c r="F24" s="26">
        <f t="shared" si="7"/>
        <v>54000000</v>
      </c>
      <c r="G24" s="26">
        <f t="shared" si="7"/>
        <v>54000000</v>
      </c>
      <c r="H24" s="26"/>
    </row>
    <row r="25" spans="1:8">
      <c r="A25" s="8" t="s">
        <v>107</v>
      </c>
      <c r="B25" s="26">
        <v>0</v>
      </c>
      <c r="C25" s="26">
        <f>C12</f>
        <v>10800000</v>
      </c>
      <c r="D25" s="26">
        <f>D12+C12</f>
        <v>21600000</v>
      </c>
      <c r="E25" s="26">
        <f>E12+D12+C12</f>
        <v>32400000</v>
      </c>
      <c r="F25" s="26">
        <f>F12+E12+D12+C12</f>
        <v>43200000</v>
      </c>
      <c r="G25" s="26">
        <f>F25+G12</f>
        <v>54000000</v>
      </c>
      <c r="H25" s="26"/>
    </row>
    <row r="26" spans="1:8">
      <c r="A26" s="8" t="s">
        <v>108</v>
      </c>
      <c r="B26" s="26">
        <f>B23+(B24-B25)</f>
        <v>54000000</v>
      </c>
      <c r="C26" s="26">
        <f>C23+(C24-C25)</f>
        <v>43200000</v>
      </c>
      <c r="D26" s="26">
        <f t="shared" ref="D26:G26" si="8">D23+(D24-D25)</f>
        <v>32400000</v>
      </c>
      <c r="E26" s="26">
        <f t="shared" si="8"/>
        <v>21600000</v>
      </c>
      <c r="F26" s="26">
        <f t="shared" si="8"/>
        <v>10800000</v>
      </c>
      <c r="G26" s="26">
        <f t="shared" si="8"/>
        <v>0</v>
      </c>
      <c r="H26" s="26"/>
    </row>
    <row r="27" spans="1:8" ht="15" thickBot="1">
      <c r="A27" s="65" t="s">
        <v>109</v>
      </c>
      <c r="B27" s="72">
        <f>B22+B26</f>
        <v>494432500</v>
      </c>
      <c r="C27" s="72">
        <f t="shared" ref="C27:G27" si="9">C22+C26</f>
        <v>41990018.409586012</v>
      </c>
      <c r="D27" s="72">
        <f t="shared" si="9"/>
        <v>151185633.28976023</v>
      </c>
      <c r="E27" s="72">
        <f t="shared" si="9"/>
        <v>1022267053.7317648</v>
      </c>
      <c r="F27" s="72">
        <f t="shared" si="9"/>
        <v>2557039509.9046025</v>
      </c>
      <c r="G27" s="72">
        <f t="shared" si="9"/>
        <v>4044988462.7483397</v>
      </c>
      <c r="H27" s="26"/>
    </row>
    <row r="28" spans="1:8" ht="15" thickTop="1">
      <c r="A28" s="158" t="s">
        <v>110</v>
      </c>
      <c r="B28" s="158"/>
      <c r="C28" s="158"/>
      <c r="D28" s="158"/>
      <c r="E28" s="158"/>
      <c r="F28" s="158"/>
      <c r="G28" s="158"/>
    </row>
    <row r="29" spans="1:8">
      <c r="A29" s="8" t="s">
        <v>111</v>
      </c>
      <c r="B29" s="8">
        <v>0</v>
      </c>
      <c r="C29" s="68">
        <f>C16</f>
        <v>0</v>
      </c>
      <c r="D29" s="68">
        <f>D16</f>
        <v>42414971.651416078</v>
      </c>
      <c r="E29" s="68">
        <f>E16</f>
        <v>347293468.80611765</v>
      </c>
      <c r="F29" s="68">
        <f>F16</f>
        <v>884463828.46661079</v>
      </c>
      <c r="G29" s="68">
        <f>G16</f>
        <v>1405245961.9619191</v>
      </c>
    </row>
    <row r="30" spans="1:8">
      <c r="A30" s="8" t="s">
        <v>112</v>
      </c>
      <c r="B30" s="68">
        <f>B29</f>
        <v>0</v>
      </c>
      <c r="C30" s="68">
        <f t="shared" ref="C30:G30" si="10">C29</f>
        <v>0</v>
      </c>
      <c r="D30" s="68">
        <f t="shared" si="10"/>
        <v>42414971.651416078</v>
      </c>
      <c r="E30" s="68">
        <f t="shared" si="10"/>
        <v>347293468.80611765</v>
      </c>
      <c r="F30" s="68">
        <f t="shared" si="10"/>
        <v>884463828.46661079</v>
      </c>
      <c r="G30" s="68">
        <f t="shared" si="10"/>
        <v>1405245961.9619191</v>
      </c>
    </row>
    <row r="31" spans="1:8">
      <c r="A31" s="8" t="s">
        <v>113</v>
      </c>
      <c r="B31" s="25">
        <f>'3'!J8</f>
        <v>464432500</v>
      </c>
      <c r="C31" s="25">
        <f>'3'!J9</f>
        <v>249417453.7037037</v>
      </c>
      <c r="D31" s="25">
        <f>'3'!J10</f>
        <v>0</v>
      </c>
      <c r="E31" s="25">
        <f>'3'!J11</f>
        <v>0</v>
      </c>
      <c r="F31" s="25">
        <f>'3'!J12</f>
        <v>0</v>
      </c>
      <c r="G31" s="25">
        <f>'3'!J13</f>
        <v>0</v>
      </c>
    </row>
    <row r="32" spans="1:8" ht="15" thickBot="1">
      <c r="A32" s="65" t="s">
        <v>110</v>
      </c>
      <c r="B32" s="72">
        <f>B30+B31</f>
        <v>464432500</v>
      </c>
      <c r="C32" s="72">
        <f t="shared" ref="C32:G32" si="11">C30+C31</f>
        <v>249417453.7037037</v>
      </c>
      <c r="D32" s="72">
        <f t="shared" si="11"/>
        <v>42414971.651416078</v>
      </c>
      <c r="E32" s="72">
        <f t="shared" si="11"/>
        <v>347293468.80611765</v>
      </c>
      <c r="F32" s="72">
        <f t="shared" si="11"/>
        <v>884463828.46661079</v>
      </c>
      <c r="G32" s="72">
        <f t="shared" si="11"/>
        <v>1405245961.9619191</v>
      </c>
    </row>
    <row r="33" spans="1:7" ht="15" thickTop="1">
      <c r="A33" s="158" t="s">
        <v>114</v>
      </c>
      <c r="B33" s="158"/>
      <c r="C33" s="158"/>
      <c r="D33" s="158"/>
      <c r="E33" s="158"/>
      <c r="F33" s="158"/>
      <c r="G33" s="158"/>
    </row>
    <row r="34" spans="1:7">
      <c r="A34" s="8" t="s">
        <v>115</v>
      </c>
      <c r="B34" s="26">
        <f>'3'!D15</f>
        <v>30000000</v>
      </c>
      <c r="C34" s="26">
        <f>B34</f>
        <v>30000000</v>
      </c>
      <c r="D34" s="26">
        <f t="shared" ref="D34:G34" si="12">C34</f>
        <v>30000000</v>
      </c>
      <c r="E34" s="26">
        <f t="shared" si="12"/>
        <v>30000000</v>
      </c>
      <c r="F34" s="26">
        <f t="shared" si="12"/>
        <v>30000000</v>
      </c>
      <c r="G34" s="26">
        <f t="shared" si="12"/>
        <v>30000000</v>
      </c>
    </row>
    <row r="35" spans="1:7">
      <c r="A35" s="8" t="s">
        <v>116</v>
      </c>
      <c r="B35" s="8">
        <v>0</v>
      </c>
      <c r="C35" s="68">
        <f>C17</f>
        <v>-237427435.29411769</v>
      </c>
      <c r="D35" s="68">
        <f>D17</f>
        <v>78770661.638344154</v>
      </c>
      <c r="E35" s="68">
        <f>E17</f>
        <v>644973584.92564714</v>
      </c>
      <c r="F35" s="68">
        <f>F17</f>
        <v>1642575681.4379916</v>
      </c>
      <c r="G35" s="68">
        <f>G17</f>
        <v>2609742500.7864208</v>
      </c>
    </row>
    <row r="36" spans="1:7" ht="15" thickBot="1">
      <c r="A36" s="65" t="s">
        <v>117</v>
      </c>
      <c r="B36" s="72">
        <f>B34+B35</f>
        <v>30000000</v>
      </c>
      <c r="C36" s="72">
        <f t="shared" ref="C36:G36" si="13">C34+C35</f>
        <v>-207427435.29411769</v>
      </c>
      <c r="D36" s="72">
        <f t="shared" si="13"/>
        <v>108770661.63834415</v>
      </c>
      <c r="E36" s="72">
        <f t="shared" si="13"/>
        <v>674973584.92564714</v>
      </c>
      <c r="F36" s="72">
        <f t="shared" si="13"/>
        <v>1672575681.4379916</v>
      </c>
      <c r="G36" s="72">
        <f t="shared" si="13"/>
        <v>2639742500.7864208</v>
      </c>
    </row>
    <row r="37" spans="1:7" ht="15" thickTop="1"/>
    <row r="38" spans="1:7" ht="15" thickBot="1">
      <c r="A38" s="65" t="s">
        <v>118</v>
      </c>
      <c r="B38" s="72">
        <f>B32+B36</f>
        <v>494432500</v>
      </c>
      <c r="C38" s="72">
        <f t="shared" ref="C38:G38" si="14">C32+C36</f>
        <v>41990018.409586012</v>
      </c>
      <c r="D38" s="72">
        <f t="shared" si="14"/>
        <v>151185633.28976023</v>
      </c>
      <c r="E38" s="72">
        <f t="shared" si="14"/>
        <v>1022267053.7317648</v>
      </c>
      <c r="F38" s="72">
        <f t="shared" si="14"/>
        <v>2557039509.9046025</v>
      </c>
      <c r="G38" s="72">
        <f t="shared" si="14"/>
        <v>4044988462.7483397</v>
      </c>
    </row>
    <row r="39" spans="1:7" ht="15" thickTop="1">
      <c r="A39" s="61" t="s">
        <v>119</v>
      </c>
      <c r="B39" s="73">
        <f>B27-B38</f>
        <v>0</v>
      </c>
      <c r="C39" s="73">
        <f t="shared" ref="C39:G39" si="15">C27-C38</f>
        <v>0</v>
      </c>
      <c r="D39" s="73">
        <f t="shared" si="15"/>
        <v>0</v>
      </c>
      <c r="E39" s="73">
        <f t="shared" si="15"/>
        <v>0</v>
      </c>
      <c r="F39" s="73">
        <f t="shared" si="15"/>
        <v>0</v>
      </c>
      <c r="G39" s="73">
        <f t="shared" si="15"/>
        <v>0</v>
      </c>
    </row>
    <row r="41" spans="1:7" ht="15.6">
      <c r="A41" s="159" t="s">
        <v>120</v>
      </c>
      <c r="B41" s="159"/>
      <c r="C41" s="159"/>
      <c r="D41" s="159"/>
      <c r="E41" s="159"/>
      <c r="F41" s="159"/>
      <c r="G41" s="159"/>
    </row>
    <row r="42" spans="1:7">
      <c r="A42" s="158" t="s">
        <v>121</v>
      </c>
      <c r="B42" s="158"/>
      <c r="C42" s="158"/>
      <c r="D42" s="158"/>
      <c r="E42" s="158"/>
      <c r="F42" s="158"/>
      <c r="G42" s="158"/>
    </row>
    <row r="43" spans="1:7" ht="23.45">
      <c r="A43" s="11"/>
      <c r="B43" s="71" t="s">
        <v>80</v>
      </c>
      <c r="C43" s="63">
        <f>C20</f>
        <v>2025</v>
      </c>
      <c r="D43" s="63">
        <f t="shared" ref="D43:G43" si="16">D20</f>
        <v>2026</v>
      </c>
      <c r="E43" s="63">
        <f t="shared" si="16"/>
        <v>2027</v>
      </c>
      <c r="F43" s="63">
        <f t="shared" si="16"/>
        <v>2028</v>
      </c>
      <c r="G43" s="63">
        <f t="shared" si="16"/>
        <v>2029</v>
      </c>
    </row>
    <row r="44" spans="1:7">
      <c r="A44" s="1" t="s">
        <v>122</v>
      </c>
      <c r="B44" s="2">
        <f>B22</f>
        <v>440432500</v>
      </c>
      <c r="C44" s="2">
        <f t="shared" ref="C44:G44" si="17">C22</f>
        <v>-1209981.5904139876</v>
      </c>
      <c r="D44" s="2">
        <f t="shared" si="17"/>
        <v>118785633.28976023</v>
      </c>
      <c r="E44" s="2">
        <f t="shared" si="17"/>
        <v>1000667053.7317648</v>
      </c>
      <c r="F44" s="2">
        <f t="shared" si="17"/>
        <v>2546239509.9046025</v>
      </c>
      <c r="G44" s="2">
        <f t="shared" si="17"/>
        <v>4044988462.7483397</v>
      </c>
    </row>
    <row r="45" spans="1:7" ht="15" thickBot="1">
      <c r="A45" s="1" t="s">
        <v>123</v>
      </c>
      <c r="B45" s="3">
        <f>B29</f>
        <v>0</v>
      </c>
      <c r="C45" s="3">
        <f t="shared" ref="C45:G45" si="18">C29</f>
        <v>0</v>
      </c>
      <c r="D45" s="3">
        <f t="shared" si="18"/>
        <v>42414971.651416078</v>
      </c>
      <c r="E45" s="3">
        <f t="shared" si="18"/>
        <v>347293468.80611765</v>
      </c>
      <c r="F45" s="3">
        <f t="shared" si="18"/>
        <v>884463828.46661079</v>
      </c>
      <c r="G45" s="3">
        <f t="shared" si="18"/>
        <v>1405245961.9619191</v>
      </c>
    </row>
    <row r="46" spans="1:7" ht="15" thickTop="1">
      <c r="A46" s="4" t="s">
        <v>124</v>
      </c>
      <c r="B46" s="5">
        <f t="shared" ref="B46:G46" si="19">B44-B45</f>
        <v>440432500</v>
      </c>
      <c r="C46" s="5">
        <f t="shared" si="19"/>
        <v>-1209981.5904139876</v>
      </c>
      <c r="D46" s="5">
        <f t="shared" si="19"/>
        <v>76370661.638344154</v>
      </c>
      <c r="E46" s="5">
        <f t="shared" si="19"/>
        <v>653373584.92564714</v>
      </c>
      <c r="F46" s="5">
        <f t="shared" si="19"/>
        <v>1661775681.4379916</v>
      </c>
      <c r="G46" s="5">
        <f t="shared" si="19"/>
        <v>2639742500.7864208</v>
      </c>
    </row>
    <row r="47" spans="1:7">
      <c r="A47" s="1"/>
      <c r="B47" s="2"/>
      <c r="C47" s="2"/>
      <c r="D47" s="2"/>
      <c r="E47" s="2"/>
      <c r="F47" s="2"/>
      <c r="G47" s="2"/>
    </row>
    <row r="48" spans="1:7">
      <c r="A48" s="4" t="s">
        <v>125</v>
      </c>
      <c r="B48" s="2">
        <f>B26</f>
        <v>54000000</v>
      </c>
      <c r="C48" s="2">
        <f t="shared" ref="C48:G48" si="20">C26</f>
        <v>43200000</v>
      </c>
      <c r="D48" s="2">
        <f t="shared" si="20"/>
        <v>32400000</v>
      </c>
      <c r="E48" s="2">
        <f t="shared" si="20"/>
        <v>21600000</v>
      </c>
      <c r="F48" s="2">
        <f t="shared" si="20"/>
        <v>10800000</v>
      </c>
      <c r="G48" s="2">
        <f t="shared" si="20"/>
        <v>0</v>
      </c>
    </row>
    <row r="49" spans="1:7" ht="15" thickBot="1">
      <c r="A49" s="1" t="s">
        <v>126</v>
      </c>
      <c r="B49" s="3">
        <f>B25</f>
        <v>0</v>
      </c>
      <c r="C49" s="3">
        <f t="shared" ref="C49:G49" si="21">C25</f>
        <v>10800000</v>
      </c>
      <c r="D49" s="3">
        <f t="shared" si="21"/>
        <v>21600000</v>
      </c>
      <c r="E49" s="3">
        <f t="shared" si="21"/>
        <v>32400000</v>
      </c>
      <c r="F49" s="3">
        <f t="shared" si="21"/>
        <v>43200000</v>
      </c>
      <c r="G49" s="3">
        <f t="shared" si="21"/>
        <v>54000000</v>
      </c>
    </row>
    <row r="50" spans="1:7" ht="15" thickTop="1">
      <c r="A50" s="4" t="s">
        <v>127</v>
      </c>
      <c r="B50" s="5">
        <f t="shared" ref="B50:G50" si="22">B48+B49</f>
        <v>54000000</v>
      </c>
      <c r="C50" s="5">
        <f t="shared" si="22"/>
        <v>54000000</v>
      </c>
      <c r="D50" s="5">
        <f t="shared" si="22"/>
        <v>54000000</v>
      </c>
      <c r="E50" s="5">
        <f t="shared" si="22"/>
        <v>54000000</v>
      </c>
      <c r="F50" s="5">
        <f t="shared" si="22"/>
        <v>54000000</v>
      </c>
      <c r="G50" s="5">
        <f t="shared" si="22"/>
        <v>54000000</v>
      </c>
    </row>
    <row r="51" spans="1:7">
      <c r="A51" s="1"/>
      <c r="B51" s="2"/>
      <c r="C51" s="2"/>
      <c r="D51" s="2"/>
      <c r="E51" s="2"/>
      <c r="F51" s="2"/>
      <c r="G51" s="2"/>
    </row>
    <row r="52" spans="1:7" ht="15" thickBot="1">
      <c r="A52" s="12" t="s">
        <v>128</v>
      </c>
      <c r="B52" s="6">
        <f t="shared" ref="B52:G52" si="23">B46+B48</f>
        <v>494432500</v>
      </c>
      <c r="C52" s="6">
        <f t="shared" si="23"/>
        <v>41990018.409586012</v>
      </c>
      <c r="D52" s="6">
        <f t="shared" si="23"/>
        <v>108770661.63834415</v>
      </c>
      <c r="E52" s="6">
        <f t="shared" si="23"/>
        <v>674973584.92564714</v>
      </c>
      <c r="F52" s="6">
        <f t="shared" si="23"/>
        <v>1672575681.4379916</v>
      </c>
      <c r="G52" s="6">
        <f t="shared" si="23"/>
        <v>2639742500.7864208</v>
      </c>
    </row>
    <row r="53" spans="1:7" ht="15" thickTop="1">
      <c r="A53" s="7"/>
      <c r="B53" s="2"/>
      <c r="C53" s="2"/>
      <c r="D53" s="2"/>
      <c r="E53" s="2"/>
      <c r="F53" s="2"/>
      <c r="G53" s="2"/>
    </row>
    <row r="54" spans="1:7">
      <c r="A54" s="157" t="s">
        <v>129</v>
      </c>
      <c r="B54" s="157"/>
      <c r="C54" s="157"/>
      <c r="D54" s="157"/>
      <c r="E54" s="157"/>
      <c r="F54" s="157"/>
      <c r="G54" s="157"/>
    </row>
    <row r="55" spans="1:7">
      <c r="A55" s="1" t="s">
        <v>130</v>
      </c>
      <c r="C55" s="9">
        <f>C13</f>
        <v>-163118235.29411769</v>
      </c>
      <c r="D55" s="9">
        <f t="shared" ref="D55:G55" si="24">D13</f>
        <v>161092425.88235283</v>
      </c>
      <c r="E55" s="9">
        <f t="shared" si="24"/>
        <v>992267053.73176479</v>
      </c>
      <c r="F55" s="9">
        <f t="shared" si="24"/>
        <v>2527039509.9046025</v>
      </c>
      <c r="G55" s="9">
        <f t="shared" si="24"/>
        <v>4014988462.7483401</v>
      </c>
    </row>
    <row r="56" spans="1:7" ht="15" thickBot="1">
      <c r="A56" s="1" t="s">
        <v>131</v>
      </c>
      <c r="C56" s="10">
        <f>C55*'1'!$AB$7</f>
        <v>-57091382.352941185</v>
      </c>
      <c r="D56" s="10">
        <f>D55*'1'!$AB$7</f>
        <v>56382349.058823489</v>
      </c>
      <c r="E56" s="10">
        <f>E55*'1'!$AB$7</f>
        <v>347293468.80611765</v>
      </c>
      <c r="F56" s="10">
        <f>F55*'1'!$AB$7</f>
        <v>884463828.46661079</v>
      </c>
      <c r="G56" s="10">
        <f>G55*'1'!$AB$7</f>
        <v>1405245961.9619191</v>
      </c>
    </row>
    <row r="57" spans="1:7" ht="15" thickTop="1">
      <c r="A57" s="4" t="s">
        <v>132</v>
      </c>
      <c r="C57" s="9">
        <f>C55-C56</f>
        <v>-106026852.9411765</v>
      </c>
      <c r="D57" s="9">
        <f>D55-D56</f>
        <v>104710076.82352933</v>
      </c>
      <c r="E57" s="9">
        <f>E55-E56</f>
        <v>644973584.92564714</v>
      </c>
      <c r="F57" s="9">
        <f>F55-F56</f>
        <v>1642575681.4379916</v>
      </c>
      <c r="G57" s="9">
        <f>G55-G56</f>
        <v>2609742500.7864208</v>
      </c>
    </row>
    <row r="58" spans="1:7" ht="15" thickBot="1">
      <c r="A58" s="1" t="s">
        <v>133</v>
      </c>
      <c r="C58" s="10">
        <f>-(C52-B52)</f>
        <v>452442481.59041399</v>
      </c>
      <c r="D58" s="10">
        <f t="shared" ref="D58:G58" si="25">-(D52-C52)</f>
        <v>-66780643.228758141</v>
      </c>
      <c r="E58" s="10">
        <f t="shared" si="25"/>
        <v>-566202923.28730297</v>
      </c>
      <c r="F58" s="10">
        <f t="shared" si="25"/>
        <v>-997602096.51234448</v>
      </c>
      <c r="G58" s="10">
        <f t="shared" si="25"/>
        <v>-967166819.3484292</v>
      </c>
    </row>
    <row r="59" spans="1:7" ht="15.6" thickTop="1" thickBot="1">
      <c r="A59" s="60" t="s">
        <v>134</v>
      </c>
      <c r="B59" s="61"/>
      <c r="C59" s="62">
        <f>SUM(C57:C58)</f>
        <v>346415628.64923751</v>
      </c>
      <c r="D59" s="62">
        <f t="shared" ref="D59:G59" si="26">SUM(D57:D58)</f>
        <v>37929433.594771191</v>
      </c>
      <c r="E59" s="62">
        <f t="shared" si="26"/>
        <v>78770661.638344169</v>
      </c>
      <c r="F59" s="62">
        <f t="shared" si="26"/>
        <v>644973584.92564714</v>
      </c>
      <c r="G59" s="62">
        <f t="shared" si="26"/>
        <v>1642575681.4379916</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15" priority="2" operator="lessThan">
      <formula>0</formula>
    </cfRule>
  </conditionalFormatting>
  <conditionalFormatting sqref="C17:G17">
    <cfRule type="cellIs" dxfId="14" priority="3" operator="lessThan">
      <formula>0</formula>
    </cfRule>
  </conditionalFormatting>
  <conditionalFormatting sqref="C59:G59">
    <cfRule type="cellIs" dxfId="13"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80" zoomScaleNormal="80" workbookViewId="0">
      <selection activeCell="E15" sqref="E15"/>
    </sheetView>
  </sheetViews>
  <sheetFormatPr defaultColWidth="11.42578125" defaultRowHeight="14.45"/>
  <cols>
    <col min="1" max="1" width="11.42578125" style="8"/>
    <col min="2" max="2" width="32.5703125" style="8" customWidth="1"/>
    <col min="3" max="3" width="24.28515625" style="8" bestFit="1" customWidth="1"/>
    <col min="4" max="4" width="36.28515625" style="8" bestFit="1" customWidth="1"/>
    <col min="5" max="5" width="29.140625" style="8" bestFit="1" customWidth="1"/>
    <col min="6" max="6" width="26" style="8" customWidth="1"/>
    <col min="7" max="7" width="25.140625" style="8" bestFit="1" customWidth="1"/>
    <col min="8" max="8" width="22.4257812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46" t="s">
        <v>135</v>
      </c>
      <c r="C2" s="146"/>
      <c r="D2" s="146"/>
      <c r="E2" s="146"/>
      <c r="F2" s="146"/>
      <c r="G2" s="146"/>
      <c r="H2" s="146"/>
    </row>
    <row r="3" spans="2:16" ht="15.75" customHeight="1">
      <c r="B3" s="165" t="s">
        <v>136</v>
      </c>
      <c r="C3" s="165"/>
      <c r="D3" s="165"/>
      <c r="E3" s="166">
        <v>0.3</v>
      </c>
      <c r="F3" s="166"/>
    </row>
    <row r="4" spans="2:16" ht="16.5" customHeight="1">
      <c r="B4" s="165"/>
      <c r="C4" s="165"/>
      <c r="D4" s="165"/>
      <c r="E4" s="166"/>
      <c r="F4" s="166"/>
      <c r="O4" s="103"/>
    </row>
    <row r="5" spans="2:16" ht="16.5" customHeight="1">
      <c r="B5" s="163"/>
      <c r="C5" s="163"/>
      <c r="D5" s="163"/>
      <c r="E5" s="137"/>
      <c r="F5" s="137"/>
      <c r="O5" s="103"/>
    </row>
    <row r="6" spans="2:16" ht="15" thickBot="1">
      <c r="O6" s="103"/>
      <c r="P6" s="106"/>
    </row>
    <row r="7" spans="2:16" ht="23.45">
      <c r="B7" s="102" t="s">
        <v>137</v>
      </c>
      <c r="C7" s="86" t="s">
        <v>138</v>
      </c>
      <c r="D7" s="87">
        <f>'4'!C20</f>
        <v>2025</v>
      </c>
      <c r="E7" s="87">
        <f>'4'!D20</f>
        <v>2026</v>
      </c>
      <c r="F7" s="87">
        <f>'4'!E20</f>
        <v>2027</v>
      </c>
      <c r="G7" s="87">
        <f>'4'!F20</f>
        <v>2028</v>
      </c>
      <c r="H7" s="88">
        <f>'4'!G20</f>
        <v>2029</v>
      </c>
      <c r="O7" s="103"/>
      <c r="P7" s="105"/>
    </row>
    <row r="8" spans="2:16" ht="18.600000000000001" thickBot="1">
      <c r="B8" s="89"/>
      <c r="C8" s="110">
        <f>-'3'!D14</f>
        <v>-494432500</v>
      </c>
      <c r="D8" s="110">
        <f>'4'!C59</f>
        <v>346415628.64923751</v>
      </c>
      <c r="E8" s="110">
        <f>'4'!D59</f>
        <v>37929433.594771191</v>
      </c>
      <c r="F8" s="110">
        <f>'4'!E59</f>
        <v>78770661.638344169</v>
      </c>
      <c r="G8" s="110">
        <f>'4'!F59</f>
        <v>644973584.92564714</v>
      </c>
      <c r="H8" s="111">
        <f>'4'!G59</f>
        <v>1642575681.4379916</v>
      </c>
      <c r="O8" s="103"/>
      <c r="P8" s="105"/>
    </row>
    <row r="9" spans="2:16" ht="15" thickBot="1">
      <c r="C9" s="74">
        <f>C8/(1+$E$3)^0</f>
        <v>-494432500</v>
      </c>
      <c r="D9" s="74">
        <f>D8/(1+$E$3)^1</f>
        <v>266473560.49941346</v>
      </c>
      <c r="E9" s="74">
        <f>E8/(1+$E$3)^2</f>
        <v>22443451.831225555</v>
      </c>
      <c r="F9" s="74">
        <f>F8/(1+$E$3)^3</f>
        <v>35853737.659692377</v>
      </c>
      <c r="G9" s="74">
        <f>G8/(1+$E$3)^4</f>
        <v>225823180.18474388</v>
      </c>
      <c r="H9" s="74">
        <f>H8/(1+$E$3)^5</f>
        <v>442393387.81985956</v>
      </c>
      <c r="O9" s="103"/>
      <c r="P9" s="105"/>
    </row>
    <row r="10" spans="2:16" ht="24" thickBot="1">
      <c r="B10" s="30" t="s">
        <v>139</v>
      </c>
      <c r="C10" s="31"/>
      <c r="D10" s="112">
        <f>NPV(E3,D8:H8)+$C$8</f>
        <v>498554817.99493492</v>
      </c>
      <c r="O10" s="103"/>
      <c r="P10" s="105"/>
    </row>
    <row r="11" spans="2:16" ht="28.9" thickBot="1">
      <c r="B11" s="138" t="s">
        <v>140</v>
      </c>
      <c r="C11" s="31"/>
      <c r="D11" s="113">
        <f>IF(ISERROR(IRR(C8:H8)),"NO_APLICA",(IRR(C8:H8)))</f>
        <v>0.61232302390405979</v>
      </c>
      <c r="F11" s="107" t="s">
        <v>141</v>
      </c>
      <c r="G11" s="31"/>
      <c r="H11" s="108">
        <f>IF(ISERROR(-C9/AVERAGE(D9:H9)),"NO_APLICA",(-C9/AVERAGE(D9:H9)))</f>
        <v>2.4896214233549863</v>
      </c>
      <c r="I11" s="109" t="s">
        <v>142</v>
      </c>
      <c r="P11" s="104"/>
    </row>
    <row r="13" spans="2:16" ht="18">
      <c r="B13" s="167" t="s">
        <v>143</v>
      </c>
      <c r="C13" s="167"/>
      <c r="D13" s="167"/>
      <c r="E13" s="167"/>
      <c r="F13" s="167"/>
      <c r="G13" s="167"/>
      <c r="H13" s="167"/>
    </row>
    <row r="14" spans="2:16" ht="36.6">
      <c r="B14" s="90" t="str">
        <f>'1'!B2</f>
        <v>NOMBRE DEL PRODUCTO O SERVICIO</v>
      </c>
      <c r="C14" s="90" t="s">
        <v>144</v>
      </c>
      <c r="D14" s="90" t="s">
        <v>145</v>
      </c>
      <c r="E14" s="90" t="s">
        <v>146</v>
      </c>
      <c r="F14" s="90" t="s">
        <v>147</v>
      </c>
      <c r="H14" s="74"/>
      <c r="I14" s="74"/>
      <c r="J14" s="74" t="s">
        <v>148</v>
      </c>
    </row>
    <row r="15" spans="2:16">
      <c r="B15" s="38" t="str">
        <f>'1'!B3</f>
        <v>Plan Emprende Básico</v>
      </c>
      <c r="C15" s="91">
        <f>'1'!D3-'1'!D17</f>
        <v>58823.529411764706</v>
      </c>
      <c r="D15" s="92">
        <f>'1'!F3</f>
        <v>0.21710526315789475</v>
      </c>
      <c r="E15" s="91">
        <f>C15*D15</f>
        <v>12770.897832817338</v>
      </c>
      <c r="F15" s="93">
        <f t="shared" ref="F15:F24" si="0">$E$28*D15</f>
        <v>2397.1980977130975</v>
      </c>
      <c r="G15" s="38" t="s">
        <v>149</v>
      </c>
      <c r="H15" s="75">
        <f>'1'!D3</f>
        <v>58823.529411764706</v>
      </c>
      <c r="I15" s="94">
        <f t="shared" ref="I15:I24" si="1">$B$35*D15</f>
        <v>4794.3961954261949</v>
      </c>
      <c r="J15" s="75">
        <f>'1'!D17</f>
        <v>0</v>
      </c>
    </row>
    <row r="16" spans="2:16">
      <c r="B16" s="95" t="str">
        <f>'1'!B4</f>
        <v>Plan Emprende Avanzado</v>
      </c>
      <c r="C16" s="91">
        <f>'1'!D4-'1'!D18</f>
        <v>126050.42016806723</v>
      </c>
      <c r="D16" s="92">
        <f>'1'!F4</f>
        <v>0.40131578947368418</v>
      </c>
      <c r="E16" s="91">
        <f t="shared" ref="E16:E24" si="2">C16*D16</f>
        <v>50586.023883237503</v>
      </c>
      <c r="F16" s="93">
        <f t="shared" si="0"/>
        <v>4431.1843624393623</v>
      </c>
      <c r="G16" s="38" t="str">
        <f>G15</f>
        <v>UNIDADES</v>
      </c>
      <c r="H16" s="75">
        <f>'1'!D4</f>
        <v>126050.42016806723</v>
      </c>
      <c r="I16" s="94">
        <f t="shared" si="1"/>
        <v>8862.3687248787246</v>
      </c>
      <c r="J16" s="75">
        <f>'1'!D18</f>
        <v>0</v>
      </c>
    </row>
    <row r="17" spans="2:10">
      <c r="B17" s="95" t="str">
        <f>'1'!B5</f>
        <v>Plan Emprende Pro</v>
      </c>
      <c r="C17" s="91">
        <f>'1'!D5-'1'!D19</f>
        <v>252100.84033613445</v>
      </c>
      <c r="D17" s="92">
        <f>'1'!F5</f>
        <v>0.38157894736842107</v>
      </c>
      <c r="E17" s="91">
        <f t="shared" si="2"/>
        <v>96196.373286156566</v>
      </c>
      <c r="F17" s="93">
        <f t="shared" si="0"/>
        <v>4213.2572626472629</v>
      </c>
      <c r="G17" s="38" t="str">
        <f t="shared" ref="G17:G24" si="3">G16</f>
        <v>UNIDADES</v>
      </c>
      <c r="H17" s="75">
        <f>'1'!D5</f>
        <v>252100.84033613445</v>
      </c>
      <c r="I17" s="94">
        <f t="shared" si="1"/>
        <v>8426.5145252945258</v>
      </c>
      <c r="J17" s="75">
        <f>'1'!D19</f>
        <v>0</v>
      </c>
    </row>
    <row r="18" spans="2:10">
      <c r="B18" s="95">
        <f>'1'!B6</f>
        <v>0</v>
      </c>
      <c r="C18" s="91">
        <f>'1'!D6-'1'!D20</f>
        <v>0</v>
      </c>
      <c r="D18" s="92">
        <f>'1'!F6</f>
        <v>0</v>
      </c>
      <c r="E18" s="91">
        <f t="shared" si="2"/>
        <v>0</v>
      </c>
      <c r="F18" s="93">
        <f t="shared" si="0"/>
        <v>0</v>
      </c>
      <c r="G18" s="38" t="str">
        <f t="shared" si="3"/>
        <v>UNIDADES</v>
      </c>
      <c r="H18" s="75">
        <f>'1'!D6</f>
        <v>0</v>
      </c>
      <c r="I18" s="94">
        <f t="shared" si="1"/>
        <v>0</v>
      </c>
      <c r="J18" s="75">
        <f>'1'!D20</f>
        <v>0</v>
      </c>
    </row>
    <row r="19" spans="2:10">
      <c r="B19" s="95">
        <f>'1'!B7</f>
        <v>0</v>
      </c>
      <c r="C19" s="91">
        <f>'1'!D7-'1'!D21</f>
        <v>0</v>
      </c>
      <c r="D19" s="92">
        <f>'1'!F7</f>
        <v>0</v>
      </c>
      <c r="E19" s="91">
        <f t="shared" si="2"/>
        <v>0</v>
      </c>
      <c r="F19" s="93">
        <f t="shared" si="0"/>
        <v>0</v>
      </c>
      <c r="G19" s="38" t="str">
        <f t="shared" si="3"/>
        <v>UNIDADES</v>
      </c>
      <c r="H19" s="75">
        <f>'1'!D7</f>
        <v>0</v>
      </c>
      <c r="I19" s="94">
        <f t="shared" si="1"/>
        <v>0</v>
      </c>
      <c r="J19" s="75">
        <f>'1'!D21</f>
        <v>0</v>
      </c>
    </row>
    <row r="20" spans="2:10">
      <c r="B20" s="95">
        <f>'1'!B8</f>
        <v>0</v>
      </c>
      <c r="C20" s="91">
        <f>'1'!D8-'1'!D22</f>
        <v>0</v>
      </c>
      <c r="D20" s="92">
        <f>'1'!F8</f>
        <v>0</v>
      </c>
      <c r="E20" s="91">
        <f t="shared" si="2"/>
        <v>0</v>
      </c>
      <c r="F20" s="93">
        <f t="shared" si="0"/>
        <v>0</v>
      </c>
      <c r="G20" s="38" t="str">
        <f t="shared" si="3"/>
        <v>UNIDADES</v>
      </c>
      <c r="H20" s="75">
        <f>'1'!D8</f>
        <v>0</v>
      </c>
      <c r="I20" s="94">
        <f t="shared" si="1"/>
        <v>0</v>
      </c>
      <c r="J20" s="75">
        <f>'1'!D22</f>
        <v>0</v>
      </c>
    </row>
    <row r="21" spans="2:10">
      <c r="B21" s="95">
        <f>'1'!B9</f>
        <v>0</v>
      </c>
      <c r="C21" s="91">
        <f>'1'!D9-'1'!D23</f>
        <v>0</v>
      </c>
      <c r="D21" s="92">
        <f>'1'!F9</f>
        <v>0</v>
      </c>
      <c r="E21" s="91">
        <f t="shared" si="2"/>
        <v>0</v>
      </c>
      <c r="F21" s="93">
        <f t="shared" si="0"/>
        <v>0</v>
      </c>
      <c r="G21" s="38" t="str">
        <f t="shared" si="3"/>
        <v>UNIDADES</v>
      </c>
      <c r="H21" s="75">
        <f>'1'!D9</f>
        <v>0</v>
      </c>
      <c r="I21" s="94">
        <f t="shared" si="1"/>
        <v>0</v>
      </c>
      <c r="J21" s="75">
        <f>'1'!D23</f>
        <v>0</v>
      </c>
    </row>
    <row r="22" spans="2:10">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5.15">
      <c r="C25" s="26"/>
      <c r="D25" s="96"/>
      <c r="E25" s="26"/>
      <c r="F25" s="97">
        <f>SUM(F15:F24)</f>
        <v>11041.639722799722</v>
      </c>
      <c r="G25" s="8" t="str">
        <f>G24</f>
        <v>UNIDADES</v>
      </c>
      <c r="H25" s="75"/>
      <c r="I25" s="94"/>
      <c r="J25" s="75"/>
    </row>
    <row r="26" spans="2:10" ht="12.75" customHeight="1">
      <c r="C26" s="26"/>
      <c r="D26" s="96"/>
      <c r="E26" s="26"/>
      <c r="F26" s="97"/>
      <c r="H26" s="75"/>
      <c r="I26" s="94"/>
      <c r="J26" s="75"/>
    </row>
    <row r="27" spans="2:10" ht="21" customHeight="1">
      <c r="B27" s="164" t="s">
        <v>150</v>
      </c>
      <c r="C27" s="164"/>
      <c r="D27" s="164"/>
      <c r="E27" s="98">
        <f>SUM(E15:E24)</f>
        <v>159553.29500221141</v>
      </c>
      <c r="H27" s="74"/>
      <c r="I27" s="74"/>
      <c r="J27" s="74"/>
    </row>
    <row r="28" spans="2:10" ht="19.5" customHeight="1">
      <c r="B28" s="164" t="s">
        <v>151</v>
      </c>
      <c r="C28" s="164"/>
      <c r="D28" s="164"/>
      <c r="E28" s="97">
        <f>IF(E27=0,0,('2'!C23+'2'!F31+'2'!C25)/'5'!E27)</f>
        <v>11041.639722799722</v>
      </c>
      <c r="F28" s="99" t="s">
        <v>149</v>
      </c>
      <c r="H28" s="100"/>
    </row>
    <row r="29" spans="2:10" ht="25.15">
      <c r="B29" s="164" t="s">
        <v>152</v>
      </c>
      <c r="C29" s="164"/>
      <c r="D29" s="164"/>
      <c r="E29" s="98">
        <f>E49</f>
        <v>1761730000</v>
      </c>
    </row>
    <row r="30" spans="2:10">
      <c r="B30" s="132"/>
      <c r="C30" s="132"/>
      <c r="D30" s="132"/>
      <c r="E30" s="132"/>
      <c r="F30" s="132"/>
      <c r="G30" s="132"/>
    </row>
    <row r="31" spans="2:10" s="74" customFormat="1"/>
    <row r="32" spans="2:10" s="74" customFormat="1">
      <c r="C32" s="74" t="s">
        <v>153</v>
      </c>
      <c r="D32" s="74" t="s">
        <v>154</v>
      </c>
      <c r="E32" s="74" t="s">
        <v>155</v>
      </c>
      <c r="F32" s="74" t="s">
        <v>156</v>
      </c>
    </row>
    <row r="33" spans="2:6" s="74" customFormat="1">
      <c r="B33" s="74">
        <v>0</v>
      </c>
      <c r="C33" s="75">
        <f>'2'!C25+'2'!F31+'2'!C23</f>
        <v>1761730000</v>
      </c>
      <c r="D33" s="74">
        <f>0</f>
        <v>0</v>
      </c>
      <c r="E33" s="74">
        <v>0</v>
      </c>
      <c r="F33" s="75">
        <f>C33+E33</f>
        <v>1761730000</v>
      </c>
    </row>
    <row r="34" spans="2:6" s="74" customFormat="1">
      <c r="B34" s="94">
        <f>F25</f>
        <v>11041.639722799722</v>
      </c>
      <c r="C34" s="75">
        <f>C33</f>
        <v>1761730000</v>
      </c>
      <c r="D34" s="133">
        <f>SUMPRODUCT(F15:F24,H15:H24)</f>
        <v>1761730000</v>
      </c>
      <c r="E34" s="133">
        <f>SUMPRODUCT(F15:F24,J15:J24)</f>
        <v>0</v>
      </c>
      <c r="F34" s="75">
        <f t="shared" ref="F34:F35" si="4">C34+E34</f>
        <v>1761730000</v>
      </c>
    </row>
    <row r="35" spans="2:6" s="74" customFormat="1">
      <c r="B35" s="94">
        <f>B34*2</f>
        <v>22083.279445599444</v>
      </c>
      <c r="C35" s="75">
        <f>C34</f>
        <v>1761730000</v>
      </c>
      <c r="D35" s="133">
        <f>SUMPRODUCT(H15:H24,I15:I24)</f>
        <v>3523460000</v>
      </c>
      <c r="E35" s="133">
        <f>SUMPRODUCT(I15:I24,J15:J24)</f>
        <v>0</v>
      </c>
      <c r="F35" s="75">
        <f t="shared" si="4"/>
        <v>1761730000</v>
      </c>
    </row>
    <row r="36" spans="2:6" s="74" customFormat="1">
      <c r="C36" s="75"/>
    </row>
    <row r="37" spans="2:6" s="74" customFormat="1">
      <c r="C37" s="75"/>
    </row>
    <row r="38" spans="2:6" s="74" customFormat="1">
      <c r="C38" s="134" t="s">
        <v>157</v>
      </c>
      <c r="D38" s="74" t="s">
        <v>149</v>
      </c>
      <c r="E38" s="74" t="s">
        <v>158</v>
      </c>
    </row>
    <row r="39" spans="2:6" s="74" customFormat="1">
      <c r="B39" s="74">
        <v>1</v>
      </c>
      <c r="C39" s="75">
        <f>'1'!D3</f>
        <v>58823.529411764706</v>
      </c>
      <c r="D39" s="94">
        <f>F15</f>
        <v>2397.1980977130975</v>
      </c>
      <c r="E39" s="74">
        <f>C39*D39</f>
        <v>141011652.80665278</v>
      </c>
    </row>
    <row r="40" spans="2:6" s="74" customFormat="1">
      <c r="B40" s="74">
        <f>B39+1</f>
        <v>2</v>
      </c>
      <c r="C40" s="75">
        <f>'1'!D4</f>
        <v>126050.42016806723</v>
      </c>
      <c r="D40" s="94">
        <f t="shared" ref="D40:D48" si="5">F16</f>
        <v>4431.1843624393623</v>
      </c>
      <c r="E40" s="74">
        <f t="shared" ref="E40:E48" si="6">C40*D40</f>
        <v>558552650.72765076</v>
      </c>
    </row>
    <row r="41" spans="2:6" s="74" customFormat="1">
      <c r="B41" s="74">
        <f t="shared" ref="B41:B48" si="7">B40+1</f>
        <v>3</v>
      </c>
      <c r="C41" s="75">
        <f>'1'!D5</f>
        <v>252100.84033613445</v>
      </c>
      <c r="D41" s="94">
        <f t="shared" si="5"/>
        <v>4213.2572626472629</v>
      </c>
      <c r="E41" s="74">
        <f t="shared" si="6"/>
        <v>1062165696.4656966</v>
      </c>
    </row>
    <row r="42" spans="2:6" s="74" customFormat="1">
      <c r="B42" s="74">
        <f t="shared" si="7"/>
        <v>4</v>
      </c>
      <c r="C42" s="75">
        <f>'1'!D6</f>
        <v>0</v>
      </c>
      <c r="D42" s="94">
        <f t="shared" si="5"/>
        <v>0</v>
      </c>
      <c r="E42" s="74">
        <f t="shared" si="6"/>
        <v>0</v>
      </c>
    </row>
    <row r="43" spans="2:6" s="74" customFormat="1">
      <c r="B43" s="74">
        <f t="shared" si="7"/>
        <v>5</v>
      </c>
      <c r="C43" s="75">
        <f>'1'!D7</f>
        <v>0</v>
      </c>
      <c r="D43" s="94">
        <f t="shared" si="5"/>
        <v>0</v>
      </c>
      <c r="E43" s="74">
        <f t="shared" si="6"/>
        <v>0</v>
      </c>
    </row>
    <row r="44" spans="2:6" s="74" customFormat="1">
      <c r="B44" s="74">
        <f t="shared" si="7"/>
        <v>6</v>
      </c>
      <c r="C44" s="75">
        <f>'1'!D8</f>
        <v>0</v>
      </c>
      <c r="D44" s="94">
        <f t="shared" si="5"/>
        <v>0</v>
      </c>
      <c r="E44" s="74">
        <f t="shared" si="6"/>
        <v>0</v>
      </c>
    </row>
    <row r="45" spans="2:6" s="74" customFormat="1">
      <c r="B45" s="74">
        <f t="shared" si="7"/>
        <v>7</v>
      </c>
      <c r="C45" s="75">
        <f>'1'!D9</f>
        <v>0</v>
      </c>
      <c r="D45" s="94">
        <f t="shared" si="5"/>
        <v>0</v>
      </c>
      <c r="E45" s="74">
        <f t="shared" si="6"/>
        <v>0</v>
      </c>
    </row>
    <row r="46" spans="2:6" s="74" customFormat="1">
      <c r="B46" s="74">
        <f t="shared" si="7"/>
        <v>8</v>
      </c>
      <c r="C46" s="75">
        <f>'1'!D10</f>
        <v>0</v>
      </c>
      <c r="D46" s="94">
        <f t="shared" si="5"/>
        <v>0</v>
      </c>
      <c r="E46" s="74">
        <f t="shared" si="6"/>
        <v>0</v>
      </c>
    </row>
    <row r="47" spans="2:6" s="74" customFormat="1">
      <c r="B47" s="74">
        <f t="shared" si="7"/>
        <v>9</v>
      </c>
      <c r="C47" s="75">
        <f>'1'!D11</f>
        <v>0</v>
      </c>
      <c r="D47" s="94">
        <f t="shared" si="5"/>
        <v>0</v>
      </c>
      <c r="E47" s="74">
        <f t="shared" si="6"/>
        <v>0</v>
      </c>
    </row>
    <row r="48" spans="2:6" s="74" customFormat="1">
      <c r="B48" s="74">
        <f t="shared" si="7"/>
        <v>10</v>
      </c>
      <c r="C48" s="75">
        <f>'1'!D12</f>
        <v>0</v>
      </c>
      <c r="D48" s="94">
        <f t="shared" si="5"/>
        <v>0</v>
      </c>
      <c r="E48" s="74">
        <f t="shared" si="6"/>
        <v>0</v>
      </c>
    </row>
    <row r="49" spans="2:8" s="74" customFormat="1">
      <c r="C49" s="75"/>
      <c r="E49" s="135">
        <f>SUM(E39:E48)</f>
        <v>1761730000</v>
      </c>
    </row>
    <row r="50" spans="2:8" s="74" customFormat="1"/>
    <row r="51" spans="2:8" s="74" customFormat="1">
      <c r="C51" s="75"/>
    </row>
    <row r="52" spans="2:8" s="74" customFormat="1">
      <c r="B52" s="162"/>
      <c r="C52" s="162"/>
      <c r="D52" s="162"/>
      <c r="G52" s="74" t="s">
        <v>159</v>
      </c>
      <c r="H52" s="136">
        <f>'4'!B32/'4'!B27</f>
        <v>0.93932437693719573</v>
      </c>
    </row>
    <row r="53" spans="2:8" s="74" customFormat="1">
      <c r="C53" s="75"/>
      <c r="G53" s="74" t="s">
        <v>160</v>
      </c>
      <c r="H53" s="136">
        <f>'4'!B36/'4'!B27</f>
        <v>6.0675623062804329E-2</v>
      </c>
    </row>
    <row r="54" spans="2:8" s="74" customFormat="1">
      <c r="G54" s="74" t="s">
        <v>161</v>
      </c>
      <c r="H54" s="74">
        <f>'1'!AB7</f>
        <v>0.35</v>
      </c>
    </row>
    <row r="55" spans="2:8" s="74" customFormat="1">
      <c r="G55" s="74" t="s">
        <v>162</v>
      </c>
      <c r="H55" s="136">
        <f>'3'!F4</f>
        <v>0.16</v>
      </c>
    </row>
    <row r="56" spans="2:8" s="74" customFormat="1">
      <c r="G56" s="74" t="s">
        <v>163</v>
      </c>
    </row>
    <row r="57" spans="2:8" s="74" customFormat="1"/>
    <row r="58" spans="2:8" s="74" customFormat="1"/>
    <row r="59" spans="2:8" s="74" customFormat="1"/>
    <row r="60" spans="2:8" s="74" customFormat="1"/>
    <row r="61" spans="2:8" s="74" customFormat="1"/>
    <row r="62" spans="2:8">
      <c r="B62" s="132"/>
      <c r="C62" s="132"/>
      <c r="D62" s="132"/>
      <c r="E62" s="132"/>
      <c r="F62" s="132"/>
      <c r="G62" s="132"/>
    </row>
    <row r="63" spans="2:8">
      <c r="B63" s="132"/>
      <c r="C63" s="132"/>
      <c r="D63" s="132"/>
      <c r="E63" s="132"/>
      <c r="F63" s="132"/>
      <c r="G63" s="132"/>
    </row>
    <row r="64" spans="2:8">
      <c r="B64" s="132"/>
      <c r="C64" s="132"/>
      <c r="D64" s="132"/>
      <c r="E64" s="132"/>
      <c r="F64" s="132"/>
      <c r="G64" s="132"/>
    </row>
    <row r="65" spans="2:7">
      <c r="B65" s="132"/>
      <c r="C65" s="132"/>
      <c r="D65" s="132"/>
      <c r="E65" s="132"/>
      <c r="F65" s="132"/>
      <c r="G65" s="132"/>
    </row>
    <row r="66" spans="2:7">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12" priority="4" operator="lessThan">
      <formula>0</formula>
    </cfRule>
  </conditionalFormatting>
  <conditionalFormatting sqref="D11">
    <cfRule type="containsText" dxfId="11" priority="2" operator="containsText" text="NO_APLICA">
      <formula>NOT(ISERROR(SEARCH("NO_APLICA",D11)))</formula>
    </cfRule>
    <cfRule type="cellIs" dxfId="10" priority="6" operator="equal">
      <formula>$E$3</formula>
    </cfRule>
    <cfRule type="cellIs" dxfId="9" priority="7" operator="greaterThan">
      <formula>$E$3</formula>
    </cfRule>
    <cfRule type="cellIs" dxfId="8" priority="8" operator="lessThan">
      <formula>$E$3</formula>
    </cfRule>
  </conditionalFormatting>
  <conditionalFormatting sqref="H11">
    <cfRule type="containsText" dxfId="7" priority="1" operator="containsText" text="NO_APLICA">
      <formula>NOT(ISERROR(SEARCH("NO_APLICA",H11)))</formula>
    </cfRule>
    <cfRule type="cellIs" dxfId="6"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60C2C-3E31-42F4-8ECD-7DBD69688F6A}">
  <dimension ref="B2:H25"/>
  <sheetViews>
    <sheetView workbookViewId="0">
      <selection activeCell="H25" sqref="H25"/>
    </sheetView>
  </sheetViews>
  <sheetFormatPr defaultRowHeight="14.45"/>
  <cols>
    <col min="2" max="2" width="28" style="139" bestFit="1" customWidth="1"/>
    <col min="3" max="3" width="35.7109375" style="139" customWidth="1"/>
    <col min="4" max="4" width="23.5703125" style="139" bestFit="1" customWidth="1"/>
    <col min="5" max="5" width="16" style="139" bestFit="1" customWidth="1"/>
    <col min="6" max="6" width="22.140625" style="139" bestFit="1" customWidth="1"/>
    <col min="7" max="7" width="30.7109375" bestFit="1" customWidth="1"/>
    <col min="8" max="8" width="27.85546875" bestFit="1" customWidth="1"/>
  </cols>
  <sheetData>
    <row r="2" spans="2:8">
      <c r="B2" s="139" t="s">
        <v>164</v>
      </c>
      <c r="C2" s="139" t="s">
        <v>165</v>
      </c>
      <c r="D2" s="139" t="s">
        <v>166</v>
      </c>
      <c r="E2" s="139" t="s">
        <v>167</v>
      </c>
      <c r="F2" s="139" t="s">
        <v>168</v>
      </c>
      <c r="G2" t="s">
        <v>169</v>
      </c>
      <c r="H2" t="s">
        <v>170</v>
      </c>
    </row>
    <row r="3" spans="2:8">
      <c r="B3" s="139" t="s">
        <v>171</v>
      </c>
      <c r="C3" s="139" t="s">
        <v>172</v>
      </c>
      <c r="D3" s="139" t="s">
        <v>173</v>
      </c>
      <c r="E3" s="140" t="s">
        <v>174</v>
      </c>
      <c r="F3" s="142">
        <v>1</v>
      </c>
      <c r="G3" s="141">
        <v>6000000</v>
      </c>
      <c r="H3" s="141">
        <f>+Table2[[#This Row],[Cantidad Estimada]]*Table2[[#This Row],[Costo Unitario Estimado (COP)]]</f>
        <v>6000000</v>
      </c>
    </row>
    <row r="4" spans="2:8">
      <c r="B4" s="139" t="s">
        <v>171</v>
      </c>
      <c r="C4" s="139" t="s">
        <v>175</v>
      </c>
      <c r="D4" s="139" t="s">
        <v>173</v>
      </c>
      <c r="E4" s="140" t="s">
        <v>174</v>
      </c>
      <c r="F4" s="142">
        <v>1</v>
      </c>
      <c r="G4" s="141">
        <v>6000000</v>
      </c>
      <c r="H4" s="141">
        <f>+Table2[[#This Row],[Cantidad Estimada]]*Table2[[#This Row],[Costo Unitario Estimado (COP)]]</f>
        <v>6000000</v>
      </c>
    </row>
    <row r="5" spans="2:8">
      <c r="B5" s="139" t="s">
        <v>171</v>
      </c>
      <c r="C5" s="139" t="s">
        <v>176</v>
      </c>
      <c r="D5" s="139" t="s">
        <v>173</v>
      </c>
      <c r="E5" s="140" t="s">
        <v>174</v>
      </c>
      <c r="F5" s="142">
        <v>1</v>
      </c>
      <c r="G5" s="141">
        <v>6000000</v>
      </c>
      <c r="H5" s="141">
        <f>+Table2[[#This Row],[Cantidad Estimada]]*Table2[[#This Row],[Costo Unitario Estimado (COP)]]</f>
        <v>6000000</v>
      </c>
    </row>
    <row r="6" spans="2:8">
      <c r="B6" s="139" t="s">
        <v>171</v>
      </c>
      <c r="C6" s="139" t="s">
        <v>177</v>
      </c>
      <c r="D6" s="139" t="s">
        <v>173</v>
      </c>
      <c r="E6" s="140" t="s">
        <v>174</v>
      </c>
      <c r="F6" s="142">
        <v>1</v>
      </c>
      <c r="G6" s="141">
        <v>5000000</v>
      </c>
      <c r="H6" s="141">
        <f>+Table2[[#This Row],[Cantidad Estimada]]*Table2[[#This Row],[Costo Unitario Estimado (COP)]]</f>
        <v>5000000</v>
      </c>
    </row>
    <row r="7" spans="2:8">
      <c r="B7" s="139" t="s">
        <v>171</v>
      </c>
      <c r="C7" s="139" t="s">
        <v>178</v>
      </c>
      <c r="D7" s="139" t="s">
        <v>173</v>
      </c>
      <c r="E7" s="140" t="s">
        <v>174</v>
      </c>
      <c r="F7" s="142">
        <v>1</v>
      </c>
      <c r="G7" s="141">
        <v>6000000</v>
      </c>
      <c r="H7" s="141">
        <f>+Table2[[#This Row],[Cantidad Estimada]]*Table2[[#This Row],[Costo Unitario Estimado (COP)]]</f>
        <v>6000000</v>
      </c>
    </row>
    <row r="8" spans="2:8">
      <c r="B8" s="139" t="s">
        <v>171</v>
      </c>
      <c r="C8" s="139" t="s">
        <v>179</v>
      </c>
      <c r="D8" s="139" t="s">
        <v>173</v>
      </c>
      <c r="E8" s="140" t="s">
        <v>174</v>
      </c>
      <c r="F8" s="142">
        <v>1</v>
      </c>
      <c r="G8" s="141">
        <v>4000000</v>
      </c>
      <c r="H8" s="141">
        <f>+Table2[[#This Row],[Cantidad Estimada]]*Table2[[#This Row],[Costo Unitario Estimado (COP)]]</f>
        <v>4000000</v>
      </c>
    </row>
    <row r="9" spans="2:8">
      <c r="B9" s="139" t="s">
        <v>171</v>
      </c>
      <c r="C9" s="139" t="s">
        <v>172</v>
      </c>
      <c r="D9" s="139" t="s">
        <v>180</v>
      </c>
      <c r="E9" s="140" t="s">
        <v>174</v>
      </c>
      <c r="F9" s="142">
        <v>6</v>
      </c>
      <c r="G9" s="141">
        <v>6000000</v>
      </c>
      <c r="H9" s="141">
        <f>+Table2[[#This Row],[Cantidad Estimada]]*Table2[[#This Row],[Costo Unitario Estimado (COP)]]</f>
        <v>36000000</v>
      </c>
    </row>
    <row r="10" spans="2:8">
      <c r="B10" s="139" t="s">
        <v>171</v>
      </c>
      <c r="C10" s="139" t="s">
        <v>181</v>
      </c>
      <c r="D10" s="139" t="s">
        <v>180</v>
      </c>
      <c r="E10" s="140" t="s">
        <v>174</v>
      </c>
      <c r="F10" s="142">
        <v>3</v>
      </c>
      <c r="G10" s="141">
        <v>3500000</v>
      </c>
      <c r="H10" s="141">
        <f>+Table2[[#This Row],[Cantidad Estimada]]*Table2[[#This Row],[Costo Unitario Estimado (COP)]]</f>
        <v>10500000</v>
      </c>
    </row>
    <row r="11" spans="2:8">
      <c r="B11" s="139" t="s">
        <v>171</v>
      </c>
      <c r="C11" s="139" t="s">
        <v>182</v>
      </c>
      <c r="D11" s="139" t="s">
        <v>180</v>
      </c>
      <c r="E11" s="140" t="s">
        <v>174</v>
      </c>
      <c r="F11" s="142">
        <v>1</v>
      </c>
      <c r="G11" s="141">
        <v>4500000</v>
      </c>
      <c r="H11" s="141">
        <f>+Table2[[#This Row],[Cantidad Estimada]]*Table2[[#This Row],[Costo Unitario Estimado (COP)]]</f>
        <v>4500000</v>
      </c>
    </row>
    <row r="12" spans="2:8">
      <c r="B12" s="139" t="s">
        <v>171</v>
      </c>
      <c r="C12" s="139" t="s">
        <v>183</v>
      </c>
      <c r="D12" s="139" t="s">
        <v>180</v>
      </c>
      <c r="E12" s="140" t="s">
        <v>174</v>
      </c>
      <c r="F12" s="142">
        <v>1</v>
      </c>
      <c r="G12" s="141">
        <v>3000000</v>
      </c>
      <c r="H12" s="141">
        <f>+Table2[[#This Row],[Cantidad Estimada]]*Table2[[#This Row],[Costo Unitario Estimado (COP)]]</f>
        <v>3000000</v>
      </c>
    </row>
    <row r="13" spans="2:8">
      <c r="B13" s="139" t="s">
        <v>171</v>
      </c>
      <c r="C13" s="139" t="s">
        <v>184</v>
      </c>
      <c r="D13" s="139" t="s">
        <v>185</v>
      </c>
      <c r="E13" s="140" t="s">
        <v>186</v>
      </c>
      <c r="F13" s="142">
        <v>1</v>
      </c>
      <c r="G13" s="141">
        <v>250000</v>
      </c>
      <c r="H13" s="141">
        <f>+Table2[[#This Row],[Cantidad Estimada]]*Table2[[#This Row],[Costo Unitario Estimado (COP)]]</f>
        <v>250000</v>
      </c>
    </row>
    <row r="14" spans="2:8">
      <c r="B14" s="139" t="s">
        <v>171</v>
      </c>
      <c r="C14" s="139" t="s">
        <v>187</v>
      </c>
      <c r="D14" s="139" t="s">
        <v>185</v>
      </c>
      <c r="E14" s="140" t="s">
        <v>186</v>
      </c>
      <c r="F14" s="142">
        <v>1</v>
      </c>
      <c r="G14" s="141">
        <v>500000</v>
      </c>
      <c r="H14" s="141">
        <f>+Table2[[#This Row],[Cantidad Estimada]]*Table2[[#This Row],[Costo Unitario Estimado (COP)]]</f>
        <v>500000</v>
      </c>
    </row>
    <row r="15" spans="2:8">
      <c r="B15" s="139" t="s">
        <v>188</v>
      </c>
      <c r="C15" s="139" t="s">
        <v>189</v>
      </c>
      <c r="D15" s="139" t="s">
        <v>190</v>
      </c>
      <c r="E15" s="140" t="s">
        <v>174</v>
      </c>
      <c r="F15" s="142">
        <v>12</v>
      </c>
      <c r="G15" s="141">
        <v>250000</v>
      </c>
      <c r="H15" s="141">
        <f>+Table2[[#This Row],[Cantidad Estimada]]*Table2[[#This Row],[Costo Unitario Estimado (COP)]]</f>
        <v>3000000</v>
      </c>
    </row>
    <row r="16" spans="2:8">
      <c r="B16" s="139" t="s">
        <v>188</v>
      </c>
      <c r="C16" s="139" t="s">
        <v>191</v>
      </c>
      <c r="D16" s="139" t="s">
        <v>192</v>
      </c>
      <c r="E16" s="140" t="s">
        <v>193</v>
      </c>
      <c r="F16" s="142">
        <v>1</v>
      </c>
      <c r="G16" s="141">
        <v>50000</v>
      </c>
      <c r="H16" s="141">
        <f>+Table2[[#This Row],[Cantidad Estimada]]*Table2[[#This Row],[Costo Unitario Estimado (COP)]]</f>
        <v>50000</v>
      </c>
    </row>
    <row r="17" spans="2:8">
      <c r="B17" s="139" t="s">
        <v>188</v>
      </c>
      <c r="C17" s="139" t="s">
        <v>194</v>
      </c>
      <c r="D17" s="139" t="s">
        <v>192</v>
      </c>
      <c r="E17" s="140" t="s">
        <v>193</v>
      </c>
      <c r="F17" s="142">
        <v>1</v>
      </c>
      <c r="G17" s="141">
        <v>80000</v>
      </c>
      <c r="H17" s="141">
        <f>+Table2[[#This Row],[Cantidad Estimada]]*Table2[[#This Row],[Costo Unitario Estimado (COP)]]</f>
        <v>80000</v>
      </c>
    </row>
    <row r="18" spans="2:8">
      <c r="B18" s="139" t="s">
        <v>188</v>
      </c>
      <c r="C18" s="139" t="s">
        <v>195</v>
      </c>
      <c r="D18" s="139" t="s">
        <v>196</v>
      </c>
      <c r="E18" s="140" t="s">
        <v>174</v>
      </c>
      <c r="F18" s="142">
        <v>12</v>
      </c>
      <c r="G18" s="141">
        <v>0</v>
      </c>
      <c r="H18" s="141">
        <f>+Table2[[#This Row],[Cantidad Estimada]]*Table2[[#This Row],[Costo Unitario Estimado (COP)]]</f>
        <v>0</v>
      </c>
    </row>
    <row r="19" spans="2:8">
      <c r="B19" s="139" t="s">
        <v>188</v>
      </c>
      <c r="C19" s="139" t="s">
        <v>197</v>
      </c>
      <c r="D19" s="139" t="s">
        <v>190</v>
      </c>
      <c r="E19" s="140" t="s">
        <v>174</v>
      </c>
      <c r="F19" s="142">
        <v>12</v>
      </c>
      <c r="G19" s="141">
        <v>120000</v>
      </c>
      <c r="H19" s="141">
        <f>+Table2[[#This Row],[Cantidad Estimada]]*Table2[[#This Row],[Costo Unitario Estimado (COP)]]</f>
        <v>1440000</v>
      </c>
    </row>
    <row r="20" spans="2:8">
      <c r="B20" s="139" t="s">
        <v>188</v>
      </c>
      <c r="C20" s="139" t="s">
        <v>198</v>
      </c>
      <c r="D20" s="139" t="s">
        <v>190</v>
      </c>
      <c r="E20" s="140" t="s">
        <v>174</v>
      </c>
      <c r="F20" s="142">
        <v>12</v>
      </c>
      <c r="G20" s="141">
        <v>180000</v>
      </c>
      <c r="H20" s="141">
        <f>+Table2[[#This Row],[Cantidad Estimada]]*Table2[[#This Row],[Costo Unitario Estimado (COP)]]</f>
        <v>2160000</v>
      </c>
    </row>
    <row r="21" spans="2:8">
      <c r="B21" s="139" t="s">
        <v>199</v>
      </c>
      <c r="C21" s="139" t="s">
        <v>200</v>
      </c>
      <c r="D21" s="139" t="s">
        <v>201</v>
      </c>
      <c r="E21" s="140" t="s">
        <v>186</v>
      </c>
      <c r="F21" s="142">
        <v>1</v>
      </c>
      <c r="G21" s="141">
        <v>3000000</v>
      </c>
      <c r="H21" s="141">
        <f>+Table2[[#This Row],[Cantidad Estimada]]*Table2[[#This Row],[Costo Unitario Estimado (COP)]]</f>
        <v>3000000</v>
      </c>
    </row>
    <row r="22" spans="2:8">
      <c r="B22" s="139" t="s">
        <v>199</v>
      </c>
      <c r="C22" s="139" t="s">
        <v>202</v>
      </c>
      <c r="D22" s="139" t="s">
        <v>203</v>
      </c>
      <c r="E22" s="140" t="s">
        <v>204</v>
      </c>
      <c r="F22" s="142">
        <v>12</v>
      </c>
      <c r="G22" s="141">
        <v>0</v>
      </c>
      <c r="H22" s="141">
        <f>+Table2[[#This Row],[Cantidad Estimada]]*Table2[[#This Row],[Costo Unitario Estimado (COP)]]</f>
        <v>0</v>
      </c>
    </row>
    <row r="23" spans="2:8">
      <c r="B23" s="139" t="s">
        <v>199</v>
      </c>
      <c r="C23" s="139" t="s">
        <v>205</v>
      </c>
      <c r="D23" s="139" t="s">
        <v>206</v>
      </c>
      <c r="E23" s="140" t="s">
        <v>207</v>
      </c>
      <c r="F23" s="142">
        <v>1000</v>
      </c>
      <c r="G23" s="141">
        <v>500</v>
      </c>
      <c r="H23" s="141">
        <f>+Table2[[#This Row],[Cantidad Estimada]]*Table2[[#This Row],[Costo Unitario Estimado (COP)]]</f>
        <v>500000</v>
      </c>
    </row>
    <row r="24" spans="2:8">
      <c r="B24" s="139" t="s">
        <v>199</v>
      </c>
      <c r="C24" s="139" t="s">
        <v>208</v>
      </c>
      <c r="D24" s="139" t="s">
        <v>190</v>
      </c>
      <c r="E24" s="140" t="s">
        <v>204</v>
      </c>
      <c r="F24" s="142">
        <v>3</v>
      </c>
      <c r="G24" s="141">
        <v>1750000</v>
      </c>
      <c r="H24" s="141">
        <f>+Table2[[#This Row],[Cantidad Estimada]]*Table2[[#This Row],[Costo Unitario Estimado (COP)]]</f>
        <v>5250000</v>
      </c>
    </row>
    <row r="25" spans="2:8">
      <c r="B25" s="139" t="s">
        <v>199</v>
      </c>
      <c r="C25" s="139" t="s">
        <v>209</v>
      </c>
      <c r="D25" s="139" t="s">
        <v>190</v>
      </c>
      <c r="E25" s="140" t="s">
        <v>204</v>
      </c>
      <c r="F25" s="142">
        <v>3</v>
      </c>
      <c r="G25" s="141">
        <v>9000000</v>
      </c>
      <c r="H25" s="141">
        <f>+Table2[[#This Row],[Cantidad Estimada]]*Table2[[#This Row],[Costo Unitario Estimado (COP)]]</f>
        <v>27000000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83059315FEF9344AAF6A3A31F034D7C" ma:contentTypeVersion="8" ma:contentTypeDescription="Crear nuevo documento." ma:contentTypeScope="" ma:versionID="a61b48b9d2560eb1265509f512560450">
  <xsd:schema xmlns:xsd="http://www.w3.org/2001/XMLSchema" xmlns:xs="http://www.w3.org/2001/XMLSchema" xmlns:p="http://schemas.microsoft.com/office/2006/metadata/properties" xmlns:ns2="87b0bf35-7b78-4f14-bef9-10aaaea64dd2" targetNamespace="http://schemas.microsoft.com/office/2006/metadata/properties" ma:root="true" ma:fieldsID="b424785895c039c912e37ea2e11a10ef" ns2:_="">
    <xsd:import namespace="87b0bf35-7b78-4f14-bef9-10aaaea64d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0bf35-7b78-4f14-bef9-10aaaea64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file>

<file path=customXml/itemProps2.xml><?xml version="1.0" encoding="utf-8"?>
<ds:datastoreItem xmlns:ds="http://schemas.openxmlformats.org/officeDocument/2006/customXml" ds:itemID="{71CA8093-DF91-4518-8184-03E94DC985CB}"/>
</file>

<file path=customXml/itemProps3.xml><?xml version="1.0" encoding="utf-8"?>
<ds:datastoreItem xmlns:ds="http://schemas.openxmlformats.org/officeDocument/2006/customXml" ds:itemID="{7C712E58-D6D2-4C0F-B37A-BDAB77C8BA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CARLOS ARTURO RESTREPO TORRES</cp:lastModifiedBy>
  <cp:revision/>
  <dcterms:created xsi:type="dcterms:W3CDTF">2013-07-30T17:19:59Z</dcterms:created>
  <dcterms:modified xsi:type="dcterms:W3CDTF">2025-10-19T02:57:10Z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0x010100B83059315FEF9344AAF6A3A31F034D7C</vt:lpwstr>
  </property>
  <property fmtid="{D5CDD505-2E9C-101B-9397-08002B2CF9AE}" pid="3" name="MediaServiceImageTags">
    <vt:lpwstr/>
  </property>
  <property fmtid="{D5CDD505-2E9C-101B-9397-08002B2CF9AE}" pid="4" name="Order">
    <vt:r8>10500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