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https://universidadeaneduco-my.sharepoint.com/personal/oiguara17788_universidadean_edu_co/Documents/SEMINARIO MAESTRIA/"/>
    </mc:Choice>
  </mc:AlternateContent>
  <xr:revisionPtr revIDLastSave="140" documentId="13_ncr:1_{850B1DA0-9F11-4D33-91BB-A3B69DFDCFA6}" xr6:coauthVersionLast="47" xr6:coauthVersionMax="47" xr10:uidLastSave="{5C0C735C-231A-44C4-8F07-C3297EA86B02}"/>
  <bookViews>
    <workbookView xWindow="-110" yWindow="-110" windowWidth="19420" windowHeight="1030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4" l="1"/>
  <c r="C11" i="4"/>
  <c r="C18" i="4"/>
  <c r="C25" i="4"/>
  <c r="F19" i="4"/>
  <c r="C22" i="4"/>
  <c r="F22" i="4"/>
  <c r="F21" i="4"/>
  <c r="F18" i="4"/>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30" i="5" s="1"/>
  <c r="F31" i="5"/>
  <c r="I13" i="3"/>
  <c r="H13" i="3" s="1"/>
  <c r="J13" i="3" s="1"/>
  <c r="G31" i="5" s="1"/>
  <c r="F30" i="5"/>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<sst xmlns="http://schemas.openxmlformats.org/spreadsheetml/2006/main" count="179" uniqueCount="169">
  <si>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</si>
  <si>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</si>
  <si>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</si>
  <si>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</si>
  <si>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</si>
  <si>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</si>
  <si>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</si>
  <si>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</si>
  <si>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</si>
  <si>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</si>
  <si>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</si>
  <si>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</si>
  <si>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</si>
  <si>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</si>
  <si>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</si>
  <si>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</si>
  <si>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</si>
  <si>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</si>
  <si>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PINTURA GENERAL APTO</t>
  </si>
  <si>
    <t>AÑO</t>
  </si>
  <si>
    <t>MANTENIMIENTO AA</t>
  </si>
  <si>
    <t>INFLACIÓN</t>
  </si>
  <si>
    <t>CAMBIO JUNTA PISO</t>
  </si>
  <si>
    <t>IPP</t>
  </si>
  <si>
    <t>MANTENIMIENTO CARP MADERA</t>
  </si>
  <si>
    <t>REPARACION HIDROSANITARIA</t>
  </si>
  <si>
    <t>TASA IMPTO RENTA</t>
  </si>
  <si>
    <t>DIAGNOSTICO GENERAL</t>
  </si>
  <si>
    <t>CERRAJERIA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</si>
  <si>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</si>
  <si>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</si>
  <si>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</si>
  <si>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</si>
  <si>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</si>
  <si>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</si>
  <si>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</si>
  <si>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</si>
  <si>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</si>
  <si>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</si>
  <si>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</si>
  <si>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</si>
  <si>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</si>
  <si>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</si>
  <si>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</si>
  <si>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</si>
  <si>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</si>
  <si>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</si>
  <si>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</si>
  <si>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</si>
  <si>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</si>
  <si>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</si>
  <si>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</si>
  <si>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</si>
  <si>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</si>
  <si>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</si>
  <si>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</si>
  <si>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</si>
  <si>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</si>
  <si>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</si>
  <si>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</si>
  <si>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</si>
  <si>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</si>
  <si>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</si>
  <si>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</si>
  <si>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</si>
  <si>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</si>
  <si>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</si>
  <si>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</si>
  <si>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</si>
  <si>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HOSTING</t>
  </si>
  <si>
    <t xml:space="preserve">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</si>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</sst>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1"/>
      <color rgb="FFFFFFFF"/>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002060"/>
        <bgColor rgb="FF000000"/>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4" fontId="50" fillId="8" borderId="0" xfId="0" applyNumberFormat="1" applyFont="1" applyFill="1" applyBorder="1" applyAlignment="1" applyProtection="1">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2444.3826409684548</c:v>
                </c:pt>
                <c:pt idx="2">
                  <c:v>4888.7652819369096</c:v>
                </c:pt>
              </c:numCache>
            </c:numRef>
          </c:cat>
          <c:val>
            <c:numRef>
              <c:f>'5'!$C$33:$C$35</c:f>
              <c:numCache>
                <c:formatCode>_("$"\ * #,##0.00_);_("$"\ * \(#,##0.00\);_("$"\ * "-"??_);_(@_)</c:formatCode>
                <c:ptCount val="3"/>
                <c:pt idx="0">
                  <c:v>200060000</c:v>
                </c:pt>
                <c:pt idx="1">
                  <c:v>200060000</c:v>
                </c:pt>
                <c:pt idx="2">
                  <c:v>200060000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2444.3826409684548</c:v>
                </c:pt>
                <c:pt idx="2">
                  <c:v>4888.7652819369096</c:v>
                </c:pt>
              </c:numCache>
            </c:numRef>
          </c:cat>
          <c:val>
            <c:numRef>
              <c:f>'5'!$D$33:$D$35</c:f>
              <c:numCache>
                <c:formatCode>_("$"\ * #,##0.00_);_("$"\ * \(#,##0.00\);_("$"\ * "-"??_);_(@_)</c:formatCode>
                <c:ptCount val="3"/>
                <c:pt idx="0" formatCode="General">
                  <c:v>0</c:v>
                </c:pt>
                <c:pt idx="1">
                  <c:v>523019165.45851928</c:v>
                </c:pt>
                <c:pt idx="2">
                  <c:v>1046038330.9170386</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2444.3826409684548</c:v>
                </c:pt>
                <c:pt idx="2">
                  <c:v>4888.7652819369096</c:v>
                </c:pt>
              </c:numCache>
            </c:numRef>
          </c:cat>
          <c:val>
            <c:numRef>
              <c:f>'5'!$F$33:$F$35</c:f>
              <c:numCache>
                <c:formatCode>_("$"\ * #,##0.00_);_("$"\ * \(#,##0.00\);_("$"\ * "-"??_);_(@_)</c:formatCode>
                <c:ptCount val="3"/>
                <c:pt idx="0">
                  <c:v>200060000</c:v>
                </c:pt>
                <c:pt idx="1">
                  <c:v>523019165.45851922</c:v>
                </c:pt>
                <c:pt idx="2">
                  <c:v>845978330.91703844</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E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ColWidth="11.453125" defaultRowHeight="14.5"/>
  <sheetData>
    <row r="23" spans="7:8" ht="20">
      <c r="G23" s="140" t="s">
        <v>0</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B3" zoomScale="80" zoomScaleNormal="80" workbookViewId="0">
      <selection activeCell="C10" sqref="C10"/>
    </sheetView>
  </sheetViews>
  <sheetFormatPr baseColWidth="10" defaultColWidth="11.453125" defaultRowHeight="14.5"/>
  <cols>
    <col min="1" max="1" width="22.54296875" style="8" customWidth="1"/>
    <col min="2" max="2" width="34.54296875" style="8" bestFit="1" customWidth="1"/>
    <col min="3" max="6" width="26" style="8" bestFit="1" customWidth="1"/>
    <col min="7" max="10" width="9.453125" style="8" bestFit="1" customWidth="1"/>
    <col min="11" max="11" width="4.26953125" style="8" customWidth="1"/>
    <col min="12" max="15" width="11.453125" style="8" hidden="1" customWidth="1"/>
    <col min="16" max="19" width="12" style="8" hidden="1" customWidth="1"/>
    <col min="20" max="24" width="15.54296875" style="8" hidden="1" customWidth="1"/>
    <col min="25" max="25" width="22.1796875" style="8" bestFit="1" customWidth="1"/>
    <col min="26" max="27" width="9.453125" style="8" bestFit="1" customWidth="1"/>
    <col min="28" max="28" width="11.453125" style="8" bestFit="1" customWidth="1"/>
    <col min="29" max="29" width="9.453125" style="8" bestFit="1" customWidth="1"/>
    <col min="30" max="16384" width="11.453125" style="8"/>
  </cols>
  <sheetData>
    <row r="1" spans="1:29" ht="30.75" customHeight="1">
      <c r="A1" s="142" t="s">
        <v>1</v>
      </c>
      <c r="B1" s="142"/>
      <c r="C1" s="142"/>
      <c r="D1" s="142"/>
      <c r="E1" s="142"/>
      <c r="G1" s="143" t="s">
        <v>2</v>
      </c>
      <c r="H1" s="143"/>
      <c r="I1" s="143"/>
      <c r="J1" s="143"/>
      <c r="P1" s="8" t="s">
        <v>3</v>
      </c>
      <c r="Y1" s="15" t="s">
        <v>4</v>
      </c>
      <c r="Z1" s="50">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3.5" thickBot="1">
      <c r="A3" s="21">
        <v>1</v>
      </c>
      <c r="B3" s="13" t="s">
        <v>18</v>
      </c>
      <c r="C3" s="56">
        <v>4800</v>
      </c>
      <c r="D3" s="14">
        <v>18347</v>
      </c>
      <c r="E3" s="22">
        <f>C3*D3</f>
        <v>88065600</v>
      </c>
      <c r="F3" s="23">
        <f>IF($E$13=0,0,E3/$E$13)</f>
        <v>0.29241586688519539</v>
      </c>
      <c r="G3" s="116">
        <v>0.03</v>
      </c>
      <c r="H3" s="116">
        <v>0.03</v>
      </c>
      <c r="I3" s="116">
        <v>0.03</v>
      </c>
      <c r="J3" s="116">
        <v>0.03</v>
      </c>
      <c r="K3" s="24"/>
      <c r="L3" s="8">
        <f t="shared" ref="L3:L12" si="1">C3*(1+G3)</f>
        <v>4944</v>
      </c>
      <c r="M3" s="8">
        <f>L3*(1+H3)</f>
        <v>5092.32</v>
      </c>
      <c r="N3" s="8">
        <f t="shared" ref="N3:O3" si="2">M3*(1+I3)</f>
        <v>5245.0896000000002</v>
      </c>
      <c r="O3" s="8">
        <f t="shared" si="2"/>
        <v>5402.4422880000002</v>
      </c>
      <c r="P3" s="25">
        <f>D3*(1+'1'!$Z$4)</f>
        <v>18897.41</v>
      </c>
      <c r="Q3" s="25">
        <f>P3*(1+'1'!$AA$4)</f>
        <v>19464.332300000002</v>
      </c>
      <c r="R3" s="25">
        <f>Q3*(1+'1'!$AB$4)</f>
        <v>20048.262269000003</v>
      </c>
      <c r="S3" s="25">
        <f>R3*(1+'1'!$AC$4)</f>
        <v>20649.710137070004</v>
      </c>
      <c r="T3" s="26">
        <f>L3*P3</f>
        <v>93428795.040000007</v>
      </c>
      <c r="U3" s="26">
        <f>M3*Q3</f>
        <v>99118608.657936007</v>
      </c>
      <c r="V3" s="26">
        <f>N3*R3</f>
        <v>105154931.92520432</v>
      </c>
      <c r="W3" s="26">
        <f>O3*S3</f>
        <v>111558867.27944927</v>
      </c>
      <c r="X3" s="26"/>
      <c r="Y3" s="27" t="s">
        <v>19</v>
      </c>
      <c r="Z3" s="28">
        <f>G2</f>
        <v>2026</v>
      </c>
      <c r="AA3" s="28">
        <f>Z3+1</f>
        <v>2027</v>
      </c>
      <c r="AB3" s="28">
        <f t="shared" ref="AB3:AC3" si="3">AA3+1</f>
        <v>2028</v>
      </c>
      <c r="AC3" s="29">
        <f t="shared" si="3"/>
        <v>2029</v>
      </c>
    </row>
    <row r="4" spans="1:29" ht="23">
      <c r="A4" s="21">
        <f>A3+1</f>
        <v>2</v>
      </c>
      <c r="B4" s="13" t="s">
        <v>20</v>
      </c>
      <c r="C4" s="56">
        <v>380</v>
      </c>
      <c r="D4" s="14">
        <v>150000</v>
      </c>
      <c r="E4" s="22">
        <f t="shared" ref="E4:E12" si="4">C4*D4</f>
        <v>57000000</v>
      </c>
      <c r="F4" s="23">
        <f t="shared" ref="F4:F12" si="5">IF($E$13=0,0,E4/$E$13)</f>
        <v>0.1892646437707361</v>
      </c>
      <c r="G4" s="116">
        <v>0.05</v>
      </c>
      <c r="H4" s="116">
        <v>0.05</v>
      </c>
      <c r="I4" s="116">
        <v>0.05</v>
      </c>
      <c r="J4" s="116">
        <v>0.05</v>
      </c>
      <c r="K4" s="24"/>
      <c r="L4" s="8">
        <f t="shared" si="1"/>
        <v>399</v>
      </c>
      <c r="M4" s="8">
        <f t="shared" ref="M4:M12" si="6">L4*(1+H4)</f>
        <v>418.95000000000005</v>
      </c>
      <c r="N4" s="8">
        <f t="shared" ref="N4:N12" si="7">M4*(1+I4)</f>
        <v>439.89750000000009</v>
      </c>
      <c r="O4" s="8">
        <f t="shared" ref="O4:O12" si="8">N4*(1+J4)</f>
        <v>461.89237500000013</v>
      </c>
      <c r="P4" s="25">
        <f>D4*(1+'1'!$Z$4)</f>
        <v>154500</v>
      </c>
      <c r="Q4" s="25">
        <f>P4*(1+'1'!$AA$4)</f>
        <v>159135</v>
      </c>
      <c r="R4" s="25">
        <f>Q4*(1+'1'!$AB$4)</f>
        <v>163909.05000000002</v>
      </c>
      <c r="S4" s="25">
        <f>R4*(1+'1'!$AC$4)</f>
        <v>168826.32150000002</v>
      </c>
      <c r="T4" s="26">
        <f t="shared" ref="T4:T12" si="9">L4*P4</f>
        <v>61645500</v>
      </c>
      <c r="U4" s="26">
        <f t="shared" ref="U4:U12" si="10">M4*Q4</f>
        <v>66669608.250000007</v>
      </c>
      <c r="V4" s="26">
        <f t="shared" ref="V4:V12" si="11">N4*R4</f>
        <v>72103181.322375029</v>
      </c>
      <c r="W4" s="26">
        <f t="shared" ref="W4:W12" si="12">O4*S4</f>
        <v>77979590.600148588</v>
      </c>
      <c r="X4" s="26"/>
      <c r="Y4" s="118" t="s">
        <v>21</v>
      </c>
      <c r="Z4" s="51">
        <v>0.03</v>
      </c>
      <c r="AA4" s="51">
        <v>0.03</v>
      </c>
      <c r="AB4" s="51">
        <v>0.03</v>
      </c>
      <c r="AC4" s="52">
        <v>0.03</v>
      </c>
    </row>
    <row r="5" spans="1:29" ht="23.5" thickBot="1">
      <c r="A5" s="21">
        <f t="shared" ref="A5:A12" si="13">A4+1</f>
        <v>3</v>
      </c>
      <c r="B5" s="13" t="s">
        <v>22</v>
      </c>
      <c r="C5" s="56">
        <v>75</v>
      </c>
      <c r="D5" s="14">
        <v>600000</v>
      </c>
      <c r="E5" s="22">
        <f t="shared" si="4"/>
        <v>45000000</v>
      </c>
      <c r="F5" s="23">
        <f t="shared" si="5"/>
        <v>0.14941945560847586</v>
      </c>
      <c r="G5" s="49">
        <v>0.05</v>
      </c>
      <c r="H5" s="49">
        <v>0.05</v>
      </c>
      <c r="I5" s="49">
        <v>0.05</v>
      </c>
      <c r="J5" s="49">
        <v>0.05</v>
      </c>
      <c r="K5" s="24"/>
      <c r="L5" s="8">
        <f t="shared" si="1"/>
        <v>78.75</v>
      </c>
      <c r="M5" s="8">
        <f t="shared" si="6"/>
        <v>82.6875</v>
      </c>
      <c r="N5" s="8">
        <f t="shared" si="7"/>
        <v>86.821875000000006</v>
      </c>
      <c r="O5" s="8">
        <f t="shared" si="8"/>
        <v>91.162968750000005</v>
      </c>
      <c r="P5" s="25">
        <f>D5*(1+'1'!$Z$4)</f>
        <v>618000</v>
      </c>
      <c r="Q5" s="25">
        <f>P5*(1+'1'!$AA$4)</f>
        <v>636540</v>
      </c>
      <c r="R5" s="25">
        <f>Q5*(1+'1'!$AB$4)</f>
        <v>655636.20000000007</v>
      </c>
      <c r="S5" s="25">
        <f>R5*(1+'1'!$AC$4)</f>
        <v>675305.28600000008</v>
      </c>
      <c r="T5" s="26">
        <f t="shared" si="9"/>
        <v>48667500</v>
      </c>
      <c r="U5" s="26">
        <f t="shared" si="10"/>
        <v>52633901.25</v>
      </c>
      <c r="V5" s="26">
        <f t="shared" si="11"/>
        <v>56923564.201875009</v>
      </c>
      <c r="W5" s="26">
        <f t="shared" si="12"/>
        <v>61562834.684327826</v>
      </c>
      <c r="X5" s="26"/>
      <c r="Y5" s="119" t="s">
        <v>23</v>
      </c>
      <c r="Z5" s="53">
        <v>0.03</v>
      </c>
      <c r="AA5" s="53">
        <v>0.03</v>
      </c>
      <c r="AB5" s="53">
        <v>0.03</v>
      </c>
      <c r="AC5" s="54">
        <v>0.03</v>
      </c>
    </row>
    <row r="6" spans="1:29" ht="15" thickBot="1">
      <c r="A6" s="21">
        <f t="shared" si="13"/>
        <v>4</v>
      </c>
      <c r="B6" s="13" t="s">
        <v>24</v>
      </c>
      <c r="C6" s="56">
        <v>75</v>
      </c>
      <c r="D6" s="14">
        <v>500000</v>
      </c>
      <c r="E6" s="22">
        <f t="shared" si="4"/>
        <v>37500000</v>
      </c>
      <c r="F6" s="23">
        <f t="shared" si="5"/>
        <v>0.12451621300706323</v>
      </c>
      <c r="G6" s="49">
        <v>0.03</v>
      </c>
      <c r="H6" s="49">
        <v>0.03</v>
      </c>
      <c r="I6" s="49">
        <v>0.03</v>
      </c>
      <c r="J6" s="49">
        <v>0.03</v>
      </c>
      <c r="K6" s="24"/>
      <c r="L6" s="8">
        <f t="shared" si="1"/>
        <v>77.25</v>
      </c>
      <c r="M6" s="8">
        <f t="shared" si="6"/>
        <v>79.567499999999995</v>
      </c>
      <c r="N6" s="8">
        <f t="shared" si="7"/>
        <v>81.954525000000004</v>
      </c>
      <c r="O6" s="8">
        <f t="shared" si="8"/>
        <v>84.413160750000003</v>
      </c>
      <c r="P6" s="25">
        <f>D6*(1+'1'!$Z$4)</f>
        <v>515000</v>
      </c>
      <c r="Q6" s="25">
        <f>P6*(1+'1'!$AA$4)</f>
        <v>530450</v>
      </c>
      <c r="R6" s="25">
        <f>Q6*(1+'1'!$AB$4)</f>
        <v>546363.5</v>
      </c>
      <c r="S6" s="25">
        <f>R6*(1+'1'!$AC$4)</f>
        <v>562754.40500000003</v>
      </c>
      <c r="T6" s="26">
        <f t="shared" si="9"/>
        <v>39783750</v>
      </c>
      <c r="U6" s="26">
        <f t="shared" si="10"/>
        <v>42206580.375</v>
      </c>
      <c r="V6" s="26">
        <f t="shared" si="11"/>
        <v>44776961.1198375</v>
      </c>
      <c r="W6" s="26">
        <f t="shared" si="12"/>
        <v>47503878.052035607</v>
      </c>
      <c r="X6" s="26"/>
    </row>
    <row r="7" spans="1:29" ht="23.5" thickBot="1">
      <c r="A7" s="21">
        <f t="shared" si="13"/>
        <v>5</v>
      </c>
      <c r="B7" s="13" t="s">
        <v>25</v>
      </c>
      <c r="C7" s="56">
        <v>190</v>
      </c>
      <c r="D7" s="14">
        <v>150000</v>
      </c>
      <c r="E7" s="22">
        <f t="shared" si="4"/>
        <v>28500000</v>
      </c>
      <c r="F7" s="23">
        <f t="shared" si="5"/>
        <v>9.4632321885368048E-2</v>
      </c>
      <c r="G7" s="49">
        <v>0.01</v>
      </c>
      <c r="H7" s="49">
        <v>0.01</v>
      </c>
      <c r="I7" s="49">
        <v>0.01</v>
      </c>
      <c r="J7" s="49">
        <v>0.01</v>
      </c>
      <c r="K7" s="24"/>
      <c r="L7" s="8">
        <f t="shared" si="1"/>
        <v>191.9</v>
      </c>
      <c r="M7" s="8">
        <f t="shared" si="6"/>
        <v>193.81900000000002</v>
      </c>
      <c r="N7" s="8">
        <f t="shared" si="7"/>
        <v>195.75719000000001</v>
      </c>
      <c r="O7" s="8">
        <f t="shared" si="8"/>
        <v>197.71476190000001</v>
      </c>
      <c r="P7" s="25">
        <f>D7*(1+'1'!$Z$4)</f>
        <v>154500</v>
      </c>
      <c r="Q7" s="25">
        <f>P7*(1+'1'!$AA$4)</f>
        <v>159135</v>
      </c>
      <c r="R7" s="25">
        <f>Q7*(1+'1'!$AB$4)</f>
        <v>163909.05000000002</v>
      </c>
      <c r="S7" s="25">
        <f>R7*(1+'1'!$AC$4)</f>
        <v>168826.32150000002</v>
      </c>
      <c r="T7" s="26">
        <f t="shared" si="9"/>
        <v>29648550</v>
      </c>
      <c r="U7" s="26">
        <f t="shared" si="10"/>
        <v>30843386.565000001</v>
      </c>
      <c r="V7" s="26">
        <f t="shared" si="11"/>
        <v>32086375.043569505</v>
      </c>
      <c r="W7" s="26">
        <f t="shared" si="12"/>
        <v>33379455.957825355</v>
      </c>
      <c r="X7" s="26"/>
      <c r="Y7" s="30" t="s">
        <v>26</v>
      </c>
      <c r="Z7" s="31"/>
      <c r="AA7" s="31"/>
      <c r="AB7" s="55">
        <v>0.32</v>
      </c>
      <c r="AC7" s="32"/>
    </row>
    <row r="8" spans="1:29">
      <c r="A8" s="21">
        <f t="shared" si="13"/>
        <v>6</v>
      </c>
      <c r="B8" s="13" t="s">
        <v>27</v>
      </c>
      <c r="C8" s="56">
        <v>190</v>
      </c>
      <c r="D8" s="14">
        <v>100000</v>
      </c>
      <c r="E8" s="22">
        <f t="shared" si="4"/>
        <v>19000000</v>
      </c>
      <c r="F8" s="23">
        <f t="shared" si="5"/>
        <v>6.308821459024537E-2</v>
      </c>
      <c r="G8" s="49">
        <v>0.1</v>
      </c>
      <c r="H8" s="49">
        <v>0.1</v>
      </c>
      <c r="I8" s="49">
        <v>0.1</v>
      </c>
      <c r="J8" s="49">
        <v>0.1</v>
      </c>
      <c r="K8" s="24"/>
      <c r="L8" s="8">
        <f t="shared" si="1"/>
        <v>209.00000000000003</v>
      </c>
      <c r="M8" s="8">
        <f t="shared" si="6"/>
        <v>229.90000000000006</v>
      </c>
      <c r="N8" s="8">
        <f t="shared" si="7"/>
        <v>252.8900000000001</v>
      </c>
      <c r="O8" s="8">
        <f t="shared" si="8"/>
        <v>278.17900000000014</v>
      </c>
      <c r="P8" s="25">
        <f>D8*(1+'1'!$Z$4)</f>
        <v>103000</v>
      </c>
      <c r="Q8" s="25">
        <f>P8*(1+'1'!$AA$4)</f>
        <v>106090</v>
      </c>
      <c r="R8" s="25">
        <f>Q8*(1+'1'!$AB$4)</f>
        <v>109272.7</v>
      </c>
      <c r="S8" s="25">
        <f>R8*(1+'1'!$AC$4)</f>
        <v>112550.88099999999</v>
      </c>
      <c r="T8" s="26">
        <f t="shared" si="9"/>
        <v>21527000.000000004</v>
      </c>
      <c r="U8" s="26">
        <f t="shared" si="10"/>
        <v>24390091.000000007</v>
      </c>
      <c r="V8" s="26">
        <f t="shared" si="11"/>
        <v>27633973.103000011</v>
      </c>
      <c r="W8" s="26">
        <f t="shared" si="12"/>
        <v>31309291.525699016</v>
      </c>
      <c r="X8" s="26"/>
    </row>
    <row r="9" spans="1:29">
      <c r="A9" s="21">
        <f t="shared" si="13"/>
        <v>7</v>
      </c>
      <c r="B9" s="13" t="s">
        <v>28</v>
      </c>
      <c r="C9" s="56">
        <v>290</v>
      </c>
      <c r="D9" s="14">
        <v>90000</v>
      </c>
      <c r="E9" s="22">
        <f t="shared" si="4"/>
        <v>26100000</v>
      </c>
      <c r="F9" s="23">
        <f t="shared" si="5"/>
        <v>8.6663284252916001E-2</v>
      </c>
      <c r="G9" s="49">
        <v>0.03</v>
      </c>
      <c r="H9" s="49">
        <v>0.03</v>
      </c>
      <c r="I9" s="49">
        <v>0.03</v>
      </c>
      <c r="J9" s="49">
        <v>0.03</v>
      </c>
      <c r="K9" s="24"/>
      <c r="L9" s="8">
        <f t="shared" si="1"/>
        <v>298.7</v>
      </c>
      <c r="M9" s="8">
        <f t="shared" si="6"/>
        <v>307.661</v>
      </c>
      <c r="N9" s="8">
        <f t="shared" si="7"/>
        <v>316.89082999999999</v>
      </c>
      <c r="O9" s="8">
        <f t="shared" si="8"/>
        <v>326.39755489999999</v>
      </c>
      <c r="P9" s="25">
        <f>D9*(1+'1'!$Z$4)</f>
        <v>92700</v>
      </c>
      <c r="Q9" s="25">
        <f>P9*(1+'1'!$AA$4)</f>
        <v>95481</v>
      </c>
      <c r="R9" s="25">
        <f>Q9*(1+'1'!$AB$4)</f>
        <v>98345.430000000008</v>
      </c>
      <c r="S9" s="25">
        <f>R9*(1+'1'!$AC$4)</f>
        <v>101295.79290000001</v>
      </c>
      <c r="T9" s="26">
        <f t="shared" si="9"/>
        <v>27689490</v>
      </c>
      <c r="U9" s="26">
        <f t="shared" si="10"/>
        <v>29375779.941</v>
      </c>
      <c r="V9" s="26">
        <f t="shared" si="11"/>
        <v>31164764.939406902</v>
      </c>
      <c r="W9" s="26">
        <f t="shared" si="12"/>
        <v>33062699.124216784</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29</v>
      </c>
      <c r="E13" s="33">
        <f>SUM(E3:E12)</f>
        <v>301165600</v>
      </c>
      <c r="F13" s="34">
        <f>SUM(F3:F12)</f>
        <v>1</v>
      </c>
      <c r="T13" s="35">
        <f>SUM(T3:T12)</f>
        <v>322390585.04000002</v>
      </c>
      <c r="U13" s="35">
        <f>SUM(U3:U12)</f>
        <v>345237956.03893602</v>
      </c>
      <c r="V13" s="35">
        <f>SUM(V3:V12)</f>
        <v>369843751.65526819</v>
      </c>
      <c r="W13" s="35">
        <f>SUM(W3:W12)</f>
        <v>396356617.22370249</v>
      </c>
      <c r="X13" s="26"/>
    </row>
    <row r="15" spans="1:29" ht="23.25" customHeight="1">
      <c r="A15" s="142" t="s">
        <v>30</v>
      </c>
      <c r="B15" s="142"/>
      <c r="C15" s="142"/>
      <c r="D15" s="142"/>
      <c r="E15" s="142"/>
      <c r="G15" s="36"/>
    </row>
    <row r="16" spans="1:29" ht="25.5" customHeight="1">
      <c r="B16" s="17" t="s">
        <v>31</v>
      </c>
      <c r="C16" s="37" t="s">
        <v>6</v>
      </c>
      <c r="D16" s="114" t="s">
        <v>32</v>
      </c>
      <c r="E16" s="18" t="s">
        <v>33</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c r="A17" s="21">
        <f>A3</f>
        <v>1</v>
      </c>
      <c r="B17" s="95" t="str">
        <f>B3</f>
        <v>PINTURA GENERAL APTO</v>
      </c>
      <c r="C17" s="39">
        <f>C3</f>
        <v>4800</v>
      </c>
      <c r="D17" s="139">
        <v>12535</v>
      </c>
      <c r="E17" s="22">
        <f>C17*D17</f>
        <v>60168000</v>
      </c>
      <c r="F17" s="23">
        <f>IF($E$27=0,0,E17/$E$27)</f>
        <v>0.31293819044250731</v>
      </c>
      <c r="L17" s="8">
        <f t="shared" ref="L17:L26" si="15">C17*(1+G3)</f>
        <v>4944</v>
      </c>
      <c r="M17" s="8">
        <f>L17*(1+H3)</f>
        <v>5092.32</v>
      </c>
      <c r="N17" s="8">
        <f t="shared" ref="N17:O17" si="16">M17*(1+I3)</f>
        <v>5245.0896000000002</v>
      </c>
      <c r="O17" s="8">
        <f t="shared" si="16"/>
        <v>5402.4422880000002</v>
      </c>
      <c r="P17" s="40">
        <f>D17*(1+'1'!$Z$5)</f>
        <v>12911.050000000001</v>
      </c>
      <c r="Q17" s="25">
        <f>P17*(1+'1'!$AA$5)</f>
        <v>13298.381500000001</v>
      </c>
      <c r="R17" s="25">
        <f>Q17*(1+'1'!$AB$5)</f>
        <v>13697.332945000002</v>
      </c>
      <c r="S17" s="25">
        <f>R17*(1+'1'!$AC$5)</f>
        <v>14108.252933350002</v>
      </c>
      <c r="T17" s="40">
        <f t="shared" ref="T17:U19" si="17">L17*P17</f>
        <v>63832231.200000003</v>
      </c>
      <c r="U17" s="26">
        <f t="shared" si="17"/>
        <v>67719614.080080003</v>
      </c>
      <c r="V17" s="26">
        <f t="shared" ref="V17:W17" si="18">N17*R17</f>
        <v>71843738.577556878</v>
      </c>
      <c r="W17" s="26">
        <f t="shared" si="18"/>
        <v>76219022.256930098</v>
      </c>
      <c r="X17" s="26"/>
    </row>
    <row r="18" spans="1:24">
      <c r="A18" s="21">
        <f t="shared" ref="A18:B25" si="19">A4</f>
        <v>2</v>
      </c>
      <c r="B18" s="41" t="str">
        <f t="shared" si="19"/>
        <v>MANTENIMIENTO AA</v>
      </c>
      <c r="C18" s="39">
        <f t="shared" ref="C18:C26" si="20">C4</f>
        <v>380</v>
      </c>
      <c r="D18" s="139">
        <v>70000</v>
      </c>
      <c r="E18" s="22">
        <f t="shared" ref="E18:E26" si="21">C18*D18</f>
        <v>26600000</v>
      </c>
      <c r="F18" s="23">
        <f t="shared" ref="F18:F26" si="22">IF($E$27=0,0,E18/$E$27)</f>
        <v>0.13834855514178127</v>
      </c>
      <c r="L18" s="8">
        <f t="shared" si="15"/>
        <v>399</v>
      </c>
      <c r="M18" s="8">
        <f t="shared" ref="M18:M26" si="23">L18*(1+H4)</f>
        <v>418.95000000000005</v>
      </c>
      <c r="N18" s="8">
        <f t="shared" ref="N18:N26" si="24">M18*(1+I4)</f>
        <v>439.89750000000009</v>
      </c>
      <c r="O18" s="8">
        <f t="shared" ref="O18:O26" si="25">N18*(1+J4)</f>
        <v>461.89237500000013</v>
      </c>
      <c r="P18" s="40">
        <f>D18*(1+'1'!$Z$5)</f>
        <v>72100</v>
      </c>
      <c r="Q18" s="25">
        <f>P18*(1+'1'!$AA$5)</f>
        <v>74263</v>
      </c>
      <c r="R18" s="25">
        <f>Q18*(1+'1'!$AB$5)</f>
        <v>76490.89</v>
      </c>
      <c r="S18" s="25">
        <f>R18*(1+'1'!$AC$5)</f>
        <v>78785.616699999999</v>
      </c>
      <c r="T18" s="40">
        <f t="shared" si="17"/>
        <v>28767900</v>
      </c>
      <c r="U18" s="26">
        <f t="shared" si="17"/>
        <v>31112483.850000005</v>
      </c>
      <c r="V18" s="26">
        <f t="shared" ref="V18:V26" si="26">N18*R18</f>
        <v>33648151.283775009</v>
      </c>
      <c r="W18" s="26">
        <f t="shared" ref="W18:W26" si="27">O18*S18</f>
        <v>36390475.613402672</v>
      </c>
      <c r="X18" s="26"/>
    </row>
    <row r="19" spans="1:24">
      <c r="A19" s="21">
        <f t="shared" si="19"/>
        <v>3</v>
      </c>
      <c r="B19" s="41" t="str">
        <f t="shared" si="19"/>
        <v>CAMBIO JUNTA PISO</v>
      </c>
      <c r="C19" s="39">
        <f t="shared" si="20"/>
        <v>75</v>
      </c>
      <c r="D19" s="139">
        <v>400000</v>
      </c>
      <c r="E19" s="22">
        <f t="shared" si="21"/>
        <v>30000000</v>
      </c>
      <c r="F19" s="23">
        <f t="shared" si="22"/>
        <v>0.15603220504712173</v>
      </c>
      <c r="L19" s="8">
        <f t="shared" si="15"/>
        <v>78.75</v>
      </c>
      <c r="M19" s="8">
        <f t="shared" si="23"/>
        <v>82.6875</v>
      </c>
      <c r="N19" s="8">
        <f t="shared" si="24"/>
        <v>86.821875000000006</v>
      </c>
      <c r="O19" s="8">
        <f t="shared" si="25"/>
        <v>91.162968750000005</v>
      </c>
      <c r="P19" s="40">
        <f>D19*(1+'1'!$Z$5)</f>
        <v>412000</v>
      </c>
      <c r="Q19" s="25">
        <f>P19*(1+'1'!$AA$5)</f>
        <v>424360</v>
      </c>
      <c r="R19" s="25">
        <f>Q19*(1+'1'!$AB$5)</f>
        <v>437090.8</v>
      </c>
      <c r="S19" s="25">
        <f>R19*(1+'1'!$AC$5)</f>
        <v>450203.52399999998</v>
      </c>
      <c r="T19" s="40">
        <f t="shared" si="17"/>
        <v>32445000</v>
      </c>
      <c r="U19" s="26">
        <f t="shared" si="17"/>
        <v>35089267.5</v>
      </c>
      <c r="V19" s="26">
        <f t="shared" si="26"/>
        <v>37949042.801250003</v>
      </c>
      <c r="W19" s="26">
        <f t="shared" si="27"/>
        <v>41041889.789551876</v>
      </c>
      <c r="X19" s="26"/>
    </row>
    <row r="20" spans="1:24">
      <c r="A20" s="21">
        <f t="shared" si="19"/>
        <v>4</v>
      </c>
      <c r="B20" s="41" t="str">
        <f t="shared" si="19"/>
        <v>MANTENIMIENTO CARP MADERA</v>
      </c>
      <c r="C20" s="39">
        <f t="shared" si="20"/>
        <v>75</v>
      </c>
      <c r="D20" s="139">
        <v>280000</v>
      </c>
      <c r="E20" s="22">
        <f t="shared" si="21"/>
        <v>21000000</v>
      </c>
      <c r="F20" s="23">
        <f t="shared" si="22"/>
        <v>0.1092225435329852</v>
      </c>
      <c r="L20" s="8">
        <f t="shared" si="15"/>
        <v>77.25</v>
      </c>
      <c r="M20" s="8">
        <f t="shared" si="23"/>
        <v>79.567499999999995</v>
      </c>
      <c r="N20" s="8">
        <f t="shared" si="24"/>
        <v>81.954525000000004</v>
      </c>
      <c r="O20" s="8">
        <f t="shared" si="25"/>
        <v>84.413160750000003</v>
      </c>
      <c r="P20" s="40">
        <f>D20*(1+'1'!$Z$5)</f>
        <v>288400</v>
      </c>
      <c r="Q20" s="25">
        <f>P20*(1+'1'!$AA$5)</f>
        <v>297052</v>
      </c>
      <c r="R20" s="25">
        <f>Q20*(1+'1'!$AB$5)</f>
        <v>305963.56</v>
      </c>
      <c r="S20" s="25">
        <f>R20*(1+'1'!$AC$5)</f>
        <v>315142.46679999999</v>
      </c>
      <c r="T20" s="40">
        <f t="shared" ref="T20:T26" si="28">L20*P20</f>
        <v>22278900</v>
      </c>
      <c r="U20" s="26">
        <f t="shared" ref="U20:U26" si="29">M20*Q20</f>
        <v>23635685.009999998</v>
      </c>
      <c r="V20" s="26">
        <f t="shared" si="26"/>
        <v>25075098.227109</v>
      </c>
      <c r="W20" s="26">
        <f t="shared" si="27"/>
        <v>26602171.709139939</v>
      </c>
      <c r="X20" s="26"/>
    </row>
    <row r="21" spans="1:24">
      <c r="A21" s="21">
        <f t="shared" si="19"/>
        <v>5</v>
      </c>
      <c r="B21" s="41" t="str">
        <f t="shared" si="19"/>
        <v>REPARACION HIDROSANITARIA</v>
      </c>
      <c r="C21" s="39">
        <f t="shared" si="20"/>
        <v>190</v>
      </c>
      <c r="D21" s="139">
        <v>100000</v>
      </c>
      <c r="E21" s="22">
        <f t="shared" si="21"/>
        <v>19000000</v>
      </c>
      <c r="F21" s="23">
        <f t="shared" si="22"/>
        <v>9.8820396529843757E-2</v>
      </c>
      <c r="L21" s="8">
        <f t="shared" si="15"/>
        <v>191.9</v>
      </c>
      <c r="M21" s="8">
        <f t="shared" si="23"/>
        <v>193.81900000000002</v>
      </c>
      <c r="N21" s="8">
        <f t="shared" si="24"/>
        <v>195.75719000000001</v>
      </c>
      <c r="O21" s="8">
        <f t="shared" si="25"/>
        <v>197.71476190000001</v>
      </c>
      <c r="P21" s="40">
        <f>D21*(1+'1'!$Z$5)</f>
        <v>103000</v>
      </c>
      <c r="Q21" s="25">
        <f>P21*(1+'1'!$AA$5)</f>
        <v>106090</v>
      </c>
      <c r="R21" s="25">
        <f>Q21*(1+'1'!$AB$5)</f>
        <v>109272.7</v>
      </c>
      <c r="S21" s="25">
        <f>R21*(1+'1'!$AC$5)</f>
        <v>112550.88099999999</v>
      </c>
      <c r="T21" s="40">
        <f t="shared" si="28"/>
        <v>19765700</v>
      </c>
      <c r="U21" s="26">
        <f t="shared" si="29"/>
        <v>20562257.710000001</v>
      </c>
      <c r="V21" s="26">
        <f t="shared" si="26"/>
        <v>21390916.695712999</v>
      </c>
      <c r="W21" s="26">
        <f t="shared" si="27"/>
        <v>22252970.638550233</v>
      </c>
      <c r="X21" s="26"/>
    </row>
    <row r="22" spans="1:24">
      <c r="A22" s="21">
        <f t="shared" si="19"/>
        <v>6</v>
      </c>
      <c r="B22" s="41" t="str">
        <f t="shared" si="19"/>
        <v>DIAGNOSTICO GENERAL</v>
      </c>
      <c r="C22" s="39">
        <f t="shared" si="20"/>
        <v>190</v>
      </c>
      <c r="D22" s="139">
        <v>80000</v>
      </c>
      <c r="E22" s="22">
        <f t="shared" si="21"/>
        <v>15200000</v>
      </c>
      <c r="F22" s="23">
        <f t="shared" si="22"/>
        <v>7.9056317223875003E-2</v>
      </c>
      <c r="L22" s="8">
        <f t="shared" si="15"/>
        <v>209.00000000000003</v>
      </c>
      <c r="M22" s="8">
        <f t="shared" si="23"/>
        <v>229.90000000000006</v>
      </c>
      <c r="N22" s="8">
        <f t="shared" si="24"/>
        <v>252.8900000000001</v>
      </c>
      <c r="O22" s="8">
        <f t="shared" si="25"/>
        <v>278.17900000000014</v>
      </c>
      <c r="P22" s="40">
        <f>D22*(1+'1'!$Z$5)</f>
        <v>82400</v>
      </c>
      <c r="Q22" s="25">
        <f>P22*(1+'1'!$AA$5)</f>
        <v>84872</v>
      </c>
      <c r="R22" s="25">
        <f>Q22*(1+'1'!$AB$5)</f>
        <v>87418.16</v>
      </c>
      <c r="S22" s="25">
        <f>R22*(1+'1'!$AC$5)</f>
        <v>90040.704800000007</v>
      </c>
      <c r="T22" s="40">
        <f t="shared" si="28"/>
        <v>17221600.000000004</v>
      </c>
      <c r="U22" s="26">
        <f t="shared" si="29"/>
        <v>19512072.800000004</v>
      </c>
      <c r="V22" s="26">
        <f t="shared" si="26"/>
        <v>22107178.482400011</v>
      </c>
      <c r="W22" s="26">
        <f t="shared" si="27"/>
        <v>25047433.220559213</v>
      </c>
      <c r="X22" s="26"/>
    </row>
    <row r="23" spans="1:24">
      <c r="A23" s="21">
        <f t="shared" si="19"/>
        <v>7</v>
      </c>
      <c r="B23" s="41" t="str">
        <f t="shared" si="19"/>
        <v>CERRAJERIA</v>
      </c>
      <c r="C23" s="39">
        <f t="shared" si="20"/>
        <v>290</v>
      </c>
      <c r="D23" s="139">
        <v>70000</v>
      </c>
      <c r="E23" s="22">
        <f t="shared" si="21"/>
        <v>20300000</v>
      </c>
      <c r="F23" s="23">
        <f t="shared" si="22"/>
        <v>0.1055817920818857</v>
      </c>
      <c r="L23" s="8">
        <f t="shared" si="15"/>
        <v>298.7</v>
      </c>
      <c r="M23" s="8">
        <f t="shared" si="23"/>
        <v>307.661</v>
      </c>
      <c r="N23" s="8">
        <f t="shared" si="24"/>
        <v>316.89082999999999</v>
      </c>
      <c r="O23" s="8">
        <f t="shared" si="25"/>
        <v>326.39755489999999</v>
      </c>
      <c r="P23" s="40">
        <f>D23*(1+'1'!$Z$5)</f>
        <v>72100</v>
      </c>
      <c r="Q23" s="25">
        <f>P23*(1+'1'!$AA$5)</f>
        <v>74263</v>
      </c>
      <c r="R23" s="25">
        <f>Q23*(1+'1'!$AB$5)</f>
        <v>76490.89</v>
      </c>
      <c r="S23" s="25">
        <f>R23*(1+'1'!$AC$5)</f>
        <v>78785.616699999999</v>
      </c>
      <c r="T23" s="40">
        <f t="shared" si="28"/>
        <v>21536270</v>
      </c>
      <c r="U23" s="26">
        <f t="shared" si="29"/>
        <v>22847828.842999998</v>
      </c>
      <c r="V23" s="26">
        <f t="shared" si="26"/>
        <v>24239261.619538698</v>
      </c>
      <c r="W23" s="26">
        <f t="shared" si="27"/>
        <v>25715432.652168605</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192268000</v>
      </c>
      <c r="F27" s="34">
        <f>SUM(F17:F26)</f>
        <v>0.99999999999999989</v>
      </c>
      <c r="T27" s="35">
        <f>SUM(T17:T26)</f>
        <v>205847601.19999999</v>
      </c>
      <c r="U27" s="35">
        <f>SUM(U17:U26)</f>
        <v>220479209.79308003</v>
      </c>
      <c r="V27" s="35">
        <f t="shared" ref="V27:W27" si="31">SUM(V17:V26)</f>
        <v>236253387.68734255</v>
      </c>
      <c r="W27" s="35">
        <f t="shared" si="31"/>
        <v>253269395.88030264</v>
      </c>
      <c r="X27" s="26"/>
    </row>
    <row r="30" spans="1:24">
      <c r="A30" s="141" t="s">
        <v>34</v>
      </c>
      <c r="B30" s="141"/>
      <c r="C30" s="141"/>
      <c r="D30" s="141"/>
      <c r="E30" s="141"/>
      <c r="F30" s="141"/>
    </row>
    <row r="31" spans="1:24" ht="25.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35</v>
      </c>
      <c r="B32" s="46">
        <f>'1'!E13</f>
        <v>301165600</v>
      </c>
      <c r="C32" s="47">
        <f>'1'!T13</f>
        <v>322390585.04000002</v>
      </c>
      <c r="D32" s="47">
        <f>'1'!U13</f>
        <v>345237956.03893602</v>
      </c>
      <c r="E32" s="47">
        <f>'1'!V13</f>
        <v>369843751.65526819</v>
      </c>
      <c r="F32" s="47">
        <f>'1'!W13</f>
        <v>396356617.22370249</v>
      </c>
    </row>
    <row r="33" spans="1:6">
      <c r="A33" s="45" t="s">
        <v>36</v>
      </c>
      <c r="B33" s="46">
        <f>'1'!E27</f>
        <v>192268000</v>
      </c>
      <c r="C33" s="46">
        <f>'1'!T27</f>
        <v>205847601.19999999</v>
      </c>
      <c r="D33" s="46">
        <f>'1'!U27</f>
        <v>220479209.79308003</v>
      </c>
      <c r="E33" s="46">
        <f>'1'!V27</f>
        <v>236253387.68734255</v>
      </c>
      <c r="F33" s="46">
        <f>'1'!W27</f>
        <v>253269395.88030264</v>
      </c>
    </row>
    <row r="34" spans="1:6" ht="20.5" thickBot="1">
      <c r="A34" s="48" t="s">
        <v>37</v>
      </c>
      <c r="B34" s="117">
        <f>B32-B33</f>
        <v>108897600</v>
      </c>
      <c r="C34" s="117">
        <f t="shared" ref="C34:D34" si="32">C32-C33</f>
        <v>116542983.84000003</v>
      </c>
      <c r="D34" s="117">
        <f t="shared" si="32"/>
        <v>124758746.24585599</v>
      </c>
      <c r="E34" s="117">
        <f t="shared" ref="E34" si="33">E32-E33</f>
        <v>133590363.96792564</v>
      </c>
      <c r="F34" s="117">
        <f t="shared" ref="F34" si="34">F32-F33</f>
        <v>143087221.34339985</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7" topLeftCell="A11" activePane="bottomLeft" state="frozen"/>
      <selection activeCell="B40" sqref="B40"/>
      <selection pane="bottomLeft" activeCell="C23" sqref="C23"/>
    </sheetView>
  </sheetViews>
  <sheetFormatPr baseColWidth="10" defaultColWidth="11.453125" defaultRowHeight="14.5"/>
  <cols>
    <col min="1" max="1" width="5.453125" style="8" customWidth="1"/>
    <col min="2" max="2" width="29.453125" style="8" bestFit="1" customWidth="1"/>
    <col min="3" max="3" width="20.26953125" style="8" customWidth="1"/>
    <col min="4" max="4" width="11.453125" style="8"/>
    <col min="5" max="5" width="23.26953125" style="8" customWidth="1"/>
    <col min="6" max="6" width="17.7265625" style="8" bestFit="1" customWidth="1"/>
    <col min="7" max="7" width="15.54296875" style="8" bestFit="1" customWidth="1"/>
    <col min="8" max="16384" width="11.453125" style="8"/>
  </cols>
  <sheetData>
    <row r="1" spans="2:8">
      <c r="B1" s="144" t="s">
        <v>38</v>
      </c>
      <c r="C1" s="144"/>
      <c r="D1" s="144"/>
      <c r="E1" s="144"/>
      <c r="F1" s="144"/>
      <c r="G1" s="144"/>
      <c r="H1" s="144"/>
    </row>
    <row r="2" spans="2:8" ht="3.75" customHeight="1">
      <c r="B2" s="144"/>
      <c r="C2" s="144"/>
      <c r="D2" s="144"/>
      <c r="E2" s="144"/>
      <c r="F2" s="144"/>
      <c r="G2" s="144"/>
      <c r="H2" s="144"/>
    </row>
    <row r="3" spans="2:8">
      <c r="C3" s="21" t="s">
        <v>39</v>
      </c>
      <c r="F3" s="74" t="s">
        <v>40</v>
      </c>
      <c r="G3" s="74"/>
    </row>
    <row r="4" spans="2:8">
      <c r="B4" s="48" t="s">
        <v>41</v>
      </c>
      <c r="C4" s="14">
        <v>0</v>
      </c>
      <c r="F4" s="74"/>
      <c r="G4" s="74"/>
    </row>
    <row r="5" spans="2:8">
      <c r="B5" s="48" t="s">
        <v>42</v>
      </c>
      <c r="C5" s="14">
        <v>3500000</v>
      </c>
      <c r="F5" s="74">
        <v>10</v>
      </c>
      <c r="G5" s="75">
        <f t="shared" ref="G5:G11" si="0">C5/F5</f>
        <v>350000</v>
      </c>
    </row>
    <row r="6" spans="2:8">
      <c r="B6" s="48" t="s">
        <v>43</v>
      </c>
      <c r="C6" s="14">
        <v>4000000</v>
      </c>
      <c r="F6" s="74">
        <v>5</v>
      </c>
      <c r="G6" s="75">
        <f t="shared" si="0"/>
        <v>800000</v>
      </c>
    </row>
    <row r="7" spans="2:8">
      <c r="B7" s="48" t="s">
        <v>44</v>
      </c>
      <c r="C7" s="14">
        <v>0</v>
      </c>
      <c r="F7" s="74">
        <v>5</v>
      </c>
      <c r="G7" s="75">
        <f t="shared" si="0"/>
        <v>0</v>
      </c>
    </row>
    <row r="8" spans="2:8">
      <c r="B8" s="48" t="s">
        <v>45</v>
      </c>
      <c r="C8" s="14">
        <v>0</v>
      </c>
      <c r="F8" s="74">
        <v>5</v>
      </c>
      <c r="G8" s="75">
        <f t="shared" si="0"/>
        <v>0</v>
      </c>
    </row>
    <row r="9" spans="2:8">
      <c r="B9" s="48" t="s">
        <v>46</v>
      </c>
      <c r="C9" s="14">
        <v>0</v>
      </c>
      <c r="F9" s="74">
        <v>5</v>
      </c>
      <c r="G9" s="75">
        <f t="shared" si="0"/>
        <v>0</v>
      </c>
    </row>
    <row r="10" spans="2:8">
      <c r="B10" s="48" t="s">
        <v>47</v>
      </c>
      <c r="C10" s="14">
        <v>0</v>
      </c>
      <c r="F10" s="74">
        <v>5</v>
      </c>
      <c r="G10" s="75">
        <f t="shared" si="0"/>
        <v>0</v>
      </c>
    </row>
    <row r="11" spans="2:8">
      <c r="B11" s="48" t="s">
        <v>48</v>
      </c>
      <c r="C11" s="14">
        <f>2000000+20000000</f>
        <v>22000000</v>
      </c>
      <c r="F11" s="74">
        <v>5</v>
      </c>
      <c r="G11" s="75">
        <f t="shared" si="0"/>
        <v>4400000</v>
      </c>
    </row>
    <row r="12" spans="2:8" ht="16" thickBot="1">
      <c r="B12" s="76" t="s">
        <v>49</v>
      </c>
      <c r="C12" s="77">
        <f>SUM(C4:C11)</f>
        <v>29500000</v>
      </c>
      <c r="F12" s="74"/>
      <c r="G12" s="75">
        <f>SUM(G5:G11)</f>
        <v>5550000</v>
      </c>
    </row>
    <row r="13" spans="2:8">
      <c r="B13" s="145" t="s">
        <v>50</v>
      </c>
      <c r="C13" s="146"/>
      <c r="D13" s="146"/>
      <c r="E13" s="146"/>
      <c r="F13" s="146"/>
      <c r="G13" s="146"/>
      <c r="H13" s="147"/>
    </row>
    <row r="14" spans="2:8" ht="15" thickBot="1">
      <c r="B14" s="148"/>
      <c r="C14" s="149"/>
      <c r="D14" s="149"/>
      <c r="E14" s="149"/>
      <c r="F14" s="149"/>
      <c r="G14" s="149"/>
      <c r="H14" s="150"/>
    </row>
    <row r="15" spans="2:8">
      <c r="B15" s="78"/>
      <c r="C15" s="78"/>
      <c r="D15" s="78"/>
      <c r="E15" s="78"/>
      <c r="F15" s="78"/>
      <c r="G15" s="78"/>
      <c r="H15" s="78"/>
    </row>
    <row r="16" spans="2:8">
      <c r="B16" s="76" t="s">
        <v>51</v>
      </c>
      <c r="E16" s="76" t="s">
        <v>52</v>
      </c>
      <c r="F16" s="38"/>
    </row>
    <row r="17" spans="2:6">
      <c r="C17" s="76" t="s">
        <v>53</v>
      </c>
      <c r="F17" s="76" t="str">
        <f>C17</f>
        <v>VALOR AÑO 1</v>
      </c>
    </row>
    <row r="18" spans="2:6">
      <c r="B18" s="79" t="s">
        <v>54</v>
      </c>
      <c r="C18" s="14">
        <f>1500000*12+3000000*3*12</f>
        <v>126000000</v>
      </c>
      <c r="E18" s="80" t="s">
        <v>55</v>
      </c>
      <c r="F18" s="14">
        <f>2000000*12</f>
        <v>24000000</v>
      </c>
    </row>
    <row r="19" spans="2:6">
      <c r="C19" s="81"/>
      <c r="E19" s="80" t="s">
        <v>56</v>
      </c>
      <c r="F19" s="14">
        <f>450000*12+150000*12</f>
        <v>7200000</v>
      </c>
    </row>
    <row r="20" spans="2:6">
      <c r="B20" s="79" t="s">
        <v>57</v>
      </c>
      <c r="C20" s="14">
        <f>1500000*12</f>
        <v>18000000</v>
      </c>
      <c r="E20" s="80" t="s">
        <v>58</v>
      </c>
      <c r="F20" s="14">
        <v>0</v>
      </c>
    </row>
    <row r="21" spans="2:6">
      <c r="C21" s="81"/>
      <c r="E21" s="80" t="s">
        <v>59</v>
      </c>
      <c r="F21" s="14">
        <f>80000*12</f>
        <v>960000</v>
      </c>
    </row>
    <row r="22" spans="2:6">
      <c r="B22" s="79" t="s">
        <v>60</v>
      </c>
      <c r="C22" s="14">
        <f>300000*12</f>
        <v>3600000</v>
      </c>
      <c r="E22" s="80" t="s">
        <v>61</v>
      </c>
      <c r="F22" s="14">
        <f>150000*12</f>
        <v>1800000</v>
      </c>
    </row>
    <row r="23" spans="2:6" ht="15.5">
      <c r="B23" s="8" t="s">
        <v>62</v>
      </c>
      <c r="C23" s="77">
        <f>C18+C20+C22</f>
        <v>147600000</v>
      </c>
      <c r="E23" s="80" t="s">
        <v>63</v>
      </c>
      <c r="F23" s="14">
        <v>0</v>
      </c>
    </row>
    <row r="24" spans="2:6">
      <c r="E24" s="80" t="s">
        <v>64</v>
      </c>
      <c r="F24" s="14">
        <v>0</v>
      </c>
    </row>
    <row r="25" spans="2:6" ht="24.5">
      <c r="B25" s="80" t="s">
        <v>65</v>
      </c>
      <c r="C25" s="14">
        <f>1500000*12</f>
        <v>18000000</v>
      </c>
      <c r="E25" s="101" t="s">
        <v>66</v>
      </c>
      <c r="F25" s="14">
        <v>0</v>
      </c>
    </row>
    <row r="26" spans="2:6">
      <c r="E26" s="101" t="s">
        <v>67</v>
      </c>
      <c r="F26" s="14">
        <v>0</v>
      </c>
    </row>
    <row r="27" spans="2:6">
      <c r="B27" s="99" t="s">
        <v>68</v>
      </c>
      <c r="C27" s="99"/>
      <c r="E27" s="101" t="s">
        <v>69</v>
      </c>
      <c r="F27" s="14">
        <v>500000</v>
      </c>
    </row>
    <row r="28" spans="2:6">
      <c r="B28" s="115">
        <f>'1'!G2</f>
        <v>2026</v>
      </c>
      <c r="C28" s="14">
        <v>0</v>
      </c>
      <c r="E28" s="101" t="s">
        <v>70</v>
      </c>
      <c r="F28" s="14">
        <v>0</v>
      </c>
    </row>
    <row r="29" spans="2:6">
      <c r="B29" s="115">
        <f>'1'!H2</f>
        <v>2027</v>
      </c>
      <c r="C29" s="14">
        <v>0</v>
      </c>
      <c r="E29" s="101"/>
      <c r="F29" s="14">
        <v>0</v>
      </c>
    </row>
    <row r="30" spans="2:6">
      <c r="B30" s="115">
        <f>'1'!I2</f>
        <v>2028</v>
      </c>
      <c r="C30" s="14">
        <v>0</v>
      </c>
      <c r="E30" s="101"/>
      <c r="F30" s="14">
        <v>0</v>
      </c>
    </row>
    <row r="31" spans="2:6" ht="15.5">
      <c r="B31" s="115">
        <f>'1'!J2</f>
        <v>2029</v>
      </c>
      <c r="C31" s="14">
        <v>0</v>
      </c>
      <c r="E31" s="80" t="s">
        <v>71</v>
      </c>
      <c r="F31" s="77">
        <f>SUM(F18:F30)</f>
        <v>34460000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E16" sqref="E16"/>
    </sheetView>
  </sheetViews>
  <sheetFormatPr baseColWidth="10" defaultColWidth="11.453125" defaultRowHeight="14.5"/>
  <cols>
    <col min="1" max="1" width="11.453125" style="8"/>
    <col min="2" max="2" width="39" style="8" bestFit="1" customWidth="1"/>
    <col min="3" max="3" width="18.54296875" style="8" bestFit="1" customWidth="1"/>
    <col min="4" max="4" width="19.1796875" style="8" bestFit="1" customWidth="1"/>
    <col min="5" max="5" width="12.81640625" style="8" customWidth="1"/>
    <col min="6" max="6" width="17.453125" style="8" bestFit="1" customWidth="1"/>
    <col min="7" max="7" width="16.1796875" style="8" bestFit="1" customWidth="1"/>
    <col min="8" max="8" width="17.453125" style="8" bestFit="1" customWidth="1"/>
    <col min="9" max="9" width="17" style="8" bestFit="1" customWidth="1"/>
    <col min="10" max="10" width="17.453125" style="8" bestFit="1" customWidth="1"/>
    <col min="11" max="16384" width="11.453125" style="8"/>
  </cols>
  <sheetData>
    <row r="2" spans="2:12" ht="29.25" customHeight="1">
      <c r="B2" s="142" t="s">
        <v>72</v>
      </c>
      <c r="C2" s="142"/>
      <c r="D2" s="142"/>
      <c r="E2" s="142"/>
      <c r="F2" s="142"/>
      <c r="G2" s="142"/>
      <c r="H2" s="142"/>
      <c r="I2" s="142"/>
      <c r="J2" s="142"/>
    </row>
    <row r="3" spans="2:12">
      <c r="F3" s="151" t="s">
        <v>73</v>
      </c>
      <c r="G3" s="151"/>
    </row>
    <row r="4" spans="2:12" ht="15.5">
      <c r="B4" s="16" t="s">
        <v>49</v>
      </c>
      <c r="C4" s="77">
        <f>'2'!C12</f>
        <v>29500000</v>
      </c>
      <c r="F4" s="152">
        <v>0.25</v>
      </c>
      <c r="G4" s="152"/>
      <c r="I4" s="8" t="s">
        <v>74</v>
      </c>
      <c r="J4" s="131">
        <v>5</v>
      </c>
      <c r="L4" s="74">
        <v>1</v>
      </c>
    </row>
    <row r="5" spans="2:12">
      <c r="L5" s="74">
        <v>2</v>
      </c>
    </row>
    <row r="6" spans="2:12" ht="15" thickBot="1">
      <c r="B6" s="16" t="s">
        <v>75</v>
      </c>
      <c r="F6" s="141" t="s">
        <v>76</v>
      </c>
      <c r="G6" s="141"/>
      <c r="H6" s="141"/>
      <c r="I6" s="141"/>
      <c r="J6" s="141"/>
      <c r="L6" s="74">
        <v>3</v>
      </c>
    </row>
    <row r="7" spans="2:12">
      <c r="C7" s="82" t="s">
        <v>77</v>
      </c>
      <c r="D7" s="82" t="s">
        <v>78</v>
      </c>
      <c r="E7" s="120"/>
      <c r="F7" s="121" t="s">
        <v>79</v>
      </c>
      <c r="G7" s="121" t="s">
        <v>80</v>
      </c>
      <c r="H7" s="121" t="s">
        <v>81</v>
      </c>
      <c r="I7" s="121" t="s">
        <v>82</v>
      </c>
      <c r="J7" s="122" t="s">
        <v>83</v>
      </c>
      <c r="L7" s="74">
        <v>4</v>
      </c>
    </row>
    <row r="8" spans="2:12">
      <c r="B8" s="48" t="s">
        <v>84</v>
      </c>
      <c r="C8" s="57">
        <v>6</v>
      </c>
      <c r="D8" s="25">
        <f>('1'!B33/12)*C8</f>
        <v>96134000</v>
      </c>
      <c r="E8" s="123" t="s">
        <v>85</v>
      </c>
      <c r="F8" s="124"/>
      <c r="G8" s="124"/>
      <c r="H8" s="124"/>
      <c r="I8" s="124"/>
      <c r="J8" s="125">
        <f>D16</f>
        <v>195664000</v>
      </c>
      <c r="L8" s="74">
        <v>5</v>
      </c>
    </row>
    <row r="9" spans="2:12">
      <c r="B9" s="48" t="s">
        <v>86</v>
      </c>
      <c r="C9" s="57">
        <v>6</v>
      </c>
      <c r="D9" s="25">
        <f>('2'!C23/12)*C9</f>
        <v>73800000</v>
      </c>
      <c r="E9" s="123">
        <f>'1'!B31</f>
        <v>2025</v>
      </c>
      <c r="F9" s="127">
        <f t="shared" ref="F9:F13" si="0">IF(J8&gt;0,J8,0)</f>
        <v>195664000</v>
      </c>
      <c r="G9" s="127">
        <f>F9*$F$4</f>
        <v>48916000</v>
      </c>
      <c r="H9" s="127">
        <f>IF(J8&lt;1,0,(I9-G9))</f>
        <v>23841020.466444552</v>
      </c>
      <c r="I9" s="127">
        <f>PMT(F4,J4,J8)*-1</f>
        <v>72757020.466444552</v>
      </c>
      <c r="J9" s="128">
        <f>F9-H9</f>
        <v>171822979.53355545</v>
      </c>
    </row>
    <row r="10" spans="2:12">
      <c r="B10" s="48" t="s">
        <v>87</v>
      </c>
      <c r="C10" s="57">
        <v>6</v>
      </c>
      <c r="D10" s="25">
        <f>('2'!C25/12)*C10</f>
        <v>9000000</v>
      </c>
      <c r="E10" s="123">
        <f>'1'!C31</f>
        <v>2026</v>
      </c>
      <c r="F10" s="127">
        <f t="shared" si="0"/>
        <v>171822979.53355545</v>
      </c>
      <c r="G10" s="127">
        <f t="shared" ref="G10:G13" si="1">F10*$F$4</f>
        <v>42955744.883388862</v>
      </c>
      <c r="H10" s="127">
        <f t="shared" ref="H10:H13" si="2">IF(J9&lt;1,0,(I10-G10))</f>
        <v>29801275.58305569</v>
      </c>
      <c r="I10" s="127">
        <f>IF(J9&lt;1,0,(I9*(1+$K$7)))</f>
        <v>72757020.466444552</v>
      </c>
      <c r="J10" s="128">
        <f t="shared" ref="J10:J13" si="3">F10-H10</f>
        <v>142021703.95049977</v>
      </c>
    </row>
    <row r="11" spans="2:12">
      <c r="B11" s="48" t="s">
        <v>88</v>
      </c>
      <c r="C11" s="57">
        <v>6</v>
      </c>
      <c r="D11" s="25">
        <f>('2'!F31/12)*C11</f>
        <v>17230000</v>
      </c>
      <c r="E11" s="123">
        <f>'1'!D31</f>
        <v>2027</v>
      </c>
      <c r="F11" s="127">
        <f t="shared" si="0"/>
        <v>142021703.95049977</v>
      </c>
      <c r="G11" s="127">
        <f t="shared" si="1"/>
        <v>35505425.987624943</v>
      </c>
      <c r="H11" s="127">
        <f t="shared" si="2"/>
        <v>37251594.478819609</v>
      </c>
      <c r="I11" s="127">
        <f t="shared" ref="I11:I13" si="4">IF(J10&lt;1,0,(I10*(1+$K$7)))</f>
        <v>72757020.466444552</v>
      </c>
      <c r="J11" s="128">
        <f t="shared" si="3"/>
        <v>104770109.47168016</v>
      </c>
    </row>
    <row r="12" spans="2:12" ht="15.5">
      <c r="B12" s="83" t="s">
        <v>29</v>
      </c>
      <c r="C12" s="61"/>
      <c r="D12" s="84">
        <f>SUM(D8:D11)</f>
        <v>196164000</v>
      </c>
      <c r="E12" s="123">
        <f>'1'!E31</f>
        <v>2028</v>
      </c>
      <c r="F12" s="127">
        <f t="shared" si="0"/>
        <v>104770109.47168016</v>
      </c>
      <c r="G12" s="127">
        <f t="shared" si="1"/>
        <v>26192527.367920041</v>
      </c>
      <c r="H12" s="127">
        <f t="shared" si="2"/>
        <v>46564493.098524511</v>
      </c>
      <c r="I12" s="127">
        <f t="shared" si="4"/>
        <v>72757020.466444552</v>
      </c>
      <c r="J12" s="128">
        <f t="shared" si="3"/>
        <v>58205616.373155653</v>
      </c>
    </row>
    <row r="13" spans="2:12" ht="15" thickBot="1">
      <c r="E13" s="126">
        <f>'1'!F31</f>
        <v>2029</v>
      </c>
      <c r="F13" s="129">
        <f t="shared" si="0"/>
        <v>58205616.373155653</v>
      </c>
      <c r="G13" s="129">
        <f t="shared" si="1"/>
        <v>14551404.093288913</v>
      </c>
      <c r="H13" s="129">
        <f t="shared" si="2"/>
        <v>58205616.373155639</v>
      </c>
      <c r="I13" s="129">
        <f t="shared" si="4"/>
        <v>72757020.466444552</v>
      </c>
      <c r="J13" s="130">
        <f t="shared" si="3"/>
        <v>0</v>
      </c>
    </row>
    <row r="14" spans="2:12" ht="15.5">
      <c r="B14" s="48" t="s">
        <v>89</v>
      </c>
      <c r="D14" s="77">
        <f>C4+D12</f>
        <v>225664000</v>
      </c>
    </row>
    <row r="15" spans="2:12">
      <c r="B15" s="48" t="s">
        <v>90</v>
      </c>
      <c r="D15" s="58">
        <v>30000000</v>
      </c>
    </row>
    <row r="16" spans="2:12" ht="15.5">
      <c r="B16" s="48" t="s">
        <v>91</v>
      </c>
      <c r="D16" s="85">
        <f>D14-D15</f>
        <v>195664000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D11" sqref="D11"/>
    </sheetView>
  </sheetViews>
  <sheetFormatPr baseColWidth="10" defaultColWidth="11.453125" defaultRowHeight="14.5"/>
  <cols>
    <col min="1" max="1" width="26.7265625" style="8" customWidth="1"/>
    <col min="2" max="2" width="25.81640625" style="8" bestFit="1" customWidth="1"/>
    <col min="3" max="3" width="21.7265625" style="8" bestFit="1" customWidth="1"/>
    <col min="4" max="7" width="18.453125" style="8" bestFit="1" customWidth="1"/>
    <col min="8" max="16384" width="11.453125" style="8"/>
  </cols>
  <sheetData>
    <row r="1" spans="1:7" ht="34.5" customHeight="1">
      <c r="A1" s="156" t="s">
        <v>92</v>
      </c>
      <c r="B1" s="156"/>
      <c r="C1" s="156"/>
      <c r="D1" s="156"/>
      <c r="E1" s="156"/>
      <c r="F1" s="156"/>
      <c r="G1" s="156"/>
    </row>
    <row r="2" spans="1:7" ht="23">
      <c r="A2" s="157" t="s">
        <v>93</v>
      </c>
      <c r="B2" s="157"/>
      <c r="C2" s="157"/>
      <c r="D2" s="157"/>
      <c r="E2" s="157"/>
      <c r="F2" s="157"/>
      <c r="G2" s="157"/>
    </row>
    <row r="3" spans="1:7" ht="8.25" customHeight="1">
      <c r="A3" s="59"/>
      <c r="B3" s="59"/>
      <c r="C3" s="59"/>
      <c r="D3" s="59"/>
      <c r="E3" s="59"/>
      <c r="F3" s="59"/>
      <c r="G3" s="59"/>
    </row>
    <row r="4" spans="1:7" ht="15.5">
      <c r="A4" s="155" t="s">
        <v>94</v>
      </c>
      <c r="B4" s="155"/>
      <c r="C4" s="155"/>
      <c r="D4" s="155"/>
      <c r="E4" s="155"/>
      <c r="F4" s="155"/>
      <c r="G4" s="155"/>
    </row>
    <row r="5" spans="1:7" ht="23">
      <c r="C5" s="63">
        <f>'1'!B31</f>
        <v>2025</v>
      </c>
      <c r="D5" s="63">
        <f>'1'!C31</f>
        <v>2026</v>
      </c>
      <c r="E5" s="63">
        <f>'1'!D31</f>
        <v>2027</v>
      </c>
      <c r="F5" s="63">
        <f>'1'!E31</f>
        <v>2028</v>
      </c>
      <c r="G5" s="63">
        <f>'1'!F31</f>
        <v>2029</v>
      </c>
    </row>
    <row r="6" spans="1:7">
      <c r="B6" s="8" t="s">
        <v>95</v>
      </c>
      <c r="C6" s="64">
        <f>'1'!B32</f>
        <v>301165600</v>
      </c>
      <c r="D6" s="64">
        <f>'1'!C32</f>
        <v>322390585.04000002</v>
      </c>
      <c r="E6" s="64">
        <f>'1'!D32</f>
        <v>345237956.03893602</v>
      </c>
      <c r="F6" s="64">
        <f>'1'!E32</f>
        <v>369843751.65526819</v>
      </c>
      <c r="G6" s="64">
        <f>'1'!F32</f>
        <v>396356617.22370249</v>
      </c>
    </row>
    <row r="7" spans="1:7">
      <c r="B7" s="8" t="s">
        <v>96</v>
      </c>
      <c r="C7" s="64">
        <f>'1'!B33</f>
        <v>192268000</v>
      </c>
      <c r="D7" s="64">
        <f>'1'!C33</f>
        <v>205847601.19999999</v>
      </c>
      <c r="E7" s="64">
        <f>'1'!D33</f>
        <v>220479209.79308003</v>
      </c>
      <c r="F7" s="64">
        <f>'1'!E33</f>
        <v>236253387.68734255</v>
      </c>
      <c r="G7" s="64">
        <f>'1'!F33</f>
        <v>253269395.88030264</v>
      </c>
    </row>
    <row r="8" spans="1:7" ht="15" thickBot="1">
      <c r="B8" s="65" t="s">
        <v>97</v>
      </c>
      <c r="C8" s="66">
        <f>C6-C7</f>
        <v>108897600</v>
      </c>
      <c r="D8" s="66">
        <f t="shared" ref="D8:G8" si="0">D6-D7</f>
        <v>116542983.84000003</v>
      </c>
      <c r="E8" s="66">
        <f t="shared" si="0"/>
        <v>124758746.24585599</v>
      </c>
      <c r="F8" s="66">
        <f t="shared" si="0"/>
        <v>133590363.96792564</v>
      </c>
      <c r="G8" s="66">
        <f t="shared" si="0"/>
        <v>143087221.34339985</v>
      </c>
    </row>
    <row r="9" spans="1:7" ht="15" thickTop="1">
      <c r="B9" s="8" t="s">
        <v>98</v>
      </c>
      <c r="C9" s="64">
        <f>'2'!C23</f>
        <v>147600000</v>
      </c>
      <c r="D9" s="64">
        <f>C9*(1+'1'!Z4)</f>
        <v>152028000</v>
      </c>
      <c r="E9" s="64">
        <f>D9*(1+'1'!AA4)</f>
        <v>156588840</v>
      </c>
      <c r="F9" s="64">
        <f>E9*(1+'1'!AB4)</f>
        <v>161286505.20000002</v>
      </c>
      <c r="G9" s="64">
        <f>F9*(1+'1'!AC4)</f>
        <v>166125100.35600004</v>
      </c>
    </row>
    <row r="10" spans="1:7">
      <c r="B10" s="8" t="s">
        <v>99</v>
      </c>
      <c r="C10" s="64">
        <f>'2'!F31</f>
        <v>34460000</v>
      </c>
      <c r="D10" s="64">
        <f>C10*(1+'1'!Z4)</f>
        <v>35493800</v>
      </c>
      <c r="E10" s="64">
        <f>D10*(1+'1'!AA4)</f>
        <v>36558614</v>
      </c>
      <c r="F10" s="64">
        <f>E10*(1+'1'!AB4)</f>
        <v>37655372.420000002</v>
      </c>
      <c r="G10" s="64">
        <f>F10*(1+'1'!AC4)</f>
        <v>38785033.592600003</v>
      </c>
    </row>
    <row r="11" spans="1:7">
      <c r="B11" s="8" t="s">
        <v>100</v>
      </c>
      <c r="C11" s="64">
        <f>'2'!C25</f>
        <v>18000000</v>
      </c>
      <c r="D11" s="64">
        <f>'2'!C28</f>
        <v>0</v>
      </c>
      <c r="E11" s="64">
        <f>'2'!C29</f>
        <v>0</v>
      </c>
      <c r="F11" s="64">
        <f>'2'!C30</f>
        <v>0</v>
      </c>
      <c r="G11" s="64">
        <f>'2'!C31</f>
        <v>0</v>
      </c>
    </row>
    <row r="12" spans="1:7">
      <c r="B12" s="8" t="s">
        <v>101</v>
      </c>
      <c r="C12" s="64">
        <f>'2'!G12</f>
        <v>5550000</v>
      </c>
      <c r="D12" s="64">
        <f>C12</f>
        <v>5550000</v>
      </c>
      <c r="E12" s="64">
        <f t="shared" ref="E12:G12" si="1">D12</f>
        <v>5550000</v>
      </c>
      <c r="F12" s="64">
        <f t="shared" si="1"/>
        <v>5550000</v>
      </c>
      <c r="G12" s="64">
        <f t="shared" si="1"/>
        <v>5550000</v>
      </c>
    </row>
    <row r="13" spans="1:7" ht="15" thickBot="1">
      <c r="B13" s="65" t="s">
        <v>102</v>
      </c>
      <c r="C13" s="67">
        <f>C8-C9-C10-C11-C12</f>
        <v>-96712400</v>
      </c>
      <c r="D13" s="67">
        <f t="shared" ref="D13:G13" si="2">D8-D9-D10-D11-D12</f>
        <v>-76528816.159999967</v>
      </c>
      <c r="E13" s="67">
        <f t="shared" si="2"/>
        <v>-73938707.754144013</v>
      </c>
      <c r="F13" s="67">
        <f t="shared" si="2"/>
        <v>-70901513.652074382</v>
      </c>
      <c r="G13" s="67">
        <f t="shared" si="2"/>
        <v>-67372912.605200186</v>
      </c>
    </row>
    <row r="14" spans="1:7" ht="15" thickTop="1">
      <c r="B14" s="8" t="s">
        <v>103</v>
      </c>
      <c r="C14" s="64">
        <f>'3'!G9</f>
        <v>48916000</v>
      </c>
      <c r="D14" s="64">
        <f>'3'!G10</f>
        <v>42955744.883388862</v>
      </c>
      <c r="E14" s="64">
        <f>'3'!G11</f>
        <v>35505425.987624943</v>
      </c>
      <c r="F14" s="64">
        <f>'3'!G12</f>
        <v>26192527.367920041</v>
      </c>
      <c r="G14" s="64">
        <f>'3'!G13</f>
        <v>14551404.093288913</v>
      </c>
    </row>
    <row r="15" spans="1:7" ht="15" thickBot="1">
      <c r="B15" s="65" t="s">
        <v>104</v>
      </c>
      <c r="C15" s="67">
        <f>C13-C14</f>
        <v>-145628400</v>
      </c>
      <c r="D15" s="67">
        <f t="shared" ref="D15:G15" si="3">D13-D14</f>
        <v>-119484561.04338883</v>
      </c>
      <c r="E15" s="67">
        <f t="shared" si="3"/>
        <v>-109444133.74176896</v>
      </c>
      <c r="F15" s="67">
        <f t="shared" si="3"/>
        <v>-97094041.019994423</v>
      </c>
      <c r="G15" s="67">
        <f t="shared" si="3"/>
        <v>-81924316.6984891</v>
      </c>
    </row>
    <row r="16" spans="1:7" ht="15" thickTop="1">
      <c r="B16" s="8" t="s">
        <v>105</v>
      </c>
      <c r="C16" s="68">
        <f>IF(C15*'1'!$AB$7&lt;0,0,C15*'1'!$AB$7)</f>
        <v>0</v>
      </c>
      <c r="D16" s="68">
        <f>IF(D15*'1'!$AB$7&lt;0,0,D15*'1'!$AB$7)</f>
        <v>0</v>
      </c>
      <c r="E16" s="68">
        <f>IF(E15*'1'!$AB$7&lt;0,0,E15*'1'!$AB$7)</f>
        <v>0</v>
      </c>
      <c r="F16" s="68">
        <f>IF(F15*'1'!$AB$7&lt;0,0,F15*'1'!$AB$7)</f>
        <v>0</v>
      </c>
      <c r="G16" s="68">
        <f>IF(G15*'1'!$AB$7&lt;0,0,G15*'1'!$AB$7)</f>
        <v>0</v>
      </c>
    </row>
    <row r="17" spans="1:8" ht="15" thickBot="1">
      <c r="B17" s="69" t="s">
        <v>106</v>
      </c>
      <c r="C17" s="70">
        <f>C15-C16</f>
        <v>-145628400</v>
      </c>
      <c r="D17" s="70">
        <f t="shared" ref="D17:G17" si="4">D15-D16</f>
        <v>-119484561.04338883</v>
      </c>
      <c r="E17" s="70">
        <f t="shared" si="4"/>
        <v>-109444133.74176896</v>
      </c>
      <c r="F17" s="70">
        <f t="shared" si="4"/>
        <v>-97094041.019994423</v>
      </c>
      <c r="G17" s="70">
        <f t="shared" si="4"/>
        <v>-81924316.6984891</v>
      </c>
    </row>
    <row r="19" spans="1:8" ht="15.5">
      <c r="A19" s="155" t="s">
        <v>107</v>
      </c>
      <c r="B19" s="155"/>
      <c r="C19" s="155"/>
      <c r="D19" s="155"/>
      <c r="E19" s="155"/>
      <c r="F19" s="155"/>
      <c r="G19" s="155"/>
    </row>
    <row r="20" spans="1:8" ht="23">
      <c r="B20" s="71" t="s">
        <v>85</v>
      </c>
      <c r="C20" s="63">
        <f>C5</f>
        <v>2025</v>
      </c>
      <c r="D20" s="63">
        <f>D5</f>
        <v>2026</v>
      </c>
      <c r="E20" s="63">
        <f>E5</f>
        <v>2027</v>
      </c>
      <c r="F20" s="63">
        <f>F5</f>
        <v>2028</v>
      </c>
      <c r="G20" s="63">
        <f>G5</f>
        <v>2029</v>
      </c>
    </row>
    <row r="21" spans="1:8">
      <c r="A21" s="154" t="s">
        <v>108</v>
      </c>
      <c r="B21" s="154"/>
      <c r="C21" s="154"/>
      <c r="D21" s="154"/>
      <c r="E21" s="154"/>
      <c r="F21" s="154"/>
      <c r="G21" s="154"/>
    </row>
    <row r="22" spans="1:8">
      <c r="A22" s="8" t="s">
        <v>109</v>
      </c>
      <c r="B22" s="26">
        <f>B38-B26</f>
        <v>196164000</v>
      </c>
      <c r="C22" s="26">
        <f t="shared" ref="C22:G22" si="5">C38-C26</f>
        <v>32244579.533555448</v>
      </c>
      <c r="D22" s="26">
        <f t="shared" si="5"/>
        <v>34137142.907110944</v>
      </c>
      <c r="E22" s="26">
        <f t="shared" si="5"/>
        <v>12475975.729911208</v>
      </c>
      <c r="F22" s="26">
        <f t="shared" si="5"/>
        <v>-16188424.646838769</v>
      </c>
      <c r="G22" s="26">
        <f t="shared" si="5"/>
        <v>-53674316.6984891</v>
      </c>
    </row>
    <row r="23" spans="1:8">
      <c r="A23" s="8" t="s">
        <v>110</v>
      </c>
      <c r="B23" s="26">
        <f>'2'!C4</f>
        <v>0</v>
      </c>
      <c r="C23" s="26">
        <f>B23</f>
        <v>0</v>
      </c>
      <c r="D23" s="26">
        <f t="shared" ref="D23:G23" si="6">C23</f>
        <v>0</v>
      </c>
      <c r="E23" s="26">
        <f t="shared" si="6"/>
        <v>0</v>
      </c>
      <c r="F23" s="26">
        <f t="shared" si="6"/>
        <v>0</v>
      </c>
      <c r="G23" s="26">
        <f t="shared" si="6"/>
        <v>0</v>
      </c>
      <c r="H23" s="26"/>
    </row>
    <row r="24" spans="1:8">
      <c r="A24" s="8" t="s">
        <v>111</v>
      </c>
      <c r="B24" s="26">
        <f>'2'!C12-'2'!C4</f>
        <v>29500000</v>
      </c>
      <c r="C24" s="26">
        <f>B24</f>
        <v>29500000</v>
      </c>
      <c r="D24" s="26">
        <f t="shared" ref="D24:G24" si="7">C24</f>
        <v>29500000</v>
      </c>
      <c r="E24" s="26">
        <f t="shared" si="7"/>
        <v>29500000</v>
      </c>
      <c r="F24" s="26">
        <f t="shared" si="7"/>
        <v>29500000</v>
      </c>
      <c r="G24" s="26">
        <f t="shared" si="7"/>
        <v>29500000</v>
      </c>
      <c r="H24" s="26"/>
    </row>
    <row r="25" spans="1:8">
      <c r="A25" s="8" t="s">
        <v>112</v>
      </c>
      <c r="B25" s="26">
        <v>0</v>
      </c>
      <c r="C25" s="26">
        <f>C12</f>
        <v>5550000</v>
      </c>
      <c r="D25" s="26">
        <f>D12+C12</f>
        <v>11100000</v>
      </c>
      <c r="E25" s="26">
        <f>E12+D12+C12</f>
        <v>16650000</v>
      </c>
      <c r="F25" s="26">
        <f>F12+E12+D12+C12</f>
        <v>22200000</v>
      </c>
      <c r="G25" s="26">
        <f>F25+G12</f>
        <v>27750000</v>
      </c>
      <c r="H25" s="26"/>
    </row>
    <row r="26" spans="1:8">
      <c r="A26" s="8" t="s">
        <v>113</v>
      </c>
      <c r="B26" s="26">
        <f>B23+(B24-B25)</f>
        <v>29500000</v>
      </c>
      <c r="C26" s="26">
        <f>C23+(C24-C25)</f>
        <v>23950000</v>
      </c>
      <c r="D26" s="26">
        <f t="shared" ref="D26:G26" si="8">D23+(D24-D25)</f>
        <v>18400000</v>
      </c>
      <c r="E26" s="26">
        <f t="shared" si="8"/>
        <v>12850000</v>
      </c>
      <c r="F26" s="26">
        <f t="shared" si="8"/>
        <v>7300000</v>
      </c>
      <c r="G26" s="26">
        <f t="shared" si="8"/>
        <v>1750000</v>
      </c>
      <c r="H26" s="26"/>
    </row>
    <row r="27" spans="1:8" ht="15" thickBot="1">
      <c r="A27" s="65" t="s">
        <v>114</v>
      </c>
      <c r="B27" s="72">
        <f>B22+B26</f>
        <v>225664000</v>
      </c>
      <c r="C27" s="72">
        <f t="shared" ref="C27:G27" si="9">C22+C26</f>
        <v>56194579.533555448</v>
      </c>
      <c r="D27" s="72">
        <f t="shared" si="9"/>
        <v>52537142.907110944</v>
      </c>
      <c r="E27" s="72">
        <f t="shared" si="9"/>
        <v>25325975.729911208</v>
      </c>
      <c r="F27" s="72">
        <f t="shared" si="9"/>
        <v>-8888424.6468387693</v>
      </c>
      <c r="G27" s="72">
        <f t="shared" si="9"/>
        <v>-51924316.6984891</v>
      </c>
      <c r="H27" s="26"/>
    </row>
    <row r="28" spans="1:8" ht="15" thickTop="1">
      <c r="A28" s="154" t="s">
        <v>115</v>
      </c>
      <c r="B28" s="154"/>
      <c r="C28" s="154"/>
      <c r="D28" s="154"/>
      <c r="E28" s="154"/>
      <c r="F28" s="154"/>
      <c r="G28" s="154"/>
    </row>
    <row r="29" spans="1:8">
      <c r="A29" s="8" t="s">
        <v>116</v>
      </c>
      <c r="B29" s="8">
        <v>0</v>
      </c>
      <c r="C29" s="68">
        <f>C16</f>
        <v>0</v>
      </c>
      <c r="D29" s="68">
        <f>D16</f>
        <v>0</v>
      </c>
      <c r="E29" s="68">
        <f>E16</f>
        <v>0</v>
      </c>
      <c r="F29" s="68">
        <f>F16</f>
        <v>0</v>
      </c>
      <c r="G29" s="68">
        <f>G16</f>
        <v>0</v>
      </c>
    </row>
    <row r="30" spans="1:8">
      <c r="A30" s="8" t="s">
        <v>117</v>
      </c>
      <c r="B30" s="68">
        <f>B29</f>
        <v>0</v>
      </c>
      <c r="C30" s="68">
        <f t="shared" ref="C30:G30" si="10">C29</f>
        <v>0</v>
      </c>
      <c r="D30" s="68">
        <f t="shared" si="10"/>
        <v>0</v>
      </c>
      <c r="E30" s="68">
        <f t="shared" si="10"/>
        <v>0</v>
      </c>
      <c r="F30" s="68">
        <f t="shared" si="10"/>
        <v>0</v>
      </c>
      <c r="G30" s="68">
        <f t="shared" si="10"/>
        <v>0</v>
      </c>
    </row>
    <row r="31" spans="1:8">
      <c r="A31" s="8" t="s">
        <v>118</v>
      </c>
      <c r="B31" s="25">
        <f>'3'!J8</f>
        <v>195664000</v>
      </c>
      <c r="C31" s="25">
        <f>'3'!J9</f>
        <v>171822979.53355545</v>
      </c>
      <c r="D31" s="25">
        <f>'3'!J10</f>
        <v>142021703.95049977</v>
      </c>
      <c r="E31" s="25">
        <f>'3'!J11</f>
        <v>104770109.47168016</v>
      </c>
      <c r="F31" s="25">
        <f>'3'!J12</f>
        <v>58205616.373155653</v>
      </c>
      <c r="G31" s="25">
        <f>'3'!J13</f>
        <v>0</v>
      </c>
    </row>
    <row r="32" spans="1:8" ht="15" thickBot="1">
      <c r="A32" s="65" t="s">
        <v>115</v>
      </c>
      <c r="B32" s="72">
        <f>B30+B31</f>
        <v>195664000</v>
      </c>
      <c r="C32" s="72">
        <f t="shared" ref="C32:G32" si="11">C30+C31</f>
        <v>171822979.53355545</v>
      </c>
      <c r="D32" s="72">
        <f t="shared" si="11"/>
        <v>142021703.95049977</v>
      </c>
      <c r="E32" s="72">
        <f t="shared" si="11"/>
        <v>104770109.47168016</v>
      </c>
      <c r="F32" s="72">
        <f t="shared" si="11"/>
        <v>58205616.373155653</v>
      </c>
      <c r="G32" s="72">
        <f t="shared" si="11"/>
        <v>0</v>
      </c>
    </row>
    <row r="33" spans="1:7" ht="15" thickTop="1">
      <c r="A33" s="154" t="s">
        <v>119</v>
      </c>
      <c r="B33" s="154"/>
      <c r="C33" s="154"/>
      <c r="D33" s="154"/>
      <c r="E33" s="154"/>
      <c r="F33" s="154"/>
      <c r="G33" s="154"/>
    </row>
    <row r="34" spans="1:7">
      <c r="A34" s="8" t="s">
        <v>120</v>
      </c>
      <c r="B34" s="26">
        <f>'3'!D15</f>
        <v>30000000</v>
      </c>
      <c r="C34" s="26">
        <f>B34</f>
        <v>30000000</v>
      </c>
      <c r="D34" s="26">
        <f t="shared" ref="D34:G34" si="12">C34</f>
        <v>30000000</v>
      </c>
      <c r="E34" s="26">
        <f t="shared" si="12"/>
        <v>30000000</v>
      </c>
      <c r="F34" s="26">
        <f t="shared" si="12"/>
        <v>30000000</v>
      </c>
      <c r="G34" s="26">
        <f t="shared" si="12"/>
        <v>30000000</v>
      </c>
    </row>
    <row r="35" spans="1:7">
      <c r="A35" s="8" t="s">
        <v>121</v>
      </c>
      <c r="B35" s="8">
        <v>0</v>
      </c>
      <c r="C35" s="68">
        <f>C17</f>
        <v>-145628400</v>
      </c>
      <c r="D35" s="68">
        <f>D17</f>
        <v>-119484561.04338883</v>
      </c>
      <c r="E35" s="68">
        <f>E17</f>
        <v>-109444133.74176896</v>
      </c>
      <c r="F35" s="68">
        <f>F17</f>
        <v>-97094041.019994423</v>
      </c>
      <c r="G35" s="68">
        <f>G17</f>
        <v>-81924316.6984891</v>
      </c>
    </row>
    <row r="36" spans="1:7" ht="15" thickBot="1">
      <c r="A36" s="65" t="s">
        <v>122</v>
      </c>
      <c r="B36" s="72">
        <f>B34+B35</f>
        <v>30000000</v>
      </c>
      <c r="C36" s="72">
        <f t="shared" ref="C36:G36" si="13">C34+C35</f>
        <v>-115628400</v>
      </c>
      <c r="D36" s="72">
        <f t="shared" si="13"/>
        <v>-89484561.043388829</v>
      </c>
      <c r="E36" s="72">
        <f t="shared" si="13"/>
        <v>-79444133.741768956</v>
      </c>
      <c r="F36" s="72">
        <f t="shared" si="13"/>
        <v>-67094041.019994423</v>
      </c>
      <c r="G36" s="72">
        <f t="shared" si="13"/>
        <v>-51924316.6984891</v>
      </c>
    </row>
    <row r="37" spans="1:7" ht="15" thickTop="1"/>
    <row r="38" spans="1:7" ht="15" thickBot="1">
      <c r="A38" s="65" t="s">
        <v>123</v>
      </c>
      <c r="B38" s="72">
        <f>B32+B36</f>
        <v>225664000</v>
      </c>
      <c r="C38" s="72">
        <f t="shared" ref="C38:G38" si="14">C32+C36</f>
        <v>56194579.533555448</v>
      </c>
      <c r="D38" s="72">
        <f t="shared" si="14"/>
        <v>52537142.907110944</v>
      </c>
      <c r="E38" s="72">
        <f t="shared" si="14"/>
        <v>25325975.729911208</v>
      </c>
      <c r="F38" s="72">
        <f t="shared" si="14"/>
        <v>-8888424.6468387693</v>
      </c>
      <c r="G38" s="72">
        <f t="shared" si="14"/>
        <v>-51924316.6984891</v>
      </c>
    </row>
    <row r="39" spans="1:7" ht="15" thickTop="1">
      <c r="A39" s="61" t="s">
        <v>124</v>
      </c>
      <c r="B39" s="73">
        <f>B27-B38</f>
        <v>0</v>
      </c>
      <c r="C39" s="73">
        <f t="shared" ref="C39:G39" si="15">C27-C38</f>
        <v>0</v>
      </c>
      <c r="D39" s="73">
        <f t="shared" si="15"/>
        <v>0</v>
      </c>
      <c r="E39" s="73">
        <f t="shared" si="15"/>
        <v>0</v>
      </c>
      <c r="F39" s="73">
        <f t="shared" si="15"/>
        <v>0</v>
      </c>
      <c r="G39" s="73">
        <f t="shared" si="15"/>
        <v>0</v>
      </c>
    </row>
    <row r="41" spans="1:7" ht="15.5">
      <c r="A41" s="155" t="s">
        <v>125</v>
      </c>
      <c r="B41" s="155"/>
      <c r="C41" s="155"/>
      <c r="D41" s="155"/>
      <c r="E41" s="155"/>
      <c r="F41" s="155"/>
      <c r="G41" s="155"/>
    </row>
    <row r="42" spans="1:7">
      <c r="A42" s="154" t="s">
        <v>126</v>
      </c>
      <c r="B42" s="154"/>
      <c r="C42" s="154"/>
      <c r="D42" s="154"/>
      <c r="E42" s="154"/>
      <c r="F42" s="154"/>
      <c r="G42" s="154"/>
    </row>
    <row r="43" spans="1:7" ht="23">
      <c r="A43" s="11"/>
      <c r="B43" s="71" t="s">
        <v>85</v>
      </c>
      <c r="C43" s="63">
        <f>C20</f>
        <v>2025</v>
      </c>
      <c r="D43" s="63">
        <f t="shared" ref="D43:G43" si="16">D20</f>
        <v>2026</v>
      </c>
      <c r="E43" s="63">
        <f t="shared" si="16"/>
        <v>2027</v>
      </c>
      <c r="F43" s="63">
        <f t="shared" si="16"/>
        <v>2028</v>
      </c>
      <c r="G43" s="63">
        <f t="shared" si="16"/>
        <v>2029</v>
      </c>
    </row>
    <row r="44" spans="1:7">
      <c r="A44" s="1" t="s">
        <v>127</v>
      </c>
      <c r="B44" s="2">
        <f>B22</f>
        <v>196164000</v>
      </c>
      <c r="C44" s="2">
        <f t="shared" ref="C44:G44" si="17">C22</f>
        <v>32244579.533555448</v>
      </c>
      <c r="D44" s="2">
        <f t="shared" si="17"/>
        <v>34137142.907110944</v>
      </c>
      <c r="E44" s="2">
        <f t="shared" si="17"/>
        <v>12475975.729911208</v>
      </c>
      <c r="F44" s="2">
        <f t="shared" si="17"/>
        <v>-16188424.646838769</v>
      </c>
      <c r="G44" s="2">
        <f t="shared" si="17"/>
        <v>-53674316.6984891</v>
      </c>
    </row>
    <row r="45" spans="1:7" ht="15" thickBot="1">
      <c r="A45" s="1" t="s">
        <v>128</v>
      </c>
      <c r="B45" s="3">
        <f>B29</f>
        <v>0</v>
      </c>
      <c r="C45" s="3">
        <f t="shared" ref="C45:G45" si="18">C29</f>
        <v>0</v>
      </c>
      <c r="D45" s="3">
        <f t="shared" si="18"/>
        <v>0</v>
      </c>
      <c r="E45" s="3">
        <f t="shared" si="18"/>
        <v>0</v>
      </c>
      <c r="F45" s="3">
        <f t="shared" si="18"/>
        <v>0</v>
      </c>
      <c r="G45" s="3">
        <f t="shared" si="18"/>
        <v>0</v>
      </c>
    </row>
    <row r="46" spans="1:7" ht="15" thickTop="1">
      <c r="A46" s="4" t="s">
        <v>129</v>
      </c>
      <c r="B46" s="5">
        <f t="shared" ref="B46:G46" si="19">B44-B45</f>
        <v>196164000</v>
      </c>
      <c r="C46" s="5">
        <f t="shared" si="19"/>
        <v>32244579.533555448</v>
      </c>
      <c r="D46" s="5">
        <f t="shared" si="19"/>
        <v>34137142.907110944</v>
      </c>
      <c r="E46" s="5">
        <f t="shared" si="19"/>
        <v>12475975.729911208</v>
      </c>
      <c r="F46" s="5">
        <f t="shared" si="19"/>
        <v>-16188424.646838769</v>
      </c>
      <c r="G46" s="5">
        <f t="shared" si="19"/>
        <v>-53674316.6984891</v>
      </c>
    </row>
    <row r="47" spans="1:7">
      <c r="A47" s="1"/>
      <c r="B47" s="2"/>
      <c r="C47" s="2"/>
      <c r="D47" s="2"/>
      <c r="E47" s="2"/>
      <c r="F47" s="2"/>
      <c r="G47" s="2"/>
    </row>
    <row r="48" spans="1:7">
      <c r="A48" s="4" t="s">
        <v>130</v>
      </c>
      <c r="B48" s="2">
        <f>B26</f>
        <v>29500000</v>
      </c>
      <c r="C48" s="2">
        <f t="shared" ref="C48:G48" si="20">C26</f>
        <v>23950000</v>
      </c>
      <c r="D48" s="2">
        <f t="shared" si="20"/>
        <v>18400000</v>
      </c>
      <c r="E48" s="2">
        <f t="shared" si="20"/>
        <v>12850000</v>
      </c>
      <c r="F48" s="2">
        <f t="shared" si="20"/>
        <v>7300000</v>
      </c>
      <c r="G48" s="2">
        <f t="shared" si="20"/>
        <v>1750000</v>
      </c>
    </row>
    <row r="49" spans="1:7" ht="15" thickBot="1">
      <c r="A49" s="1" t="s">
        <v>131</v>
      </c>
      <c r="B49" s="3">
        <f>B25</f>
        <v>0</v>
      </c>
      <c r="C49" s="3">
        <f t="shared" ref="C49:G49" si="21">C25</f>
        <v>5550000</v>
      </c>
      <c r="D49" s="3">
        <f t="shared" si="21"/>
        <v>11100000</v>
      </c>
      <c r="E49" s="3">
        <f t="shared" si="21"/>
        <v>16650000</v>
      </c>
      <c r="F49" s="3">
        <f t="shared" si="21"/>
        <v>22200000</v>
      </c>
      <c r="G49" s="3">
        <f t="shared" si="21"/>
        <v>27750000</v>
      </c>
    </row>
    <row r="50" spans="1:7" ht="15" thickTop="1">
      <c r="A50" s="4" t="s">
        <v>132</v>
      </c>
      <c r="B50" s="5">
        <f t="shared" ref="B50:G50" si="22">B48+B49</f>
        <v>29500000</v>
      </c>
      <c r="C50" s="5">
        <f t="shared" si="22"/>
        <v>29500000</v>
      </c>
      <c r="D50" s="5">
        <f t="shared" si="22"/>
        <v>29500000</v>
      </c>
      <c r="E50" s="5">
        <f t="shared" si="22"/>
        <v>29500000</v>
      </c>
      <c r="F50" s="5">
        <f t="shared" si="22"/>
        <v>29500000</v>
      </c>
      <c r="G50" s="5">
        <f t="shared" si="22"/>
        <v>29500000</v>
      </c>
    </row>
    <row r="51" spans="1:7">
      <c r="A51" s="1"/>
      <c r="B51" s="2"/>
      <c r="C51" s="2"/>
      <c r="D51" s="2"/>
      <c r="E51" s="2"/>
      <c r="F51" s="2"/>
      <c r="G51" s="2"/>
    </row>
    <row r="52" spans="1:7" ht="15" thickBot="1">
      <c r="A52" s="12" t="s">
        <v>133</v>
      </c>
      <c r="B52" s="6">
        <f t="shared" ref="B52:G52" si="23">B46+B48</f>
        <v>225664000</v>
      </c>
      <c r="C52" s="6">
        <f t="shared" si="23"/>
        <v>56194579.533555448</v>
      </c>
      <c r="D52" s="6">
        <f t="shared" si="23"/>
        <v>52537142.907110944</v>
      </c>
      <c r="E52" s="6">
        <f t="shared" si="23"/>
        <v>25325975.729911208</v>
      </c>
      <c r="F52" s="6">
        <f t="shared" si="23"/>
        <v>-8888424.6468387693</v>
      </c>
      <c r="G52" s="6">
        <f t="shared" si="23"/>
        <v>-51924316.6984891</v>
      </c>
    </row>
    <row r="53" spans="1:7" ht="15" thickTop="1">
      <c r="A53" s="7"/>
      <c r="B53" s="2"/>
      <c r="C53" s="2"/>
      <c r="D53" s="2"/>
      <c r="E53" s="2"/>
      <c r="F53" s="2"/>
      <c r="G53" s="2"/>
    </row>
    <row r="54" spans="1:7">
      <c r="A54" s="153" t="s">
        <v>134</v>
      </c>
      <c r="B54" s="153"/>
      <c r="C54" s="153"/>
      <c r="D54" s="153"/>
      <c r="E54" s="153"/>
      <c r="F54" s="153"/>
      <c r="G54" s="153"/>
    </row>
    <row r="55" spans="1:7">
      <c r="A55" s="1" t="s">
        <v>135</v>
      </c>
      <c r="C55" s="9">
        <f>C13</f>
        <v>-96712400</v>
      </c>
      <c r="D55" s="9">
        <f t="shared" ref="D55:G55" si="24">D13</f>
        <v>-76528816.159999967</v>
      </c>
      <c r="E55" s="9">
        <f t="shared" si="24"/>
        <v>-73938707.754144013</v>
      </c>
      <c r="F55" s="9">
        <f t="shared" si="24"/>
        <v>-70901513.652074382</v>
      </c>
      <c r="G55" s="9">
        <f t="shared" si="24"/>
        <v>-67372912.605200186</v>
      </c>
    </row>
    <row r="56" spans="1:7" ht="15" thickBot="1">
      <c r="A56" s="1" t="s">
        <v>136</v>
      </c>
      <c r="C56" s="10">
        <f>C55*'1'!$AB$7</f>
        <v>-30947968</v>
      </c>
      <c r="D56" s="10">
        <f>D55*'1'!$AB$7</f>
        <v>-24489221.171199989</v>
      </c>
      <c r="E56" s="10">
        <f>E55*'1'!$AB$7</f>
        <v>-23660386.481326085</v>
      </c>
      <c r="F56" s="10">
        <f>F55*'1'!$AB$7</f>
        <v>-22688484.368663803</v>
      </c>
      <c r="G56" s="10">
        <f>G55*'1'!$AB$7</f>
        <v>-21559332.033664059</v>
      </c>
    </row>
    <row r="57" spans="1:7" ht="15" thickTop="1">
      <c r="A57" s="4" t="s">
        <v>137</v>
      </c>
      <c r="C57" s="9">
        <f>C55-C56</f>
        <v>-65764432</v>
      </c>
      <c r="D57" s="9">
        <f>D55-D56</f>
        <v>-52039594.988799974</v>
      </c>
      <c r="E57" s="9">
        <f>E55-E56</f>
        <v>-50278321.272817925</v>
      </c>
      <c r="F57" s="9">
        <f>F55-F56</f>
        <v>-48213029.283410579</v>
      </c>
      <c r="G57" s="9">
        <f>G55-G56</f>
        <v>-45813580.571536124</v>
      </c>
    </row>
    <row r="58" spans="1:7" ht="15" thickBot="1">
      <c r="A58" s="1" t="s">
        <v>138</v>
      </c>
      <c r="C58" s="10">
        <f>-(C52-B52)</f>
        <v>169469420.46644455</v>
      </c>
      <c r="D58" s="10">
        <f t="shared" ref="D58:G58" si="25">-(D52-C52)</f>
        <v>3657436.6264445037</v>
      </c>
      <c r="E58" s="10">
        <f t="shared" si="25"/>
        <v>27211167.177199736</v>
      </c>
      <c r="F58" s="10">
        <f t="shared" si="25"/>
        <v>34214400.376749977</v>
      </c>
      <c r="G58" s="10">
        <f t="shared" si="25"/>
        <v>43035892.05165033</v>
      </c>
    </row>
    <row r="59" spans="1:7" ht="15.5" thickTop="1" thickBot="1">
      <c r="A59" s="60" t="s">
        <v>139</v>
      </c>
      <c r="B59" s="61"/>
      <c r="C59" s="62">
        <f>SUM(C57:C58)</f>
        <v>103704988.46644455</v>
      </c>
      <c r="D59" s="62">
        <f t="shared" ref="D59:G59" si="26">SUM(D57:D58)</f>
        <v>-48382158.362355471</v>
      </c>
      <c r="E59" s="62">
        <f t="shared" si="26"/>
        <v>-23067154.095618188</v>
      </c>
      <c r="F59" s="62">
        <f t="shared" si="26"/>
        <v>-13998628.906660601</v>
      </c>
      <c r="G59" s="62">
        <f t="shared" si="26"/>
        <v>-2777688.5198857933</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abSelected="1" topLeftCell="B1" zoomScale="80" zoomScaleNormal="80" workbookViewId="0">
      <selection activeCell="E10" sqref="E10"/>
    </sheetView>
  </sheetViews>
  <sheetFormatPr baseColWidth="10" defaultColWidth="11.453125" defaultRowHeight="14.5"/>
  <cols>
    <col min="1" max="1" width="11.453125" style="8"/>
    <col min="2" max="2" width="32.54296875" style="8" customWidth="1"/>
    <col min="3" max="3" width="24.26953125" style="8" bestFit="1" customWidth="1"/>
    <col min="4" max="4" width="36.26953125" style="8" bestFit="1" customWidth="1"/>
    <col min="5" max="5" width="25.54296875" style="8" bestFit="1" customWidth="1"/>
    <col min="6" max="6" width="26" style="8" customWidth="1"/>
    <col min="7" max="8" width="20.7265625" style="8" bestFit="1" customWidth="1"/>
    <col min="9" max="9" width="11.453125" style="8"/>
    <col min="10" max="10" width="12" style="8" bestFit="1" customWidth="1"/>
    <col min="11" max="14" width="11.453125" style="8"/>
    <col min="15" max="15" width="15.26953125" style="8" bestFit="1" customWidth="1"/>
    <col min="16" max="16" width="21.54296875" style="8" bestFit="1" customWidth="1"/>
    <col min="17" max="16384" width="11.453125" style="8"/>
  </cols>
  <sheetData>
    <row r="2" spans="2:16" ht="38.25" customHeight="1">
      <c r="B2" s="142" t="s">
        <v>140</v>
      </c>
      <c r="C2" s="142"/>
      <c r="D2" s="142"/>
      <c r="E2" s="142"/>
      <c r="F2" s="142"/>
      <c r="G2" s="142"/>
      <c r="H2" s="142"/>
    </row>
    <row r="3" spans="2:16" ht="15.75" customHeight="1">
      <c r="B3" s="161" t="s">
        <v>141</v>
      </c>
      <c r="C3" s="161"/>
      <c r="D3" s="161"/>
      <c r="E3" s="162">
        <v>0.15</v>
      </c>
      <c r="F3" s="162"/>
    </row>
    <row r="4" spans="2:16" ht="16.5" customHeight="1">
      <c r="B4" s="161"/>
      <c r="C4" s="161"/>
      <c r="D4" s="161"/>
      <c r="E4" s="162"/>
      <c r="F4" s="162"/>
      <c r="O4" s="103"/>
    </row>
    <row r="5" spans="2:16" ht="16.5" customHeight="1">
      <c r="B5" s="159"/>
      <c r="C5" s="159"/>
      <c r="D5" s="159"/>
      <c r="E5" s="137" t="s">
        <v>70</v>
      </c>
      <c r="F5" s="137"/>
      <c r="O5" s="103"/>
    </row>
    <row r="6" spans="2:16" ht="15" thickBot="1">
      <c r="O6" s="103"/>
      <c r="P6" s="106"/>
    </row>
    <row r="7" spans="2:16" ht="23">
      <c r="B7" s="102" t="s">
        <v>142</v>
      </c>
      <c r="C7" s="86" t="s">
        <v>143</v>
      </c>
      <c r="D7" s="87">
        <f>'4'!C20</f>
        <v>2025</v>
      </c>
      <c r="E7" s="87">
        <f>'4'!D20</f>
        <v>2026</v>
      </c>
      <c r="F7" s="87">
        <f>'4'!E20</f>
        <v>2027</v>
      </c>
      <c r="G7" s="87">
        <f>'4'!F20</f>
        <v>2028</v>
      </c>
      <c r="H7" s="88">
        <f>'4'!G20</f>
        <v>2029</v>
      </c>
      <c r="O7" s="103"/>
      <c r="P7" s="105"/>
    </row>
    <row r="8" spans="2:16" ht="19" thickBot="1">
      <c r="B8" s="89"/>
      <c r="C8" s="110">
        <f>-'3'!D14</f>
        <v>-225664000</v>
      </c>
      <c r="D8" s="110">
        <f>'4'!C59</f>
        <v>103704988.46644455</v>
      </c>
      <c r="E8" s="110">
        <f>'4'!D59</f>
        <v>-48382158.362355471</v>
      </c>
      <c r="F8" s="110">
        <f>'4'!E59</f>
        <v>-23067154.095618188</v>
      </c>
      <c r="G8" s="110">
        <f>'4'!F59</f>
        <v>-13998628.906660601</v>
      </c>
      <c r="H8" s="111">
        <f>'4'!G59</f>
        <v>-2777688.5198857933</v>
      </c>
      <c r="O8" s="103"/>
      <c r="P8" s="105"/>
    </row>
    <row r="9" spans="2:16" ht="15" thickBot="1">
      <c r="C9" s="74">
        <f>C8/(1+$E$3)^0</f>
        <v>-225664000</v>
      </c>
      <c r="D9" s="74">
        <f>D8/(1+$E$3)^1</f>
        <v>90178250.840386569</v>
      </c>
      <c r="E9" s="74">
        <f>E8/(1+$E$3)^2</f>
        <v>-36583862.655845352</v>
      </c>
      <c r="F9" s="74">
        <f>F8/(1+$E$3)^3</f>
        <v>-15167028.253878981</v>
      </c>
      <c r="G9" s="74">
        <f>G8/(1+$E$3)^4</f>
        <v>-8003761.5112356553</v>
      </c>
      <c r="H9" s="74">
        <f>H8/(1+$E$3)^5</f>
        <v>-1381002.1099923577</v>
      </c>
      <c r="O9" s="103"/>
      <c r="P9" s="105"/>
    </row>
    <row r="10" spans="2:16" ht="24" thickBot="1">
      <c r="B10" s="30" t="s">
        <v>144</v>
      </c>
      <c r="C10" s="31"/>
      <c r="D10" s="112">
        <f>NPV(E3,D8:H8)+$C$8</f>
        <v>-196621403.69056576</v>
      </c>
      <c r="O10" s="103"/>
      <c r="P10" s="105"/>
    </row>
    <row r="11" spans="2:16" ht="28.5" thickBot="1">
      <c r="B11" s="138" t="s">
        <v>145</v>
      </c>
      <c r="C11" s="31"/>
      <c r="D11" s="113" t="str">
        <f>IF(ISERROR(IRR(C8:H8)),"NO_APLICA",(IRR(C8:H8)))</f>
        <v>NO_APLICA</v>
      </c>
      <c r="F11" s="107" t="s">
        <v>146</v>
      </c>
      <c r="G11" s="31"/>
      <c r="H11" s="108">
        <f>IF(ISERROR(-C9/AVERAGE(D9:H9)),"NO_APLICA",(-C9/AVERAGE(D9:H9)))</f>
        <v>38.85052107526198</v>
      </c>
      <c r="I11" s="109" t="s">
        <v>147</v>
      </c>
      <c r="P11" s="104"/>
    </row>
    <row r="13" spans="2:16" ht="18">
      <c r="B13" s="163" t="s">
        <v>148</v>
      </c>
      <c r="C13" s="163"/>
      <c r="D13" s="163"/>
      <c r="E13" s="163"/>
      <c r="F13" s="163"/>
      <c r="G13" s="163"/>
      <c r="H13" s="163"/>
    </row>
    <row r="14" spans="2:16" ht="36.5">
      <c r="B14" s="90" t="str">
        <f>'1'!B2</f>
        <v>NOMBRE DEL PRODUCTO O SERVICIO</v>
      </c>
      <c r="C14" s="90" t="s">
        <v>149</v>
      </c>
      <c r="D14" s="90" t="s">
        <v>150</v>
      </c>
      <c r="E14" s="90" t="s">
        <v>151</v>
      </c>
      <c r="F14" s="90" t="s">
        <v>152</v>
      </c>
      <c r="H14" s="74"/>
      <c r="I14" s="74"/>
      <c r="J14" s="74" t="s">
        <v>153</v>
      </c>
    </row>
    <row r="15" spans="2:16">
      <c r="B15" s="38" t="str">
        <f>'1'!B3</f>
        <v>PINTURA GENERAL APTO</v>
      </c>
      <c r="C15" s="91">
        <f>'1'!D3-'1'!D17</f>
        <v>5812</v>
      </c>
      <c r="D15" s="92">
        <f>'1'!F3</f>
        <v>0.29241586688519539</v>
      </c>
      <c r="E15" s="91">
        <f>C15*D15</f>
        <v>1699.5210183367556</v>
      </c>
      <c r="F15" s="93">
        <f t="shared" ref="F15:F24" si="0">$E$28*D15</f>
        <v>714.776268957914</v>
      </c>
      <c r="G15" s="38" t="s">
        <v>154</v>
      </c>
      <c r="H15" s="75">
        <f>'1'!D3</f>
        <v>18347</v>
      </c>
      <c r="I15" s="94">
        <f t="shared" ref="I15:I24" si="1">$B$35*D15</f>
        <v>1429.552537915828</v>
      </c>
      <c r="J15" s="75">
        <f>'1'!D17</f>
        <v>12535</v>
      </c>
    </row>
    <row r="16" spans="2:16">
      <c r="B16" s="95" t="str">
        <f>'1'!B4</f>
        <v>MANTENIMIENTO AA</v>
      </c>
      <c r="C16" s="91">
        <f>'1'!D4-'1'!D18</f>
        <v>80000</v>
      </c>
      <c r="D16" s="92">
        <f>'1'!F4</f>
        <v>0.1892646437707361</v>
      </c>
      <c r="E16" s="91">
        <f t="shared" ref="E16:E24" si="2">C16*D16</f>
        <v>15141.171501658888</v>
      </c>
      <c r="F16" s="93">
        <f t="shared" si="0"/>
        <v>462.63520978226569</v>
      </c>
      <c r="G16" s="38" t="str">
        <f>G15</f>
        <v>UNIDADES</v>
      </c>
      <c r="H16" s="75">
        <f>'1'!D4</f>
        <v>150000</v>
      </c>
      <c r="I16" s="94">
        <f t="shared" si="1"/>
        <v>925.27041956453138</v>
      </c>
      <c r="J16" s="75">
        <f>'1'!D18</f>
        <v>70000</v>
      </c>
    </row>
    <row r="17" spans="2:10">
      <c r="B17" s="95" t="str">
        <f>'1'!B5</f>
        <v>CAMBIO JUNTA PISO</v>
      </c>
      <c r="C17" s="91">
        <f>'1'!D5-'1'!D19</f>
        <v>200000</v>
      </c>
      <c r="D17" s="92">
        <f>'1'!F5</f>
        <v>0.14941945560847586</v>
      </c>
      <c r="E17" s="91">
        <f t="shared" si="2"/>
        <v>29883.891121695171</v>
      </c>
      <c r="F17" s="93">
        <f t="shared" si="0"/>
        <v>365.23832351231499</v>
      </c>
      <c r="G17" s="38" t="str">
        <f t="shared" ref="G17:G24" si="3">G16</f>
        <v>UNIDADES</v>
      </c>
      <c r="H17" s="75">
        <f>'1'!D5</f>
        <v>600000</v>
      </c>
      <c r="I17" s="94">
        <f t="shared" si="1"/>
        <v>730.47664702462998</v>
      </c>
      <c r="J17" s="75">
        <f>'1'!D19</f>
        <v>400000</v>
      </c>
    </row>
    <row r="18" spans="2:10">
      <c r="B18" s="95" t="str">
        <f>'1'!B6</f>
        <v>MANTENIMIENTO CARP MADERA</v>
      </c>
      <c r="C18" s="91">
        <f>'1'!D6-'1'!D20</f>
        <v>220000</v>
      </c>
      <c r="D18" s="92">
        <f>'1'!F6</f>
        <v>0.12451621300706323</v>
      </c>
      <c r="E18" s="91">
        <f t="shared" si="2"/>
        <v>27393.566861553911</v>
      </c>
      <c r="F18" s="93">
        <f t="shared" si="0"/>
        <v>304.36526959359588</v>
      </c>
      <c r="G18" s="38" t="str">
        <f t="shared" si="3"/>
        <v>UNIDADES</v>
      </c>
      <c r="H18" s="75">
        <f>'1'!D6</f>
        <v>500000</v>
      </c>
      <c r="I18" s="94">
        <f t="shared" si="1"/>
        <v>608.73053918719177</v>
      </c>
      <c r="J18" s="75">
        <f>'1'!D20</f>
        <v>280000</v>
      </c>
    </row>
    <row r="19" spans="2:10">
      <c r="B19" s="95" t="str">
        <f>'1'!B7</f>
        <v>REPARACION HIDROSANITARIA</v>
      </c>
      <c r="C19" s="91">
        <f>'1'!D7-'1'!D21</f>
        <v>50000</v>
      </c>
      <c r="D19" s="92">
        <f>'1'!F7</f>
        <v>9.4632321885368048E-2</v>
      </c>
      <c r="E19" s="91">
        <f t="shared" si="2"/>
        <v>4731.6160942684028</v>
      </c>
      <c r="F19" s="93">
        <f t="shared" si="0"/>
        <v>231.31760489113285</v>
      </c>
      <c r="G19" s="38" t="str">
        <f t="shared" si="3"/>
        <v>UNIDADES</v>
      </c>
      <c r="H19" s="75">
        <f>'1'!D7</f>
        <v>150000</v>
      </c>
      <c r="I19" s="94">
        <f t="shared" si="1"/>
        <v>462.63520978226569</v>
      </c>
      <c r="J19" s="75">
        <f>'1'!D21</f>
        <v>100000</v>
      </c>
    </row>
    <row r="20" spans="2:10">
      <c r="B20" s="95" t="str">
        <f>'1'!B8</f>
        <v>DIAGNOSTICO GENERAL</v>
      </c>
      <c r="C20" s="91">
        <f>'1'!D8-'1'!D22</f>
        <v>20000</v>
      </c>
      <c r="D20" s="92">
        <f>'1'!F8</f>
        <v>6.308821459024537E-2</v>
      </c>
      <c r="E20" s="91">
        <f t="shared" si="2"/>
        <v>1261.7642918049073</v>
      </c>
      <c r="F20" s="93">
        <f t="shared" si="0"/>
        <v>154.21173659408859</v>
      </c>
      <c r="G20" s="38" t="str">
        <f t="shared" si="3"/>
        <v>UNIDADES</v>
      </c>
      <c r="H20" s="75">
        <f>'1'!D8</f>
        <v>100000</v>
      </c>
      <c r="I20" s="94">
        <f t="shared" si="1"/>
        <v>308.42347318817718</v>
      </c>
      <c r="J20" s="75">
        <f>'1'!D22</f>
        <v>80000</v>
      </c>
    </row>
    <row r="21" spans="2:10">
      <c r="B21" s="95" t="str">
        <f>'1'!B9</f>
        <v>CERRAJERIA</v>
      </c>
      <c r="C21" s="91">
        <f>'1'!D9-'1'!D23</f>
        <v>20000</v>
      </c>
      <c r="D21" s="92">
        <f>'1'!F9</f>
        <v>8.6663284252916001E-2</v>
      </c>
      <c r="E21" s="91">
        <f t="shared" si="2"/>
        <v>1733.2656850583201</v>
      </c>
      <c r="F21" s="93">
        <f t="shared" si="0"/>
        <v>211.83822763714272</v>
      </c>
      <c r="G21" s="38" t="str">
        <f t="shared" si="3"/>
        <v>UNIDADES</v>
      </c>
      <c r="H21" s="75">
        <f>'1'!D9</f>
        <v>90000</v>
      </c>
      <c r="I21" s="94">
        <f t="shared" si="1"/>
        <v>423.67645527428544</v>
      </c>
      <c r="J21" s="75">
        <f>'1'!D23</f>
        <v>70000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5.5">
      <c r="C25" s="26"/>
      <c r="D25" s="96"/>
      <c r="E25" s="26"/>
      <c r="F25" s="97">
        <f>SUM(F15:F24)</f>
        <v>2444.3826409684548</v>
      </c>
      <c r="G25" s="8" t="str">
        <f>G24</f>
        <v>UNIDADES</v>
      </c>
      <c r="H25" s="75"/>
      <c r="I25" s="94"/>
      <c r="J25" s="75"/>
    </row>
    <row r="26" spans="2:10" ht="12.75" customHeight="1">
      <c r="C26" s="26"/>
      <c r="D26" s="96"/>
      <c r="E26" s="26"/>
      <c r="F26" s="97"/>
      <c r="H26" s="75"/>
      <c r="I26" s="94"/>
      <c r="J26" s="75"/>
    </row>
    <row r="27" spans="2:10" ht="21" customHeight="1">
      <c r="B27" s="160" t="s">
        <v>155</v>
      </c>
      <c r="C27" s="160"/>
      <c r="D27" s="160"/>
      <c r="E27" s="98">
        <f>SUM(E15:E24)</f>
        <v>81844.796574376349</v>
      </c>
      <c r="H27" s="74"/>
      <c r="I27" s="74"/>
      <c r="J27" s="74"/>
    </row>
    <row r="28" spans="2:10" ht="19.5" customHeight="1">
      <c r="B28" s="160" t="s">
        <v>156</v>
      </c>
      <c r="C28" s="160"/>
      <c r="D28" s="160"/>
      <c r="E28" s="97">
        <f>IF(E27=0,0,('2'!C23+'2'!F31+'2'!C25)/'5'!E27)</f>
        <v>2444.3826409684548</v>
      </c>
      <c r="F28" s="99" t="s">
        <v>154</v>
      </c>
      <c r="H28" s="100"/>
    </row>
    <row r="29" spans="2:10" ht="25.5">
      <c r="B29" s="160" t="s">
        <v>157</v>
      </c>
      <c r="C29" s="160"/>
      <c r="D29" s="160"/>
      <c r="E29" s="98">
        <f>E49</f>
        <v>523019165.45851928</v>
      </c>
    </row>
    <row r="30" spans="2:10">
      <c r="B30" s="132"/>
      <c r="C30" s="132"/>
      <c r="D30" s="132"/>
      <c r="E30" s="132"/>
      <c r="F30" s="132"/>
      <c r="G30" s="132"/>
    </row>
    <row r="31" spans="2:10" s="74" customFormat="1"/>
    <row r="32" spans="2:10" s="74" customFormat="1">
      <c r="C32" s="74" t="s">
        <v>158</v>
      </c>
      <c r="D32" s="74" t="s">
        <v>159</v>
      </c>
      <c r="E32" s="74" t="s">
        <v>160</v>
      </c>
      <c r="F32" s="74" t="s">
        <v>161</v>
      </c>
    </row>
    <row r="33" spans="2:6" s="74" customFormat="1">
      <c r="B33" s="74">
        <v>0</v>
      </c>
      <c r="C33" s="75">
        <f>'2'!C25+'2'!F31+'2'!C23</f>
        <v>200060000</v>
      </c>
      <c r="D33" s="74">
        <f>0</f>
        <v>0</v>
      </c>
      <c r="E33" s="74">
        <v>0</v>
      </c>
      <c r="F33" s="75">
        <f>C33+E33</f>
        <v>200060000</v>
      </c>
    </row>
    <row r="34" spans="2:6" s="74" customFormat="1">
      <c r="B34" s="94">
        <f>F25</f>
        <v>2444.3826409684548</v>
      </c>
      <c r="C34" s="75">
        <f>C33</f>
        <v>200060000</v>
      </c>
      <c r="D34" s="133">
        <f>SUMPRODUCT(F15:F24,H15:H24)</f>
        <v>523019165.45851928</v>
      </c>
      <c r="E34" s="133">
        <f>SUMPRODUCT(F15:F24,J15:J24)</f>
        <v>322959165.45851922</v>
      </c>
      <c r="F34" s="75">
        <f t="shared" ref="F34:F35" si="4">C34+E34</f>
        <v>523019165.45851922</v>
      </c>
    </row>
    <row r="35" spans="2:6" s="74" customFormat="1">
      <c r="B35" s="94">
        <f>B34*2</f>
        <v>4888.7652819369096</v>
      </c>
      <c r="C35" s="75">
        <f>C34</f>
        <v>200060000</v>
      </c>
      <c r="D35" s="133">
        <f>SUMPRODUCT(H15:H24,I15:I24)</f>
        <v>1046038330.9170386</v>
      </c>
      <c r="E35" s="133">
        <f>SUMPRODUCT(I15:I24,J15:J24)</f>
        <v>645918330.91703844</v>
      </c>
      <c r="F35" s="75">
        <f t="shared" si="4"/>
        <v>845978330.91703844</v>
      </c>
    </row>
    <row r="36" spans="2:6" s="74" customFormat="1">
      <c r="C36" s="75"/>
    </row>
    <row r="37" spans="2:6" s="74" customFormat="1">
      <c r="C37" s="75"/>
    </row>
    <row r="38" spans="2:6" s="74" customFormat="1">
      <c r="C38" s="134" t="s">
        <v>162</v>
      </c>
      <c r="D38" s="74" t="s">
        <v>154</v>
      </c>
      <c r="E38" s="74" t="s">
        <v>163</v>
      </c>
    </row>
    <row r="39" spans="2:6" s="74" customFormat="1">
      <c r="B39" s="74">
        <v>1</v>
      </c>
      <c r="C39" s="75">
        <f>'1'!D3</f>
        <v>18347</v>
      </c>
      <c r="D39" s="94">
        <f>F15</f>
        <v>714.776268957914</v>
      </c>
      <c r="E39" s="74">
        <f>C39*D39</f>
        <v>13114000.206570849</v>
      </c>
    </row>
    <row r="40" spans="2:6" s="74" customFormat="1">
      <c r="B40" s="74">
        <f>B39+1</f>
        <v>2</v>
      </c>
      <c r="C40" s="75">
        <f>'1'!D4</f>
        <v>150000</v>
      </c>
      <c r="D40" s="94">
        <f t="shared" ref="D40:D48" si="5">F16</f>
        <v>462.63520978226569</v>
      </c>
      <c r="E40" s="74">
        <f t="shared" ref="E40:E48" si="6">C40*D40</f>
        <v>69395281.467339858</v>
      </c>
    </row>
    <row r="41" spans="2:6" s="74" customFormat="1">
      <c r="B41" s="74">
        <f t="shared" ref="B41:B48" si="7">B40+1</f>
        <v>3</v>
      </c>
      <c r="C41" s="75">
        <f>'1'!D5</f>
        <v>600000</v>
      </c>
      <c r="D41" s="94">
        <f t="shared" si="5"/>
        <v>365.23832351231499</v>
      </c>
      <c r="E41" s="74">
        <f t="shared" si="6"/>
        <v>219142994.107389</v>
      </c>
    </row>
    <row r="42" spans="2:6" s="74" customFormat="1">
      <c r="B42" s="74">
        <f t="shared" si="7"/>
        <v>4</v>
      </c>
      <c r="C42" s="75">
        <f>'1'!D6</f>
        <v>500000</v>
      </c>
      <c r="D42" s="94">
        <f t="shared" si="5"/>
        <v>304.36526959359588</v>
      </c>
      <c r="E42" s="74">
        <f t="shared" si="6"/>
        <v>152182634.79679793</v>
      </c>
    </row>
    <row r="43" spans="2:6" s="74" customFormat="1">
      <c r="B43" s="74">
        <f t="shared" si="7"/>
        <v>5</v>
      </c>
      <c r="C43" s="75">
        <f>'1'!D7</f>
        <v>150000</v>
      </c>
      <c r="D43" s="94">
        <f t="shared" si="5"/>
        <v>231.31760489113285</v>
      </c>
      <c r="E43" s="74">
        <f t="shared" si="6"/>
        <v>34697640.733669929</v>
      </c>
    </row>
    <row r="44" spans="2:6" s="74" customFormat="1">
      <c r="B44" s="74">
        <f t="shared" si="7"/>
        <v>6</v>
      </c>
      <c r="C44" s="75">
        <f>'1'!D8</f>
        <v>100000</v>
      </c>
      <c r="D44" s="94">
        <f t="shared" si="5"/>
        <v>154.21173659408859</v>
      </c>
      <c r="E44" s="74">
        <f t="shared" si="6"/>
        <v>15421173.65940886</v>
      </c>
    </row>
    <row r="45" spans="2:6" s="74" customFormat="1">
      <c r="B45" s="74">
        <f t="shared" si="7"/>
        <v>7</v>
      </c>
      <c r="C45" s="75">
        <f>'1'!D9</f>
        <v>90000</v>
      </c>
      <c r="D45" s="94">
        <f t="shared" si="5"/>
        <v>211.83822763714272</v>
      </c>
      <c r="E45" s="74">
        <f t="shared" si="6"/>
        <v>19065440.487342846</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523019165.45851928</v>
      </c>
    </row>
    <row r="50" spans="2:8" s="74" customFormat="1"/>
    <row r="51" spans="2:8" s="74" customFormat="1">
      <c r="C51" s="75"/>
    </row>
    <row r="52" spans="2:8" s="74" customFormat="1">
      <c r="B52" s="158"/>
      <c r="C52" s="158"/>
      <c r="D52" s="158"/>
      <c r="G52" s="74" t="s">
        <v>164</v>
      </c>
      <c r="H52" s="136">
        <f>'4'!B32/'4'!B27</f>
        <v>0.86705899035734546</v>
      </c>
    </row>
    <row r="53" spans="2:8" s="74" customFormat="1">
      <c r="C53" s="75"/>
      <c r="G53" s="74" t="s">
        <v>165</v>
      </c>
      <c r="H53" s="136">
        <f>'4'!B36/'4'!B27</f>
        <v>0.13294100964265457</v>
      </c>
    </row>
    <row r="54" spans="2:8" s="74" customFormat="1">
      <c r="G54" s="74" t="s">
        <v>166</v>
      </c>
      <c r="H54" s="74">
        <f>'1'!AB7</f>
        <v>0.32</v>
      </c>
    </row>
    <row r="55" spans="2:8" s="74" customFormat="1">
      <c r="G55" s="74" t="s">
        <v>167</v>
      </c>
      <c r="H55" s="136">
        <f>'3'!F4</f>
        <v>0.25</v>
      </c>
    </row>
    <row r="56" spans="2:8" s="74" customFormat="1">
      <c r="G56" s="74" t="s">
        <v>168</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2.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ORLANDO DAVID</cp:lastModifiedBy>
  <cp:revision/>
  <dcterms:created xsi:type="dcterms:W3CDTF">2013-07-30T17:19:59Z</dcterms:created>
  <dcterms:modified xsi:type="dcterms:W3CDTF">2025-09-30T02:14:54Z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