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C:\Users\pab_4\Desktop\Universidad\MBA\Trabajo de grado\Anexos\"/>
    </mc:Choice>
  </mc:AlternateContent>
  <xr:revisionPtr revIDLastSave="0" documentId="8_{F2D33B20-8E3F-49FD-8DF5-FCAE50C78356}" xr6:coauthVersionLast="47" xr6:coauthVersionMax="47" xr10:uidLastSave="{00000000-0000-0000-0000-000000000000}"/>
  <bookViews>
    <workbookView xWindow="-120" yWindow="-120" windowWidth="20730" windowHeight="1116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4" l="1"/>
  <c r="C29" i="4" s="1"/>
  <c r="C30" i="4" s="1"/>
  <c r="C31" i="4" s="1"/>
  <c r="C6" i="4"/>
  <c r="C7" i="4"/>
  <c r="C5" i="4"/>
  <c r="D17" i="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3" i="6" l="1"/>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F29" i="5" l="1"/>
  <c r="F45" i="5" s="1"/>
  <c r="H12" i="3"/>
  <c r="J12" i="3" s="1"/>
  <c r="F13" i="3" s="1"/>
  <c r="G13" i="3" s="1"/>
  <c r="G14" i="5" s="1"/>
  <c r="G15" i="5" s="1"/>
  <c r="G16" i="5" s="1"/>
  <c r="G17" i="5" s="1"/>
  <c r="E44" i="5"/>
  <c r="F30" i="5" l="1"/>
  <c r="I13" i="3"/>
  <c r="H13" i="3" s="1"/>
  <c r="J13" i="3" s="1"/>
  <c r="G31" i="5" s="1"/>
  <c r="G29" i="5"/>
  <c r="G30" i="5" s="1"/>
  <c r="F31"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542C9E54-200D-4031-B1D6-A3BBDEF92B4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880BE451-7F5B-4281-B28A-CDDCC30443E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A3F30319-7A0F-431F-B985-5DEFDA629B8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BEEF0A49-B229-46B4-B4B1-371C6FFE23B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44D2E124-7E2E-443A-949F-241B97767CA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96EAF24A-6FCF-42C2-8E55-BF899ACECC7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F549F2B7-13C4-4A96-9F29-5BC9BF21DAF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87F18B42-8329-4121-95A1-88CD87DA70D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6" authorId="0" shapeId="0" xr:uid="{AF79D2A2-069C-4FED-9721-5492F749523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1320E65D-1608-45FC-825C-BA7405D1D9E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05B35F74-1571-4B46-B7F4-C50AE4F4A99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26CFC135-B2BE-4BF8-9841-03592B48D0F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4877044B-99DB-45B0-9DD6-B05A4860D7E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679DE8C6-E2ED-482D-9D79-449FA931382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13E22F49-F5E6-48CC-BE58-F1CA0C7137E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18FC1759-24C2-40E0-ADCC-A4EB7457B31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G8" authorId="0" shapeId="0" xr:uid="{5E7BC0FC-AB68-4663-AA16-C8A7BEA5342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8" authorId="0" shapeId="0" xr:uid="{08E8B661-77BE-47CB-AAD9-83F90D41DF6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D54A50CF-D234-4857-8B24-8F29ADDC48C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255C5F53-6683-4371-A50E-E2F14C1CD36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9" authorId="0" shapeId="0" xr:uid="{B4192AA4-7977-496D-8F18-A07DF255E04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9" authorId="0" shapeId="0" xr:uid="{04C76B16-A50E-490F-A200-9DB76F88679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9" authorId="0" shapeId="0" xr:uid="{7BD854B3-900E-44F8-883C-077461134C5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9" authorId="0" shapeId="0" xr:uid="{84B8B114-EF06-477D-B715-8C8E3493AA8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10" authorId="0" shapeId="0" xr:uid="{707DB7D5-FAA5-48FE-BB4C-36726687765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0" authorId="0" shapeId="0" xr:uid="{9045AA92-2BBF-4A15-BCB7-F994EACFB30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0" authorId="0" shapeId="0" xr:uid="{6C970324-4909-48BB-B759-A6728703651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0" authorId="0" shapeId="0" xr:uid="{D19614F2-9D6E-425D-B860-0E1332D4851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11" authorId="0" shapeId="0" xr:uid="{A8958904-6C92-4DB4-8567-1C4D52EE132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1" authorId="0" shapeId="0" xr:uid="{C359D34C-1F42-46CA-B595-13506EE85CE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1" authorId="0" shapeId="0" xr:uid="{4FFD3063-2FC5-4A41-9F36-5622BD2C669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1" authorId="0" shapeId="0" xr:uid="{AECD0D8E-775B-4BC2-B9EC-6E503FE98B4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12" authorId="0" shapeId="0" xr:uid="{C0B9BE53-6B2E-4722-86AE-66C6EB411EE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2" authorId="0" shapeId="0" xr:uid="{0350CF06-369A-4E5A-9E46-58B9F9EAC98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2" authorId="0" shapeId="0" xr:uid="{35F40E2E-156E-4CE8-9A77-0C297192509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2" authorId="0" shapeId="0" xr:uid="{2BC4DC71-6E88-4085-B2E8-563C66ABD66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rgb="FF000000"/>
            <rFont val="Tahoma"/>
            <family val="2"/>
          </rPr>
          <t>DARIO MAURICIO REYES GIRALDO:</t>
        </r>
        <r>
          <rPr>
            <sz val="9"/>
            <color rgb="FF000000"/>
            <rFont val="Tahoma"/>
            <family val="2"/>
          </rPr>
          <t xml:space="preserve">
</t>
        </r>
        <r>
          <rPr>
            <sz val="9"/>
            <color rgb="FF000000"/>
            <rFont val="Tahoma"/>
            <family val="2"/>
          </rPr>
          <t>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<sst xmlns="http://schemas.openxmlformats.org/spreadsheetml/2006/main" count="182" uniqueCount="173">
  <si>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</si>
  <si>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</si>
  <si>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</si>
  <si>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</si>
  <si>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</si>
  <si>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</si>
  <si>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</si>
  <si>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</si>
  <si>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</si>
  <si>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</si>
  <si>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</si>
  <si>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</si>
  <si>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</si>
  <si>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</si>
  <si>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</si>
  <si>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</si>
  <si>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</si>
  <si>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</si>
  <si>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Hamburguesas</t>
  </si>
  <si>
    <t>AÑO</t>
  </si>
  <si>
    <t>Perros Calientes</t>
  </si>
  <si>
    <t>INFLACIÓN</t>
  </si>
  <si>
    <t>Burritos</t>
  </si>
  <si>
    <t>IPP</t>
  </si>
  <si>
    <t>Arepas Rellenas</t>
  </si>
  <si>
    <t>Mazorcadas</t>
  </si>
  <si>
    <t>TASA IMPTO RENTA</t>
  </si>
  <si>
    <t>Platos corrientes</t>
  </si>
  <si>
    <t>Salchipapa</t>
  </si>
  <si>
    <t>Acompañamientos</t>
  </si>
  <si>
    <t>Caldo de costilla</t>
  </si>
  <si>
    <t>Huevos en combo desayuno</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</si>
  <si>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</si>
  <si>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</si>
  <si>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</si>
  <si>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</si>
  <si>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</si>
  <si>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</si>
  <si>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</si>
  <si>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</si>
  <si>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</si>
  <si>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</si>
  <si>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</si>
  <si>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</si>
  <si>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</si>
  <si>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</si>
  <si>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</si>
  <si>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</si>
  <si>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</si>
  <si>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</si>
  <si>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</si>
  <si>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</si>
  <si>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</si>
  <si>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</si>
  <si>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</si>
  <si>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</si>
  <si>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</si>
  <si>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</si>
  <si>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</si>
  <si>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</si>
  <si>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</si>
  <si>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</si>
  <si>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</si>
  <si>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</si>
  <si>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</si>
  <si>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</si>
  <si>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</si>
  <si>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</si>
  <si>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</si>
  <si>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</si>
  <si>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</si>
  <si>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</si>
  <si>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Capacitación y desarrollo</t>
  </si>
  <si>
    <t>Mantenimiento y reparaciones</t>
  </si>
  <si>
    <t>Empaques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</si>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</sst>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3">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8"/>
      <color theme="1"/>
      <name val="Aharoni"/>
    </font>
    <font>
      <sz val="11"/>
      <color rgb="FFFF0000"/>
      <name val="Calibri"/>
      <family val="2"/>
      <scheme val="minor"/>
    </font>
    <font>
      <b/>
      <sz val="11"/>
      <color theme="0"/>
      <name val="Calibri"/>
      <family val="2"/>
      <scheme val="minor"/>
    </font>
    <font>
      <b/>
      <sz val="11"/>
      <color theme="0"/>
      <name val="Aharoni"/>
    </font>
    <font>
      <b/>
      <sz val="10"/>
      <color theme="1"/>
      <name val="Arial"/>
      <family val="2"/>
    </font>
    <font>
      <b/>
      <sz val="9"/>
      <color theme="1"/>
      <name val="Aharoni"/>
      <charset val="177"/>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0">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0" fontId="16" fillId="0" borderId="0" xfId="0" applyFont="1" applyProtection="1">
      <protection hidden="1"/>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6"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7"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168" fontId="49" fillId="7" borderId="1" xfId="1" applyNumberFormat="1" applyFont="1" applyFill="1" applyBorder="1" applyProtection="1">
      <protection hidden="1"/>
    </xf>
    <xf numFmtId="0" fontId="50" fillId="0" borderId="0" xfId="0" applyFont="1" applyAlignment="1" applyProtection="1">
      <alignment wrapText="1"/>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44567.728706839538</c:v>
                </c:pt>
                <c:pt idx="2">
                  <c:v>89135.457413679076</c:v>
                </c:pt>
              </c:numCache>
            </c:numRef>
          </c:cat>
          <c:val>
            <c:numRef>
              <c:f>'5'!$C$33:$C$35</c:f>
              <c:numCache>
                <c:formatCode>_("$"\ * #,##0.00_);_("$"\ * \(#,##0.00\);_("$"\ * "-"??_);_(@_)</c:formatCode>
                <c:ptCount val="3"/>
                <c:pt idx="0">
                  <c:v>480097900</c:v>
                </c:pt>
                <c:pt idx="1">
                  <c:v>480097900</c:v>
                </c:pt>
                <c:pt idx="2">
                  <c:v>480097900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44567.728706839538</c:v>
                </c:pt>
                <c:pt idx="2">
                  <c:v>89135.457413679076</c:v>
                </c:pt>
              </c:numCache>
            </c:numRef>
          </c:cat>
          <c:val>
            <c:numRef>
              <c:f>'5'!$D$33:$D$35</c:f>
              <c:numCache>
                <c:formatCode>_("$"\ * #,##0.00_);_("$"\ * \(#,##0.00\);_("$"\ * "-"??_);_(@_)</c:formatCode>
                <c:ptCount val="3"/>
                <c:pt idx="0" formatCode="General">
                  <c:v>0</c:v>
                </c:pt>
                <c:pt idx="1">
                  <c:v>599760503.16802061</c:v>
                </c:pt>
                <c:pt idx="2">
                  <c:v>1199521006.3360412</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44567.728706839538</c:v>
                </c:pt>
                <c:pt idx="2">
                  <c:v>89135.457413679076</c:v>
                </c:pt>
              </c:numCache>
            </c:numRef>
          </c:cat>
          <c:val>
            <c:numRef>
              <c:f>'5'!$F$33:$F$35</c:f>
              <c:numCache>
                <c:formatCode>_("$"\ * #,##0.00_);_("$"\ * \(#,##0.00\);_("$"\ * "-"??_);_(@_)</c:formatCode>
                <c:ptCount val="3"/>
                <c:pt idx="0">
                  <c:v>480097900</c:v>
                </c:pt>
                <c:pt idx="1">
                  <c:v>599760503.16802061</c:v>
                </c:pt>
                <c:pt idx="2">
                  <c:v>719423106.33604109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E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1</xdr:col>
      <xdr:colOff>944218</xdr:colOff>
      <xdr:row>30</xdr:row>
      <xdr:rowOff>0</xdr:rowOff>
    </xdr:from>
    <xdr:to>
      <xdr:col>1</xdr:col>
      <xdr:colOff>1830457</xdr:colOff>
      <xdr:row>30</xdr:row>
      <xdr:rowOff>298174</xdr:rowOff>
    </xdr:to>
    <xdr:sp macro="" textlink="">
      <xdr:nvSpPr>
        <xdr:cNvPr id="3" name="CuadroTexto 2">
          <a:extLst>
            <a:ext uri="{FF2B5EF4-FFF2-40B4-BE49-F238E27FC236}">
              <a16:creationId xmlns:a16="http://schemas.microsoft.com/office/drawing/2014/main" id="{1E0D430E-4039-1E30-7BEF-92E5D754CCAD}"/>
            </a:ext>
          </a:extLst>
        </xdr:cNvPr>
        <xdr:cNvSpPr txBox="1"/>
      </xdr:nvSpPr>
      <xdr:spPr>
        <a:xfrm>
          <a:off x="2451653" y="6833152"/>
          <a:ext cx="886239" cy="298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800" b="1">
              <a:latin typeface="Aharoni" panose="02010803020104030203" pitchFamily="2" charset="-79"/>
              <a:cs typeface="Aharoni" panose="02010803020104030203" pitchFamily="2" charset="-79"/>
            </a:rPr>
            <a:t>2023</a:t>
          </a:r>
        </a:p>
      </xdr:txBody>
    </xdr:sp>
    <xdr:clientData/>
  </xdr:twoCellAnchor>
  <xdr:twoCellAnchor>
    <xdr:from>
      <xdr:col>2</xdr:col>
      <xdr:colOff>442293</xdr:colOff>
      <xdr:row>30</xdr:row>
      <xdr:rowOff>3313</xdr:rowOff>
    </xdr:from>
    <xdr:to>
      <xdr:col>2</xdr:col>
      <xdr:colOff>1328532</xdr:colOff>
      <xdr:row>30</xdr:row>
      <xdr:rowOff>301487</xdr:rowOff>
    </xdr:to>
    <xdr:sp macro="" textlink="">
      <xdr:nvSpPr>
        <xdr:cNvPr id="4" name="CuadroTexto 3">
          <a:extLst>
            <a:ext uri="{FF2B5EF4-FFF2-40B4-BE49-F238E27FC236}">
              <a16:creationId xmlns:a16="http://schemas.microsoft.com/office/drawing/2014/main" id="{5632A5AF-0367-4C5C-8C8D-CA363E22549C}"/>
            </a:ext>
          </a:extLst>
        </xdr:cNvPr>
        <xdr:cNvSpPr txBox="1"/>
      </xdr:nvSpPr>
      <xdr:spPr>
        <a:xfrm>
          <a:off x="4252293" y="6836465"/>
          <a:ext cx="886239" cy="298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800" b="1">
              <a:latin typeface="Aharoni" panose="02010803020104030203" pitchFamily="2" charset="-79"/>
              <a:cs typeface="Aharoni" panose="02010803020104030203" pitchFamily="2" charset="-79"/>
            </a:rPr>
            <a:t>2024</a:t>
          </a:r>
        </a:p>
      </xdr:txBody>
    </xdr:sp>
    <xdr:clientData/>
  </xdr:twoCellAnchor>
  <xdr:twoCellAnchor>
    <xdr:from>
      <xdr:col>3</xdr:col>
      <xdr:colOff>677520</xdr:colOff>
      <xdr:row>29</xdr:row>
      <xdr:rowOff>188843</xdr:rowOff>
    </xdr:from>
    <xdr:to>
      <xdr:col>3</xdr:col>
      <xdr:colOff>1563759</xdr:colOff>
      <xdr:row>30</xdr:row>
      <xdr:rowOff>296517</xdr:rowOff>
    </xdr:to>
    <xdr:sp macro="" textlink="">
      <xdr:nvSpPr>
        <xdr:cNvPr id="8" name="CuadroTexto 7">
          <a:extLst>
            <a:ext uri="{FF2B5EF4-FFF2-40B4-BE49-F238E27FC236}">
              <a16:creationId xmlns:a16="http://schemas.microsoft.com/office/drawing/2014/main" id="{B38D6A5A-EC12-4964-B5BC-6FE416FBB4B9}"/>
            </a:ext>
          </a:extLst>
        </xdr:cNvPr>
        <xdr:cNvSpPr txBox="1"/>
      </xdr:nvSpPr>
      <xdr:spPr>
        <a:xfrm>
          <a:off x="6218585" y="6831495"/>
          <a:ext cx="886239" cy="298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800" b="1">
              <a:latin typeface="Aharoni" panose="02010803020104030203" pitchFamily="2" charset="-79"/>
              <a:cs typeface="Aharoni" panose="02010803020104030203" pitchFamily="2" charset="-79"/>
            </a:rPr>
            <a:t>2025</a:t>
          </a:r>
        </a:p>
      </xdr:txBody>
    </xdr:sp>
    <xdr:clientData/>
  </xdr:twoCellAnchor>
  <xdr:twoCellAnchor>
    <xdr:from>
      <xdr:col>4</xdr:col>
      <xdr:colOff>647703</xdr:colOff>
      <xdr:row>30</xdr:row>
      <xdr:rowOff>1656</xdr:rowOff>
    </xdr:from>
    <xdr:to>
      <xdr:col>4</xdr:col>
      <xdr:colOff>1533942</xdr:colOff>
      <xdr:row>30</xdr:row>
      <xdr:rowOff>299830</xdr:rowOff>
    </xdr:to>
    <xdr:sp macro="" textlink="">
      <xdr:nvSpPr>
        <xdr:cNvPr id="10" name="CuadroTexto 9">
          <a:extLst>
            <a:ext uri="{FF2B5EF4-FFF2-40B4-BE49-F238E27FC236}">
              <a16:creationId xmlns:a16="http://schemas.microsoft.com/office/drawing/2014/main" id="{FDE365B3-4A49-4B8B-9F65-CA6538CE8E8D}"/>
            </a:ext>
          </a:extLst>
        </xdr:cNvPr>
        <xdr:cNvSpPr txBox="1"/>
      </xdr:nvSpPr>
      <xdr:spPr>
        <a:xfrm>
          <a:off x="8110333" y="6834808"/>
          <a:ext cx="886239" cy="298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800" b="1">
              <a:latin typeface="Aharoni" panose="02010803020104030203" pitchFamily="2" charset="-79"/>
              <a:cs typeface="Aharoni" panose="02010803020104030203" pitchFamily="2" charset="-79"/>
            </a:rPr>
            <a:t>2026</a:t>
          </a:r>
        </a:p>
      </xdr:txBody>
    </xdr:sp>
    <xdr:clientData/>
  </xdr:twoCellAnchor>
  <xdr:twoCellAnchor>
    <xdr:from>
      <xdr:col>5</xdr:col>
      <xdr:colOff>634450</xdr:colOff>
      <xdr:row>30</xdr:row>
      <xdr:rowOff>13251</xdr:rowOff>
    </xdr:from>
    <xdr:to>
      <xdr:col>5</xdr:col>
      <xdr:colOff>1520689</xdr:colOff>
      <xdr:row>30</xdr:row>
      <xdr:rowOff>311425</xdr:rowOff>
    </xdr:to>
    <xdr:sp macro="" textlink="">
      <xdr:nvSpPr>
        <xdr:cNvPr id="11" name="CuadroTexto 10">
          <a:extLst>
            <a:ext uri="{FF2B5EF4-FFF2-40B4-BE49-F238E27FC236}">
              <a16:creationId xmlns:a16="http://schemas.microsoft.com/office/drawing/2014/main" id="{874715BF-860D-4FC4-AAD9-4060D9B38D47}"/>
            </a:ext>
          </a:extLst>
        </xdr:cNvPr>
        <xdr:cNvSpPr txBox="1"/>
      </xdr:nvSpPr>
      <xdr:spPr>
        <a:xfrm>
          <a:off x="10018646" y="6846403"/>
          <a:ext cx="886239" cy="298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800" b="1">
              <a:latin typeface="Aharoni" panose="02010803020104030203" pitchFamily="2" charset="-79"/>
              <a:cs typeface="Aharoni" panose="02010803020104030203" pitchFamily="2" charset="-79"/>
            </a:rPr>
            <a:t>2027</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M17" sqref="M17"/>
    </sheetView>
  </sheetViews>
  <sheetFormatPr baseColWidth="10" defaultColWidth="11.42578125" defaultRowHeight="15"/>
  <sheetData>
    <row r="23" spans="7:8" ht="20.25">
      <c r="G23" s="136" t="s">
        <v>0</v>
      </c>
      <c r="H23" s="136"/>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E1" zoomScale="120" zoomScaleNormal="120" workbookViewId="0">
      <selection activeCell="Z4" sqref="Z4"/>
    </sheetView>
  </sheetViews>
  <sheetFormatPr baseColWidth="10" defaultColWidth="11.42578125" defaultRowHeight="15"/>
  <cols>
    <col min="1" max="1" width="22.42578125" style="8" customWidth="1"/>
    <col min="2" max="2" width="34.42578125" style="8" bestFit="1" customWidth="1"/>
    <col min="3" max="3" width="26" style="8" bestFit="1" customWidth="1"/>
    <col min="4" max="5" width="28.85546875" style="8" bestFit="1" customWidth="1"/>
    <col min="6" max="6" width="29.140625" style="8" bestFit="1" customWidth="1"/>
    <col min="7" max="10" width="9.42578125" style="8" bestFit="1" customWidth="1"/>
    <col min="11" max="11" width="4.28515625" style="8" customWidth="1"/>
    <col min="12" max="15" width="11.42578125" style="8" hidden="1" customWidth="1"/>
    <col min="16" max="19" width="12" style="8" hidden="1" customWidth="1"/>
    <col min="20" max="24" width="15.42578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38" t="s">
        <v>1</v>
      </c>
      <c r="B1" s="138"/>
      <c r="C1" s="138"/>
      <c r="D1" s="138"/>
      <c r="E1" s="138"/>
      <c r="G1" s="139" t="s">
        <v>2</v>
      </c>
      <c r="H1" s="139"/>
      <c r="I1" s="139"/>
      <c r="J1" s="139"/>
      <c r="P1" s="8" t="s">
        <v>3</v>
      </c>
      <c r="Y1" s="15" t="s">
        <v>4</v>
      </c>
      <c r="Z1" s="47">
        <v>2022</v>
      </c>
      <c r="AA1" s="16"/>
    </row>
    <row r="2" spans="1:29" ht="32.25" customHeight="1" thickBot="1">
      <c r="B2" s="17" t="s">
        <v>5</v>
      </c>
      <c r="C2" s="18" t="s">
        <v>6</v>
      </c>
      <c r="D2" s="17" t="s">
        <v>7</v>
      </c>
      <c r="E2" s="18" t="s">
        <v>8</v>
      </c>
      <c r="F2" s="19" t="s">
        <v>9</v>
      </c>
      <c r="G2" s="20">
        <f>'1'!Z1+1</f>
        <v>2023</v>
      </c>
      <c r="H2" s="20">
        <f>G2+1</f>
        <v>2024</v>
      </c>
      <c r="I2" s="20">
        <f t="shared" ref="I2:J2" si="0">H2+1</f>
        <v>2025</v>
      </c>
      <c r="J2" s="20">
        <f t="shared" si="0"/>
        <v>2026</v>
      </c>
      <c r="L2" s="8">
        <f>G2</f>
        <v>2023</v>
      </c>
      <c r="M2" s="8">
        <f>H2</f>
        <v>2024</v>
      </c>
      <c r="N2" s="8">
        <f>M2+1</f>
        <v>2025</v>
      </c>
      <c r="O2" s="8">
        <f>N2+1</f>
        <v>2026</v>
      </c>
      <c r="P2" s="8" t="s">
        <v>10</v>
      </c>
      <c r="Q2" s="8" t="s">
        <v>11</v>
      </c>
      <c r="R2" s="8" t="s">
        <v>12</v>
      </c>
      <c r="S2" s="8" t="s">
        <v>13</v>
      </c>
      <c r="T2" s="8" t="s">
        <v>14</v>
      </c>
      <c r="U2" s="8" t="s">
        <v>15</v>
      </c>
      <c r="V2" s="8" t="s">
        <v>16</v>
      </c>
      <c r="W2" s="8" t="s">
        <v>17</v>
      </c>
      <c r="Y2" s="16"/>
      <c r="Z2" s="16"/>
      <c r="AA2" s="16"/>
    </row>
    <row r="3" spans="1:29" ht="24" thickBot="1">
      <c r="A3" s="21">
        <v>1</v>
      </c>
      <c r="B3" s="13" t="s">
        <v>18</v>
      </c>
      <c r="C3" s="52">
        <v>8300</v>
      </c>
      <c r="D3" s="14">
        <v>16000</v>
      </c>
      <c r="E3" s="22">
        <f>C3*D3</f>
        <v>132800000</v>
      </c>
      <c r="F3" s="23">
        <f>IF($E$13=0,0,E3/$E$13)</f>
        <v>0.13841118962749879</v>
      </c>
      <c r="G3" s="112">
        <v>0.08</v>
      </c>
      <c r="H3" s="112">
        <v>0.12</v>
      </c>
      <c r="I3" s="112">
        <v>0.23</v>
      </c>
      <c r="J3" s="112">
        <v>0.33</v>
      </c>
      <c r="K3" s="24"/>
      <c r="L3" s="8">
        <f t="shared" ref="L3:L12" si="1">C3*(1+G3)</f>
        <v>8964</v>
      </c>
      <c r="M3" s="8">
        <f>L3*(1+H3)</f>
        <v>10039.68</v>
      </c>
      <c r="N3" s="8">
        <f t="shared" ref="N3:O3" si="2">M3*(1+I3)</f>
        <v>12348.806399999999</v>
      </c>
      <c r="O3" s="8">
        <f t="shared" si="2"/>
        <v>16423.912511999999</v>
      </c>
      <c r="P3" s="25">
        <f>D3*(1+'1'!$Z$4)</f>
        <v>17440</v>
      </c>
      <c r="Q3" s="25">
        <f>P3*(1+'1'!$AA$4)</f>
        <v>18364.32</v>
      </c>
      <c r="R3" s="25">
        <f>Q3*(1+'1'!$AB$4)</f>
        <v>19117.257119999998</v>
      </c>
      <c r="S3" s="25">
        <f>R3*(1+'1'!$AC$4)</f>
        <v>19862.830147679997</v>
      </c>
      <c r="T3" s="26">
        <f>L3*P3</f>
        <v>156332160</v>
      </c>
      <c r="U3" s="26">
        <f>M3*Q3</f>
        <v>184371896.21759999</v>
      </c>
      <c r="V3" s="26">
        <f>N3*R3</f>
        <v>236075307.07390153</v>
      </c>
      <c r="W3" s="26">
        <f>O3*S3</f>
        <v>326225384.58621228</v>
      </c>
      <c r="X3" s="26"/>
      <c r="Y3" s="27" t="s">
        <v>19</v>
      </c>
      <c r="Z3" s="28">
        <f>G2</f>
        <v>2023</v>
      </c>
      <c r="AA3" s="28">
        <f>Z3+1</f>
        <v>2024</v>
      </c>
      <c r="AB3" s="28">
        <f t="shared" ref="AB3:AC3" si="3">AA3+1</f>
        <v>2025</v>
      </c>
      <c r="AC3" s="29">
        <f t="shared" si="3"/>
        <v>2026</v>
      </c>
    </row>
    <row r="4" spans="1:29" ht="23.25">
      <c r="A4" s="21">
        <f>A3+1</f>
        <v>2</v>
      </c>
      <c r="B4" s="13" t="s">
        <v>20</v>
      </c>
      <c r="C4" s="52">
        <v>7000</v>
      </c>
      <c r="D4" s="14">
        <v>15000</v>
      </c>
      <c r="E4" s="22">
        <f t="shared" ref="E4:E12" si="4">C4*D4</f>
        <v>105000000</v>
      </c>
      <c r="F4" s="23">
        <f t="shared" ref="F4:F12" si="5">IF($E$13=0,0,E4/$E$13)</f>
        <v>0.10943655806391095</v>
      </c>
      <c r="G4" s="112">
        <v>0.08</v>
      </c>
      <c r="H4" s="112">
        <v>0.12</v>
      </c>
      <c r="I4" s="112">
        <v>0.23</v>
      </c>
      <c r="J4" s="112">
        <v>0.33</v>
      </c>
      <c r="K4" s="24"/>
      <c r="L4" s="8">
        <f t="shared" si="1"/>
        <v>7560.0000000000009</v>
      </c>
      <c r="M4" s="8">
        <f t="shared" ref="M4:M12" si="6">L4*(1+H4)</f>
        <v>8467.2000000000025</v>
      </c>
      <c r="N4" s="8">
        <f t="shared" ref="N4:N12" si="7">M4*(1+I4)</f>
        <v>10414.656000000003</v>
      </c>
      <c r="O4" s="8">
        <f t="shared" ref="O4:O12" si="8">N4*(1+J4)</f>
        <v>13851.492480000004</v>
      </c>
      <c r="P4" s="25">
        <f>D4*(1+'1'!$Z$4)</f>
        <v>16350.000000000002</v>
      </c>
      <c r="Q4" s="25">
        <f>P4*(1+'1'!$AA$4)</f>
        <v>17216.55</v>
      </c>
      <c r="R4" s="25">
        <f>Q4*(1+'1'!$AB$4)</f>
        <v>17922.428549999997</v>
      </c>
      <c r="S4" s="25">
        <f>R4*(1+'1'!$AC$4)</f>
        <v>18621.403263449996</v>
      </c>
      <c r="T4" s="26">
        <f t="shared" ref="T4:T12" si="9">L4*P4</f>
        <v>123606000.00000003</v>
      </c>
      <c r="U4" s="26">
        <f t="shared" ref="U4:U12" si="10">M4*Q4</f>
        <v>145775972.16000003</v>
      </c>
      <c r="V4" s="26">
        <f t="shared" ref="V4:V12" si="11">N4*R4</f>
        <v>186655928.03282881</v>
      </c>
      <c r="W4" s="26">
        <f t="shared" ref="W4:W12" si="12">O4*S4</f>
        <v>257934227.27072516</v>
      </c>
      <c r="X4" s="26"/>
      <c r="Y4" s="113" t="s">
        <v>21</v>
      </c>
      <c r="Z4" s="48">
        <v>0.09</v>
      </c>
      <c r="AA4" s="48">
        <v>5.2999999999999999E-2</v>
      </c>
      <c r="AB4" s="48">
        <v>4.1000000000000002E-2</v>
      </c>
      <c r="AC4" s="49">
        <v>3.9E-2</v>
      </c>
    </row>
    <row r="5" spans="1:29" ht="24" thickBot="1">
      <c r="A5" s="21">
        <f t="shared" ref="A5:A12" si="13">A4+1</f>
        <v>3</v>
      </c>
      <c r="B5" s="13" t="s">
        <v>22</v>
      </c>
      <c r="C5" s="52">
        <v>8000</v>
      </c>
      <c r="D5" s="14">
        <v>15900</v>
      </c>
      <c r="E5" s="22">
        <f t="shared" si="4"/>
        <v>127200000</v>
      </c>
      <c r="F5" s="23">
        <f t="shared" si="5"/>
        <v>0.13257457319742355</v>
      </c>
      <c r="G5" s="112">
        <v>0.08</v>
      </c>
      <c r="H5" s="112">
        <v>0.12</v>
      </c>
      <c r="I5" s="112">
        <v>0.23</v>
      </c>
      <c r="J5" s="112">
        <v>0.33</v>
      </c>
      <c r="K5" s="24"/>
      <c r="L5" s="8">
        <f t="shared" si="1"/>
        <v>8640</v>
      </c>
      <c r="M5" s="8">
        <f t="shared" si="6"/>
        <v>9676.8000000000011</v>
      </c>
      <c r="N5" s="8">
        <f t="shared" si="7"/>
        <v>11902.464000000002</v>
      </c>
      <c r="O5" s="8">
        <f t="shared" si="8"/>
        <v>15830.277120000002</v>
      </c>
      <c r="P5" s="25">
        <f>D5*(1+'1'!$Z$4)</f>
        <v>17331</v>
      </c>
      <c r="Q5" s="25">
        <f>P5*(1+'1'!$AA$4)</f>
        <v>18249.542999999998</v>
      </c>
      <c r="R5" s="25">
        <f>Q5*(1+'1'!$AB$4)</f>
        <v>18997.774262999996</v>
      </c>
      <c r="S5" s="25">
        <f>R5*(1+'1'!$AC$4)</f>
        <v>19738.687459256995</v>
      </c>
      <c r="T5" s="26">
        <f t="shared" si="9"/>
        <v>149739840</v>
      </c>
      <c r="U5" s="26">
        <f t="shared" si="10"/>
        <v>176597177.7024</v>
      </c>
      <c r="V5" s="26">
        <f t="shared" si="11"/>
        <v>226120324.24548402</v>
      </c>
      <c r="W5" s="26">
        <f t="shared" si="12"/>
        <v>312468892.46510696</v>
      </c>
      <c r="X5" s="26"/>
      <c r="Y5" s="114" t="s">
        <v>23</v>
      </c>
      <c r="Z5" s="50">
        <v>0.25519999999999998</v>
      </c>
      <c r="AA5" s="50">
        <v>0.25519999999999998</v>
      </c>
      <c r="AB5" s="50">
        <v>0.25519999999999998</v>
      </c>
      <c r="AC5" s="50">
        <v>0.25519999999999998</v>
      </c>
    </row>
    <row r="6" spans="1:29" ht="15.75" thickBot="1">
      <c r="A6" s="21">
        <f t="shared" si="13"/>
        <v>4</v>
      </c>
      <c r="B6" s="13" t="s">
        <v>24</v>
      </c>
      <c r="C6" s="52">
        <v>6000</v>
      </c>
      <c r="D6" s="14">
        <v>12000</v>
      </c>
      <c r="E6" s="22">
        <f t="shared" si="4"/>
        <v>72000000</v>
      </c>
      <c r="F6" s="23">
        <f t="shared" si="5"/>
        <v>7.5042211243824652E-2</v>
      </c>
      <c r="G6" s="112">
        <v>0.08</v>
      </c>
      <c r="H6" s="112">
        <v>0.12</v>
      </c>
      <c r="I6" s="112">
        <v>0.23</v>
      </c>
      <c r="J6" s="112">
        <v>0.33</v>
      </c>
      <c r="K6" s="24"/>
      <c r="L6" s="8">
        <f t="shared" si="1"/>
        <v>6480</v>
      </c>
      <c r="M6" s="8">
        <f t="shared" si="6"/>
        <v>7257.6</v>
      </c>
      <c r="N6" s="8">
        <f t="shared" si="7"/>
        <v>8926.848</v>
      </c>
      <c r="O6" s="8">
        <f t="shared" si="8"/>
        <v>11872.707840000001</v>
      </c>
      <c r="P6" s="25">
        <f>D6*(1+'1'!$Z$4)</f>
        <v>13080.000000000002</v>
      </c>
      <c r="Q6" s="25">
        <f>P6*(1+'1'!$AA$4)</f>
        <v>13773.240000000002</v>
      </c>
      <c r="R6" s="25">
        <f>Q6*(1+'1'!$AB$4)</f>
        <v>14337.942840000002</v>
      </c>
      <c r="S6" s="25">
        <f>R6*(1+'1'!$AC$4)</f>
        <v>14897.12261076</v>
      </c>
      <c r="T6" s="26">
        <f t="shared" si="9"/>
        <v>84758400.000000015</v>
      </c>
      <c r="U6" s="26">
        <f t="shared" si="10"/>
        <v>99960666.624000013</v>
      </c>
      <c r="V6" s="26">
        <f t="shared" si="11"/>
        <v>127992636.36536834</v>
      </c>
      <c r="W6" s="26">
        <f t="shared" si="12"/>
        <v>176869184.41421154</v>
      </c>
      <c r="X6" s="26"/>
    </row>
    <row r="7" spans="1:29" ht="24" thickBot="1">
      <c r="A7" s="21">
        <f t="shared" si="13"/>
        <v>5</v>
      </c>
      <c r="B7" s="13" t="s">
        <v>25</v>
      </c>
      <c r="C7" s="52">
        <v>8100</v>
      </c>
      <c r="D7" s="14">
        <v>13900</v>
      </c>
      <c r="E7" s="22">
        <f t="shared" si="4"/>
        <v>112590000</v>
      </c>
      <c r="F7" s="23">
        <f t="shared" si="5"/>
        <v>0.1173472578325308</v>
      </c>
      <c r="G7" s="112">
        <v>0.08</v>
      </c>
      <c r="H7" s="112">
        <v>0.12</v>
      </c>
      <c r="I7" s="112">
        <v>0.23</v>
      </c>
      <c r="J7" s="112">
        <v>0.33</v>
      </c>
      <c r="K7" s="24"/>
      <c r="L7" s="8">
        <f t="shared" si="1"/>
        <v>8748</v>
      </c>
      <c r="M7" s="8">
        <f t="shared" si="6"/>
        <v>9797.76</v>
      </c>
      <c r="N7" s="8">
        <f t="shared" si="7"/>
        <v>12051.2448</v>
      </c>
      <c r="O7" s="8">
        <f t="shared" si="8"/>
        <v>16028.155584000002</v>
      </c>
      <c r="P7" s="25">
        <f>D7*(1+'1'!$Z$4)</f>
        <v>15151.000000000002</v>
      </c>
      <c r="Q7" s="25">
        <f>P7*(1+'1'!$AA$4)</f>
        <v>15954.003000000001</v>
      </c>
      <c r="R7" s="25">
        <f>Q7*(1+'1'!$AB$4)</f>
        <v>16608.117123</v>
      </c>
      <c r="S7" s="25">
        <f>R7*(1+'1'!$AC$4)</f>
        <v>17255.833690796997</v>
      </c>
      <c r="T7" s="26">
        <f t="shared" si="9"/>
        <v>132540948.00000001</v>
      </c>
      <c r="U7" s="26">
        <f t="shared" si="10"/>
        <v>156313492.43328002</v>
      </c>
      <c r="V7" s="26">
        <f t="shared" si="11"/>
        <v>200148485.11634472</v>
      </c>
      <c r="W7" s="26">
        <f t="shared" si="12"/>
        <v>276579187.12772328</v>
      </c>
      <c r="X7" s="26"/>
      <c r="Y7" s="30" t="s">
        <v>26</v>
      </c>
      <c r="Z7" s="31"/>
      <c r="AA7" s="31"/>
      <c r="AB7" s="51">
        <v>0.34</v>
      </c>
      <c r="AC7" s="32"/>
    </row>
    <row r="8" spans="1:29">
      <c r="A8" s="21">
        <f t="shared" si="13"/>
        <v>6</v>
      </c>
      <c r="B8" s="13" t="s">
        <v>27</v>
      </c>
      <c r="C8" s="52">
        <v>7500</v>
      </c>
      <c r="D8" s="14">
        <v>15900</v>
      </c>
      <c r="E8" s="22">
        <f t="shared" si="4"/>
        <v>119250000</v>
      </c>
      <c r="F8" s="23">
        <f t="shared" si="5"/>
        <v>0.12428866237258458</v>
      </c>
      <c r="G8" s="112">
        <v>0.08</v>
      </c>
      <c r="H8" s="112">
        <v>0.12</v>
      </c>
      <c r="I8" s="112">
        <v>0.23</v>
      </c>
      <c r="J8" s="112">
        <v>0.33</v>
      </c>
      <c r="K8" s="24"/>
      <c r="L8" s="8">
        <f t="shared" si="1"/>
        <v>8100.0000000000009</v>
      </c>
      <c r="M8" s="8">
        <f t="shared" si="6"/>
        <v>9072.0000000000018</v>
      </c>
      <c r="N8" s="8">
        <f t="shared" si="7"/>
        <v>11158.560000000001</v>
      </c>
      <c r="O8" s="8">
        <f t="shared" si="8"/>
        <v>14840.884800000002</v>
      </c>
      <c r="P8" s="25">
        <f>D8*(1+'1'!$Z$4)</f>
        <v>17331</v>
      </c>
      <c r="Q8" s="25">
        <f>P8*(1+'1'!$AA$4)</f>
        <v>18249.542999999998</v>
      </c>
      <c r="R8" s="25">
        <f>Q8*(1+'1'!$AB$4)</f>
        <v>18997.774262999996</v>
      </c>
      <c r="S8" s="25">
        <f>R8*(1+'1'!$AC$4)</f>
        <v>19738.687459256995</v>
      </c>
      <c r="T8" s="26">
        <f t="shared" si="9"/>
        <v>140381100.00000003</v>
      </c>
      <c r="U8" s="26">
        <f t="shared" si="10"/>
        <v>165559854.09600002</v>
      </c>
      <c r="V8" s="26">
        <f t="shared" si="11"/>
        <v>211987803.98014125</v>
      </c>
      <c r="W8" s="26">
        <f t="shared" si="12"/>
        <v>292939586.68603778</v>
      </c>
      <c r="X8" s="26"/>
    </row>
    <row r="9" spans="1:29">
      <c r="A9" s="21">
        <f t="shared" si="13"/>
        <v>7</v>
      </c>
      <c r="B9" s="13" t="s">
        <v>28</v>
      </c>
      <c r="C9" s="52">
        <v>4500</v>
      </c>
      <c r="D9" s="14">
        <v>11000</v>
      </c>
      <c r="E9" s="22">
        <f t="shared" si="4"/>
        <v>49500000</v>
      </c>
      <c r="F9" s="23">
        <f t="shared" si="5"/>
        <v>5.1591520230129445E-2</v>
      </c>
      <c r="G9" s="112">
        <v>0.08</v>
      </c>
      <c r="H9" s="112">
        <v>0.12</v>
      </c>
      <c r="I9" s="112">
        <v>0.23</v>
      </c>
      <c r="J9" s="112">
        <v>0.33</v>
      </c>
      <c r="K9" s="24"/>
      <c r="L9" s="8">
        <f t="shared" si="1"/>
        <v>4860</v>
      </c>
      <c r="M9" s="8">
        <f t="shared" si="6"/>
        <v>5443.2000000000007</v>
      </c>
      <c r="N9" s="8">
        <f t="shared" si="7"/>
        <v>6695.1360000000004</v>
      </c>
      <c r="O9" s="8">
        <f t="shared" si="8"/>
        <v>8904.5308800000003</v>
      </c>
      <c r="P9" s="25">
        <f>D9*(1+'1'!$Z$4)</f>
        <v>11990</v>
      </c>
      <c r="Q9" s="25">
        <f>P9*(1+'1'!$AA$4)</f>
        <v>12625.47</v>
      </c>
      <c r="R9" s="25">
        <f>Q9*(1+'1'!$AB$4)</f>
        <v>13143.114269999998</v>
      </c>
      <c r="S9" s="25">
        <f>R9*(1+'1'!$AC$4)</f>
        <v>13655.695726529997</v>
      </c>
      <c r="T9" s="26">
        <f t="shared" si="9"/>
        <v>58271400</v>
      </c>
      <c r="U9" s="26">
        <f t="shared" si="10"/>
        <v>68722958.304000005</v>
      </c>
      <c r="V9" s="26">
        <f t="shared" si="11"/>
        <v>87994937.501190707</v>
      </c>
      <c r="W9" s="26">
        <f t="shared" si="12"/>
        <v>121597564.2847704</v>
      </c>
      <c r="X9" s="26"/>
    </row>
    <row r="10" spans="1:29">
      <c r="A10" s="21">
        <f t="shared" si="13"/>
        <v>8</v>
      </c>
      <c r="B10" s="13" t="s">
        <v>29</v>
      </c>
      <c r="C10" s="52">
        <v>19000</v>
      </c>
      <c r="D10" s="14">
        <v>5500</v>
      </c>
      <c r="E10" s="22">
        <f t="shared" si="4"/>
        <v>104500000</v>
      </c>
      <c r="F10" s="23">
        <f t="shared" si="5"/>
        <v>0.10891543159693995</v>
      </c>
      <c r="G10" s="112">
        <v>0.08</v>
      </c>
      <c r="H10" s="112">
        <v>0.12</v>
      </c>
      <c r="I10" s="112">
        <v>0.23</v>
      </c>
      <c r="J10" s="112">
        <v>0.33</v>
      </c>
      <c r="K10" s="24"/>
      <c r="L10" s="8">
        <f t="shared" si="1"/>
        <v>20520</v>
      </c>
      <c r="M10" s="8">
        <f t="shared" si="6"/>
        <v>22982.400000000001</v>
      </c>
      <c r="N10" s="8">
        <f t="shared" si="7"/>
        <v>28268.352000000003</v>
      </c>
      <c r="O10" s="8">
        <f t="shared" si="8"/>
        <v>37596.908160000006</v>
      </c>
      <c r="P10" s="25">
        <f>D10*(1+'1'!$Z$4)</f>
        <v>5995</v>
      </c>
      <c r="Q10" s="25">
        <f>P10*(1+'1'!$AA$4)</f>
        <v>6312.7349999999997</v>
      </c>
      <c r="R10" s="25">
        <f>Q10*(1+'1'!$AB$4)</f>
        <v>6571.5571349999991</v>
      </c>
      <c r="S10" s="25">
        <f>R10*(1+'1'!$AC$4)</f>
        <v>6827.8478632649985</v>
      </c>
      <c r="T10" s="26">
        <f t="shared" si="9"/>
        <v>123017400</v>
      </c>
      <c r="U10" s="26">
        <f t="shared" si="10"/>
        <v>145081800.86399999</v>
      </c>
      <c r="V10" s="26">
        <f t="shared" si="11"/>
        <v>185767090.2802915</v>
      </c>
      <c r="W10" s="26">
        <f t="shared" si="12"/>
        <v>256705969.04562643</v>
      </c>
      <c r="X10" s="26"/>
    </row>
    <row r="11" spans="1:29">
      <c r="A11" s="21">
        <f t="shared" si="13"/>
        <v>9</v>
      </c>
      <c r="B11" s="13" t="s">
        <v>30</v>
      </c>
      <c r="C11" s="52">
        <v>5400</v>
      </c>
      <c r="D11" s="14">
        <v>13900</v>
      </c>
      <c r="E11" s="22">
        <f t="shared" si="4"/>
        <v>75060000</v>
      </c>
      <c r="F11" s="23">
        <f t="shared" si="5"/>
        <v>7.8231505221687203E-2</v>
      </c>
      <c r="G11" s="112">
        <v>0.08</v>
      </c>
      <c r="H11" s="112">
        <v>0.12</v>
      </c>
      <c r="I11" s="112">
        <v>0.23</v>
      </c>
      <c r="J11" s="112">
        <v>0.33</v>
      </c>
      <c r="K11" s="24"/>
      <c r="L11" s="8">
        <f t="shared" si="1"/>
        <v>5832</v>
      </c>
      <c r="M11" s="8">
        <f t="shared" si="6"/>
        <v>6531.8400000000011</v>
      </c>
      <c r="N11" s="8">
        <f t="shared" si="7"/>
        <v>8034.1632000000009</v>
      </c>
      <c r="O11" s="8">
        <f t="shared" si="8"/>
        <v>10685.437056000002</v>
      </c>
      <c r="P11" s="25">
        <f>D11*(1+'1'!$Z$4)</f>
        <v>15151.000000000002</v>
      </c>
      <c r="Q11" s="25">
        <f>P11*(1+'1'!$AA$4)</f>
        <v>15954.003000000001</v>
      </c>
      <c r="R11" s="25">
        <f>Q11*(1+'1'!$AB$4)</f>
        <v>16608.117123</v>
      </c>
      <c r="S11" s="25">
        <f>R11*(1+'1'!$AC$4)</f>
        <v>17255.833690796997</v>
      </c>
      <c r="T11" s="26">
        <f t="shared" si="9"/>
        <v>88360632.000000015</v>
      </c>
      <c r="U11" s="26">
        <f t="shared" si="10"/>
        <v>104208994.95552002</v>
      </c>
      <c r="V11" s="26">
        <f t="shared" si="11"/>
        <v>133432323.41089649</v>
      </c>
      <c r="W11" s="26">
        <f t="shared" si="12"/>
        <v>184386124.75181553</v>
      </c>
      <c r="X11" s="26"/>
    </row>
    <row r="12" spans="1:29">
      <c r="A12" s="21">
        <f t="shared" si="13"/>
        <v>10</v>
      </c>
      <c r="B12" s="13" t="s">
        <v>31</v>
      </c>
      <c r="C12" s="52">
        <v>5400</v>
      </c>
      <c r="D12" s="14">
        <v>11400</v>
      </c>
      <c r="E12" s="22">
        <f t="shared" si="4"/>
        <v>61560000</v>
      </c>
      <c r="F12" s="23">
        <f t="shared" si="5"/>
        <v>6.416109061347007E-2</v>
      </c>
      <c r="G12" s="112">
        <v>0.08</v>
      </c>
      <c r="H12" s="112">
        <v>0.12</v>
      </c>
      <c r="I12" s="112">
        <v>0.23</v>
      </c>
      <c r="J12" s="112">
        <v>0.33</v>
      </c>
      <c r="K12" s="24"/>
      <c r="L12" s="8">
        <f t="shared" si="1"/>
        <v>5832</v>
      </c>
      <c r="M12" s="8">
        <f t="shared" si="6"/>
        <v>6531.8400000000011</v>
      </c>
      <c r="N12" s="8">
        <f t="shared" si="7"/>
        <v>8034.1632000000009</v>
      </c>
      <c r="O12" s="8">
        <f t="shared" si="8"/>
        <v>10685.437056000002</v>
      </c>
      <c r="P12" s="25">
        <f>D12*(1+'1'!$Z$4)</f>
        <v>12426.000000000002</v>
      </c>
      <c r="Q12" s="25">
        <f>P12*(1+'1'!$AA$4)</f>
        <v>13084.578000000001</v>
      </c>
      <c r="R12" s="25">
        <f>Q12*(1+'1'!$AB$4)</f>
        <v>13621.045698</v>
      </c>
      <c r="S12" s="25">
        <f>R12*(1+'1'!$AC$4)</f>
        <v>14152.266480221999</v>
      </c>
      <c r="T12" s="26">
        <f t="shared" si="9"/>
        <v>72468432.000000015</v>
      </c>
      <c r="U12" s="26">
        <f t="shared" si="10"/>
        <v>85466369.96352002</v>
      </c>
      <c r="V12" s="26">
        <f t="shared" si="11"/>
        <v>109433704.09238993</v>
      </c>
      <c r="W12" s="26">
        <f t="shared" si="12"/>
        <v>151223152.67415088</v>
      </c>
      <c r="X12" s="26"/>
    </row>
    <row r="13" spans="1:29">
      <c r="D13" s="8" t="s">
        <v>32</v>
      </c>
      <c r="E13" s="33">
        <f>SUM(E3:E12)</f>
        <v>959460000</v>
      </c>
      <c r="F13" s="34">
        <f>SUM(F3:F12)</f>
        <v>1</v>
      </c>
      <c r="T13" s="35">
        <f>SUM(T3:T12)</f>
        <v>1129476312</v>
      </c>
      <c r="U13" s="35">
        <f>SUM(U3:U12)</f>
        <v>1332059183.3203199</v>
      </c>
      <c r="V13" s="35">
        <f>SUM(V3:V12)</f>
        <v>1705608540.0988371</v>
      </c>
      <c r="W13" s="35">
        <f>SUM(W3:W12)</f>
        <v>2356929273.3063803</v>
      </c>
      <c r="X13" s="26"/>
    </row>
    <row r="15" spans="1:29" ht="23.25" customHeight="1">
      <c r="A15" s="138" t="s">
        <v>33</v>
      </c>
      <c r="B15" s="138"/>
      <c r="C15" s="138"/>
      <c r="D15" s="138"/>
      <c r="E15" s="138"/>
      <c r="G15" s="36"/>
    </row>
    <row r="16" spans="1:29" ht="25.5" customHeight="1">
      <c r="B16" s="17" t="s">
        <v>34</v>
      </c>
      <c r="C16" s="37" t="s">
        <v>6</v>
      </c>
      <c r="D16" s="110" t="s">
        <v>35</v>
      </c>
      <c r="E16" s="18" t="s">
        <v>36</v>
      </c>
      <c r="L16" s="8">
        <f>L2</f>
        <v>2023</v>
      </c>
      <c r="M16" s="8">
        <f t="shared" ref="M16:W16" si="14">M2</f>
        <v>2024</v>
      </c>
      <c r="N16" s="8">
        <f t="shared" si="14"/>
        <v>2025</v>
      </c>
      <c r="O16" s="8">
        <f t="shared" si="14"/>
        <v>2026</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1" t="str">
        <f>B3</f>
        <v>Hamburguesas</v>
      </c>
      <c r="C17" s="39">
        <f>C3</f>
        <v>8300</v>
      </c>
      <c r="D17" s="14">
        <f>3000</f>
        <v>3000</v>
      </c>
      <c r="E17" s="22">
        <f>C17*D17</f>
        <v>24900000</v>
      </c>
      <c r="F17" s="23">
        <f>IF($E$27=0,0,E17/$E$27)</f>
        <v>0.13152237412146753</v>
      </c>
      <c r="L17" s="8">
        <f t="shared" ref="L17:L26" si="15">C17*(1+G3)</f>
        <v>8964</v>
      </c>
      <c r="M17" s="8">
        <f>L17*(1+H3)</f>
        <v>10039.68</v>
      </c>
      <c r="N17" s="8">
        <f t="shared" ref="N17:O17" si="16">M17*(1+I3)</f>
        <v>12348.806399999999</v>
      </c>
      <c r="O17" s="8">
        <f t="shared" si="16"/>
        <v>16423.912511999999</v>
      </c>
      <c r="P17" s="40">
        <f>D17*(1+'1'!$Z$5)</f>
        <v>3765.5999999999995</v>
      </c>
      <c r="Q17" s="25">
        <f>P17*(1+'1'!$AA$5)</f>
        <v>4726.5811199999989</v>
      </c>
      <c r="R17" s="25">
        <f>Q17*(1+'1'!$AB$5)</f>
        <v>5932.8046218239979</v>
      </c>
      <c r="S17" s="25">
        <f>R17*(1+'1'!$AC$5)</f>
        <v>7446.8563613134811</v>
      </c>
      <c r="T17" s="40">
        <f t="shared" ref="T17:U19" si="17">L17*P17</f>
        <v>33754838.399999999</v>
      </c>
      <c r="U17" s="26">
        <f t="shared" si="17"/>
        <v>47453361.938841589</v>
      </c>
      <c r="V17" s="26">
        <f t="shared" ref="V17:W17" si="18">N17*R17</f>
        <v>73263055.683929756</v>
      </c>
      <c r="W17" s="26">
        <f t="shared" si="18"/>
        <v>122306517.36764327</v>
      </c>
      <c r="X17" s="26"/>
    </row>
    <row r="18" spans="1:24">
      <c r="A18" s="21">
        <f t="shared" ref="A18:B25" si="19">A4</f>
        <v>2</v>
      </c>
      <c r="B18" s="41" t="str">
        <f t="shared" si="19"/>
        <v>Perros Calientes</v>
      </c>
      <c r="C18" s="39">
        <f t="shared" ref="C18:C26" si="20">C4</f>
        <v>7000</v>
      </c>
      <c r="D18" s="14">
        <v>3200</v>
      </c>
      <c r="E18" s="22">
        <f t="shared" ref="E18:E26" si="21">C18*D18</f>
        <v>22400000</v>
      </c>
      <c r="F18" s="23">
        <f t="shared" ref="F18:F26" si="22">IF($E$27=0,0,E18/$E$27)</f>
        <v>0.11831731647874989</v>
      </c>
      <c r="L18" s="8">
        <f t="shared" si="15"/>
        <v>7560.0000000000009</v>
      </c>
      <c r="M18" s="8">
        <f t="shared" ref="M18:M26" si="23">L18*(1+H4)</f>
        <v>8467.2000000000025</v>
      </c>
      <c r="N18" s="8">
        <f t="shared" ref="N18:N26" si="24">M18*(1+I4)</f>
        <v>10414.656000000003</v>
      </c>
      <c r="O18" s="8">
        <f t="shared" ref="O18:O26" si="25">N18*(1+J4)</f>
        <v>13851.492480000004</v>
      </c>
      <c r="P18" s="40">
        <f>D18*(1+'1'!$Z$5)</f>
        <v>4016.6399999999994</v>
      </c>
      <c r="Q18" s="25">
        <f>P18*(1+'1'!$AA$5)</f>
        <v>5041.6865279999984</v>
      </c>
      <c r="R18" s="25">
        <f>Q18*(1+'1'!$AB$5)</f>
        <v>6328.3249299455974</v>
      </c>
      <c r="S18" s="25">
        <f>R18*(1+'1'!$AC$5)</f>
        <v>7943.3134520677131</v>
      </c>
      <c r="T18" s="40">
        <f t="shared" si="17"/>
        <v>30365798.399999999</v>
      </c>
      <c r="U18" s="26">
        <f t="shared" si="17"/>
        <v>42688968.169881597</v>
      </c>
      <c r="V18" s="26">
        <f t="shared" ref="V18:V26" si="26">N18*R18</f>
        <v>65907327.20160751</v>
      </c>
      <c r="W18" s="26">
        <f t="shared" ref="W18:W26" si="27">O18*S18</f>
        <v>110026746.54759881</v>
      </c>
      <c r="X18" s="26"/>
    </row>
    <row r="19" spans="1:24">
      <c r="A19" s="21">
        <f t="shared" si="19"/>
        <v>3</v>
      </c>
      <c r="B19" s="41" t="str">
        <f t="shared" si="19"/>
        <v>Burritos</v>
      </c>
      <c r="C19" s="39">
        <f t="shared" si="20"/>
        <v>8000</v>
      </c>
      <c r="D19" s="14">
        <v>3500</v>
      </c>
      <c r="E19" s="22">
        <f t="shared" si="21"/>
        <v>28000000</v>
      </c>
      <c r="F19" s="23">
        <f t="shared" si="22"/>
        <v>0.14789664559843738</v>
      </c>
      <c r="L19" s="8">
        <f t="shared" si="15"/>
        <v>8640</v>
      </c>
      <c r="M19" s="8">
        <f t="shared" si="23"/>
        <v>9676.8000000000011</v>
      </c>
      <c r="N19" s="8">
        <f t="shared" si="24"/>
        <v>11902.464000000002</v>
      </c>
      <c r="O19" s="8">
        <f t="shared" si="25"/>
        <v>15830.277120000002</v>
      </c>
      <c r="P19" s="40">
        <f>D19*(1+'1'!$Z$5)</f>
        <v>4393.2</v>
      </c>
      <c r="Q19" s="25">
        <f>P19*(1+'1'!$AA$5)</f>
        <v>5514.3446399999993</v>
      </c>
      <c r="R19" s="25">
        <f>Q19*(1+'1'!$AB$5)</f>
        <v>6921.6053921279981</v>
      </c>
      <c r="S19" s="25">
        <f>R19*(1+'1'!$AC$5)</f>
        <v>8687.9990881990616</v>
      </c>
      <c r="T19" s="40">
        <f t="shared" si="17"/>
        <v>37957248</v>
      </c>
      <c r="U19" s="26">
        <f t="shared" si="17"/>
        <v>53361210.212352</v>
      </c>
      <c r="V19" s="26">
        <f t="shared" si="26"/>
        <v>82384159.002009392</v>
      </c>
      <c r="W19" s="26">
        <f t="shared" si="27"/>
        <v>137533433.18449849</v>
      </c>
      <c r="X19" s="26"/>
    </row>
    <row r="20" spans="1:24">
      <c r="A20" s="21">
        <f t="shared" si="19"/>
        <v>4</v>
      </c>
      <c r="B20" s="41" t="str">
        <f t="shared" si="19"/>
        <v>Arepas Rellenas</v>
      </c>
      <c r="C20" s="39">
        <f t="shared" si="20"/>
        <v>6000</v>
      </c>
      <c r="D20" s="14">
        <v>2000</v>
      </c>
      <c r="E20" s="22">
        <f t="shared" si="21"/>
        <v>12000000</v>
      </c>
      <c r="F20" s="23">
        <f t="shared" si="22"/>
        <v>6.338427668504458E-2</v>
      </c>
      <c r="L20" s="8">
        <f t="shared" si="15"/>
        <v>6480</v>
      </c>
      <c r="M20" s="8">
        <f t="shared" si="23"/>
        <v>7257.6</v>
      </c>
      <c r="N20" s="8">
        <f t="shared" si="24"/>
        <v>8926.848</v>
      </c>
      <c r="O20" s="8">
        <f t="shared" si="25"/>
        <v>11872.707840000001</v>
      </c>
      <c r="P20" s="40">
        <f>D20*(1+'1'!$Z$5)</f>
        <v>2510.3999999999996</v>
      </c>
      <c r="Q20" s="25">
        <f>P20*(1+'1'!$AA$5)</f>
        <v>3151.0540799999994</v>
      </c>
      <c r="R20" s="25">
        <f>Q20*(1+'1'!$AB$5)</f>
        <v>3955.2030812159987</v>
      </c>
      <c r="S20" s="25">
        <f>R20*(1+'1'!$AC$5)</f>
        <v>4964.570907542321</v>
      </c>
      <c r="T20" s="40">
        <f t="shared" ref="T20:T26" si="28">L20*P20</f>
        <v>16267391.999999998</v>
      </c>
      <c r="U20" s="26">
        <f t="shared" ref="U20:U26" si="29">M20*Q20</f>
        <v>22869090.091007996</v>
      </c>
      <c r="V20" s="26">
        <f t="shared" si="26"/>
        <v>35307496.715146877</v>
      </c>
      <c r="W20" s="26">
        <f t="shared" si="27"/>
        <v>58942899.936213635</v>
      </c>
      <c r="X20" s="26"/>
    </row>
    <row r="21" spans="1:24">
      <c r="A21" s="21">
        <f t="shared" si="19"/>
        <v>5</v>
      </c>
      <c r="B21" s="41" t="str">
        <f t="shared" si="19"/>
        <v>Mazorcadas</v>
      </c>
      <c r="C21" s="39">
        <f t="shared" si="20"/>
        <v>8100</v>
      </c>
      <c r="D21" s="14">
        <v>3500</v>
      </c>
      <c r="E21" s="22">
        <f t="shared" si="21"/>
        <v>28350000</v>
      </c>
      <c r="F21" s="23">
        <f t="shared" si="22"/>
        <v>0.14974535366841785</v>
      </c>
      <c r="L21" s="8">
        <f t="shared" si="15"/>
        <v>8748</v>
      </c>
      <c r="M21" s="8">
        <f t="shared" si="23"/>
        <v>9797.76</v>
      </c>
      <c r="N21" s="8">
        <f t="shared" si="24"/>
        <v>12051.2448</v>
      </c>
      <c r="O21" s="8">
        <f t="shared" si="25"/>
        <v>16028.155584000002</v>
      </c>
      <c r="P21" s="40">
        <f>D21*(1+'1'!$Z$5)</f>
        <v>4393.2</v>
      </c>
      <c r="Q21" s="25">
        <f>P21*(1+'1'!$AA$5)</f>
        <v>5514.3446399999993</v>
      </c>
      <c r="R21" s="25">
        <f>Q21*(1+'1'!$AB$5)</f>
        <v>6921.6053921279981</v>
      </c>
      <c r="S21" s="25">
        <f>R21*(1+'1'!$AC$5)</f>
        <v>8687.9990881990616</v>
      </c>
      <c r="T21" s="40">
        <f t="shared" si="28"/>
        <v>38431713.600000001</v>
      </c>
      <c r="U21" s="26">
        <f t="shared" si="29"/>
        <v>54028225.340006396</v>
      </c>
      <c r="V21" s="26">
        <f t="shared" si="26"/>
        <v>83413960.989534497</v>
      </c>
      <c r="W21" s="26">
        <f t="shared" si="27"/>
        <v>139252601.09930471</v>
      </c>
      <c r="X21" s="26"/>
    </row>
    <row r="22" spans="1:24">
      <c r="A22" s="21">
        <f t="shared" si="19"/>
        <v>6</v>
      </c>
      <c r="B22" s="41" t="str">
        <f t="shared" si="19"/>
        <v>Platos corrientes</v>
      </c>
      <c r="C22" s="39">
        <f t="shared" si="20"/>
        <v>7500</v>
      </c>
      <c r="D22" s="14">
        <v>3300</v>
      </c>
      <c r="E22" s="22">
        <f t="shared" si="21"/>
        <v>24750000</v>
      </c>
      <c r="F22" s="23">
        <f t="shared" si="22"/>
        <v>0.13073007066290446</v>
      </c>
      <c r="L22" s="8">
        <f t="shared" si="15"/>
        <v>8100.0000000000009</v>
      </c>
      <c r="M22" s="8">
        <f t="shared" si="23"/>
        <v>9072.0000000000018</v>
      </c>
      <c r="N22" s="8">
        <f t="shared" si="24"/>
        <v>11158.560000000001</v>
      </c>
      <c r="O22" s="8">
        <f t="shared" si="25"/>
        <v>14840.884800000002</v>
      </c>
      <c r="P22" s="40">
        <f>D22*(1+'1'!$Z$5)</f>
        <v>4142.16</v>
      </c>
      <c r="Q22" s="25">
        <f>P22*(1+'1'!$AA$5)</f>
        <v>5199.239231999999</v>
      </c>
      <c r="R22" s="25">
        <f>Q22*(1+'1'!$AB$5)</f>
        <v>6526.0850840063977</v>
      </c>
      <c r="S22" s="25">
        <f>R22*(1+'1'!$AC$5)</f>
        <v>8191.5419974448296</v>
      </c>
      <c r="T22" s="40">
        <f t="shared" si="28"/>
        <v>33551496.000000004</v>
      </c>
      <c r="U22" s="26">
        <f t="shared" si="29"/>
        <v>47167498.312703997</v>
      </c>
      <c r="V22" s="26">
        <f t="shared" si="26"/>
        <v>72821711.974990442</v>
      </c>
      <c r="W22" s="26">
        <f t="shared" si="27"/>
        <v>121569731.11844063</v>
      </c>
      <c r="X22" s="26"/>
    </row>
    <row r="23" spans="1:24">
      <c r="A23" s="21">
        <f t="shared" si="19"/>
        <v>7</v>
      </c>
      <c r="B23" s="41" t="str">
        <f t="shared" si="19"/>
        <v>Salchipapa</v>
      </c>
      <c r="C23" s="39">
        <f t="shared" si="20"/>
        <v>4500</v>
      </c>
      <c r="D23" s="14">
        <v>2700</v>
      </c>
      <c r="E23" s="22">
        <f t="shared" si="21"/>
        <v>12150000</v>
      </c>
      <c r="F23" s="23">
        <f t="shared" si="22"/>
        <v>6.4176580143607637E-2</v>
      </c>
      <c r="L23" s="8">
        <f t="shared" si="15"/>
        <v>4860</v>
      </c>
      <c r="M23" s="8">
        <f t="shared" si="23"/>
        <v>5443.2000000000007</v>
      </c>
      <c r="N23" s="8">
        <f t="shared" si="24"/>
        <v>6695.1360000000004</v>
      </c>
      <c r="O23" s="8">
        <f t="shared" si="25"/>
        <v>8904.5308800000003</v>
      </c>
      <c r="P23" s="40">
        <f>D23*(1+'1'!$Z$5)</f>
        <v>3389.0399999999995</v>
      </c>
      <c r="Q23" s="25">
        <f>P23*(1+'1'!$AA$5)</f>
        <v>4253.9230079999988</v>
      </c>
      <c r="R23" s="25">
        <f>Q23*(1+'1'!$AB$5)</f>
        <v>5339.5241596415981</v>
      </c>
      <c r="S23" s="25">
        <f>R23*(1+'1'!$AC$5)</f>
        <v>6702.1707251821335</v>
      </c>
      <c r="T23" s="40">
        <f t="shared" si="28"/>
        <v>16470734.399999999</v>
      </c>
      <c r="U23" s="26">
        <f t="shared" si="29"/>
        <v>23154953.717145596</v>
      </c>
      <c r="V23" s="26">
        <f t="shared" si="26"/>
        <v>35748840.424086213</v>
      </c>
      <c r="W23" s="26">
        <f t="shared" si="27"/>
        <v>59679686.185416304</v>
      </c>
      <c r="X23" s="26"/>
    </row>
    <row r="24" spans="1:24">
      <c r="A24" s="21">
        <f t="shared" si="19"/>
        <v>8</v>
      </c>
      <c r="B24" s="41" t="str">
        <f t="shared" si="19"/>
        <v>Acompañamientos</v>
      </c>
      <c r="C24" s="39">
        <f t="shared" si="20"/>
        <v>19000</v>
      </c>
      <c r="D24" s="14">
        <v>1000</v>
      </c>
      <c r="E24" s="22">
        <f t="shared" si="21"/>
        <v>19000000</v>
      </c>
      <c r="F24" s="23">
        <f t="shared" si="22"/>
        <v>0.10035843808465393</v>
      </c>
      <c r="L24" s="8">
        <f t="shared" si="15"/>
        <v>20520</v>
      </c>
      <c r="M24" s="8">
        <f t="shared" si="23"/>
        <v>22982.400000000001</v>
      </c>
      <c r="N24" s="8">
        <f t="shared" si="24"/>
        <v>28268.352000000003</v>
      </c>
      <c r="O24" s="8">
        <f t="shared" si="25"/>
        <v>37596.908160000006</v>
      </c>
      <c r="P24" s="40">
        <f>D24*(1+'1'!$Z$5)</f>
        <v>1255.1999999999998</v>
      </c>
      <c r="Q24" s="25">
        <f>P24*(1+'1'!$AA$5)</f>
        <v>1575.5270399999997</v>
      </c>
      <c r="R24" s="25">
        <f>Q24*(1+'1'!$AB$5)</f>
        <v>1977.6015406079994</v>
      </c>
      <c r="S24" s="25">
        <f>R24*(1+'1'!$AC$5)</f>
        <v>2482.2854537711605</v>
      </c>
      <c r="T24" s="40">
        <f t="shared" si="28"/>
        <v>25756703.999999996</v>
      </c>
      <c r="U24" s="26">
        <f t="shared" si="29"/>
        <v>36209392.644095995</v>
      </c>
      <c r="V24" s="26">
        <f t="shared" si="26"/>
        <v>55903536.465649225</v>
      </c>
      <c r="W24" s="26">
        <f t="shared" si="27"/>
        <v>93326258.232338265</v>
      </c>
      <c r="X24" s="26"/>
    </row>
    <row r="25" spans="1:24">
      <c r="A25" s="21">
        <f t="shared" si="19"/>
        <v>9</v>
      </c>
      <c r="B25" s="41" t="str">
        <f t="shared" si="19"/>
        <v>Caldo de costilla</v>
      </c>
      <c r="C25" s="39">
        <f t="shared" si="20"/>
        <v>5400</v>
      </c>
      <c r="D25" s="14">
        <v>1791</v>
      </c>
      <c r="E25" s="22">
        <f t="shared" si="21"/>
        <v>9671400</v>
      </c>
      <c r="F25" s="23">
        <f t="shared" si="22"/>
        <v>5.1084557794311682E-2</v>
      </c>
      <c r="L25" s="8">
        <f t="shared" si="15"/>
        <v>5832</v>
      </c>
      <c r="M25" s="8">
        <f t="shared" si="23"/>
        <v>6531.8400000000011</v>
      </c>
      <c r="N25" s="8">
        <f t="shared" si="24"/>
        <v>8034.1632000000009</v>
      </c>
      <c r="O25" s="8">
        <f t="shared" si="25"/>
        <v>10685.437056000002</v>
      </c>
      <c r="P25" s="40">
        <f>D25*(1+'1'!$Z$5)</f>
        <v>2248.0631999999996</v>
      </c>
      <c r="Q25" s="25">
        <f>P25*(1+'1'!$AA$5)</f>
        <v>2821.7689286399991</v>
      </c>
      <c r="R25" s="25">
        <f>Q25*(1+'1'!$AB$5)</f>
        <v>3541.8843592289263</v>
      </c>
      <c r="S25" s="25">
        <f>R25*(1+'1'!$AC$5)</f>
        <v>4445.7732477041482</v>
      </c>
      <c r="T25" s="40">
        <f t="shared" si="28"/>
        <v>13110704.582399998</v>
      </c>
      <c r="U25" s="26">
        <f t="shared" si="29"/>
        <v>18431343.158847895</v>
      </c>
      <c r="V25" s="26">
        <f t="shared" si="26"/>
        <v>28456076.977572624</v>
      </c>
      <c r="W25" s="26">
        <f t="shared" si="27"/>
        <v>47505030.203591384</v>
      </c>
      <c r="X25" s="26"/>
    </row>
    <row r="26" spans="1:24">
      <c r="A26" s="21">
        <f>A12</f>
        <v>10</v>
      </c>
      <c r="B26" s="41" t="str">
        <f t="shared" ref="B26" si="30">B12</f>
        <v>Huevos en combo desayuno</v>
      </c>
      <c r="C26" s="39">
        <f t="shared" si="20"/>
        <v>5400</v>
      </c>
      <c r="D26" s="14">
        <v>1500</v>
      </c>
      <c r="E26" s="22">
        <f t="shared" si="21"/>
        <v>8100000</v>
      </c>
      <c r="F26" s="23">
        <f t="shared" si="22"/>
        <v>4.2784386762405098E-2</v>
      </c>
      <c r="L26" s="8">
        <f t="shared" si="15"/>
        <v>5832</v>
      </c>
      <c r="M26" s="8">
        <f t="shared" si="23"/>
        <v>6531.8400000000011</v>
      </c>
      <c r="N26" s="8">
        <f t="shared" si="24"/>
        <v>8034.1632000000009</v>
      </c>
      <c r="O26" s="8">
        <f t="shared" si="25"/>
        <v>10685.437056000002</v>
      </c>
      <c r="P26" s="40">
        <f>D26*(1+'1'!$Z$5)</f>
        <v>1882.7999999999997</v>
      </c>
      <c r="Q26" s="25">
        <f>P26*(1+'1'!$AA$5)</f>
        <v>2363.2905599999995</v>
      </c>
      <c r="R26" s="25">
        <f>Q26*(1+'1'!$AB$5)</f>
        <v>2966.4023109119989</v>
      </c>
      <c r="S26" s="25">
        <f>R26*(1+'1'!$AC$5)</f>
        <v>3723.4281806567406</v>
      </c>
      <c r="T26" s="40">
        <f t="shared" si="28"/>
        <v>10980489.599999998</v>
      </c>
      <c r="U26" s="26">
        <f t="shared" si="29"/>
        <v>15436635.811430398</v>
      </c>
      <c r="V26" s="26">
        <f t="shared" si="26"/>
        <v>23832560.282724142</v>
      </c>
      <c r="W26" s="26">
        <f t="shared" si="27"/>
        <v>39786457.456944205</v>
      </c>
      <c r="X26" s="26"/>
    </row>
    <row r="27" spans="1:24">
      <c r="D27" s="8" t="str">
        <f>D13</f>
        <v>TOTAL</v>
      </c>
      <c r="E27" s="33">
        <f>SUM(E17:E26)</f>
        <v>189321400</v>
      </c>
      <c r="F27" s="34">
        <f>SUM(F17:F26)</f>
        <v>1</v>
      </c>
      <c r="T27" s="35">
        <f>SUM(T17:T26)</f>
        <v>256647118.9824</v>
      </c>
      <c r="U27" s="35">
        <f>SUM(U17:U26)</f>
        <v>360800679.39631349</v>
      </c>
      <c r="V27" s="35">
        <f t="shared" ref="V27:W27" si="31">SUM(V17:V26)</f>
        <v>557038725.7172507</v>
      </c>
      <c r="W27" s="35">
        <f t="shared" si="31"/>
        <v>929929361.33198977</v>
      </c>
      <c r="X27" s="26"/>
    </row>
    <row r="30" spans="1:24">
      <c r="A30" s="137" t="s">
        <v>37</v>
      </c>
      <c r="B30" s="137"/>
      <c r="C30" s="137"/>
      <c r="D30" s="137"/>
      <c r="E30" s="137"/>
      <c r="F30" s="137"/>
    </row>
    <row r="31" spans="1:24" ht="26.25">
      <c r="A31" s="42" t="s">
        <v>19</v>
      </c>
      <c r="B31" s="43">
        <f>'1'!Z1</f>
        <v>2022</v>
      </c>
      <c r="C31" s="43">
        <f>B31+1</f>
        <v>2023</v>
      </c>
      <c r="D31" s="43">
        <f>C31+1</f>
        <v>2024</v>
      </c>
      <c r="E31" s="43">
        <f>D31+1</f>
        <v>2025</v>
      </c>
      <c r="F31" s="43">
        <f>E31+1</f>
        <v>2026</v>
      </c>
      <c r="H31" s="44"/>
      <c r="I31" s="44"/>
      <c r="J31" s="44"/>
      <c r="K31" s="44"/>
      <c r="L31" s="44"/>
      <c r="M31" s="44"/>
      <c r="N31" s="44"/>
      <c r="O31" s="44"/>
      <c r="P31" s="44"/>
      <c r="Q31" s="44"/>
      <c r="R31" s="44"/>
      <c r="S31" s="44"/>
      <c r="T31" s="44"/>
      <c r="U31" s="44"/>
      <c r="V31" s="44"/>
    </row>
    <row r="32" spans="1:24" ht="15.75" thickBot="1">
      <c r="A32" s="45" t="s">
        <v>38</v>
      </c>
      <c r="B32" s="133">
        <f>'1'!E13</f>
        <v>959460000</v>
      </c>
      <c r="C32" s="133">
        <f>'1'!T13</f>
        <v>1129476312</v>
      </c>
      <c r="D32" s="133">
        <f>'1'!U13</f>
        <v>1332059183.3203199</v>
      </c>
      <c r="E32" s="133">
        <f>'1'!V13</f>
        <v>1705608540.0988371</v>
      </c>
      <c r="F32" s="133">
        <f>'1'!W13</f>
        <v>2356929273.3063803</v>
      </c>
    </row>
    <row r="33" spans="1:6" ht="16.5" thickTop="1" thickBot="1">
      <c r="A33" s="45" t="s">
        <v>39</v>
      </c>
      <c r="B33" s="133">
        <f>'1'!E27</f>
        <v>189321400</v>
      </c>
      <c r="C33" s="133">
        <f>'1'!T27</f>
        <v>256647118.9824</v>
      </c>
      <c r="D33" s="133">
        <f>'1'!U27</f>
        <v>360800679.39631349</v>
      </c>
      <c r="E33" s="133">
        <f>'1'!V27</f>
        <v>557038725.7172507</v>
      </c>
      <c r="F33" s="133">
        <f>'1'!W27</f>
        <v>929929361.33198977</v>
      </c>
    </row>
    <row r="34" spans="1:6" ht="16.5" thickTop="1" thickBot="1">
      <c r="A34" s="46" t="s">
        <v>40</v>
      </c>
      <c r="B34" s="133">
        <f>B32-B33</f>
        <v>770138600</v>
      </c>
      <c r="C34" s="133">
        <f t="shared" ref="C34:D34" si="32">C32-C33</f>
        <v>872829193.01760006</v>
      </c>
      <c r="D34" s="133">
        <f t="shared" si="32"/>
        <v>971258503.92400646</v>
      </c>
      <c r="E34" s="133">
        <f t="shared" ref="E34" si="33">E32-E33</f>
        <v>1148569814.3815866</v>
      </c>
      <c r="F34" s="133">
        <f t="shared" ref="F34" si="34">F32-F33</f>
        <v>1426999911.9743905</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2: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F18" sqref="F18"/>
    </sheetView>
  </sheetViews>
  <sheetFormatPr baseColWidth="10" defaultColWidth="11.42578125" defaultRowHeight="15"/>
  <cols>
    <col min="1" max="1" width="5.42578125" style="8" customWidth="1"/>
    <col min="2" max="2" width="33.42578125" style="8" customWidth="1"/>
    <col min="3" max="3" width="20.28515625" style="8" customWidth="1"/>
    <col min="4" max="4" width="11.42578125" style="8"/>
    <col min="5" max="5" width="23.28515625" style="8" customWidth="1"/>
    <col min="6" max="6" width="17.7109375" style="8" bestFit="1" customWidth="1"/>
    <col min="7" max="7" width="15.42578125" style="8" bestFit="1" customWidth="1"/>
    <col min="8" max="16384" width="11.42578125" style="8"/>
  </cols>
  <sheetData>
    <row r="1" spans="2:8">
      <c r="B1" s="140" t="s">
        <v>41</v>
      </c>
      <c r="C1" s="140"/>
      <c r="D1" s="140"/>
      <c r="E1" s="140"/>
      <c r="F1" s="140"/>
      <c r="G1" s="140"/>
      <c r="H1" s="140"/>
    </row>
    <row r="2" spans="2:8" ht="3.75" customHeight="1">
      <c r="B2" s="140"/>
      <c r="C2" s="140"/>
      <c r="D2" s="140"/>
      <c r="E2" s="140"/>
      <c r="F2" s="140"/>
      <c r="G2" s="140"/>
      <c r="H2" s="140"/>
    </row>
    <row r="3" spans="2:8">
      <c r="C3" s="21" t="s">
        <v>42</v>
      </c>
      <c r="F3" s="70" t="s">
        <v>43</v>
      </c>
      <c r="G3" s="70"/>
    </row>
    <row r="4" spans="2:8">
      <c r="B4" s="46" t="s">
        <v>44</v>
      </c>
      <c r="C4" s="14">
        <v>0</v>
      </c>
      <c r="F4" s="70"/>
      <c r="G4" s="70"/>
    </row>
    <row r="5" spans="2:8">
      <c r="B5" s="46" t="s">
        <v>45</v>
      </c>
      <c r="C5" s="14">
        <f>(4000000+1800000+3500000+3000000)*3</f>
        <v>36900000</v>
      </c>
      <c r="F5" s="70">
        <v>10</v>
      </c>
      <c r="G5" s="71">
        <f t="shared" ref="G5:G11" si="0">C5/F5</f>
        <v>3690000</v>
      </c>
    </row>
    <row r="6" spans="2:8">
      <c r="B6" s="46" t="s">
        <v>46</v>
      </c>
      <c r="C6" s="14">
        <f>2000000*3+2000000</f>
        <v>8000000</v>
      </c>
      <c r="F6" s="70">
        <v>5</v>
      </c>
      <c r="G6" s="71">
        <f t="shared" si="0"/>
        <v>1600000</v>
      </c>
    </row>
    <row r="7" spans="2:8">
      <c r="B7" s="46" t="s">
        <v>47</v>
      </c>
      <c r="C7" s="14">
        <f>7500000+6000000+3200000</f>
        <v>16700000</v>
      </c>
      <c r="F7" s="70">
        <v>5</v>
      </c>
      <c r="G7" s="71">
        <f t="shared" si="0"/>
        <v>3340000</v>
      </c>
    </row>
    <row r="8" spans="2:8">
      <c r="B8" s="46" t="s">
        <v>48</v>
      </c>
      <c r="C8" s="14">
        <v>0</v>
      </c>
      <c r="F8" s="70">
        <v>5</v>
      </c>
      <c r="G8" s="71">
        <f t="shared" si="0"/>
        <v>0</v>
      </c>
    </row>
    <row r="9" spans="2:8">
      <c r="B9" s="46" t="s">
        <v>49</v>
      </c>
      <c r="C9" s="14">
        <v>0</v>
      </c>
      <c r="F9" s="70">
        <v>5</v>
      </c>
      <c r="G9" s="71">
        <f t="shared" si="0"/>
        <v>0</v>
      </c>
    </row>
    <row r="10" spans="2:8">
      <c r="B10" s="46" t="s">
        <v>50</v>
      </c>
      <c r="C10" s="14">
        <v>0</v>
      </c>
      <c r="F10" s="70">
        <v>5</v>
      </c>
      <c r="G10" s="71">
        <f t="shared" si="0"/>
        <v>0</v>
      </c>
    </row>
    <row r="11" spans="2:8">
      <c r="B11" s="46" t="s">
        <v>51</v>
      </c>
      <c r="C11" s="14">
        <v>10000000</v>
      </c>
      <c r="F11" s="70">
        <v>5</v>
      </c>
      <c r="G11" s="71">
        <f t="shared" si="0"/>
        <v>2000000</v>
      </c>
    </row>
    <row r="12" spans="2:8" ht="16.5" thickBot="1">
      <c r="B12" s="72" t="s">
        <v>52</v>
      </c>
      <c r="C12" s="73">
        <f>SUM(C4:C11)</f>
        <v>71600000</v>
      </c>
      <c r="F12" s="70"/>
      <c r="G12" s="71">
        <f>SUM(G5:G11)</f>
        <v>10630000</v>
      </c>
    </row>
    <row r="13" spans="2:8">
      <c r="B13" s="141" t="s">
        <v>53</v>
      </c>
      <c r="C13" s="142"/>
      <c r="D13" s="142"/>
      <c r="E13" s="142"/>
      <c r="F13" s="142"/>
      <c r="G13" s="142"/>
      <c r="H13" s="143"/>
    </row>
    <row r="14" spans="2:8" ht="15.75" thickBot="1">
      <c r="B14" s="144"/>
      <c r="C14" s="145"/>
      <c r="D14" s="145"/>
      <c r="E14" s="145"/>
      <c r="F14" s="145"/>
      <c r="G14" s="145"/>
      <c r="H14" s="146"/>
    </row>
    <row r="15" spans="2:8">
      <c r="B15" s="74"/>
      <c r="C15" s="74"/>
      <c r="D15" s="74"/>
      <c r="E15" s="74"/>
      <c r="F15" s="74"/>
      <c r="G15" s="74"/>
      <c r="H15" s="74"/>
    </row>
    <row r="16" spans="2:8">
      <c r="B16" s="72" t="s">
        <v>54</v>
      </c>
      <c r="E16" s="72" t="s">
        <v>55</v>
      </c>
      <c r="F16" s="38"/>
    </row>
    <row r="17" spans="2:6">
      <c r="C17" s="72" t="s">
        <v>56</v>
      </c>
      <c r="F17" s="72" t="str">
        <f>C17</f>
        <v>VALOR AÑO 1</v>
      </c>
    </row>
    <row r="18" spans="2:6">
      <c r="B18" s="75" t="s">
        <v>57</v>
      </c>
      <c r="C18" s="14">
        <v>52200000</v>
      </c>
      <c r="E18" s="76" t="s">
        <v>58</v>
      </c>
      <c r="F18" s="14">
        <v>34960000</v>
      </c>
    </row>
    <row r="19" spans="2:6">
      <c r="C19" s="77"/>
      <c r="E19" s="76" t="s">
        <v>59</v>
      </c>
      <c r="F19" s="14">
        <v>10800000</v>
      </c>
    </row>
    <row r="20" spans="2:6">
      <c r="B20" s="75" t="s">
        <v>60</v>
      </c>
      <c r="C20" s="14">
        <v>34800000</v>
      </c>
      <c r="E20" s="76" t="s">
        <v>61</v>
      </c>
      <c r="F20" s="14">
        <v>0</v>
      </c>
    </row>
    <row r="21" spans="2:6">
      <c r="C21" s="77"/>
      <c r="E21" s="76" t="s">
        <v>62</v>
      </c>
      <c r="F21" s="14">
        <v>2880000</v>
      </c>
    </row>
    <row r="22" spans="2:6">
      <c r="B22" s="75" t="s">
        <v>63</v>
      </c>
      <c r="C22" s="14">
        <v>229680000</v>
      </c>
      <c r="E22" s="76" t="s">
        <v>64</v>
      </c>
      <c r="F22" s="14">
        <v>0</v>
      </c>
    </row>
    <row r="23" spans="2:6" ht="15.75">
      <c r="B23" s="8" t="s">
        <v>65</v>
      </c>
      <c r="C23" s="73">
        <f>C18+C20+C22</f>
        <v>316680000</v>
      </c>
      <c r="E23" s="76" t="s">
        <v>66</v>
      </c>
      <c r="F23" s="14">
        <v>0</v>
      </c>
    </row>
    <row r="24" spans="2:6">
      <c r="E24" s="76" t="s">
        <v>67</v>
      </c>
      <c r="F24" s="14">
        <v>0</v>
      </c>
    </row>
    <row r="25" spans="2:6" ht="24.75">
      <c r="B25" s="76" t="s">
        <v>68</v>
      </c>
      <c r="C25" s="14">
        <v>70000000</v>
      </c>
      <c r="E25" s="97" t="s">
        <v>69</v>
      </c>
      <c r="F25" s="14">
        <v>3744000</v>
      </c>
    </row>
    <row r="26" spans="2:6">
      <c r="E26" s="97" t="s">
        <v>70</v>
      </c>
      <c r="F26" s="14">
        <v>11027000</v>
      </c>
    </row>
    <row r="27" spans="2:6">
      <c r="B27" s="95" t="s">
        <v>71</v>
      </c>
      <c r="C27" s="95"/>
      <c r="E27" s="97" t="s">
        <v>72</v>
      </c>
      <c r="F27" s="14">
        <v>2000000</v>
      </c>
    </row>
    <row r="28" spans="2:6" ht="24.75">
      <c r="B28" s="111">
        <f>'1'!G2</f>
        <v>2023</v>
      </c>
      <c r="C28" s="14">
        <f>C25*1.05</f>
        <v>73500000</v>
      </c>
      <c r="E28" s="97" t="s">
        <v>73</v>
      </c>
      <c r="F28" s="14">
        <v>1150000</v>
      </c>
    </row>
    <row r="29" spans="2:6">
      <c r="B29" s="111">
        <f>'1'!H2</f>
        <v>2024</v>
      </c>
      <c r="C29" s="14">
        <f>C28*1.15</f>
        <v>84525000</v>
      </c>
      <c r="E29" s="134" t="s">
        <v>74</v>
      </c>
      <c r="F29" s="14">
        <v>26856900</v>
      </c>
    </row>
    <row r="30" spans="2:6">
      <c r="B30" s="111">
        <f>'1'!I2</f>
        <v>2025</v>
      </c>
      <c r="C30" s="14">
        <f>C29*1.25</f>
        <v>105656250</v>
      </c>
      <c r="E30" s="97"/>
      <c r="F30" s="14">
        <v>0</v>
      </c>
    </row>
    <row r="31" spans="2:6" ht="15.75">
      <c r="B31" s="111">
        <f>'1'!J2</f>
        <v>2026</v>
      </c>
      <c r="C31" s="14">
        <f>C30*1.35</f>
        <v>142635937.5</v>
      </c>
      <c r="E31" s="76" t="s">
        <v>75</v>
      </c>
      <c r="F31" s="73">
        <f>SUM(F18:F30)</f>
        <v>93417900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C9" sqref="C9"/>
    </sheetView>
  </sheetViews>
  <sheetFormatPr baseColWidth="10" defaultColWidth="11.42578125" defaultRowHeight="15"/>
  <cols>
    <col min="1" max="1" width="11.42578125" style="8"/>
    <col min="2" max="2" width="39" style="8" bestFit="1" customWidth="1"/>
    <col min="3" max="3" width="17.42578125" style="8" bestFit="1" customWidth="1"/>
    <col min="4" max="4" width="30" style="8" bestFit="1" customWidth="1"/>
    <col min="5" max="5" width="6.42578125" style="8" bestFit="1" customWidth="1"/>
    <col min="6" max="6" width="28.140625" style="8" bestFit="1" customWidth="1"/>
    <col min="7" max="7" width="25.140625" style="8" bestFit="1" customWidth="1"/>
    <col min="8" max="9" width="27" style="8" bestFit="1" customWidth="1"/>
    <col min="10" max="10" width="28.140625" style="8" bestFit="1" customWidth="1"/>
    <col min="11" max="16384" width="11.42578125" style="8"/>
  </cols>
  <sheetData>
    <row r="2" spans="2:12" ht="29.25" customHeight="1">
      <c r="B2" s="138" t="s">
        <v>76</v>
      </c>
      <c r="C2" s="138"/>
      <c r="D2" s="138"/>
      <c r="E2" s="138"/>
      <c r="F2" s="138"/>
      <c r="G2" s="138"/>
      <c r="H2" s="138"/>
      <c r="I2" s="138"/>
      <c r="J2" s="138"/>
    </row>
    <row r="3" spans="2:12">
      <c r="F3" s="147" t="s">
        <v>77</v>
      </c>
      <c r="G3" s="147"/>
    </row>
    <row r="4" spans="2:12" ht="15.75">
      <c r="B4" s="16" t="s">
        <v>52</v>
      </c>
      <c r="C4" s="73">
        <f>'2'!C12</f>
        <v>71600000</v>
      </c>
      <c r="F4" s="148">
        <v>0.32</v>
      </c>
      <c r="G4" s="148"/>
      <c r="I4" s="8" t="s">
        <v>78</v>
      </c>
      <c r="J4" s="126">
        <v>5</v>
      </c>
      <c r="L4" s="70">
        <v>1</v>
      </c>
    </row>
    <row r="5" spans="2:12">
      <c r="L5" s="70">
        <v>2</v>
      </c>
    </row>
    <row r="6" spans="2:12" ht="15.75" thickBot="1">
      <c r="B6" s="16" t="s">
        <v>79</v>
      </c>
      <c r="F6" s="137" t="s">
        <v>80</v>
      </c>
      <c r="G6" s="137"/>
      <c r="H6" s="137"/>
      <c r="I6" s="137"/>
      <c r="J6" s="137"/>
      <c r="L6" s="70">
        <v>3</v>
      </c>
    </row>
    <row r="7" spans="2:12">
      <c r="C7" s="78" t="s">
        <v>81</v>
      </c>
      <c r="D7" s="78" t="s">
        <v>82</v>
      </c>
      <c r="E7" s="115"/>
      <c r="F7" s="116" t="s">
        <v>83</v>
      </c>
      <c r="G7" s="116" t="s">
        <v>84</v>
      </c>
      <c r="H7" s="116" t="s">
        <v>85</v>
      </c>
      <c r="I7" s="116" t="s">
        <v>86</v>
      </c>
      <c r="J7" s="117" t="s">
        <v>87</v>
      </c>
      <c r="L7" s="70">
        <v>4</v>
      </c>
    </row>
    <row r="8" spans="2:12">
      <c r="B8" s="46" t="s">
        <v>88</v>
      </c>
      <c r="C8" s="53">
        <v>6</v>
      </c>
      <c r="D8" s="25">
        <f>('1'!B33/12)*C8</f>
        <v>94660700</v>
      </c>
      <c r="E8" s="118" t="s">
        <v>89</v>
      </c>
      <c r="F8" s="119"/>
      <c r="G8" s="119"/>
      <c r="H8" s="119"/>
      <c r="I8" s="119"/>
      <c r="J8" s="120">
        <f>D16</f>
        <v>188018600</v>
      </c>
      <c r="L8" s="70">
        <v>5</v>
      </c>
    </row>
    <row r="9" spans="2:12">
      <c r="B9" s="46" t="s">
        <v>90</v>
      </c>
      <c r="C9" s="53">
        <v>6</v>
      </c>
      <c r="D9" s="25">
        <f>('2'!C23/12)*C9</f>
        <v>158340000</v>
      </c>
      <c r="E9" s="118">
        <f>'1'!B31</f>
        <v>2022</v>
      </c>
      <c r="F9" s="122">
        <f t="shared" ref="F9:F13" si="0">IF(J8&gt;0,J8,0)</f>
        <v>188018600</v>
      </c>
      <c r="G9" s="122">
        <f>F9*$F$4</f>
        <v>60165952</v>
      </c>
      <c r="H9" s="122">
        <f>IF(J8&lt;1,0,(I9-G9))</f>
        <v>20005541.923245683</v>
      </c>
      <c r="I9" s="122">
        <f>PMT(F4,J4,J8)*-1</f>
        <v>80171493.923245683</v>
      </c>
      <c r="J9" s="123">
        <f>F9-H9</f>
        <v>168013058.07675433</v>
      </c>
    </row>
    <row r="10" spans="2:12">
      <c r="B10" s="46" t="s">
        <v>91</v>
      </c>
      <c r="C10" s="53">
        <v>12</v>
      </c>
      <c r="D10" s="25">
        <f>('2'!C25/12)*C10</f>
        <v>70000000</v>
      </c>
      <c r="E10" s="118">
        <f>'1'!C31</f>
        <v>2023</v>
      </c>
      <c r="F10" s="122">
        <f t="shared" si="0"/>
        <v>168013058.07675433</v>
      </c>
      <c r="G10" s="122">
        <f t="shared" ref="G10:G13" si="1">F10*$F$4</f>
        <v>53764178.584561385</v>
      </c>
      <c r="H10" s="122">
        <f t="shared" ref="H10:H13" si="2">IF(J9&lt;1,0,(I10-G10))</f>
        <v>26407315.338684298</v>
      </c>
      <c r="I10" s="122">
        <f>IF(J9&lt;1,0,(I9*(1+$K$7)))</f>
        <v>80171493.923245683</v>
      </c>
      <c r="J10" s="123">
        <f t="shared" ref="J10:J13" si="3">F10-H10</f>
        <v>141605742.73807004</v>
      </c>
    </row>
    <row r="11" spans="2:12">
      <c r="B11" s="46" t="s">
        <v>92</v>
      </c>
      <c r="C11" s="53">
        <v>12</v>
      </c>
      <c r="D11" s="25">
        <f>('2'!F31/12)*C11</f>
        <v>93417900</v>
      </c>
      <c r="E11" s="118">
        <f>'1'!D31</f>
        <v>2024</v>
      </c>
      <c r="F11" s="122">
        <f t="shared" si="0"/>
        <v>141605742.73807004</v>
      </c>
      <c r="G11" s="122">
        <f t="shared" si="1"/>
        <v>45313837.676182412</v>
      </c>
      <c r="H11" s="122">
        <f t="shared" si="2"/>
        <v>34857656.247063272</v>
      </c>
      <c r="I11" s="122">
        <f t="shared" ref="I11:I13" si="4">IF(J10&lt;1,0,(I10*(1+$K$7)))</f>
        <v>80171493.923245683</v>
      </c>
      <c r="J11" s="123">
        <f t="shared" si="3"/>
        <v>106748086.49100676</v>
      </c>
    </row>
    <row r="12" spans="2:12" ht="15.75">
      <c r="B12" s="79" t="s">
        <v>32</v>
      </c>
      <c r="C12" s="57"/>
      <c r="D12" s="80">
        <f>SUM(D8:D11)</f>
        <v>416418600</v>
      </c>
      <c r="E12" s="118">
        <f>'1'!E31</f>
        <v>2025</v>
      </c>
      <c r="F12" s="122">
        <f t="shared" si="0"/>
        <v>106748086.49100676</v>
      </c>
      <c r="G12" s="122">
        <f t="shared" si="1"/>
        <v>34159387.677122161</v>
      </c>
      <c r="H12" s="122">
        <f t="shared" si="2"/>
        <v>46012106.246123523</v>
      </c>
      <c r="I12" s="122">
        <f t="shared" si="4"/>
        <v>80171493.923245683</v>
      </c>
      <c r="J12" s="123">
        <f t="shared" si="3"/>
        <v>60735980.244883239</v>
      </c>
    </row>
    <row r="13" spans="2:12" ht="15.75" thickBot="1">
      <c r="E13" s="121">
        <f>'1'!F31</f>
        <v>2026</v>
      </c>
      <c r="F13" s="124">
        <f t="shared" si="0"/>
        <v>60735980.244883239</v>
      </c>
      <c r="G13" s="124">
        <f t="shared" si="1"/>
        <v>19435513.678362638</v>
      </c>
      <c r="H13" s="124">
        <f t="shared" si="2"/>
        <v>60735980.244883046</v>
      </c>
      <c r="I13" s="124">
        <f t="shared" si="4"/>
        <v>80171493.923245683</v>
      </c>
      <c r="J13" s="125">
        <f t="shared" si="3"/>
        <v>1.9371509552001953E-7</v>
      </c>
    </row>
    <row r="14" spans="2:12" ht="15.75">
      <c r="B14" s="46" t="s">
        <v>93</v>
      </c>
      <c r="D14" s="73">
        <f>C4+D12</f>
        <v>488018600</v>
      </c>
    </row>
    <row r="15" spans="2:12">
      <c r="B15" s="46" t="s">
        <v>94</v>
      </c>
      <c r="D15" s="54">
        <v>300000000</v>
      </c>
    </row>
    <row r="16" spans="2:12" ht="15.75">
      <c r="B16" s="46" t="s">
        <v>95</v>
      </c>
      <c r="D16" s="81">
        <f>D14-D15</f>
        <v>188018600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43" activePane="bottomRight" state="frozenSplit"/>
      <selection pane="topRight" activeCell="E1" sqref="E1"/>
      <selection pane="bottomLeft" activeCell="A12" sqref="A12"/>
      <selection pane="bottomRight" activeCell="A55" sqref="A55:G59"/>
    </sheetView>
  </sheetViews>
  <sheetFormatPr baseColWidth="10" defaultColWidth="11.42578125" defaultRowHeight="1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2" t="s">
        <v>96</v>
      </c>
      <c r="B1" s="152"/>
      <c r="C1" s="152"/>
      <c r="D1" s="152"/>
      <c r="E1" s="152"/>
      <c r="F1" s="152"/>
      <c r="G1" s="152"/>
    </row>
    <row r="2" spans="1:7" ht="23.25">
      <c r="A2" s="153" t="s">
        <v>97</v>
      </c>
      <c r="B2" s="153"/>
      <c r="C2" s="153"/>
      <c r="D2" s="153"/>
      <c r="E2" s="153"/>
      <c r="F2" s="153"/>
      <c r="G2" s="153"/>
    </row>
    <row r="3" spans="1:7" ht="8.25" customHeight="1">
      <c r="A3" s="55"/>
      <c r="B3" s="55"/>
      <c r="C3" s="55"/>
      <c r="D3" s="55"/>
      <c r="E3" s="55"/>
      <c r="F3" s="55"/>
      <c r="G3" s="55"/>
    </row>
    <row r="4" spans="1:7" ht="15.75">
      <c r="A4" s="151" t="s">
        <v>98</v>
      </c>
      <c r="B4" s="151"/>
      <c r="C4" s="151"/>
      <c r="D4" s="151"/>
      <c r="E4" s="151"/>
      <c r="F4" s="151"/>
      <c r="G4" s="151"/>
    </row>
    <row r="5" spans="1:7" ht="23.25">
      <c r="C5" s="59">
        <f>'1'!B31</f>
        <v>2022</v>
      </c>
      <c r="D5" s="59">
        <f>'1'!C31</f>
        <v>2023</v>
      </c>
      <c r="E5" s="59">
        <f>'1'!D31</f>
        <v>2024</v>
      </c>
      <c r="F5" s="59">
        <f>'1'!E31</f>
        <v>2025</v>
      </c>
      <c r="G5" s="59">
        <f>'1'!F31</f>
        <v>2026</v>
      </c>
    </row>
    <row r="6" spans="1:7">
      <c r="B6" s="8" t="s">
        <v>99</v>
      </c>
      <c r="C6" s="60">
        <f>'1'!B32</f>
        <v>959460000</v>
      </c>
      <c r="D6" s="60">
        <f>'1'!C32</f>
        <v>1129476312</v>
      </c>
      <c r="E6" s="60">
        <f>'1'!D32</f>
        <v>1332059183.3203199</v>
      </c>
      <c r="F6" s="60">
        <f>'1'!E32</f>
        <v>1705608540.0988371</v>
      </c>
      <c r="G6" s="60">
        <f>'1'!F32</f>
        <v>2356929273.3063803</v>
      </c>
    </row>
    <row r="7" spans="1:7">
      <c r="B7" s="8" t="s">
        <v>100</v>
      </c>
      <c r="C7" s="60">
        <f>'1'!B33</f>
        <v>189321400</v>
      </c>
      <c r="D7" s="60">
        <f>'1'!C33</f>
        <v>256647118.9824</v>
      </c>
      <c r="E7" s="60">
        <f>'1'!D33</f>
        <v>360800679.39631349</v>
      </c>
      <c r="F7" s="60">
        <f>'1'!E33</f>
        <v>557038725.7172507</v>
      </c>
      <c r="G7" s="60">
        <f>'1'!F33</f>
        <v>929929361.33198977</v>
      </c>
    </row>
    <row r="8" spans="1:7" ht="15.75" thickBot="1">
      <c r="B8" s="61" t="s">
        <v>101</v>
      </c>
      <c r="C8" s="62">
        <f>C6-C7</f>
        <v>770138600</v>
      </c>
      <c r="D8" s="62">
        <f t="shared" ref="D8:G8" si="0">D6-D7</f>
        <v>872829193.01760006</v>
      </c>
      <c r="E8" s="62">
        <f t="shared" si="0"/>
        <v>971258503.92400646</v>
      </c>
      <c r="F8" s="62">
        <f t="shared" si="0"/>
        <v>1148569814.3815866</v>
      </c>
      <c r="G8" s="62">
        <f t="shared" si="0"/>
        <v>1426999911.9743905</v>
      </c>
    </row>
    <row r="9" spans="1:7" ht="15.75" thickTop="1">
      <c r="B9" s="8" t="s">
        <v>102</v>
      </c>
      <c r="C9" s="60">
        <f>'2'!C23</f>
        <v>316680000</v>
      </c>
      <c r="D9" s="60">
        <f>C9*(1+'1'!Z4)</f>
        <v>345181200</v>
      </c>
      <c r="E9" s="60">
        <f>D9*(1+'1'!AA4)</f>
        <v>363475803.59999996</v>
      </c>
      <c r="F9" s="60">
        <f>E9*(1+'1'!AB4)</f>
        <v>378378311.54759991</v>
      </c>
      <c r="G9" s="60">
        <f>F9*(1+'1'!AC4)</f>
        <v>393135065.69795626</v>
      </c>
    </row>
    <row r="10" spans="1:7">
      <c r="B10" s="8" t="s">
        <v>103</v>
      </c>
      <c r="C10" s="60">
        <f>'2'!F31</f>
        <v>93417900</v>
      </c>
      <c r="D10" s="60">
        <f>C10*(1+'1'!Z4)</f>
        <v>101825511.00000001</v>
      </c>
      <c r="E10" s="60">
        <f>D10*(1+'1'!AA4)</f>
        <v>107222263.083</v>
      </c>
      <c r="F10" s="60">
        <f>E10*(1+'1'!AB4)</f>
        <v>111618375.86940299</v>
      </c>
      <c r="G10" s="60">
        <f>F10*(1+'1'!AC4)</f>
        <v>115971492.5283097</v>
      </c>
    </row>
    <row r="11" spans="1:7">
      <c r="B11" s="8" t="s">
        <v>104</v>
      </c>
      <c r="C11" s="60">
        <f>'2'!C25</f>
        <v>70000000</v>
      </c>
      <c r="D11" s="60">
        <f>'2'!C28</f>
        <v>73500000</v>
      </c>
      <c r="E11" s="60">
        <f>'2'!C29</f>
        <v>84525000</v>
      </c>
      <c r="F11" s="60">
        <f>'2'!C30</f>
        <v>105656250</v>
      </c>
      <c r="G11" s="60">
        <f>'2'!C31</f>
        <v>142635937.5</v>
      </c>
    </row>
    <row r="12" spans="1:7">
      <c r="B12" s="8" t="s">
        <v>105</v>
      </c>
      <c r="C12" s="60">
        <f>'2'!G12</f>
        <v>10630000</v>
      </c>
      <c r="D12" s="60">
        <f>C12</f>
        <v>10630000</v>
      </c>
      <c r="E12" s="60">
        <f t="shared" ref="E12:G12" si="1">D12</f>
        <v>10630000</v>
      </c>
      <c r="F12" s="60">
        <f t="shared" si="1"/>
        <v>10630000</v>
      </c>
      <c r="G12" s="60">
        <f t="shared" si="1"/>
        <v>10630000</v>
      </c>
    </row>
    <row r="13" spans="1:7" ht="15.75" thickBot="1">
      <c r="B13" s="61" t="s">
        <v>106</v>
      </c>
      <c r="C13" s="63">
        <f>C8-C9-C10-C11-C12</f>
        <v>279410700</v>
      </c>
      <c r="D13" s="63">
        <f t="shared" ref="D13:G13" si="2">D8-D9-D10-D11-D12</f>
        <v>341692482.01760006</v>
      </c>
      <c r="E13" s="63">
        <f t="shared" si="2"/>
        <v>405405437.24100655</v>
      </c>
      <c r="F13" s="63">
        <f t="shared" si="2"/>
        <v>542286876.96458364</v>
      </c>
      <c r="G13" s="63">
        <f t="shared" si="2"/>
        <v>764627416.24812448</v>
      </c>
    </row>
    <row r="14" spans="1:7" ht="15.75" thickTop="1">
      <c r="B14" s="8" t="s">
        <v>107</v>
      </c>
      <c r="C14" s="60">
        <f>'3'!G9</f>
        <v>60165952</v>
      </c>
      <c r="D14" s="60">
        <f>'3'!G10</f>
        <v>53764178.584561385</v>
      </c>
      <c r="E14" s="60">
        <f>'3'!G11</f>
        <v>45313837.676182412</v>
      </c>
      <c r="F14" s="60">
        <f>'3'!G12</f>
        <v>34159387.677122161</v>
      </c>
      <c r="G14" s="60">
        <f>'3'!G13</f>
        <v>19435513.678362638</v>
      </c>
    </row>
    <row r="15" spans="1:7" ht="15.75" thickBot="1">
      <c r="B15" s="61" t="s">
        <v>108</v>
      </c>
      <c r="C15" s="63">
        <f>C13-C14</f>
        <v>219244748</v>
      </c>
      <c r="D15" s="63">
        <f t="shared" ref="D15:G15" si="3">D13-D14</f>
        <v>287928303.43303865</v>
      </c>
      <c r="E15" s="63">
        <f t="shared" si="3"/>
        <v>360091599.56482416</v>
      </c>
      <c r="F15" s="63">
        <f t="shared" si="3"/>
        <v>508127489.28746146</v>
      </c>
      <c r="G15" s="63">
        <f t="shared" si="3"/>
        <v>745191902.56976187</v>
      </c>
    </row>
    <row r="16" spans="1:7" ht="15.75" thickTop="1">
      <c r="B16" s="8" t="s">
        <v>109</v>
      </c>
      <c r="C16" s="64">
        <f>IF(C15*'1'!$AB$7&lt;0,0,C15*'1'!$AB$7)</f>
        <v>74543214.320000008</v>
      </c>
      <c r="D16" s="64">
        <f>IF(D15*'1'!$AB$7&lt;0,0,D15*'1'!$AB$7)</f>
        <v>97895623.167233154</v>
      </c>
      <c r="E16" s="64">
        <f>IF(E15*'1'!$AB$7&lt;0,0,E15*'1'!$AB$7)</f>
        <v>122431143.85204023</v>
      </c>
      <c r="F16" s="64">
        <f>IF(F15*'1'!$AB$7&lt;0,0,F15*'1'!$AB$7)</f>
        <v>172763346.35773692</v>
      </c>
      <c r="G16" s="64">
        <f>IF(G15*'1'!$AB$7&lt;0,0,G15*'1'!$AB$7)</f>
        <v>253365246.87371907</v>
      </c>
    </row>
    <row r="17" spans="1:8" ht="15.75" thickBot="1">
      <c r="B17" s="65" t="s">
        <v>110</v>
      </c>
      <c r="C17" s="66">
        <f>C15-C16</f>
        <v>144701533.68000001</v>
      </c>
      <c r="D17" s="66">
        <f t="shared" ref="D17:G17" si="4">D15-D16</f>
        <v>190032680.26580548</v>
      </c>
      <c r="E17" s="66">
        <f t="shared" si="4"/>
        <v>237660455.71278393</v>
      </c>
      <c r="F17" s="66">
        <f t="shared" si="4"/>
        <v>335364142.92972457</v>
      </c>
      <c r="G17" s="66">
        <f t="shared" si="4"/>
        <v>491826655.69604278</v>
      </c>
    </row>
    <row r="19" spans="1:8" ht="15.75">
      <c r="A19" s="151" t="s">
        <v>111</v>
      </c>
      <c r="B19" s="151"/>
      <c r="C19" s="151"/>
      <c r="D19" s="151"/>
      <c r="E19" s="151"/>
      <c r="F19" s="151"/>
      <c r="G19" s="151"/>
    </row>
    <row r="20" spans="1:8" ht="23.25">
      <c r="B20" s="67" t="s">
        <v>89</v>
      </c>
      <c r="C20" s="59">
        <f>C5</f>
        <v>2022</v>
      </c>
      <c r="D20" s="59">
        <f>D5</f>
        <v>2023</v>
      </c>
      <c r="E20" s="59">
        <f>E5</f>
        <v>2024</v>
      </c>
      <c r="F20" s="59">
        <f>F5</f>
        <v>2025</v>
      </c>
      <c r="G20" s="59">
        <f>G5</f>
        <v>2026</v>
      </c>
    </row>
    <row r="21" spans="1:8">
      <c r="A21" s="150" t="s">
        <v>112</v>
      </c>
      <c r="B21" s="150"/>
      <c r="C21" s="150"/>
      <c r="D21" s="150"/>
      <c r="E21" s="150"/>
      <c r="F21" s="150"/>
      <c r="G21" s="150"/>
    </row>
    <row r="22" spans="1:8">
      <c r="A22" s="8" t="s">
        <v>113</v>
      </c>
      <c r="B22" s="26">
        <f>B38-B26</f>
        <v>416418600</v>
      </c>
      <c r="C22" s="26">
        <f t="shared" ref="C22:G22" si="5">C38-C26</f>
        <v>626287806.07675433</v>
      </c>
      <c r="D22" s="26">
        <f t="shared" si="5"/>
        <v>679194046.17110872</v>
      </c>
      <c r="E22" s="26">
        <f t="shared" si="5"/>
        <v>727129686.05583096</v>
      </c>
      <c r="F22" s="26">
        <f t="shared" si="5"/>
        <v>839783469.5323447</v>
      </c>
      <c r="G22" s="26">
        <f t="shared" si="5"/>
        <v>1026741902.569762</v>
      </c>
    </row>
    <row r="23" spans="1:8">
      <c r="A23" s="8" t="s">
        <v>114</v>
      </c>
      <c r="B23" s="26">
        <f>'2'!C4</f>
        <v>0</v>
      </c>
      <c r="C23" s="26">
        <f>B23</f>
        <v>0</v>
      </c>
      <c r="D23" s="26">
        <f t="shared" ref="D23:G23" si="6">C23</f>
        <v>0</v>
      </c>
      <c r="E23" s="26">
        <f t="shared" si="6"/>
        <v>0</v>
      </c>
      <c r="F23" s="26">
        <f t="shared" si="6"/>
        <v>0</v>
      </c>
      <c r="G23" s="26">
        <f t="shared" si="6"/>
        <v>0</v>
      </c>
      <c r="H23" s="26"/>
    </row>
    <row r="24" spans="1:8">
      <c r="A24" s="8" t="s">
        <v>115</v>
      </c>
      <c r="B24" s="26">
        <f>'2'!C12-'2'!C4</f>
        <v>71600000</v>
      </c>
      <c r="C24" s="26">
        <f>B24</f>
        <v>71600000</v>
      </c>
      <c r="D24" s="26">
        <f t="shared" ref="D24:G24" si="7">C24</f>
        <v>71600000</v>
      </c>
      <c r="E24" s="26">
        <f t="shared" si="7"/>
        <v>71600000</v>
      </c>
      <c r="F24" s="26">
        <f t="shared" si="7"/>
        <v>71600000</v>
      </c>
      <c r="G24" s="26">
        <f t="shared" si="7"/>
        <v>71600000</v>
      </c>
      <c r="H24" s="26"/>
    </row>
    <row r="25" spans="1:8">
      <c r="A25" s="8" t="s">
        <v>116</v>
      </c>
      <c r="B25" s="26">
        <v>0</v>
      </c>
      <c r="C25" s="26">
        <f>C12</f>
        <v>10630000</v>
      </c>
      <c r="D25" s="26">
        <f>D12+C12</f>
        <v>21260000</v>
      </c>
      <c r="E25" s="26">
        <f>E12+D12+C12</f>
        <v>31890000</v>
      </c>
      <c r="F25" s="26">
        <f>F12+E12+D12+C12</f>
        <v>42520000</v>
      </c>
      <c r="G25" s="26">
        <f>F25+G12</f>
        <v>53150000</v>
      </c>
      <c r="H25" s="26"/>
    </row>
    <row r="26" spans="1:8">
      <c r="A26" s="8" t="s">
        <v>117</v>
      </c>
      <c r="B26" s="26">
        <f>B23+(B24-B25)</f>
        <v>71600000</v>
      </c>
      <c r="C26" s="26">
        <f>C23+(C24-C25)</f>
        <v>60970000</v>
      </c>
      <c r="D26" s="26">
        <f t="shared" ref="D26:G26" si="8">D23+(D24-D25)</f>
        <v>50340000</v>
      </c>
      <c r="E26" s="26">
        <f t="shared" si="8"/>
        <v>39710000</v>
      </c>
      <c r="F26" s="26">
        <f t="shared" si="8"/>
        <v>29080000</v>
      </c>
      <c r="G26" s="26">
        <f t="shared" si="8"/>
        <v>18450000</v>
      </c>
      <c r="H26" s="26"/>
    </row>
    <row r="27" spans="1:8" ht="15.75" thickBot="1">
      <c r="A27" s="61" t="s">
        <v>118</v>
      </c>
      <c r="B27" s="68">
        <f>B22+B26</f>
        <v>488018600</v>
      </c>
      <c r="C27" s="68">
        <f t="shared" ref="C27:G27" si="9">C22+C26</f>
        <v>687257806.07675433</v>
      </c>
      <c r="D27" s="68">
        <f t="shared" si="9"/>
        <v>729534046.17110872</v>
      </c>
      <c r="E27" s="68">
        <f t="shared" si="9"/>
        <v>766839686.05583096</v>
      </c>
      <c r="F27" s="68">
        <f t="shared" si="9"/>
        <v>868863469.5323447</v>
      </c>
      <c r="G27" s="68">
        <f t="shared" si="9"/>
        <v>1045191902.569762</v>
      </c>
      <c r="H27" s="26"/>
    </row>
    <row r="28" spans="1:8" ht="15.75" thickTop="1">
      <c r="A28" s="150" t="s">
        <v>119</v>
      </c>
      <c r="B28" s="150"/>
      <c r="C28" s="150"/>
      <c r="D28" s="150"/>
      <c r="E28" s="150"/>
      <c r="F28" s="150"/>
      <c r="G28" s="150"/>
    </row>
    <row r="29" spans="1:8">
      <c r="A29" s="8" t="s">
        <v>120</v>
      </c>
      <c r="B29" s="8">
        <v>0</v>
      </c>
      <c r="C29" s="64">
        <f>C16</f>
        <v>74543214.320000008</v>
      </c>
      <c r="D29" s="64">
        <f>D16</f>
        <v>97895623.167233154</v>
      </c>
      <c r="E29" s="64">
        <f>E16</f>
        <v>122431143.85204023</v>
      </c>
      <c r="F29" s="64">
        <f>F16</f>
        <v>172763346.35773692</v>
      </c>
      <c r="G29" s="64">
        <f>G16</f>
        <v>253365246.87371907</v>
      </c>
    </row>
    <row r="30" spans="1:8">
      <c r="A30" s="8" t="s">
        <v>121</v>
      </c>
      <c r="B30" s="64">
        <f>B29</f>
        <v>0</v>
      </c>
      <c r="C30" s="64">
        <f t="shared" ref="C30:G30" si="10">C29</f>
        <v>74543214.320000008</v>
      </c>
      <c r="D30" s="64">
        <f t="shared" si="10"/>
        <v>97895623.167233154</v>
      </c>
      <c r="E30" s="64">
        <f t="shared" si="10"/>
        <v>122431143.85204023</v>
      </c>
      <c r="F30" s="64">
        <f t="shared" si="10"/>
        <v>172763346.35773692</v>
      </c>
      <c r="G30" s="64">
        <f t="shared" si="10"/>
        <v>253365246.87371907</v>
      </c>
    </row>
    <row r="31" spans="1:8">
      <c r="A31" s="8" t="s">
        <v>122</v>
      </c>
      <c r="B31" s="25">
        <f>'3'!J8</f>
        <v>188018600</v>
      </c>
      <c r="C31" s="25">
        <f>'3'!J9</f>
        <v>168013058.07675433</v>
      </c>
      <c r="D31" s="25">
        <f>'3'!J10</f>
        <v>141605742.73807004</v>
      </c>
      <c r="E31" s="25">
        <f>'3'!J11</f>
        <v>106748086.49100676</v>
      </c>
      <c r="F31" s="25">
        <f>'3'!J12</f>
        <v>60735980.244883239</v>
      </c>
      <c r="G31" s="25">
        <f>'3'!J13</f>
        <v>1.9371509552001953E-7</v>
      </c>
    </row>
    <row r="32" spans="1:8" ht="15.75" thickBot="1">
      <c r="A32" s="61" t="s">
        <v>119</v>
      </c>
      <c r="B32" s="68">
        <f>B30+B31</f>
        <v>188018600</v>
      </c>
      <c r="C32" s="68">
        <f t="shared" ref="C32:G32" si="11">C30+C31</f>
        <v>242556272.39675432</v>
      </c>
      <c r="D32" s="68">
        <f t="shared" si="11"/>
        <v>239501365.90530318</v>
      </c>
      <c r="E32" s="68">
        <f t="shared" si="11"/>
        <v>229179230.34304699</v>
      </c>
      <c r="F32" s="68">
        <f t="shared" si="11"/>
        <v>233499326.60262015</v>
      </c>
      <c r="G32" s="68">
        <f t="shared" si="11"/>
        <v>253365246.87371927</v>
      </c>
    </row>
    <row r="33" spans="1:7" ht="15.75" thickTop="1">
      <c r="A33" s="150" t="s">
        <v>123</v>
      </c>
      <c r="B33" s="150"/>
      <c r="C33" s="150"/>
      <c r="D33" s="150"/>
      <c r="E33" s="150"/>
      <c r="F33" s="150"/>
      <c r="G33" s="150"/>
    </row>
    <row r="34" spans="1:7">
      <c r="A34" s="8" t="s">
        <v>124</v>
      </c>
      <c r="B34" s="26">
        <f>'3'!D15</f>
        <v>300000000</v>
      </c>
      <c r="C34" s="26">
        <f>B34</f>
        <v>300000000</v>
      </c>
      <c r="D34" s="26">
        <f t="shared" ref="D34:G34" si="12">C34</f>
        <v>300000000</v>
      </c>
      <c r="E34" s="26">
        <f t="shared" si="12"/>
        <v>300000000</v>
      </c>
      <c r="F34" s="26">
        <f t="shared" si="12"/>
        <v>300000000</v>
      </c>
      <c r="G34" s="26">
        <f t="shared" si="12"/>
        <v>300000000</v>
      </c>
    </row>
    <row r="35" spans="1:7">
      <c r="A35" s="8" t="s">
        <v>125</v>
      </c>
      <c r="B35" s="8">
        <v>0</v>
      </c>
      <c r="C35" s="64">
        <f>C17</f>
        <v>144701533.68000001</v>
      </c>
      <c r="D35" s="64">
        <f>D17</f>
        <v>190032680.26580548</v>
      </c>
      <c r="E35" s="64">
        <f>E17</f>
        <v>237660455.71278393</v>
      </c>
      <c r="F35" s="64">
        <f>F17</f>
        <v>335364142.92972457</v>
      </c>
      <c r="G35" s="64">
        <f>G17</f>
        <v>491826655.69604278</v>
      </c>
    </row>
    <row r="36" spans="1:7" ht="15.75" thickBot="1">
      <c r="A36" s="61" t="s">
        <v>126</v>
      </c>
      <c r="B36" s="68">
        <f>B34+B35</f>
        <v>300000000</v>
      </c>
      <c r="C36" s="68">
        <f t="shared" ref="C36:G36" si="13">C34+C35</f>
        <v>444701533.68000001</v>
      </c>
      <c r="D36" s="68">
        <f t="shared" si="13"/>
        <v>490032680.26580548</v>
      </c>
      <c r="E36" s="68">
        <f t="shared" si="13"/>
        <v>537660455.71278393</v>
      </c>
      <c r="F36" s="68">
        <f t="shared" si="13"/>
        <v>635364142.92972457</v>
      </c>
      <c r="G36" s="68">
        <f t="shared" si="13"/>
        <v>791826655.69604278</v>
      </c>
    </row>
    <row r="37" spans="1:7" ht="15.75" thickTop="1"/>
    <row r="38" spans="1:7" ht="15.75" thickBot="1">
      <c r="A38" s="61" t="s">
        <v>127</v>
      </c>
      <c r="B38" s="68">
        <f>B32+B36</f>
        <v>488018600</v>
      </c>
      <c r="C38" s="68">
        <f t="shared" ref="C38:G38" si="14">C32+C36</f>
        <v>687257806.07675433</v>
      </c>
      <c r="D38" s="68">
        <f t="shared" si="14"/>
        <v>729534046.17110872</v>
      </c>
      <c r="E38" s="68">
        <f t="shared" si="14"/>
        <v>766839686.05583096</v>
      </c>
      <c r="F38" s="68">
        <f t="shared" si="14"/>
        <v>868863469.5323447</v>
      </c>
      <c r="G38" s="68">
        <f t="shared" si="14"/>
        <v>1045191902.569762</v>
      </c>
    </row>
    <row r="39" spans="1:7" ht="15.75" thickTop="1">
      <c r="A39" s="57" t="s">
        <v>128</v>
      </c>
      <c r="B39" s="69">
        <f>B27-B38</f>
        <v>0</v>
      </c>
      <c r="C39" s="69">
        <f t="shared" ref="C39:G39" si="15">C27-C38</f>
        <v>0</v>
      </c>
      <c r="D39" s="69">
        <f t="shared" si="15"/>
        <v>0</v>
      </c>
      <c r="E39" s="69">
        <f t="shared" si="15"/>
        <v>0</v>
      </c>
      <c r="F39" s="69">
        <f t="shared" si="15"/>
        <v>0</v>
      </c>
      <c r="G39" s="69">
        <f t="shared" si="15"/>
        <v>0</v>
      </c>
    </row>
    <row r="41" spans="1:7" ht="15.75">
      <c r="A41" s="151" t="s">
        <v>129</v>
      </c>
      <c r="B41" s="151"/>
      <c r="C41" s="151"/>
      <c r="D41" s="151"/>
      <c r="E41" s="151"/>
      <c r="F41" s="151"/>
      <c r="G41" s="151"/>
    </row>
    <row r="42" spans="1:7">
      <c r="A42" s="150" t="s">
        <v>130</v>
      </c>
      <c r="B42" s="150"/>
      <c r="C42" s="150"/>
      <c r="D42" s="150"/>
      <c r="E42" s="150"/>
      <c r="F42" s="150"/>
      <c r="G42" s="150"/>
    </row>
    <row r="43" spans="1:7" ht="23.25">
      <c r="A43" s="11"/>
      <c r="B43" s="67" t="s">
        <v>89</v>
      </c>
      <c r="C43" s="59">
        <f>C20</f>
        <v>2022</v>
      </c>
      <c r="D43" s="59">
        <f t="shared" ref="D43:G43" si="16">D20</f>
        <v>2023</v>
      </c>
      <c r="E43" s="59">
        <f t="shared" si="16"/>
        <v>2024</v>
      </c>
      <c r="F43" s="59">
        <f t="shared" si="16"/>
        <v>2025</v>
      </c>
      <c r="G43" s="59">
        <f t="shared" si="16"/>
        <v>2026</v>
      </c>
    </row>
    <row r="44" spans="1:7">
      <c r="A44" s="1" t="s">
        <v>131</v>
      </c>
      <c r="B44" s="2">
        <f>B22</f>
        <v>416418600</v>
      </c>
      <c r="C44" s="2">
        <f t="shared" ref="C44:G44" si="17">C22</f>
        <v>626287806.07675433</v>
      </c>
      <c r="D44" s="2">
        <f t="shared" si="17"/>
        <v>679194046.17110872</v>
      </c>
      <c r="E44" s="2">
        <f t="shared" si="17"/>
        <v>727129686.05583096</v>
      </c>
      <c r="F44" s="2">
        <f t="shared" si="17"/>
        <v>839783469.5323447</v>
      </c>
      <c r="G44" s="2">
        <f t="shared" si="17"/>
        <v>1026741902.569762</v>
      </c>
    </row>
    <row r="45" spans="1:7" ht="15.75" thickBot="1">
      <c r="A45" s="1" t="s">
        <v>132</v>
      </c>
      <c r="B45" s="3">
        <f>B29</f>
        <v>0</v>
      </c>
      <c r="C45" s="3">
        <f t="shared" ref="C45:G45" si="18">C29</f>
        <v>74543214.320000008</v>
      </c>
      <c r="D45" s="3">
        <f t="shared" si="18"/>
        <v>97895623.167233154</v>
      </c>
      <c r="E45" s="3">
        <f t="shared" si="18"/>
        <v>122431143.85204023</v>
      </c>
      <c r="F45" s="3">
        <f t="shared" si="18"/>
        <v>172763346.35773692</v>
      </c>
      <c r="G45" s="3">
        <f t="shared" si="18"/>
        <v>253365246.87371907</v>
      </c>
    </row>
    <row r="46" spans="1:7" ht="15.75" thickTop="1">
      <c r="A46" s="4" t="s">
        <v>133</v>
      </c>
      <c r="B46" s="5">
        <f t="shared" ref="B46:G46" si="19">B44-B45</f>
        <v>416418600</v>
      </c>
      <c r="C46" s="5">
        <f t="shared" si="19"/>
        <v>551744591.75675428</v>
      </c>
      <c r="D46" s="5">
        <f t="shared" si="19"/>
        <v>581298423.00387561</v>
      </c>
      <c r="E46" s="5">
        <f t="shared" si="19"/>
        <v>604698542.20379066</v>
      </c>
      <c r="F46" s="5">
        <f t="shared" si="19"/>
        <v>667020123.17460775</v>
      </c>
      <c r="G46" s="5">
        <f t="shared" si="19"/>
        <v>773376655.6960429</v>
      </c>
    </row>
    <row r="47" spans="1:7">
      <c r="A47" s="1"/>
      <c r="B47" s="2"/>
      <c r="C47" s="2"/>
      <c r="D47" s="2"/>
      <c r="E47" s="2"/>
      <c r="F47" s="2"/>
      <c r="G47" s="2"/>
    </row>
    <row r="48" spans="1:7">
      <c r="A48" s="4" t="s">
        <v>134</v>
      </c>
      <c r="B48" s="2">
        <f>B26</f>
        <v>71600000</v>
      </c>
      <c r="C48" s="2">
        <f t="shared" ref="C48:G48" si="20">C26</f>
        <v>60970000</v>
      </c>
      <c r="D48" s="2">
        <f t="shared" si="20"/>
        <v>50340000</v>
      </c>
      <c r="E48" s="2">
        <f t="shared" si="20"/>
        <v>39710000</v>
      </c>
      <c r="F48" s="2">
        <f t="shared" si="20"/>
        <v>29080000</v>
      </c>
      <c r="G48" s="2">
        <f t="shared" si="20"/>
        <v>18450000</v>
      </c>
    </row>
    <row r="49" spans="1:7" ht="15.75" thickBot="1">
      <c r="A49" s="1" t="s">
        <v>135</v>
      </c>
      <c r="B49" s="3">
        <f>B25</f>
        <v>0</v>
      </c>
      <c r="C49" s="3">
        <f t="shared" ref="C49:G49" si="21">C25</f>
        <v>10630000</v>
      </c>
      <c r="D49" s="3">
        <f t="shared" si="21"/>
        <v>21260000</v>
      </c>
      <c r="E49" s="3">
        <f t="shared" si="21"/>
        <v>31890000</v>
      </c>
      <c r="F49" s="3">
        <f t="shared" si="21"/>
        <v>42520000</v>
      </c>
      <c r="G49" s="3">
        <f t="shared" si="21"/>
        <v>53150000</v>
      </c>
    </row>
    <row r="50" spans="1:7" ht="15.75" thickTop="1">
      <c r="A50" s="4" t="s">
        <v>136</v>
      </c>
      <c r="B50" s="5">
        <f t="shared" ref="B50:G50" si="22">B48+B49</f>
        <v>71600000</v>
      </c>
      <c r="C50" s="5">
        <f t="shared" si="22"/>
        <v>71600000</v>
      </c>
      <c r="D50" s="5">
        <f t="shared" si="22"/>
        <v>71600000</v>
      </c>
      <c r="E50" s="5">
        <f t="shared" si="22"/>
        <v>71600000</v>
      </c>
      <c r="F50" s="5">
        <f t="shared" si="22"/>
        <v>71600000</v>
      </c>
      <c r="G50" s="5">
        <f t="shared" si="22"/>
        <v>71600000</v>
      </c>
    </row>
    <row r="51" spans="1:7">
      <c r="A51" s="1"/>
      <c r="B51" s="2"/>
      <c r="C51" s="2"/>
      <c r="D51" s="2"/>
      <c r="E51" s="2"/>
      <c r="F51" s="2"/>
      <c r="G51" s="2"/>
    </row>
    <row r="52" spans="1:7" ht="15.75" thickBot="1">
      <c r="A52" s="12" t="s">
        <v>137</v>
      </c>
      <c r="B52" s="6">
        <f t="shared" ref="B52:G52" si="23">B46+B48</f>
        <v>488018600</v>
      </c>
      <c r="C52" s="6">
        <f t="shared" si="23"/>
        <v>612714591.75675428</v>
      </c>
      <c r="D52" s="6">
        <f t="shared" si="23"/>
        <v>631638423.00387561</v>
      </c>
      <c r="E52" s="6">
        <f t="shared" si="23"/>
        <v>644408542.20379066</v>
      </c>
      <c r="F52" s="6">
        <f t="shared" si="23"/>
        <v>696100123.17460775</v>
      </c>
      <c r="G52" s="6">
        <f t="shared" si="23"/>
        <v>791826655.6960429</v>
      </c>
    </row>
    <row r="53" spans="1:7" ht="15.75" thickTop="1">
      <c r="A53" s="7"/>
      <c r="B53" s="2"/>
      <c r="C53" s="2"/>
      <c r="D53" s="2"/>
      <c r="E53" s="2"/>
      <c r="F53" s="2"/>
      <c r="G53" s="2"/>
    </row>
    <row r="54" spans="1:7">
      <c r="A54" s="149" t="s">
        <v>138</v>
      </c>
      <c r="B54" s="149"/>
      <c r="C54" s="149"/>
      <c r="D54" s="149"/>
      <c r="E54" s="149"/>
      <c r="F54" s="149"/>
      <c r="G54" s="149"/>
    </row>
    <row r="55" spans="1:7">
      <c r="A55" s="1" t="s">
        <v>139</v>
      </c>
      <c r="C55" s="9">
        <f>C13</f>
        <v>279410700</v>
      </c>
      <c r="D55" s="9">
        <f t="shared" ref="D55:G55" si="24">D13</f>
        <v>341692482.01760006</v>
      </c>
      <c r="E55" s="9">
        <f t="shared" si="24"/>
        <v>405405437.24100655</v>
      </c>
      <c r="F55" s="9">
        <f t="shared" si="24"/>
        <v>542286876.96458364</v>
      </c>
      <c r="G55" s="9">
        <f t="shared" si="24"/>
        <v>764627416.24812448</v>
      </c>
    </row>
    <row r="56" spans="1:7" ht="15.75" thickBot="1">
      <c r="A56" s="1" t="s">
        <v>140</v>
      </c>
      <c r="C56" s="10">
        <f>C55*'1'!$AB$7</f>
        <v>94999638</v>
      </c>
      <c r="D56" s="10">
        <f>D55*'1'!$AB$7</f>
        <v>116175443.88598403</v>
      </c>
      <c r="E56" s="10">
        <f>E55*'1'!$AB$7</f>
        <v>137837848.66194224</v>
      </c>
      <c r="F56" s="10">
        <f>F55*'1'!$AB$7</f>
        <v>184377538.16795844</v>
      </c>
      <c r="G56" s="10">
        <f>G55*'1'!$AB$7</f>
        <v>259973321.52436236</v>
      </c>
    </row>
    <row r="57" spans="1:7" ht="15.75" thickTop="1">
      <c r="A57" s="4" t="s">
        <v>141</v>
      </c>
      <c r="C57" s="9">
        <f>C55-C56</f>
        <v>184411062</v>
      </c>
      <c r="D57" s="9">
        <f>D55-D56</f>
        <v>225517038.13161603</v>
      </c>
      <c r="E57" s="9">
        <f>E55-E56</f>
        <v>267567588.57906431</v>
      </c>
      <c r="F57" s="9">
        <f>F55-F56</f>
        <v>357909338.7966252</v>
      </c>
      <c r="G57" s="9">
        <f>G55-G56</f>
        <v>504654094.72376215</v>
      </c>
    </row>
    <row r="58" spans="1:7" ht="15.75" thickBot="1">
      <c r="A58" s="1" t="s">
        <v>142</v>
      </c>
      <c r="C58" s="10">
        <f>-(C52-B52)</f>
        <v>-124695991.75675428</v>
      </c>
      <c r="D58" s="10">
        <f t="shared" ref="D58:G58" si="25">-(D52-C52)</f>
        <v>-18923831.247121334</v>
      </c>
      <c r="E58" s="10">
        <f t="shared" si="25"/>
        <v>-12770119.199915051</v>
      </c>
      <c r="F58" s="10">
        <f t="shared" si="25"/>
        <v>-51691580.970817089</v>
      </c>
      <c r="G58" s="10">
        <f t="shared" si="25"/>
        <v>-95726532.521435142</v>
      </c>
    </row>
    <row r="59" spans="1:7" ht="16.5" thickTop="1" thickBot="1">
      <c r="A59" s="56" t="s">
        <v>143</v>
      </c>
      <c r="B59" s="57"/>
      <c r="C59" s="58">
        <f>SUM(C57:C58)</f>
        <v>59715070.243245721</v>
      </c>
      <c r="D59" s="58">
        <f t="shared" ref="D59:G59" si="26">SUM(D57:D58)</f>
        <v>206593206.88449469</v>
      </c>
      <c r="E59" s="58">
        <f t="shared" si="26"/>
        <v>254797469.37914926</v>
      </c>
      <c r="F59" s="58">
        <f t="shared" si="26"/>
        <v>306217757.82580811</v>
      </c>
      <c r="G59" s="58">
        <f t="shared" si="26"/>
        <v>408927562.20232701</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80" zoomScaleNormal="80" workbookViewId="0"/>
  </sheetViews>
  <sheetFormatPr baseColWidth="10" defaultColWidth="11.42578125" defaultRowHeight="15"/>
  <cols>
    <col min="1" max="1" width="11.42578125" style="8"/>
    <col min="2" max="2" width="32.42578125" style="8" customWidth="1"/>
    <col min="3" max="3" width="24.28515625" style="8" bestFit="1" customWidth="1"/>
    <col min="4" max="4" width="36.28515625" style="8" bestFit="1" customWidth="1"/>
    <col min="5" max="5" width="27.285156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42578125" style="8" bestFit="1" customWidth="1"/>
    <col min="17" max="16384" width="11.42578125" style="8"/>
  </cols>
  <sheetData>
    <row r="2" spans="2:16" ht="38.25" customHeight="1">
      <c r="B2" s="138" t="s">
        <v>144</v>
      </c>
      <c r="C2" s="138"/>
      <c r="D2" s="138"/>
      <c r="E2" s="138"/>
      <c r="F2" s="138"/>
      <c r="G2" s="138"/>
      <c r="H2" s="138"/>
    </row>
    <row r="3" spans="2:16" ht="15.75" customHeight="1">
      <c r="B3" s="157" t="s">
        <v>145</v>
      </c>
      <c r="C3" s="157"/>
      <c r="D3" s="157"/>
      <c r="E3" s="158">
        <v>0.18</v>
      </c>
      <c r="F3" s="158"/>
    </row>
    <row r="4" spans="2:16" ht="16.5" customHeight="1">
      <c r="B4" s="157"/>
      <c r="C4" s="157"/>
      <c r="D4" s="157"/>
      <c r="E4" s="158"/>
      <c r="F4" s="158"/>
      <c r="O4" s="99"/>
    </row>
    <row r="5" spans="2:16" ht="16.5" customHeight="1">
      <c r="B5" s="155"/>
      <c r="C5" s="155"/>
      <c r="D5" s="155"/>
      <c r="E5" s="132"/>
      <c r="F5" s="132"/>
      <c r="O5" s="99"/>
    </row>
    <row r="6" spans="2:16" ht="15.75" thickBot="1">
      <c r="O6" s="99"/>
      <c r="P6" s="102"/>
    </row>
    <row r="7" spans="2:16" ht="23.25">
      <c r="B7" s="98" t="s">
        <v>146</v>
      </c>
      <c r="C7" s="82" t="s">
        <v>147</v>
      </c>
      <c r="D7" s="83">
        <f>'4'!C20</f>
        <v>2022</v>
      </c>
      <c r="E7" s="83">
        <f>'4'!D20</f>
        <v>2023</v>
      </c>
      <c r="F7" s="83">
        <f>'4'!E20</f>
        <v>2024</v>
      </c>
      <c r="G7" s="83">
        <f>'4'!F20</f>
        <v>2025</v>
      </c>
      <c r="H7" s="84">
        <f>'4'!G20</f>
        <v>2026</v>
      </c>
      <c r="O7" s="99"/>
      <c r="P7" s="101"/>
    </row>
    <row r="8" spans="2:16" ht="19.5" thickBot="1">
      <c r="B8" s="85"/>
      <c r="C8" s="106">
        <f>-'3'!D14</f>
        <v>-488018600</v>
      </c>
      <c r="D8" s="106">
        <f>'4'!C59</f>
        <v>59715070.243245721</v>
      </c>
      <c r="E8" s="106">
        <f>'4'!D59</f>
        <v>206593206.88449469</v>
      </c>
      <c r="F8" s="106">
        <f>'4'!E59</f>
        <v>254797469.37914926</v>
      </c>
      <c r="G8" s="106">
        <f>'4'!F59</f>
        <v>306217757.82580811</v>
      </c>
      <c r="H8" s="107">
        <f>'4'!G59</f>
        <v>408927562.20232701</v>
      </c>
      <c r="O8" s="99"/>
      <c r="P8" s="101"/>
    </row>
    <row r="9" spans="2:16" ht="15.75" thickBot="1">
      <c r="C9" s="70">
        <f>C8/(1+$E$3)^0</f>
        <v>-488018600</v>
      </c>
      <c r="D9" s="70">
        <f>D8/(1+$E$3)^1</f>
        <v>50605991.731564172</v>
      </c>
      <c r="E9" s="70">
        <f>E8/(1+$E$3)^2</f>
        <v>148372024.47895339</v>
      </c>
      <c r="F9" s="70">
        <f>F8/(1+$E$3)^3</f>
        <v>155077606.14470643</v>
      </c>
      <c r="G9" s="70">
        <f>G8/(1+$E$3)^4</f>
        <v>157943712.8605231</v>
      </c>
      <c r="H9" s="70">
        <f>H8/(1+$E$3)^5</f>
        <v>178746006.20929131</v>
      </c>
      <c r="O9" s="99"/>
      <c r="P9" s="101"/>
    </row>
    <row r="10" spans="2:16" ht="24" thickBot="1">
      <c r="B10" s="30" t="s">
        <v>148</v>
      </c>
      <c r="C10" s="31"/>
      <c r="D10" s="108">
        <f>NPV(E3,D8:H8)+$C$8</f>
        <v>202726741.42503846</v>
      </c>
      <c r="O10" s="99"/>
      <c r="P10" s="101"/>
    </row>
    <row r="11" spans="2:16" ht="28.5" thickBot="1">
      <c r="B11" s="135" t="s">
        <v>149</v>
      </c>
      <c r="C11" s="31"/>
      <c r="D11" s="109">
        <f>IF(ISERROR(IRR(C8:H8)),"NO_APLICA",(IRR(C8:H8)))</f>
        <v>0.31105616152723803</v>
      </c>
      <c r="F11" s="103" t="s">
        <v>150</v>
      </c>
      <c r="G11" s="31"/>
      <c r="H11" s="104">
        <f>IF(ISERROR(-C9/AVERAGE(D9:H9)),"NO_APLICA",(-C9/AVERAGE(D9:H9)))</f>
        <v>3.5325507877707572</v>
      </c>
      <c r="I11" s="105" t="s">
        <v>151</v>
      </c>
      <c r="P11" s="100"/>
    </row>
    <row r="13" spans="2:16" ht="18.75">
      <c r="B13" s="159" t="s">
        <v>152</v>
      </c>
      <c r="C13" s="159"/>
      <c r="D13" s="159"/>
      <c r="E13" s="159"/>
      <c r="F13" s="159"/>
      <c r="G13" s="159"/>
      <c r="H13" s="159"/>
    </row>
    <row r="14" spans="2:16" ht="36.75">
      <c r="B14" s="86" t="str">
        <f>'1'!B2</f>
        <v>NOMBRE DEL PRODUCTO O SERVICIO</v>
      </c>
      <c r="C14" s="86" t="s">
        <v>153</v>
      </c>
      <c r="D14" s="86" t="s">
        <v>154</v>
      </c>
      <c r="E14" s="86" t="s">
        <v>155</v>
      </c>
      <c r="F14" s="86" t="s">
        <v>156</v>
      </c>
      <c r="H14" s="70"/>
      <c r="I14" s="70"/>
      <c r="J14" s="70" t="s">
        <v>157</v>
      </c>
    </row>
    <row r="15" spans="2:16">
      <c r="B15" s="38" t="str">
        <f>'1'!B3</f>
        <v>Hamburguesas</v>
      </c>
      <c r="C15" s="87">
        <f>'1'!D3-'1'!D17</f>
        <v>13000</v>
      </c>
      <c r="D15" s="88">
        <f>'1'!F3</f>
        <v>0.13841118962749879</v>
      </c>
      <c r="E15" s="87">
        <f>C15*D15</f>
        <v>1799.3454651574843</v>
      </c>
      <c r="F15" s="89">
        <f t="shared" ref="F15:F24" si="0">$E$28*D15</f>
        <v>6168.6723493092886</v>
      </c>
      <c r="G15" s="38" t="s">
        <v>158</v>
      </c>
      <c r="H15" s="71">
        <f>'1'!D3</f>
        <v>16000</v>
      </c>
      <c r="I15" s="90">
        <f t="shared" ref="I15:I24" si="1">$B$35*D15</f>
        <v>12337.344698618577</v>
      </c>
      <c r="J15" s="71">
        <f>'1'!D17</f>
        <v>3000</v>
      </c>
    </row>
    <row r="16" spans="2:16">
      <c r="B16" s="91" t="str">
        <f>'1'!B4</f>
        <v>Perros Calientes</v>
      </c>
      <c r="C16" s="87">
        <f>'1'!D4-'1'!D18</f>
        <v>11800</v>
      </c>
      <c r="D16" s="88">
        <f>'1'!F4</f>
        <v>0.10943655806391095</v>
      </c>
      <c r="E16" s="87">
        <f t="shared" ref="E16:E24" si="2">C16*D16</f>
        <v>1291.3513851541493</v>
      </c>
      <c r="F16" s="89">
        <f t="shared" si="0"/>
        <v>4877.3388304026757</v>
      </c>
      <c r="G16" s="38" t="str">
        <f>G15</f>
        <v>UNIDADES</v>
      </c>
      <c r="H16" s="71">
        <f>'1'!D4</f>
        <v>15000</v>
      </c>
      <c r="I16" s="90">
        <f t="shared" si="1"/>
        <v>9754.6776608053515</v>
      </c>
      <c r="J16" s="71">
        <f>'1'!D18</f>
        <v>3200</v>
      </c>
    </row>
    <row r="17" spans="2:10">
      <c r="B17" s="91" t="str">
        <f>'1'!B5</f>
        <v>Burritos</v>
      </c>
      <c r="C17" s="87">
        <f>'1'!D5-'1'!D19</f>
        <v>12400</v>
      </c>
      <c r="D17" s="88">
        <f>'1'!F5</f>
        <v>0.13257457319742355</v>
      </c>
      <c r="E17" s="87">
        <f t="shared" si="2"/>
        <v>1643.9247076480519</v>
      </c>
      <c r="F17" s="89">
        <f t="shared" si="0"/>
        <v>5908.5476116878135</v>
      </c>
      <c r="G17" s="38" t="str">
        <f t="shared" ref="G17:G24" si="3">G16</f>
        <v>UNIDADES</v>
      </c>
      <c r="H17" s="71">
        <f>'1'!D5</f>
        <v>15900</v>
      </c>
      <c r="I17" s="90">
        <f t="shared" si="1"/>
        <v>11817.095223375627</v>
      </c>
      <c r="J17" s="71">
        <f>'1'!D19</f>
        <v>3500</v>
      </c>
    </row>
    <row r="18" spans="2:10">
      <c r="B18" s="91" t="str">
        <f>'1'!B6</f>
        <v>Arepas Rellenas</v>
      </c>
      <c r="C18" s="87">
        <f>'1'!D6-'1'!D20</f>
        <v>10000</v>
      </c>
      <c r="D18" s="88">
        <f>'1'!F6</f>
        <v>7.5042211243824652E-2</v>
      </c>
      <c r="E18" s="87">
        <f t="shared" si="2"/>
        <v>750.42211243824647</v>
      </c>
      <c r="F18" s="89">
        <f t="shared" si="0"/>
        <v>3344.4609122761208</v>
      </c>
      <c r="G18" s="38" t="str">
        <f t="shared" si="3"/>
        <v>UNIDADES</v>
      </c>
      <c r="H18" s="71">
        <f>'1'!D6</f>
        <v>12000</v>
      </c>
      <c r="I18" s="90">
        <f t="shared" si="1"/>
        <v>6688.9218245522416</v>
      </c>
      <c r="J18" s="71">
        <f>'1'!D20</f>
        <v>2000</v>
      </c>
    </row>
    <row r="19" spans="2:10">
      <c r="B19" s="91" t="str">
        <f>'1'!B7</f>
        <v>Mazorcadas</v>
      </c>
      <c r="C19" s="87">
        <f>'1'!D7-'1'!D21</f>
        <v>10400</v>
      </c>
      <c r="D19" s="88">
        <f>'1'!F7</f>
        <v>0.1173472578325308</v>
      </c>
      <c r="E19" s="87">
        <f t="shared" si="2"/>
        <v>1220.4114814583204</v>
      </c>
      <c r="F19" s="89">
        <f t="shared" si="0"/>
        <v>5229.900751571784</v>
      </c>
      <c r="G19" s="38" t="str">
        <f t="shared" si="3"/>
        <v>UNIDADES</v>
      </c>
      <c r="H19" s="71">
        <f>'1'!D7</f>
        <v>13900</v>
      </c>
      <c r="I19" s="90">
        <f t="shared" si="1"/>
        <v>10459.801503143568</v>
      </c>
      <c r="J19" s="71">
        <f>'1'!D21</f>
        <v>3500</v>
      </c>
    </row>
    <row r="20" spans="2:10">
      <c r="B20" s="91" t="str">
        <f>'1'!B8</f>
        <v>Platos corrientes</v>
      </c>
      <c r="C20" s="87">
        <f>'1'!D8-'1'!D22</f>
        <v>12600</v>
      </c>
      <c r="D20" s="88">
        <f>'1'!F8</f>
        <v>0.12428866237258458</v>
      </c>
      <c r="E20" s="87">
        <f t="shared" si="2"/>
        <v>1566.0371458945658</v>
      </c>
      <c r="F20" s="89">
        <f t="shared" si="0"/>
        <v>5539.2633859573252</v>
      </c>
      <c r="G20" s="38" t="str">
        <f t="shared" si="3"/>
        <v>UNIDADES</v>
      </c>
      <c r="H20" s="71">
        <f>'1'!D8</f>
        <v>15900</v>
      </c>
      <c r="I20" s="90">
        <f t="shared" si="1"/>
        <v>11078.52677191465</v>
      </c>
      <c r="J20" s="71">
        <f>'1'!D22</f>
        <v>3300</v>
      </c>
    </row>
    <row r="21" spans="2:10">
      <c r="B21" s="91" t="str">
        <f>'1'!B9</f>
        <v>Salchipapa</v>
      </c>
      <c r="C21" s="87">
        <f>'1'!D9-'1'!D23</f>
        <v>8300</v>
      </c>
      <c r="D21" s="88">
        <f>'1'!F9</f>
        <v>5.1591520230129445E-2</v>
      </c>
      <c r="E21" s="87">
        <f t="shared" si="2"/>
        <v>428.20961791007437</v>
      </c>
      <c r="F21" s="89">
        <f t="shared" si="0"/>
        <v>2299.3168771898327</v>
      </c>
      <c r="G21" s="38" t="str">
        <f t="shared" si="3"/>
        <v>UNIDADES</v>
      </c>
      <c r="H21" s="71">
        <f>'1'!D9</f>
        <v>11000</v>
      </c>
      <c r="I21" s="90">
        <f t="shared" si="1"/>
        <v>4598.6337543796653</v>
      </c>
      <c r="J21" s="71">
        <f>'1'!D23</f>
        <v>2700</v>
      </c>
    </row>
    <row r="22" spans="2:10">
      <c r="B22" s="91" t="str">
        <f>'1'!B10</f>
        <v>Acompañamientos</v>
      </c>
      <c r="C22" s="87">
        <f>'1'!D10-'1'!D24</f>
        <v>4500</v>
      </c>
      <c r="D22" s="88">
        <f>'1'!F10</f>
        <v>0.10891543159693995</v>
      </c>
      <c r="E22" s="87">
        <f t="shared" si="2"/>
        <v>490.11944218622978</v>
      </c>
      <c r="F22" s="89">
        <f t="shared" si="0"/>
        <v>4854.1134074007587</v>
      </c>
      <c r="G22" s="38" t="str">
        <f t="shared" si="3"/>
        <v>UNIDADES</v>
      </c>
      <c r="H22" s="71">
        <f>'1'!D10</f>
        <v>5500</v>
      </c>
      <c r="I22" s="90">
        <f t="shared" si="1"/>
        <v>9708.2268148015173</v>
      </c>
      <c r="J22" s="71">
        <f>'1'!D24</f>
        <v>1000</v>
      </c>
    </row>
    <row r="23" spans="2:10">
      <c r="B23" s="91" t="str">
        <f>'1'!B11</f>
        <v>Caldo de costilla</v>
      </c>
      <c r="C23" s="87">
        <f>'1'!D11-'1'!D25</f>
        <v>12109</v>
      </c>
      <c r="D23" s="88">
        <f>'1'!F11</f>
        <v>7.8231505221687203E-2</v>
      </c>
      <c r="E23" s="87">
        <f t="shared" si="2"/>
        <v>947.30529672941032</v>
      </c>
      <c r="F23" s="89">
        <f t="shared" si="0"/>
        <v>3486.6005010478561</v>
      </c>
      <c r="G23" s="38" t="str">
        <f t="shared" si="3"/>
        <v>UNIDADES</v>
      </c>
      <c r="H23" s="71">
        <f>'1'!D11</f>
        <v>13900</v>
      </c>
      <c r="I23" s="90">
        <f t="shared" si="1"/>
        <v>6973.2010020957123</v>
      </c>
      <c r="J23" s="71">
        <f>'1'!D25</f>
        <v>1791</v>
      </c>
    </row>
    <row r="24" spans="2:10">
      <c r="B24" s="38" t="str">
        <f>'1'!B12</f>
        <v>Huevos en combo desayuno</v>
      </c>
      <c r="C24" s="87">
        <f>'1'!D12-'1'!D26</f>
        <v>9900</v>
      </c>
      <c r="D24" s="88">
        <f>'1'!F12</f>
        <v>6.416109061347007E-2</v>
      </c>
      <c r="E24" s="87">
        <f t="shared" si="2"/>
        <v>635.1947970733537</v>
      </c>
      <c r="F24" s="89">
        <f t="shared" si="0"/>
        <v>2859.5140799960827</v>
      </c>
      <c r="G24" s="38" t="str">
        <f t="shared" si="3"/>
        <v>UNIDADES</v>
      </c>
      <c r="H24" s="71">
        <f>'1'!D12</f>
        <v>11400</v>
      </c>
      <c r="I24" s="90">
        <f t="shared" si="1"/>
        <v>5719.0281599921655</v>
      </c>
      <c r="J24" s="71">
        <f>'1'!D26</f>
        <v>1500</v>
      </c>
    </row>
    <row r="25" spans="2:10" ht="26.25">
      <c r="C25" s="26"/>
      <c r="D25" s="92"/>
      <c r="E25" s="26"/>
      <c r="F25" s="93">
        <f>SUM(F15:F24)</f>
        <v>44567.728706839538</v>
      </c>
      <c r="G25" s="8" t="str">
        <f>G24</f>
        <v>UNIDADES</v>
      </c>
      <c r="H25" s="71"/>
      <c r="I25" s="90"/>
      <c r="J25" s="71"/>
    </row>
    <row r="26" spans="2:10" ht="12.75" customHeight="1">
      <c r="C26" s="26"/>
      <c r="D26" s="92"/>
      <c r="E26" s="26"/>
      <c r="F26" s="93"/>
      <c r="H26" s="71"/>
      <c r="I26" s="90"/>
      <c r="J26" s="71"/>
    </row>
    <row r="27" spans="2:10" ht="21" customHeight="1">
      <c r="B27" s="156" t="s">
        <v>159</v>
      </c>
      <c r="C27" s="156"/>
      <c r="D27" s="156"/>
      <c r="E27" s="94">
        <f>SUM(E15:E24)</f>
        <v>10772.321451649887</v>
      </c>
      <c r="H27" s="70"/>
      <c r="I27" s="70"/>
      <c r="J27" s="70"/>
    </row>
    <row r="28" spans="2:10" ht="19.5" customHeight="1">
      <c r="B28" s="156" t="s">
        <v>160</v>
      </c>
      <c r="C28" s="156"/>
      <c r="D28" s="156"/>
      <c r="E28" s="93">
        <f>IF(E27=0,0,('2'!C23+'2'!F31+'2'!C25)/'5'!E27)</f>
        <v>44567.728706839538</v>
      </c>
      <c r="F28" s="95" t="s">
        <v>158</v>
      </c>
      <c r="H28" s="96"/>
    </row>
    <row r="29" spans="2:10" ht="26.25">
      <c r="B29" s="156" t="s">
        <v>161</v>
      </c>
      <c r="C29" s="156"/>
      <c r="D29" s="156"/>
      <c r="E29" s="94">
        <f>E49</f>
        <v>599760503.16802061</v>
      </c>
    </row>
    <row r="30" spans="2:10">
      <c r="B30" s="127"/>
      <c r="C30" s="127"/>
      <c r="D30" s="127"/>
      <c r="E30" s="127"/>
      <c r="F30" s="127"/>
      <c r="G30" s="127"/>
    </row>
    <row r="31" spans="2:10" s="70" customFormat="1"/>
    <row r="32" spans="2:10" s="70" customFormat="1">
      <c r="C32" s="70" t="s">
        <v>162</v>
      </c>
      <c r="D32" s="70" t="s">
        <v>163</v>
      </c>
      <c r="E32" s="70" t="s">
        <v>164</v>
      </c>
      <c r="F32" s="70" t="s">
        <v>165</v>
      </c>
    </row>
    <row r="33" spans="2:6" s="70" customFormat="1">
      <c r="B33" s="70">
        <v>0</v>
      </c>
      <c r="C33" s="71">
        <f>'2'!C25+'2'!F31+'2'!C23</f>
        <v>480097900</v>
      </c>
      <c r="D33" s="70">
        <f>0</f>
        <v>0</v>
      </c>
      <c r="E33" s="70">
        <v>0</v>
      </c>
      <c r="F33" s="71">
        <f>C33+E33</f>
        <v>480097900</v>
      </c>
    </row>
    <row r="34" spans="2:6" s="70" customFormat="1">
      <c r="B34" s="90">
        <f>F25</f>
        <v>44567.728706839538</v>
      </c>
      <c r="C34" s="71">
        <f>C33</f>
        <v>480097900</v>
      </c>
      <c r="D34" s="128">
        <f>SUMPRODUCT(F15:F24,H15:H24)</f>
        <v>599760503.16802061</v>
      </c>
      <c r="E34" s="128">
        <f>SUMPRODUCT(F15:F24,J15:J24)</f>
        <v>119662603.16802056</v>
      </c>
      <c r="F34" s="71">
        <f t="shared" ref="F34:F35" si="4">C34+E34</f>
        <v>599760503.16802061</v>
      </c>
    </row>
    <row r="35" spans="2:6" s="70" customFormat="1">
      <c r="B35" s="90">
        <f>B34*2</f>
        <v>89135.457413679076</v>
      </c>
      <c r="C35" s="71">
        <f>C34</f>
        <v>480097900</v>
      </c>
      <c r="D35" s="128">
        <f>SUMPRODUCT(H15:H24,I15:I24)</f>
        <v>1199521006.3360412</v>
      </c>
      <c r="E35" s="128">
        <f>SUMPRODUCT(I15:I24,J15:J24)</f>
        <v>239325206.33604112</v>
      </c>
      <c r="F35" s="71">
        <f t="shared" si="4"/>
        <v>719423106.33604109</v>
      </c>
    </row>
    <row r="36" spans="2:6" s="70" customFormat="1">
      <c r="C36" s="71"/>
    </row>
    <row r="37" spans="2:6" s="70" customFormat="1">
      <c r="C37" s="71"/>
    </row>
    <row r="38" spans="2:6" s="70" customFormat="1">
      <c r="C38" s="129" t="s">
        <v>166</v>
      </c>
      <c r="D38" s="70" t="s">
        <v>158</v>
      </c>
      <c r="E38" s="70" t="s">
        <v>167</v>
      </c>
    </row>
    <row r="39" spans="2:6" s="70" customFormat="1">
      <c r="B39" s="70">
        <v>1</v>
      </c>
      <c r="C39" s="71">
        <f>'1'!D3</f>
        <v>16000</v>
      </c>
      <c r="D39" s="90">
        <f>F15</f>
        <v>6168.6723493092886</v>
      </c>
      <c r="E39" s="70">
        <f>C39*D39</f>
        <v>98698757.588948622</v>
      </c>
    </row>
    <row r="40" spans="2:6" s="70" customFormat="1">
      <c r="B40" s="70">
        <f>B39+1</f>
        <v>2</v>
      </c>
      <c r="C40" s="71">
        <f>'1'!D4</f>
        <v>15000</v>
      </c>
      <c r="D40" s="90">
        <f t="shared" ref="D40:D48" si="5">F16</f>
        <v>4877.3388304026757</v>
      </c>
      <c r="E40" s="70">
        <f t="shared" ref="E40:E48" si="6">C40*D40</f>
        <v>73160082.456040129</v>
      </c>
    </row>
    <row r="41" spans="2:6" s="70" customFormat="1">
      <c r="B41" s="70">
        <f t="shared" ref="B41:B48" si="7">B40+1</f>
        <v>3</v>
      </c>
      <c r="C41" s="71">
        <f>'1'!D5</f>
        <v>15900</v>
      </c>
      <c r="D41" s="90">
        <f t="shared" si="5"/>
        <v>5908.5476116878135</v>
      </c>
      <c r="E41" s="70">
        <f t="shared" si="6"/>
        <v>93945907.025836229</v>
      </c>
    </row>
    <row r="42" spans="2:6" s="70" customFormat="1">
      <c r="B42" s="70">
        <f t="shared" si="7"/>
        <v>4</v>
      </c>
      <c r="C42" s="71">
        <f>'1'!D6</f>
        <v>12000</v>
      </c>
      <c r="D42" s="90">
        <f t="shared" si="5"/>
        <v>3344.4609122761208</v>
      </c>
      <c r="E42" s="70">
        <f t="shared" si="6"/>
        <v>40133530.94731345</v>
      </c>
    </row>
    <row r="43" spans="2:6" s="70" customFormat="1">
      <c r="B43" s="70">
        <f t="shared" si="7"/>
        <v>5</v>
      </c>
      <c r="C43" s="71">
        <f>'1'!D7</f>
        <v>13900</v>
      </c>
      <c r="D43" s="90">
        <f t="shared" si="5"/>
        <v>5229.900751571784</v>
      </c>
      <c r="E43" s="70">
        <f t="shared" si="6"/>
        <v>72695620.446847796</v>
      </c>
    </row>
    <row r="44" spans="2:6" s="70" customFormat="1">
      <c r="B44" s="70">
        <f t="shared" si="7"/>
        <v>6</v>
      </c>
      <c r="C44" s="71">
        <f>'1'!D8</f>
        <v>15900</v>
      </c>
      <c r="D44" s="90">
        <f t="shared" si="5"/>
        <v>5539.2633859573252</v>
      </c>
      <c r="E44" s="70">
        <f t="shared" si="6"/>
        <v>88074287.836721465</v>
      </c>
    </row>
    <row r="45" spans="2:6" s="70" customFormat="1">
      <c r="B45" s="70">
        <f t="shared" si="7"/>
        <v>7</v>
      </c>
      <c r="C45" s="71">
        <f>'1'!D9</f>
        <v>11000</v>
      </c>
      <c r="D45" s="90">
        <f t="shared" si="5"/>
        <v>2299.3168771898327</v>
      </c>
      <c r="E45" s="70">
        <f t="shared" si="6"/>
        <v>25292485.649088159</v>
      </c>
    </row>
    <row r="46" spans="2:6" s="70" customFormat="1">
      <c r="B46" s="70">
        <f t="shared" si="7"/>
        <v>8</v>
      </c>
      <c r="C46" s="71">
        <f>'1'!D10</f>
        <v>5500</v>
      </c>
      <c r="D46" s="90">
        <f t="shared" si="5"/>
        <v>4854.1134074007587</v>
      </c>
      <c r="E46" s="70">
        <f t="shared" si="6"/>
        <v>26697623.740704171</v>
      </c>
    </row>
    <row r="47" spans="2:6" s="70" customFormat="1">
      <c r="B47" s="70">
        <f t="shared" si="7"/>
        <v>9</v>
      </c>
      <c r="C47" s="71">
        <f>'1'!D11</f>
        <v>13900</v>
      </c>
      <c r="D47" s="90">
        <f t="shared" si="5"/>
        <v>3486.6005010478561</v>
      </c>
      <c r="E47" s="70">
        <f t="shared" si="6"/>
        <v>48463746.964565203</v>
      </c>
    </row>
    <row r="48" spans="2:6" s="70" customFormat="1">
      <c r="B48" s="70">
        <f t="shared" si="7"/>
        <v>10</v>
      </c>
      <c r="C48" s="71">
        <f>'1'!D12</f>
        <v>11400</v>
      </c>
      <c r="D48" s="90">
        <f t="shared" si="5"/>
        <v>2859.5140799960827</v>
      </c>
      <c r="E48" s="70">
        <f t="shared" si="6"/>
        <v>32598460.511955343</v>
      </c>
    </row>
    <row r="49" spans="2:8" s="70" customFormat="1">
      <c r="C49" s="71"/>
      <c r="E49" s="130">
        <f>SUM(E39:E48)</f>
        <v>599760503.16802061</v>
      </c>
    </row>
    <row r="50" spans="2:8" s="70" customFormat="1"/>
    <row r="51" spans="2:8" s="70" customFormat="1">
      <c r="C51" s="71"/>
    </row>
    <row r="52" spans="2:8" s="70" customFormat="1">
      <c r="B52" s="154"/>
      <c r="C52" s="154"/>
      <c r="D52" s="154"/>
      <c r="G52" s="70" t="s">
        <v>168</v>
      </c>
      <c r="H52" s="131">
        <f>'4'!B32/'4'!B27</f>
        <v>0.38526933194759377</v>
      </c>
    </row>
    <row r="53" spans="2:8" s="70" customFormat="1">
      <c r="C53" s="71"/>
      <c r="G53" s="70" t="s">
        <v>169</v>
      </c>
      <c r="H53" s="131">
        <f>'4'!B36/'4'!B27</f>
        <v>0.61473066805240617</v>
      </c>
    </row>
    <row r="54" spans="2:8" s="70" customFormat="1">
      <c r="G54" s="70" t="s">
        <v>170</v>
      </c>
      <c r="H54" s="70">
        <f>'1'!AB7</f>
        <v>0.34</v>
      </c>
    </row>
    <row r="55" spans="2:8" s="70" customFormat="1">
      <c r="G55" s="70" t="s">
        <v>171</v>
      </c>
      <c r="H55" s="131">
        <f>'3'!F4</f>
        <v>0.32</v>
      </c>
    </row>
    <row r="56" spans="2:8" s="70" customFormat="1">
      <c r="G56" s="70" t="s">
        <v>172</v>
      </c>
    </row>
    <row r="57" spans="2:8" s="70" customFormat="1"/>
    <row r="58" spans="2:8" s="70" customFormat="1"/>
    <row r="59" spans="2:8" s="70" customFormat="1"/>
    <row r="60" spans="2:8" s="70" customFormat="1"/>
    <row r="61" spans="2:8" s="70" customFormat="1"/>
    <row r="62" spans="2:8">
      <c r="B62" s="127"/>
      <c r="C62" s="127"/>
      <c r="D62" s="127"/>
      <c r="E62" s="127"/>
      <c r="F62" s="127"/>
      <c r="G62" s="127"/>
    </row>
    <row r="63" spans="2:8">
      <c r="B63" s="127"/>
      <c r="C63" s="127"/>
      <c r="D63" s="127"/>
      <c r="E63" s="127"/>
      <c r="F63" s="127"/>
      <c r="G63" s="127"/>
    </row>
    <row r="64" spans="2:8">
      <c r="B64" s="127"/>
      <c r="C64" s="127"/>
      <c r="D64" s="127"/>
      <c r="E64" s="127"/>
      <c r="F64" s="127"/>
      <c r="G64" s="127"/>
    </row>
    <row r="65" spans="2:7">
      <c r="B65" s="127"/>
      <c r="C65" s="127"/>
      <c r="D65" s="127"/>
      <c r="E65" s="127"/>
      <c r="F65" s="127"/>
      <c r="G65" s="127"/>
    </row>
    <row r="66" spans="2:7">
      <c r="B66" s="127"/>
      <c r="C66" s="127"/>
      <c r="D66" s="127"/>
      <c r="E66" s="127"/>
      <c r="F66" s="127"/>
      <c r="G66" s="127"/>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7720c47-8394-4e06-b0e2-3e73ee67a3fe" xsi:nil="true"/>
    <lcf76f155ced4ddcb4097134ff3c332f xmlns="e2c595ef-3662-4d46-9f18-17bc7047c55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C701F7629F804FA592259EF92E5F07" ma:contentTypeVersion="14" ma:contentTypeDescription="Create a new document." ma:contentTypeScope="" ma:versionID="f63dbb924d21ef9c0fb9984de5d4e33d">
  <xsd:schema xmlns:xsd="http://www.w3.org/2001/XMLSchema" xmlns:xs="http://www.w3.org/2001/XMLSchema" xmlns:p="http://schemas.microsoft.com/office/2006/metadata/properties" xmlns:ns2="e2c595ef-3662-4d46-9f18-17bc7047c552" xmlns:ns3="e7720c47-8394-4e06-b0e2-3e73ee67a3fe" targetNamespace="http://schemas.microsoft.com/office/2006/metadata/properties" ma:root="true" ma:fieldsID="ab51f362761be12ffdd4bedb04809b9a" ns2:_="" ns3:_="">
    <xsd:import namespace="e2c595ef-3662-4d46-9f18-17bc7047c552"/>
    <xsd:import namespace="e7720c47-8394-4e06-b0e2-3e73ee67a3f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c595ef-3662-4d46-9f18-17bc7047c5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720c47-8394-4e06-b0e2-3e73ee67a3f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c8a799f-0699-436f-87e9-373cc411ce60}" ma:internalName="TaxCatchAll" ma:showField="CatchAllData" ma:web="e7720c47-8394-4e06-b0e2-3e73ee67a3f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ds:schemaRefs>
    <ds:schemaRef ds:uri="http://schemas.openxmlformats.org/package/2006/metadata/core-properties"/>
    <ds:schemaRef ds:uri="http://purl.org/dc/elements/1.1/"/>
    <ds:schemaRef ds:uri="http://schemas.microsoft.com/office/infopath/2007/PartnerControls"/>
    <ds:schemaRef ds:uri="e7720c47-8394-4e06-b0e2-3e73ee67a3fe"/>
    <ds:schemaRef ds:uri="http://schemas.microsoft.com/office/2006/metadata/properties"/>
    <ds:schemaRef ds:uri="http://purl.org/dc/terms/"/>
    <ds:schemaRef ds:uri="http://schemas.microsoft.com/office/2006/documentManagement/types"/>
    <ds:schemaRef ds:uri="e2c595ef-3662-4d46-9f18-17bc7047c552"/>
    <ds:schemaRef ds:uri="http://www.w3.org/XML/1998/namespace"/>
    <ds:schemaRef ds:uri="http://purl.org/dc/dcmitype/"/>
  </ds:schemaRefs>
</ds:datastoreItem>
</file>

<file path=customXml/itemProps2.xml><?xml version="1.0" encoding="utf-8"?>
<ds:datastoreItem xmlns:ds="http://schemas.openxmlformats.org/officeDocument/2006/customXml" ds:itemID="{C0BE264B-F13C-4AB2-BCFF-660C732D29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c595ef-3662-4d46-9f18-17bc7047c552"/>
    <ds:schemaRef ds:uri="e7720c47-8394-4e06-b0e2-3e73ee67a3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PABLO EMILIO AGUDELO FONSECA</cp:lastModifiedBy>
  <cp:revision/>
  <dcterms:created xsi:type="dcterms:W3CDTF">2013-07-30T17:19:59Z</dcterms:created>
  <dcterms:modified xsi:type="dcterms:W3CDTF">2024-03-06T22:44:51Z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0x010100F8C701F7629F804FA592259EF92E5F07</vt:lpwstr>
  </property>
  <property fmtid="{D5CDD505-2E9C-101B-9397-08002B2CF9AE}" pid="3" name="MediaServiceImageTags">
    <vt:lpwstr/>
  </property>
</Properties>
</file>