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codeName="ThisWorkbook" defaultThemeVersion="124226"/>
  <mc:AlternateContent xmlns:mc="http://schemas.openxmlformats.org/markup-compatibility/2006">
    <mc:Choice Requires="x15">
      <x15ac:absPath xmlns:x15ac="http://schemas.microsoft.com/office/spreadsheetml/2010/11/ac" url="C:\Users\Yesid\Desktop\EntregableTrabajoGrado\TrabajoGrado\Final_11042024\"/>
    </mc:Choice>
  </mc:AlternateContent>
  <xr:revisionPtr revIDLastSave="0" documentId="8_{5DB48FEC-B32E-4C8C-A662-63151EC86CA7}" xr6:coauthVersionLast="47" xr6:coauthVersionMax="47" xr10:uidLastSave="{00000000-0000-0000-0000-000000000000}"/>
  <bookViews>
    <workbookView xWindow="-120" yWindow="-120" windowWidth="29040" windowHeight="15840" tabRatio="703" firstSheet="1" activeTab="4" xr2:uid="{00000000-000D-0000-FFFF-FFFF00000000}"/>
  </bookViews>
  <sheets>
    <sheet name="Menú" sheetId="7" r:id="rId1"/>
    <sheet name="1" sheetId="1" r:id="rId2"/>
    <sheet name="2" sheetId="4" r:id="rId3"/>
    <sheet name="3" sheetId="3" r:id="rId4"/>
    <sheet name="4" sheetId="5" r:id="rId5"/>
    <sheet name="5" sheetId="6" r:id="rId6"/>
    <sheet name="SoportePuestaMarcha" sheetId="10" r:id="rId7"/>
    <sheet name="Infraestructura" sheetId="11" r:id="rId8"/>
    <sheet name="Nomina" sheetId="13" r:id="rId9"/>
  </sheets>
  <definedNames>
    <definedName name="_xlnm.Print_Area" localSheetId="0">Menú!$B$2:$J$24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8" i="11" l="1"/>
  <c r="B46" i="11"/>
  <c r="E44" i="11"/>
  <c r="F58" i="10"/>
  <c r="F26" i="13"/>
  <c r="F27" i="13"/>
  <c r="F28" i="13"/>
  <c r="F29" i="13"/>
  <c r="F30" i="13"/>
  <c r="F31" i="13"/>
  <c r="F32" i="13"/>
  <c r="F33" i="13"/>
  <c r="F34" i="13"/>
  <c r="F35" i="13"/>
  <c r="F52" i="13"/>
  <c r="F53" i="13"/>
  <c r="F54" i="13"/>
  <c r="F55" i="13"/>
  <c r="F36" i="13"/>
  <c r="F37" i="13"/>
  <c r="F38" i="13"/>
  <c r="F39" i="13"/>
  <c r="F40" i="13"/>
  <c r="F41" i="13"/>
  <c r="F42" i="13"/>
  <c r="F43" i="13"/>
  <c r="F44" i="13"/>
  <c r="F45" i="13"/>
  <c r="F46" i="13"/>
  <c r="F47" i="13"/>
  <c r="F48" i="13"/>
  <c r="F49" i="13"/>
  <c r="F50" i="13"/>
  <c r="F51" i="13"/>
  <c r="F25" i="13"/>
  <c r="G32" i="13"/>
  <c r="G36" i="13"/>
  <c r="E3" i="13"/>
  <c r="F3" i="13" s="1"/>
  <c r="E4" i="13"/>
  <c r="G4" i="13" s="1"/>
  <c r="E5" i="13"/>
  <c r="G5" i="13" s="1"/>
  <c r="E6" i="13"/>
  <c r="G6" i="13" s="1"/>
  <c r="E7" i="13"/>
  <c r="F7" i="13" s="1"/>
  <c r="E8" i="13"/>
  <c r="G8" i="13" s="1"/>
  <c r="E9" i="13"/>
  <c r="G9" i="13" s="1"/>
  <c r="E10" i="13"/>
  <c r="G10" i="13" s="1"/>
  <c r="E11" i="13"/>
  <c r="F11" i="13" s="1"/>
  <c r="E12" i="13"/>
  <c r="G12" i="13" s="1"/>
  <c r="E13" i="13"/>
  <c r="G13" i="13" s="1"/>
  <c r="E14" i="13"/>
  <c r="F14" i="13" s="1"/>
  <c r="E15" i="13"/>
  <c r="F15" i="13" s="1"/>
  <c r="E16" i="13"/>
  <c r="G16" i="13" s="1"/>
  <c r="E17" i="13"/>
  <c r="G17" i="13" s="1"/>
  <c r="E18" i="13"/>
  <c r="G18" i="13" s="1"/>
  <c r="E19" i="13"/>
  <c r="F19" i="13" s="1"/>
  <c r="E20" i="13"/>
  <c r="G20" i="13" s="1"/>
  <c r="E21" i="13"/>
  <c r="G21" i="13" s="1"/>
  <c r="E22" i="13"/>
  <c r="G22" i="13" s="1"/>
  <c r="E23" i="13"/>
  <c r="F23" i="13" s="1"/>
  <c r="E24" i="13"/>
  <c r="G24" i="13" s="1"/>
  <c r="E25" i="13"/>
  <c r="G25" i="13" s="1"/>
  <c r="E26" i="13"/>
  <c r="G26" i="13" s="1"/>
  <c r="J51" i="13" s="1"/>
  <c r="E27" i="13"/>
  <c r="G27" i="13" s="1"/>
  <c r="E28" i="13"/>
  <c r="G28" i="13" s="1"/>
  <c r="E29" i="13"/>
  <c r="G29" i="13" s="1"/>
  <c r="E30" i="13"/>
  <c r="G30" i="13" s="1"/>
  <c r="E31" i="13"/>
  <c r="G31" i="13" s="1"/>
  <c r="E32" i="13"/>
  <c r="E33" i="13"/>
  <c r="G33" i="13" s="1"/>
  <c r="E34" i="13"/>
  <c r="G34" i="13" s="1"/>
  <c r="E35" i="13"/>
  <c r="G35" i="13" s="1"/>
  <c r="E52" i="13"/>
  <c r="G52" i="13" s="1"/>
  <c r="E53" i="13"/>
  <c r="G53" i="13" s="1"/>
  <c r="E54" i="13"/>
  <c r="G54" i="13" s="1"/>
  <c r="E55" i="13"/>
  <c r="G55" i="13" s="1"/>
  <c r="E36" i="13"/>
  <c r="E37" i="13"/>
  <c r="G37" i="13" s="1"/>
  <c r="E38" i="13"/>
  <c r="G38" i="13" s="1"/>
  <c r="E39" i="13"/>
  <c r="G39" i="13" s="1"/>
  <c r="E40" i="13"/>
  <c r="G40" i="13" s="1"/>
  <c r="E41" i="13"/>
  <c r="G41" i="13" s="1"/>
  <c r="E42" i="13"/>
  <c r="G42" i="13" s="1"/>
  <c r="E43" i="13"/>
  <c r="G43" i="13" s="1"/>
  <c r="E44" i="13"/>
  <c r="G44" i="13" s="1"/>
  <c r="E45" i="13"/>
  <c r="G45" i="13" s="1"/>
  <c r="E46" i="13"/>
  <c r="G46" i="13" s="1"/>
  <c r="E47" i="13"/>
  <c r="G47" i="13" s="1"/>
  <c r="E48" i="13"/>
  <c r="G48" i="13" s="1"/>
  <c r="E49" i="13"/>
  <c r="G49" i="13" s="1"/>
  <c r="E50" i="13"/>
  <c r="G50" i="13" s="1"/>
  <c r="E51" i="13"/>
  <c r="G51" i="13" s="1"/>
  <c r="E2" i="13"/>
  <c r="F2" i="13" s="1"/>
  <c r="F18" i="13" l="1"/>
  <c r="F10" i="13"/>
  <c r="G2" i="13"/>
  <c r="F24" i="13"/>
  <c r="F16" i="13"/>
  <c r="F8" i="13"/>
  <c r="G14" i="13"/>
  <c r="F22" i="13"/>
  <c r="F6" i="13"/>
  <c r="F20" i="13"/>
  <c r="F12" i="13"/>
  <c r="F4" i="13"/>
  <c r="J55" i="13"/>
  <c r="F21" i="13"/>
  <c r="F17" i="13"/>
  <c r="F13" i="13"/>
  <c r="F9" i="13"/>
  <c r="F5" i="13"/>
  <c r="G23" i="13"/>
  <c r="G19" i="13"/>
  <c r="G15" i="13"/>
  <c r="G11" i="13"/>
  <c r="G7" i="13"/>
  <c r="G3" i="13"/>
  <c r="J24" i="13" l="1"/>
  <c r="E43" i="11"/>
  <c r="B45" i="11" l="1"/>
  <c r="H55" i="6"/>
  <c r="H54" i="6"/>
  <c r="B40" i="6" l="1"/>
  <c r="B41" i="6" s="1"/>
  <c r="B42" i="6" s="1"/>
  <c r="B43" i="6" s="1"/>
  <c r="B44" i="6" s="1"/>
  <c r="B45" i="6" s="1"/>
  <c r="B46" i="6" s="1"/>
  <c r="B47" i="6" s="1"/>
  <c r="B48" i="6" s="1"/>
  <c r="C40" i="6"/>
  <c r="C41" i="6"/>
  <c r="C42" i="6"/>
  <c r="C43" i="6"/>
  <c r="C44" i="6"/>
  <c r="C45" i="6"/>
  <c r="C46" i="6"/>
  <c r="C47" i="6"/>
  <c r="C48" i="6"/>
  <c r="C39" i="6"/>
  <c r="F11" i="5" l="1"/>
  <c r="G11" i="5"/>
  <c r="E11" i="5" l="1"/>
  <c r="D11" i="5"/>
  <c r="C11" i="5"/>
  <c r="J16" i="6" l="1"/>
  <c r="J17" i="6"/>
  <c r="J18" i="6"/>
  <c r="J19" i="6"/>
  <c r="J20" i="6"/>
  <c r="J21" i="6"/>
  <c r="J22" i="6"/>
  <c r="J23" i="6"/>
  <c r="J24" i="6"/>
  <c r="J15" i="6"/>
  <c r="H16" i="6"/>
  <c r="H17" i="6"/>
  <c r="H18" i="6"/>
  <c r="H19" i="6"/>
  <c r="H20" i="6"/>
  <c r="H21" i="6"/>
  <c r="H22" i="6"/>
  <c r="H23" i="6"/>
  <c r="H24" i="6"/>
  <c r="H15" i="6"/>
  <c r="D33" i="6"/>
  <c r="G16" i="6"/>
  <c r="G17" i="6" s="1"/>
  <c r="G18" i="6" s="1"/>
  <c r="G19" i="6" s="1"/>
  <c r="G20" i="6" s="1"/>
  <c r="G21" i="6" s="1"/>
  <c r="G22" i="6" s="1"/>
  <c r="G23" i="6" s="1"/>
  <c r="G24" i="6" s="1"/>
  <c r="G25" i="6" s="1"/>
  <c r="C16" i="6"/>
  <c r="C17" i="6"/>
  <c r="C18" i="6"/>
  <c r="C19" i="6"/>
  <c r="C20" i="6"/>
  <c r="C21" i="6"/>
  <c r="C22" i="6"/>
  <c r="C23" i="6"/>
  <c r="C24" i="6"/>
  <c r="C15" i="6"/>
  <c r="B16" i="6"/>
  <c r="B17" i="6"/>
  <c r="B18" i="6"/>
  <c r="B19" i="6"/>
  <c r="B20" i="6"/>
  <c r="B21" i="6"/>
  <c r="B22" i="6"/>
  <c r="B23" i="6"/>
  <c r="B24" i="6"/>
  <c r="B15" i="6"/>
  <c r="B14" i="6"/>
  <c r="C23" i="4" l="1"/>
  <c r="C9" i="5" s="1"/>
  <c r="B49" i="5"/>
  <c r="B45" i="5"/>
  <c r="B23" i="5"/>
  <c r="C23" i="5" s="1"/>
  <c r="G6" i="4"/>
  <c r="G7" i="4"/>
  <c r="G8" i="4"/>
  <c r="G9" i="4"/>
  <c r="G10" i="4"/>
  <c r="G11" i="4"/>
  <c r="G5" i="4"/>
  <c r="B34" i="5"/>
  <c r="C34" i="5" s="1"/>
  <c r="B30" i="5"/>
  <c r="G12" i="4" l="1"/>
  <c r="C12" i="5" s="1"/>
  <c r="D23" i="5"/>
  <c r="B36" i="5"/>
  <c r="D34" i="5"/>
  <c r="E23" i="5" l="1"/>
  <c r="F23" i="5" s="1"/>
  <c r="E34" i="5"/>
  <c r="G23" i="5" l="1"/>
  <c r="F34" i="5"/>
  <c r="G34" i="5" l="1"/>
  <c r="D10" i="3" l="1"/>
  <c r="D9" i="3"/>
  <c r="F17" i="4"/>
  <c r="F31" i="4"/>
  <c r="C10" i="5" s="1"/>
  <c r="D10" i="5" s="1"/>
  <c r="E10" i="5" s="1"/>
  <c r="F10" i="5" s="1"/>
  <c r="G10" i="5" s="1"/>
  <c r="C12" i="4"/>
  <c r="D11" i="3" l="1"/>
  <c r="C33" i="6"/>
  <c r="C4" i="3"/>
  <c r="B24" i="5"/>
  <c r="C25" i="5"/>
  <c r="C49" i="5" s="1"/>
  <c r="D12" i="5"/>
  <c r="D9" i="5"/>
  <c r="E9" i="5" s="1"/>
  <c r="F9" i="5" s="1"/>
  <c r="R16" i="1"/>
  <c r="S16" i="1"/>
  <c r="V16" i="1"/>
  <c r="W16" i="1"/>
  <c r="G2" i="1"/>
  <c r="B31" i="1"/>
  <c r="P18" i="1"/>
  <c r="P19" i="1"/>
  <c r="Q19" i="1" s="1"/>
  <c r="R19" i="1" s="1"/>
  <c r="P20" i="1"/>
  <c r="Q20" i="1" s="1"/>
  <c r="R20" i="1" s="1"/>
  <c r="S20" i="1" s="1"/>
  <c r="P21" i="1"/>
  <c r="Q21" i="1" s="1"/>
  <c r="R21" i="1" s="1"/>
  <c r="P22" i="1"/>
  <c r="P23" i="1"/>
  <c r="P24" i="1"/>
  <c r="P25" i="1"/>
  <c r="Q25" i="1" s="1"/>
  <c r="R25" i="1" s="1"/>
  <c r="P26" i="1"/>
  <c r="Q26" i="1" s="1"/>
  <c r="R26" i="1" s="1"/>
  <c r="S26" i="1" s="1"/>
  <c r="P17" i="1"/>
  <c r="P16" i="1"/>
  <c r="Q16" i="1"/>
  <c r="T16" i="1"/>
  <c r="U16" i="1"/>
  <c r="P4" i="1"/>
  <c r="Q4" i="1" s="1"/>
  <c r="R4" i="1" s="1"/>
  <c r="S4" i="1" s="1"/>
  <c r="P5" i="1"/>
  <c r="Q5" i="1" s="1"/>
  <c r="R5" i="1" s="1"/>
  <c r="S5" i="1" s="1"/>
  <c r="P6" i="1"/>
  <c r="Q6" i="1" s="1"/>
  <c r="R6" i="1" s="1"/>
  <c r="S6" i="1" s="1"/>
  <c r="P7" i="1"/>
  <c r="Q7" i="1" s="1"/>
  <c r="R7" i="1" s="1"/>
  <c r="S7" i="1" s="1"/>
  <c r="P8" i="1"/>
  <c r="Q8" i="1" s="1"/>
  <c r="R8" i="1" s="1"/>
  <c r="S8" i="1" s="1"/>
  <c r="P9" i="1"/>
  <c r="Q9" i="1" s="1"/>
  <c r="R9" i="1" s="1"/>
  <c r="S9" i="1" s="1"/>
  <c r="P10" i="1"/>
  <c r="Q10" i="1" s="1"/>
  <c r="R10" i="1" s="1"/>
  <c r="S10" i="1" s="1"/>
  <c r="P11" i="1"/>
  <c r="Q11" i="1" s="1"/>
  <c r="R11" i="1" s="1"/>
  <c r="S11" i="1" s="1"/>
  <c r="P12" i="1"/>
  <c r="Q12" i="1" s="1"/>
  <c r="R12" i="1" s="1"/>
  <c r="S12" i="1" s="1"/>
  <c r="P3" i="1"/>
  <c r="Q3" i="1" s="1"/>
  <c r="R3" i="1" s="1"/>
  <c r="S3" i="1" s="1"/>
  <c r="L4" i="1"/>
  <c r="L5" i="1"/>
  <c r="M5" i="1" s="1"/>
  <c r="N5" i="1" s="1"/>
  <c r="O5" i="1" s="1"/>
  <c r="L6" i="1"/>
  <c r="M6" i="1" s="1"/>
  <c r="N6" i="1" s="1"/>
  <c r="O6" i="1" s="1"/>
  <c r="L7" i="1"/>
  <c r="M7" i="1" s="1"/>
  <c r="N7" i="1" s="1"/>
  <c r="O7" i="1" s="1"/>
  <c r="L8" i="1"/>
  <c r="L9" i="1"/>
  <c r="L10" i="1"/>
  <c r="M10" i="1" s="1"/>
  <c r="N10" i="1" s="1"/>
  <c r="O10" i="1" s="1"/>
  <c r="L11" i="1"/>
  <c r="M11" i="1" s="1"/>
  <c r="N11" i="1" s="1"/>
  <c r="O11" i="1" s="1"/>
  <c r="L12" i="1"/>
  <c r="M12" i="1" s="1"/>
  <c r="N12" i="1" s="1"/>
  <c r="O12" i="1" s="1"/>
  <c r="L3" i="1"/>
  <c r="M3" i="1" s="1"/>
  <c r="N3" i="1" s="1"/>
  <c r="O3" i="1" s="1"/>
  <c r="D27" i="1"/>
  <c r="E4" i="1"/>
  <c r="E5" i="1"/>
  <c r="E6" i="1"/>
  <c r="E7" i="1"/>
  <c r="E8" i="1"/>
  <c r="E9" i="1"/>
  <c r="E10" i="1"/>
  <c r="E11" i="1"/>
  <c r="E12" i="1"/>
  <c r="E3" i="1"/>
  <c r="B18" i="1"/>
  <c r="B19" i="1"/>
  <c r="B20" i="1"/>
  <c r="B21" i="1"/>
  <c r="B22" i="1"/>
  <c r="B23" i="1"/>
  <c r="B24" i="1"/>
  <c r="B25" i="1"/>
  <c r="B26" i="1"/>
  <c r="B17" i="1"/>
  <c r="C18" i="1"/>
  <c r="E18" i="1" s="1"/>
  <c r="C19" i="1"/>
  <c r="E19" i="1" s="1"/>
  <c r="C20" i="1"/>
  <c r="E20" i="1" s="1"/>
  <c r="C21" i="1"/>
  <c r="L21" i="1" s="1"/>
  <c r="M21" i="1" s="1"/>
  <c r="N21" i="1" s="1"/>
  <c r="O21" i="1" s="1"/>
  <c r="C22" i="1"/>
  <c r="E22" i="1" s="1"/>
  <c r="C23" i="1"/>
  <c r="E23" i="1" s="1"/>
  <c r="C24" i="1"/>
  <c r="E24" i="1" s="1"/>
  <c r="C25" i="1"/>
  <c r="E25" i="1" s="1"/>
  <c r="C26" i="1"/>
  <c r="E26" i="1" s="1"/>
  <c r="C17" i="1"/>
  <c r="E17" i="1" s="1"/>
  <c r="A17" i="1"/>
  <c r="A4" i="1"/>
  <c r="A18" i="1" s="1"/>
  <c r="C5" i="5" l="1"/>
  <c r="C20" i="5" s="1"/>
  <c r="D7" i="6" s="1"/>
  <c r="E9" i="3"/>
  <c r="G9" i="5"/>
  <c r="H2" i="1"/>
  <c r="B28" i="4"/>
  <c r="C34" i="6"/>
  <c r="C35" i="6" s="1"/>
  <c r="F33" i="6"/>
  <c r="W12" i="1"/>
  <c r="W11" i="1"/>
  <c r="W10" i="1"/>
  <c r="W7" i="1"/>
  <c r="W6" i="1"/>
  <c r="W5" i="1"/>
  <c r="W3" i="1"/>
  <c r="B26" i="5"/>
  <c r="B48" i="5" s="1"/>
  <c r="B50" i="5" s="1"/>
  <c r="C24" i="5"/>
  <c r="E12" i="5"/>
  <c r="F12" i="5" s="1"/>
  <c r="D25" i="5"/>
  <c r="D49" i="5" s="1"/>
  <c r="C31" i="1"/>
  <c r="L2" i="1"/>
  <c r="L16" i="1" s="1"/>
  <c r="S25" i="1"/>
  <c r="S21" i="1"/>
  <c r="W21" i="1" s="1"/>
  <c r="V21" i="1"/>
  <c r="S19" i="1"/>
  <c r="V12" i="1"/>
  <c r="V10" i="1"/>
  <c r="V6" i="1"/>
  <c r="V3" i="1"/>
  <c r="V11" i="1"/>
  <c r="V7" i="1"/>
  <c r="V5" i="1"/>
  <c r="I2" i="1"/>
  <c r="Z3" i="1"/>
  <c r="AA3" i="1" s="1"/>
  <c r="AB3" i="1" s="1"/>
  <c r="AC3" i="1" s="1"/>
  <c r="L19" i="1"/>
  <c r="M19" i="1" s="1"/>
  <c r="L17" i="1"/>
  <c r="M17" i="1" s="1"/>
  <c r="N17" i="1" s="1"/>
  <c r="O17" i="1" s="1"/>
  <c r="L18" i="1"/>
  <c r="M18" i="1" s="1"/>
  <c r="N18" i="1" s="1"/>
  <c r="O18" i="1" s="1"/>
  <c r="L23" i="1"/>
  <c r="M23" i="1" s="1"/>
  <c r="N23" i="1" s="1"/>
  <c r="O23" i="1" s="1"/>
  <c r="Q23" i="1"/>
  <c r="R23" i="1" s="1"/>
  <c r="S23" i="1" s="1"/>
  <c r="L22" i="1"/>
  <c r="M22" i="1" s="1"/>
  <c r="N22" i="1" s="1"/>
  <c r="O22" i="1" s="1"/>
  <c r="A5" i="1"/>
  <c r="A6" i="1" s="1"/>
  <c r="A7" i="1" s="1"/>
  <c r="A8" i="1" s="1"/>
  <c r="A9" i="1" s="1"/>
  <c r="A10" i="1" s="1"/>
  <c r="A11" i="1" s="1"/>
  <c r="A12" i="1" s="1"/>
  <c r="A26" i="1" s="1"/>
  <c r="E21" i="1"/>
  <c r="E27" i="1" s="1"/>
  <c r="L25" i="1"/>
  <c r="M25" i="1" s="1"/>
  <c r="U21" i="1"/>
  <c r="Q17" i="1"/>
  <c r="R17" i="1" s="1"/>
  <c r="S17" i="1" s="1"/>
  <c r="L26" i="1"/>
  <c r="M26" i="1" s="1"/>
  <c r="U6" i="1"/>
  <c r="L24" i="1"/>
  <c r="M24" i="1" s="1"/>
  <c r="N24" i="1" s="1"/>
  <c r="O24" i="1" s="1"/>
  <c r="L20" i="1"/>
  <c r="M20" i="1" s="1"/>
  <c r="Q24" i="1"/>
  <c r="R24" i="1" s="1"/>
  <c r="Q22" i="1"/>
  <c r="R22" i="1" s="1"/>
  <c r="S22" i="1" s="1"/>
  <c r="Q18" i="1"/>
  <c r="R18" i="1" s="1"/>
  <c r="T21" i="1"/>
  <c r="T9" i="1"/>
  <c r="U5" i="1"/>
  <c r="U10" i="1"/>
  <c r="T3" i="1"/>
  <c r="T10" i="1"/>
  <c r="T6" i="1"/>
  <c r="U11" i="1"/>
  <c r="U7" i="1"/>
  <c r="U3" i="1"/>
  <c r="T5" i="1"/>
  <c r="U12" i="1"/>
  <c r="T12" i="1"/>
  <c r="T8" i="1"/>
  <c r="T4" i="1"/>
  <c r="T11" i="1"/>
  <c r="M9" i="1"/>
  <c r="M8" i="1"/>
  <c r="T7" i="1"/>
  <c r="M4" i="1"/>
  <c r="E13" i="1"/>
  <c r="D5" i="5" l="1"/>
  <c r="D20" i="5" s="1"/>
  <c r="E7" i="6" s="1"/>
  <c r="E10" i="3"/>
  <c r="C43" i="5"/>
  <c r="G12" i="5"/>
  <c r="F25" i="5"/>
  <c r="J2" i="1"/>
  <c r="B31" i="4" s="1"/>
  <c r="B30" i="4"/>
  <c r="M2" i="1"/>
  <c r="B29" i="4"/>
  <c r="A21" i="1"/>
  <c r="F24" i="1"/>
  <c r="F21" i="1"/>
  <c r="F25" i="1"/>
  <c r="F18" i="1"/>
  <c r="F22" i="1"/>
  <c r="F26" i="1"/>
  <c r="F19" i="1"/>
  <c r="F23" i="1"/>
  <c r="F17" i="1"/>
  <c r="F20" i="1"/>
  <c r="F4" i="1"/>
  <c r="D16" i="6" s="1"/>
  <c r="E16" i="6" s="1"/>
  <c r="F5" i="1"/>
  <c r="D17" i="6" s="1"/>
  <c r="E17" i="6" s="1"/>
  <c r="F9" i="1"/>
  <c r="D21" i="6" s="1"/>
  <c r="E21" i="6" s="1"/>
  <c r="F3" i="1"/>
  <c r="D15" i="6" s="1"/>
  <c r="E15" i="6" s="1"/>
  <c r="F6" i="1"/>
  <c r="D18" i="6" s="1"/>
  <c r="E18" i="6" s="1"/>
  <c r="F10" i="1"/>
  <c r="D22" i="6" s="1"/>
  <c r="E22" i="6" s="1"/>
  <c r="F7" i="1"/>
  <c r="D19" i="6" s="1"/>
  <c r="E19" i="6" s="1"/>
  <c r="F11" i="1"/>
  <c r="D23" i="6" s="1"/>
  <c r="E23" i="6" s="1"/>
  <c r="F8" i="1"/>
  <c r="D20" i="6" s="1"/>
  <c r="E20" i="6" s="1"/>
  <c r="F12" i="1"/>
  <c r="D24" i="6" s="1"/>
  <c r="E24" i="6" s="1"/>
  <c r="B33" i="1"/>
  <c r="B32" i="1"/>
  <c r="C6" i="5" s="1"/>
  <c r="W23" i="1"/>
  <c r="W22" i="1"/>
  <c r="U26" i="1"/>
  <c r="N26" i="1"/>
  <c r="U25" i="1"/>
  <c r="N25" i="1"/>
  <c r="U9" i="1"/>
  <c r="N9" i="1"/>
  <c r="U8" i="1"/>
  <c r="N8" i="1"/>
  <c r="U20" i="1"/>
  <c r="N20" i="1"/>
  <c r="U19" i="1"/>
  <c r="N19" i="1"/>
  <c r="U4" i="1"/>
  <c r="N4" i="1"/>
  <c r="W17" i="1"/>
  <c r="D24" i="5"/>
  <c r="C26" i="5"/>
  <c r="C48" i="5" s="1"/>
  <c r="C50" i="5" s="1"/>
  <c r="E25" i="5"/>
  <c r="E49" i="5" s="1"/>
  <c r="D31" i="1"/>
  <c r="V23" i="1"/>
  <c r="S18" i="1"/>
  <c r="W18" i="1" s="1"/>
  <c r="V18" i="1"/>
  <c r="V22" i="1"/>
  <c r="V17" i="1"/>
  <c r="S24" i="1"/>
  <c r="W24" i="1" s="1"/>
  <c r="V24" i="1"/>
  <c r="T18" i="1"/>
  <c r="A24" i="1"/>
  <c r="A19" i="1"/>
  <c r="U23" i="1"/>
  <c r="U18" i="1"/>
  <c r="T25" i="1"/>
  <c r="U22" i="1"/>
  <c r="T22" i="1"/>
  <c r="A25" i="1"/>
  <c r="A22" i="1"/>
  <c r="T23" i="1"/>
  <c r="A23" i="1"/>
  <c r="A20" i="1"/>
  <c r="U24" i="1"/>
  <c r="T20" i="1"/>
  <c r="U17" i="1"/>
  <c r="T17" i="1"/>
  <c r="T26" i="1"/>
  <c r="T24" i="1"/>
  <c r="T19" i="1"/>
  <c r="T13" i="1"/>
  <c r="C32" i="1" s="1"/>
  <c r="D6" i="5" s="1"/>
  <c r="D43" i="5" l="1"/>
  <c r="E5" i="5"/>
  <c r="E20" i="5" s="1"/>
  <c r="F7" i="6" s="1"/>
  <c r="E11" i="3"/>
  <c r="G25" i="5"/>
  <c r="D8" i="3"/>
  <c r="D12" i="3" s="1"/>
  <c r="D14" i="3" s="1"/>
  <c r="C8" i="6" s="1"/>
  <c r="M16" i="1"/>
  <c r="N2" i="1"/>
  <c r="E27" i="6"/>
  <c r="E28" i="6" s="1"/>
  <c r="C7" i="5"/>
  <c r="C8" i="5" s="1"/>
  <c r="U13" i="1"/>
  <c r="D32" i="1" s="1"/>
  <c r="E6" i="5" s="1"/>
  <c r="F27" i="1"/>
  <c r="F13" i="1"/>
  <c r="B34" i="1"/>
  <c r="O26" i="1"/>
  <c r="W26" i="1" s="1"/>
  <c r="V26" i="1"/>
  <c r="O25" i="1"/>
  <c r="W25" i="1" s="1"/>
  <c r="V25" i="1"/>
  <c r="O9" i="1"/>
  <c r="W9" i="1" s="1"/>
  <c r="V9" i="1"/>
  <c r="O8" i="1"/>
  <c r="W8" i="1" s="1"/>
  <c r="V8" i="1"/>
  <c r="O20" i="1"/>
  <c r="W20" i="1" s="1"/>
  <c r="V20" i="1"/>
  <c r="O19" i="1"/>
  <c r="W19" i="1" s="1"/>
  <c r="V19" i="1"/>
  <c r="O4" i="1"/>
  <c r="W4" i="1" s="1"/>
  <c r="V4" i="1"/>
  <c r="E24" i="5"/>
  <c r="F24" i="5" s="1"/>
  <c r="D26" i="5"/>
  <c r="D48" i="5" s="1"/>
  <c r="D50" i="5" s="1"/>
  <c r="F49" i="5"/>
  <c r="E31" i="1"/>
  <c r="U27" i="1"/>
  <c r="D33" i="1" s="1"/>
  <c r="T27" i="1"/>
  <c r="C33" i="1" s="1"/>
  <c r="E43" i="5" l="1"/>
  <c r="F5" i="5"/>
  <c r="F20" i="5" s="1"/>
  <c r="G7" i="6" s="1"/>
  <c r="E12" i="3"/>
  <c r="G24" i="5"/>
  <c r="G26" i="5" s="1"/>
  <c r="F26" i="5"/>
  <c r="D16" i="3"/>
  <c r="N16" i="1"/>
  <c r="O2" i="1"/>
  <c r="O16" i="1" s="1"/>
  <c r="C13" i="5"/>
  <c r="C55" i="5" s="1"/>
  <c r="C56" i="5" s="1"/>
  <c r="C57" i="5" s="1"/>
  <c r="F23" i="6"/>
  <c r="D47" i="6" s="1"/>
  <c r="E47" i="6" s="1"/>
  <c r="F24" i="6"/>
  <c r="D48" i="6" s="1"/>
  <c r="E48" i="6" s="1"/>
  <c r="F19" i="6"/>
  <c r="D43" i="6" s="1"/>
  <c r="E43" i="6" s="1"/>
  <c r="F20" i="6"/>
  <c r="D44" i="6" s="1"/>
  <c r="E44" i="6" s="1"/>
  <c r="F16" i="6"/>
  <c r="D40" i="6" s="1"/>
  <c r="E40" i="6" s="1"/>
  <c r="F18" i="6"/>
  <c r="D42" i="6" s="1"/>
  <c r="E42" i="6" s="1"/>
  <c r="F15" i="6"/>
  <c r="D39" i="6" s="1"/>
  <c r="E39" i="6" s="1"/>
  <c r="F17" i="6"/>
  <c r="D41" i="6" s="1"/>
  <c r="E41" i="6" s="1"/>
  <c r="F21" i="6"/>
  <c r="D45" i="6" s="1"/>
  <c r="E45" i="6" s="1"/>
  <c r="F22" i="6"/>
  <c r="D46" i="6" s="1"/>
  <c r="E46" i="6" s="1"/>
  <c r="V13" i="1"/>
  <c r="V27" i="1"/>
  <c r="E33" i="1" s="1"/>
  <c r="F7" i="5" s="1"/>
  <c r="W27" i="1"/>
  <c r="W13" i="1"/>
  <c r="E26" i="5"/>
  <c r="E48" i="5" s="1"/>
  <c r="E50" i="5" s="1"/>
  <c r="G49" i="5"/>
  <c r="C34" i="1"/>
  <c r="D7" i="5"/>
  <c r="D8" i="5" s="1"/>
  <c r="D34" i="1"/>
  <c r="E7" i="5"/>
  <c r="E8" i="5" s="1"/>
  <c r="F31" i="1"/>
  <c r="E13" i="3" s="1"/>
  <c r="E49" i="6" l="1"/>
  <c r="E29" i="6" s="1"/>
  <c r="F43" i="5"/>
  <c r="J8" i="3"/>
  <c r="B31" i="5" s="1"/>
  <c r="B32" i="5" s="1"/>
  <c r="F33" i="1"/>
  <c r="G7" i="5" s="1"/>
  <c r="F32" i="1"/>
  <c r="G6" i="5" s="1"/>
  <c r="E32" i="1"/>
  <c r="F6" i="5" s="1"/>
  <c r="F8" i="5" s="1"/>
  <c r="F13" i="5" s="1"/>
  <c r="D13" i="5"/>
  <c r="D55" i="5" s="1"/>
  <c r="D56" i="5" s="1"/>
  <c r="D57" i="5" s="1"/>
  <c r="E13" i="5"/>
  <c r="E55" i="5" s="1"/>
  <c r="E56" i="5" s="1"/>
  <c r="E57" i="5" s="1"/>
  <c r="E34" i="6"/>
  <c r="F34" i="6" s="1"/>
  <c r="D34" i="6"/>
  <c r="F25" i="6"/>
  <c r="B34" i="6" s="1"/>
  <c r="B35" i="6" s="1"/>
  <c r="G48" i="5"/>
  <c r="G50" i="5" s="1"/>
  <c r="F48" i="5"/>
  <c r="F50" i="5" s="1"/>
  <c r="G5" i="5"/>
  <c r="G20" i="5" s="1"/>
  <c r="H7" i="6" s="1"/>
  <c r="B38" i="5" l="1"/>
  <c r="B22" i="5" s="1"/>
  <c r="B44" i="5" s="1"/>
  <c r="B46" i="5" s="1"/>
  <c r="B52" i="5" s="1"/>
  <c r="F34" i="1"/>
  <c r="E34" i="1"/>
  <c r="G8" i="5"/>
  <c r="G13" i="5" s="1"/>
  <c r="G55" i="5" s="1"/>
  <c r="G56" i="5" s="1"/>
  <c r="G57" i="5" s="1"/>
  <c r="I9" i="3"/>
  <c r="F9" i="3"/>
  <c r="G9" i="3" s="1"/>
  <c r="C14" i="5" s="1"/>
  <c r="C15" i="5" s="1"/>
  <c r="C16" i="5" s="1"/>
  <c r="C29" i="5" s="1"/>
  <c r="F55" i="5"/>
  <c r="F56" i="5" s="1"/>
  <c r="F57" i="5" s="1"/>
  <c r="I16" i="6"/>
  <c r="I17" i="6"/>
  <c r="I22" i="6"/>
  <c r="I20" i="6"/>
  <c r="I21" i="6"/>
  <c r="I23" i="6"/>
  <c r="I24" i="6"/>
  <c r="I15" i="6"/>
  <c r="I19" i="6"/>
  <c r="I18" i="6"/>
  <c r="G43" i="5"/>
  <c r="B27" i="5" l="1"/>
  <c r="H53" i="6" s="1"/>
  <c r="C17" i="5"/>
  <c r="C35" i="5" s="1"/>
  <c r="C36" i="5" s="1"/>
  <c r="H9" i="3"/>
  <c r="J9" i="3" s="1"/>
  <c r="I10" i="3" s="1"/>
  <c r="E35" i="6"/>
  <c r="F35" i="6" s="1"/>
  <c r="D35" i="6"/>
  <c r="C30" i="5"/>
  <c r="C45" i="5"/>
  <c r="B39" i="5" l="1"/>
  <c r="H52" i="6"/>
  <c r="F10" i="3"/>
  <c r="G10" i="3" s="1"/>
  <c r="D14" i="5" s="1"/>
  <c r="D15" i="5" s="1"/>
  <c r="D16" i="5" s="1"/>
  <c r="D29" i="5" s="1"/>
  <c r="D45" i="5" s="1"/>
  <c r="C31" i="5"/>
  <c r="C32" i="5" s="1"/>
  <c r="C38" i="5" s="1"/>
  <c r="C22" i="5" s="1"/>
  <c r="H10" i="3" l="1"/>
  <c r="J10" i="3" s="1"/>
  <c r="D31" i="5" s="1"/>
  <c r="D30" i="5"/>
  <c r="D17" i="5"/>
  <c r="D35" i="5" s="1"/>
  <c r="D36" i="5" s="1"/>
  <c r="C27" i="5"/>
  <c r="C39" i="5" s="1"/>
  <c r="C44" i="5"/>
  <c r="C46" i="5" l="1"/>
  <c r="C52" i="5" s="1"/>
  <c r="C58" i="5" s="1"/>
  <c r="C59" i="5" s="1"/>
  <c r="D8" i="6" s="1"/>
  <c r="I11" i="3"/>
  <c r="F11" i="3"/>
  <c r="G11" i="3" s="1"/>
  <c r="E14" i="5" s="1"/>
  <c r="E15" i="5" s="1"/>
  <c r="E16" i="5" s="1"/>
  <c r="E29" i="5" s="1"/>
  <c r="E30" i="5" s="1"/>
  <c r="D32" i="5"/>
  <c r="D38" i="5" s="1"/>
  <c r="D22" i="5" s="1"/>
  <c r="D27" i="5" s="1"/>
  <c r="D39" i="5" s="1"/>
  <c r="H11" i="3" l="1"/>
  <c r="J11" i="3" s="1"/>
  <c r="D44" i="5"/>
  <c r="E45" i="5"/>
  <c r="E17" i="5"/>
  <c r="E35" i="5" s="1"/>
  <c r="E36" i="5" s="1"/>
  <c r="I12" i="3" l="1"/>
  <c r="F12" i="3"/>
  <c r="G12" i="3" s="1"/>
  <c r="F14" i="5" s="1"/>
  <c r="F15" i="5" s="1"/>
  <c r="F16" i="5" s="1"/>
  <c r="F17" i="5" s="1"/>
  <c r="F35" i="5" s="1"/>
  <c r="F36" i="5" s="1"/>
  <c r="E31" i="5"/>
  <c r="E32" i="5" s="1"/>
  <c r="E38" i="5" s="1"/>
  <c r="E22" i="5" s="1"/>
  <c r="E27" i="5" s="1"/>
  <c r="E39" i="5" s="1"/>
  <c r="D46" i="5"/>
  <c r="D52" i="5" s="1"/>
  <c r="D58" i="5" s="1"/>
  <c r="D59" i="5" s="1"/>
  <c r="E8" i="6" s="1"/>
  <c r="F29" i="5" l="1"/>
  <c r="F45" i="5" s="1"/>
  <c r="H12" i="3"/>
  <c r="J12" i="3" s="1"/>
  <c r="F13" i="3" s="1"/>
  <c r="G13" i="3" s="1"/>
  <c r="G14" i="5" s="1"/>
  <c r="G15" i="5" s="1"/>
  <c r="G16" i="5" s="1"/>
  <c r="G17" i="5" s="1"/>
  <c r="E44" i="5"/>
  <c r="F30" i="5" l="1"/>
  <c r="G29" i="5"/>
  <c r="G45" i="5" s="1"/>
  <c r="I13" i="3"/>
  <c r="H13" i="3" s="1"/>
  <c r="J13" i="3" s="1"/>
  <c r="G31" i="5" s="1"/>
  <c r="F31" i="5"/>
  <c r="E46" i="5"/>
  <c r="E52" i="5" s="1"/>
  <c r="E58" i="5" s="1"/>
  <c r="E59" i="5" s="1"/>
  <c r="F8" i="6" s="1"/>
  <c r="G35" i="5"/>
  <c r="G36" i="5" s="1"/>
  <c r="G30" i="5" l="1"/>
  <c r="G32" i="5" s="1"/>
  <c r="G38" i="5" s="1"/>
  <c r="G22" i="5" s="1"/>
  <c r="F32" i="5"/>
  <c r="F38" i="5" s="1"/>
  <c r="F22" i="5" s="1"/>
  <c r="F44" i="5" s="1"/>
  <c r="F46" i="5" s="1"/>
  <c r="F52" i="5" s="1"/>
  <c r="F58" i="5" s="1"/>
  <c r="F59" i="5" s="1"/>
  <c r="G8" i="6" s="1"/>
  <c r="F27" i="5" l="1"/>
  <c r="F39" i="5" s="1"/>
  <c r="G27" i="5"/>
  <c r="G39" i="5" s="1"/>
  <c r="G44" i="5"/>
  <c r="G46" i="5" l="1"/>
  <c r="G52" i="5" s="1"/>
  <c r="G58" i="5" s="1"/>
  <c r="G59" i="5" s="1"/>
  <c r="H8" i="6" s="1"/>
  <c r="D11" i="6" s="1"/>
  <c r="C9" i="6" l="1"/>
  <c r="E9" i="6"/>
  <c r="D9" i="6"/>
  <c r="F9" i="6"/>
  <c r="G9" i="6"/>
  <c r="H9" i="6"/>
  <c r="D10" i="6"/>
  <c r="H1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Z1" authorId="0" shapeId="0" xr:uid="{00000000-0006-0000-0100-000001000000}">
      <text>
        <r>
          <rPr>
            <b/>
            <sz val="9"/>
            <color indexed="81"/>
            <rFont val="Tahoma"/>
            <family val="2"/>
          </rPr>
          <t>DARIO MAURICIO REYES GIRALDO:</t>
        </r>
        <r>
          <rPr>
            <sz val="9"/>
            <color indexed="81"/>
            <rFont val="Tahoma"/>
            <family val="2"/>
          </rPr>
          <t xml:space="preserve">
Defina el año base o de inicio de la operación del negocio.</t>
        </r>
      </text>
    </comment>
    <comment ref="B3" authorId="0" shapeId="0" xr:uid="{00000000-0006-0000-0100-000002000000}">
      <text>
        <r>
          <rPr>
            <b/>
            <sz val="9"/>
            <color indexed="81"/>
            <rFont val="Tahoma"/>
            <family val="2"/>
          </rPr>
          <t>DARIO MAURICIO REYES GIRALDO:</t>
        </r>
        <r>
          <rPr>
            <sz val="9"/>
            <color indexed="81"/>
            <rFont val="Tahoma"/>
            <family val="2"/>
          </rPr>
          <t xml:space="preserve">
Digita el nombre de cada línea de producto o servicio a vender</t>
        </r>
      </text>
    </comment>
    <comment ref="C3" authorId="0" shapeId="0" xr:uid="{00000000-0006-0000-0100-00000300000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D3" authorId="0" shapeId="0" xr:uid="{00000000-0006-0000-0100-000004000000}">
      <text>
        <r>
          <rPr>
            <b/>
            <sz val="9"/>
            <color indexed="81"/>
            <rFont val="Tahoma"/>
            <family val="2"/>
          </rPr>
          <t>DARIO MAURICIO REYES GIRALDO:</t>
        </r>
        <r>
          <rPr>
            <sz val="9"/>
            <color indexed="81"/>
            <rFont val="Tahoma"/>
            <family val="2"/>
          </rPr>
          <t xml:space="preserve">
Digita el precio UNITARIO, sin IVA, de cada pdto/servicio.</t>
        </r>
      </text>
    </comment>
    <comment ref="G3" authorId="0" shapeId="0" xr:uid="{00000000-0006-0000-0100-000005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3" authorId="0" shapeId="0" xr:uid="{C5CFCE14-833C-4B0B-B9D3-C2E98329F2A5}">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3" authorId="0" shapeId="0" xr:uid="{0633F3CF-9077-4AD1-BE02-B8620EF0F47E}">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3" authorId="0" shapeId="0" xr:uid="{CCC25F7D-75AE-4A8D-8A71-4E3D7DA5AE1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B4" authorId="0" shapeId="0" xr:uid="{083F3ACF-F901-4698-B5E6-123377B36D04}">
      <text>
        <r>
          <rPr>
            <b/>
            <sz val="9"/>
            <color indexed="81"/>
            <rFont val="Tahoma"/>
            <family val="2"/>
          </rPr>
          <t>DARIO MAURICIO REYES GIRALDO:</t>
        </r>
        <r>
          <rPr>
            <sz val="9"/>
            <color indexed="81"/>
            <rFont val="Tahoma"/>
            <family val="2"/>
          </rPr>
          <t xml:space="preserve">
Digita el nombre de cada línea de producto o servicio a vender</t>
        </r>
      </text>
    </comment>
    <comment ref="G4" authorId="0" shapeId="0" xr:uid="{38FBB95D-4B0C-4CDD-BEA7-0979169B0ADE}">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4" authorId="0" shapeId="0" xr:uid="{DCD1B9B8-2E91-4F91-93FD-A8A5D44BBBB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4" authorId="0" shapeId="0" xr:uid="{4B655040-A38C-4CE7-9438-3F7A609FC8D7}">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4" authorId="0" shapeId="0" xr:uid="{0AD3593C-6ED6-46BD-84E6-1506C111EB1A}">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4" authorId="0" shapeId="0" xr:uid="{00000000-0006-0000-0100-00000D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B5" authorId="0" shapeId="0" xr:uid="{EE16DA53-9686-42C0-BE1F-E7E931ED9704}">
      <text>
        <r>
          <rPr>
            <b/>
            <sz val="9"/>
            <color indexed="81"/>
            <rFont val="Tahoma"/>
            <family val="2"/>
          </rPr>
          <t>DARIO MAURICIO REYES GIRALDO:</t>
        </r>
        <r>
          <rPr>
            <sz val="9"/>
            <color indexed="81"/>
            <rFont val="Tahoma"/>
            <family val="2"/>
          </rPr>
          <t xml:space="preserve">
Digita el nombre de cada línea de producto o servicio a vender</t>
        </r>
      </text>
    </comment>
    <comment ref="G5" authorId="0" shapeId="0" xr:uid="{8304E820-F2AC-4866-BF02-109134E74B5D}">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5" authorId="0" shapeId="0" xr:uid="{0A5221F9-A1A5-4408-BA49-AEB0C7D3C173}">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5" authorId="0" shapeId="0" xr:uid="{215205E8-FD27-4A59-90EC-E00D328D898C}">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5" authorId="0" shapeId="0" xr:uid="{9069AF93-D080-4A85-A552-016F0F2D1F1B}">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5" authorId="0" shapeId="0" xr:uid="{00000000-0006-0000-0100-000012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B6" authorId="0" shapeId="0" xr:uid="{8AD1C055-E0AA-43C7-9D6C-EE61FCFD53F0}">
      <text>
        <r>
          <rPr>
            <b/>
            <sz val="9"/>
            <color indexed="81"/>
            <rFont val="Tahoma"/>
            <family val="2"/>
          </rPr>
          <t>DARIO MAURICIO REYES GIRALDO:</t>
        </r>
        <r>
          <rPr>
            <sz val="9"/>
            <color indexed="81"/>
            <rFont val="Tahoma"/>
            <family val="2"/>
          </rPr>
          <t xml:space="preserve">
Digita el nombre de cada línea de producto o servicio a vender</t>
        </r>
      </text>
    </comment>
    <comment ref="G6" authorId="0" shapeId="0" xr:uid="{390C2AFD-DFCA-43EB-A41E-58746F5E239E}">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6" authorId="0" shapeId="0" xr:uid="{8DB39A17-078D-4468-977A-97439AC88D01}">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6" authorId="0" shapeId="0" xr:uid="{007A8E8D-7E71-4D6A-AB1C-C8A0FC90D109}">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6" authorId="0" shapeId="0" xr:uid="{0FF5208B-A2E1-4542-B5E5-8B2D602A8155}">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B7" authorId="0" shapeId="0" xr:uid="{64E8BF6E-FED9-435C-B6F9-6619DB5202DD}">
      <text>
        <r>
          <rPr>
            <b/>
            <sz val="9"/>
            <color indexed="81"/>
            <rFont val="Tahoma"/>
            <family val="2"/>
          </rPr>
          <t>DARIO MAURICIO REYES GIRALDO:</t>
        </r>
        <r>
          <rPr>
            <sz val="9"/>
            <color indexed="81"/>
            <rFont val="Tahoma"/>
            <family val="2"/>
          </rPr>
          <t xml:space="preserve">
Digita el nombre de cada línea de producto o servicio a vender</t>
        </r>
      </text>
    </comment>
    <comment ref="G7" authorId="0" shapeId="0" xr:uid="{88079D61-9997-45B3-8BF5-0DC87C2D10B6}">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7" authorId="0" shapeId="0" xr:uid="{CA97C43C-FA77-4520-8330-962C77EECD82}">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7" authorId="0" shapeId="0" xr:uid="{16D183DE-5702-44EA-AD13-F259030C983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7" authorId="0" shapeId="0" xr:uid="{CDB92E06-E10A-4208-845C-A5EA1D9227BD}">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AB7" authorId="0" shapeId="0" xr:uid="{00000000-0006-0000-0100-00001B000000}">
      <text>
        <r>
          <rPr>
            <b/>
            <sz val="9"/>
            <color indexed="81"/>
            <rFont val="Tahoma"/>
            <family val="2"/>
          </rPr>
          <t>DARIO MAURICIO REYES GIRALDO:</t>
        </r>
        <r>
          <rPr>
            <sz val="9"/>
            <color indexed="81"/>
            <rFont val="Tahoma"/>
            <family val="2"/>
          </rPr>
          <t xml:space="preserve">
incluya la tasa de impuesto de Renta vigente.</t>
        </r>
      </text>
    </comment>
    <comment ref="G8" authorId="0" shapeId="0" xr:uid="{E0F9B56C-1398-4A76-9917-A78C1479E208}">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8" authorId="0" shapeId="0" xr:uid="{05E5996D-AC6A-4F7C-9B19-18E6528925E4}">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8" authorId="0" shapeId="0" xr:uid="{0D9DE658-AA4E-4CDD-A322-30192EFFBA06}">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8" authorId="0" shapeId="0" xr:uid="{C815BEBB-A476-46B5-8C20-592F625520C6}">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G9" authorId="0" shapeId="0" xr:uid="{92178D56-40A7-4DA1-ABC4-43EBF92360D9}">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9" authorId="0" shapeId="0" xr:uid="{69F8CF77-D28F-4B9C-821F-EDD3381A39C7}">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9" authorId="0" shapeId="0" xr:uid="{9A4D2810-A5AF-4720-AA5E-038271DEA104}">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9" authorId="0" shapeId="0" xr:uid="{E3448640-9A55-4EA5-A0B2-9AD6F8098C79}">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G10" authorId="0" shapeId="0" xr:uid="{0C7BADC5-DEA3-42F3-B643-BFD30FE25CD5}">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10" authorId="0" shapeId="0" xr:uid="{7BA6CB45-35A9-4D93-9C58-1DE3D14F9CDF}">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10" authorId="0" shapeId="0" xr:uid="{34235077-5DD0-48AF-BD14-D5B21F90D00F}">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10" authorId="0" shapeId="0" xr:uid="{E2109B6F-8371-452F-9C80-5A38F9D648AA}">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G11" authorId="0" shapeId="0" xr:uid="{E3DD779A-AF3B-4953-AC59-88E224D4C478}">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11" authorId="0" shapeId="0" xr:uid="{6272F1C6-FCE8-4A96-8AC9-BB3F366DFA52}">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11" authorId="0" shapeId="0" xr:uid="{022F9CF6-7634-4CAF-AD0A-B0C527C08FC3}">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11" authorId="0" shapeId="0" xr:uid="{F0162B6A-82DB-4F5B-8F68-A39CE547FAE7}">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G12" authorId="0" shapeId="0" xr:uid="{4CF17E67-C0D6-40E4-986E-6ED2C99771D5}">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12" authorId="0" shapeId="0" xr:uid="{5414E618-C41C-4F25-BDB6-55906F849F2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12" authorId="0" shapeId="0" xr:uid="{5AACEF72-B23D-4DBB-9F0C-915CA5620B15}">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12" authorId="0" shapeId="0" xr:uid="{1EEDCD5C-F885-4B40-9551-66C94ECC9D2B}">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D17" authorId="0" shapeId="0" xr:uid="{00000000-0006-0000-0100-000030000000}">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 ref="D18" authorId="0" shapeId="0" xr:uid="{F01B15CD-D122-45E7-A058-C4E69A6B8156}">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 ref="D19" authorId="0" shapeId="0" xr:uid="{41569BC8-E764-497F-8389-719E3BB551D2}">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 ref="D20" authorId="0" shapeId="0" xr:uid="{6C77AC1F-C6A7-441E-B2BC-1EC19DC7E922}">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 ref="D21" authorId="0" shapeId="0" xr:uid="{971EDFF2-4142-45D8-8373-D7671F30F0A2}">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C4" authorId="0" shapeId="0" xr:uid="{00000000-0006-0000-0200-000001000000}">
      <text>
        <r>
          <rPr>
            <b/>
            <sz val="9"/>
            <color indexed="81"/>
            <rFont val="Tahoma"/>
            <family val="2"/>
          </rPr>
          <t>DARIO MAURICIO REYES GIRALDO:</t>
        </r>
        <r>
          <rPr>
            <sz val="9"/>
            <color indexed="81"/>
            <rFont val="Tahoma"/>
            <family val="2"/>
          </rPr>
          <t xml:space="preserve">
Todos los valores deben se anuales.</t>
        </r>
      </text>
    </comment>
    <comment ref="C18" authorId="0" shapeId="0" xr:uid="{00000000-0006-0000-0200-000002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200-000003000000}">
      <text>
        <r>
          <rPr>
            <b/>
            <sz val="9"/>
            <color indexed="81"/>
            <rFont val="Tahoma"/>
            <family val="2"/>
          </rPr>
          <t>DARIO MAURICIO REYES GIRALDO:</t>
        </r>
        <r>
          <rPr>
            <sz val="9"/>
            <color indexed="81"/>
            <rFont val="Tahoma"/>
            <family val="2"/>
          </rPr>
          <t xml:space="preserve">
Todos los valores deben se anuales.</t>
        </r>
      </text>
    </comment>
    <comment ref="C20" authorId="0" shapeId="0" xr:uid="{00000000-0006-0000-0200-000004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xr:uid="{00000000-0006-0000-0200-000005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200-000006000000}">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5" authorId="0" shapeId="0" xr:uid="{00000000-0006-0000-0200-000007000000}">
      <text>
        <r>
          <rPr>
            <b/>
            <sz val="9"/>
            <color indexed="81"/>
            <rFont val="Tahoma"/>
            <family val="2"/>
          </rPr>
          <t>DARIO MAURICIO REYES GIRALDO:</t>
        </r>
        <r>
          <rPr>
            <sz val="9"/>
            <color indexed="81"/>
            <rFont val="Tahoma"/>
            <family val="2"/>
          </rPr>
          <t xml:space="preserve">
Digite el nombre de los rubros adicionales.</t>
        </r>
      </text>
    </comment>
    <comment ref="E26" authorId="0" shapeId="0" xr:uid="{00000000-0006-0000-0200-000008000000}">
      <text>
        <r>
          <rPr>
            <b/>
            <sz val="9"/>
            <color indexed="81"/>
            <rFont val="Tahoma"/>
            <family val="2"/>
          </rPr>
          <t>DARIO MAURICIO REYES GIRALDO:</t>
        </r>
        <r>
          <rPr>
            <sz val="9"/>
            <color indexed="81"/>
            <rFont val="Tahoma"/>
            <family val="2"/>
          </rPr>
          <t xml:space="preserve">
Digite el nombre de los rubros adicionales.</t>
        </r>
      </text>
    </comment>
    <comment ref="E27" authorId="0" shapeId="0" xr:uid="{00000000-0006-0000-0200-000009000000}">
      <text>
        <r>
          <rPr>
            <b/>
            <sz val="9"/>
            <color indexed="81"/>
            <rFont val="Tahoma"/>
            <family val="2"/>
          </rPr>
          <t>DARIO MAURICIO REYES GIRALDO:</t>
        </r>
        <r>
          <rPr>
            <sz val="9"/>
            <color indexed="81"/>
            <rFont val="Tahoma"/>
            <family val="2"/>
          </rPr>
          <t xml:space="preserve">
Digite el nombre de los rubros adicionales.</t>
        </r>
      </text>
    </comment>
    <comment ref="E28" authorId="0" shapeId="0" xr:uid="{00000000-0006-0000-0200-00000A000000}">
      <text>
        <r>
          <rPr>
            <b/>
            <sz val="9"/>
            <color indexed="81"/>
            <rFont val="Tahoma"/>
            <family val="2"/>
          </rPr>
          <t>DARIO MAURICIO REYES GIRALDO:</t>
        </r>
        <r>
          <rPr>
            <sz val="9"/>
            <color indexed="81"/>
            <rFont val="Tahoma"/>
            <family val="2"/>
          </rPr>
          <t xml:space="preserve">
Digite el nombre de los rubros adicionales.</t>
        </r>
      </text>
    </comment>
    <comment ref="E29" authorId="0" shapeId="0" xr:uid="{00000000-0006-0000-0200-00000B000000}">
      <text>
        <r>
          <rPr>
            <b/>
            <sz val="9"/>
            <color indexed="81"/>
            <rFont val="Tahoma"/>
            <family val="2"/>
          </rPr>
          <t>DARIO MAURICIO REYES GIRALDO:</t>
        </r>
        <r>
          <rPr>
            <sz val="9"/>
            <color indexed="81"/>
            <rFont val="Tahoma"/>
            <family val="2"/>
          </rPr>
          <t xml:space="preserve">
Digite el nombre de los rubros adicionales.</t>
        </r>
      </text>
    </comment>
    <comment ref="E30" authorId="0" shapeId="0" xr:uid="{00000000-0006-0000-0200-00000C000000}">
      <text>
        <r>
          <rPr>
            <b/>
            <sz val="9"/>
            <color indexed="81"/>
            <rFont val="Tahoma"/>
            <family val="2"/>
          </rPr>
          <t>DARIO MAURICIO REYES GIRALDO:</t>
        </r>
        <r>
          <rPr>
            <sz val="9"/>
            <color indexed="81"/>
            <rFont val="Tahoma"/>
            <family val="2"/>
          </rPr>
          <t xml:space="preserve">
Digite el nombre de los rubros adicionales.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F4" authorId="0" shapeId="0" xr:uid="{00000000-0006-0000-0300-000001000000}">
      <text>
        <r>
          <rPr>
            <b/>
            <sz val="9"/>
            <color indexed="81"/>
            <rFont val="Tahoma"/>
            <family val="2"/>
          </rPr>
          <t>DARIO MAURICIO REYES GIRALDO:</t>
        </r>
        <r>
          <rPr>
            <sz val="9"/>
            <color indexed="81"/>
            <rFont val="Tahoma"/>
            <family val="2"/>
          </rPr>
          <t xml:space="preserve">
Digite la tasa de interés anual a la que un banco les podría prestar esete dinero.</t>
        </r>
      </text>
    </comment>
    <comment ref="J4" authorId="0" shapeId="0" xr:uid="{00000000-0006-0000-0300-000002000000}">
      <text>
        <r>
          <rPr>
            <b/>
            <sz val="9"/>
            <color indexed="81"/>
            <rFont val="Tahoma"/>
            <family val="2"/>
          </rPr>
          <t>DARIO MAURICIO REYES GIRALDO:</t>
        </r>
        <r>
          <rPr>
            <sz val="9"/>
            <color indexed="81"/>
            <rFont val="Tahoma"/>
            <family val="2"/>
          </rPr>
          <t xml:space="preserve">
Escoja un valor entre 1 y 5.</t>
        </r>
      </text>
    </comment>
    <comment ref="C7" authorId="0" shapeId="0" xr:uid="{00000000-0006-0000-0300-00000300000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xr:uid="{00000000-0006-0000-0300-000004000000}">
      <text>
        <r>
          <rPr>
            <b/>
            <sz val="9"/>
            <color indexed="81"/>
            <rFont val="Tahoma"/>
            <family val="2"/>
          </rPr>
          <t>DARIO MAURICIO REYES GIRALDO:</t>
        </r>
        <r>
          <rPr>
            <sz val="9"/>
            <color indexed="81"/>
            <rFont val="Tahoma"/>
            <family val="2"/>
          </rPr>
          <t xml:space="preserve">
Digitar el valor del aporte realizado por los emprendedores.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E3" authorId="0" shapeId="0" xr:uid="{00000000-0006-0000-0500-000001000000}">
      <text>
        <r>
          <rPr>
            <b/>
            <sz val="9"/>
            <color indexed="81"/>
            <rFont val="Tahoma"/>
            <family val="2"/>
          </rPr>
          <t>DARIO MAURICIO REYES GIRALDO:</t>
        </r>
        <r>
          <rPr>
            <sz val="9"/>
            <color indexed="81"/>
            <rFont val="Tahoma"/>
            <family val="2"/>
          </rPr>
          <t xml:space="preserve">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1" authorId="0" shapeId="0" xr:uid="{00000000-0006-0000-0500-000002000000}">
      <text>
        <r>
          <rPr>
            <b/>
            <sz val="9"/>
            <color indexed="81"/>
            <rFont val="Tahoma"/>
            <family val="2"/>
          </rPr>
          <t>DARIO MAURICIO REYES GIRALDO:</t>
        </r>
        <r>
          <rPr>
            <sz val="9"/>
            <color indexed="81"/>
            <rFont val="Tahoma"/>
            <family val="2"/>
          </rPr>
          <t xml:space="preserve">
Si el resultado es negativo, no es valido!</t>
        </r>
      </text>
    </comment>
  </commentList>
</comments>
</file>

<file path=xl/sharedStrings.xml><?xml version="1.0" encoding="utf-8"?>
<sst xmlns="http://schemas.openxmlformats.org/spreadsheetml/2006/main" count="752" uniqueCount="399">
  <si>
    <t>TUTORIAL</t>
  </si>
  <si>
    <t>INGRESOS/VENTAS DEL PRIMER AÑO</t>
  </si>
  <si>
    <t>CRECIMIENTO PORCENTUAL  EN VTAS (CANTIDADES)</t>
  </si>
  <si>
    <t>INCREMENTO EN PRECIO</t>
  </si>
  <si>
    <t>AÑO BASE</t>
  </si>
  <si>
    <t>NOMBRE DEL PRODUCTO O SERVICIO</t>
  </si>
  <si>
    <t>CANTIDADES</t>
  </si>
  <si>
    <t>PRECIO DE VENTA UNITARIO SIN IVA</t>
  </si>
  <si>
    <t>INGRESOS TOTALES</t>
  </si>
  <si>
    <t>AÑO:</t>
  </si>
  <si>
    <t>AÑO 2</t>
  </si>
  <si>
    <t>AÑO 3</t>
  </si>
  <si>
    <t>AÑO 4</t>
  </si>
  <si>
    <t>AÑO 5</t>
  </si>
  <si>
    <t>año 2</t>
  </si>
  <si>
    <t>año 3</t>
  </si>
  <si>
    <t>año 4</t>
  </si>
  <si>
    <t>año 5</t>
  </si>
  <si>
    <t>Correos en paquete entre 0 y 1000</t>
  </si>
  <si>
    <t>AÑO</t>
  </si>
  <si>
    <t>Correos en paquete entre 1001 y 5000</t>
  </si>
  <si>
    <t>INFLACIÓN</t>
  </si>
  <si>
    <t>Correos en paquete entre 5001  y 50000</t>
  </si>
  <si>
    <t>IPP</t>
  </si>
  <si>
    <t>Correos en paquete entre 50001  y 200000</t>
  </si>
  <si>
    <t>Mayor a 200001</t>
  </si>
  <si>
    <t>TASA IMPTO RENTA</t>
  </si>
  <si>
    <t>Cantidad de verificación de Identidad persona Natural</t>
  </si>
  <si>
    <t xml:space="preserve">Cantidad horas consultor de procesos </t>
  </si>
  <si>
    <t>Cantidad horas diseñador gráfico</t>
  </si>
  <si>
    <t>Cantidad horas analista de datos</t>
  </si>
  <si>
    <t>TOTAL</t>
  </si>
  <si>
    <t>COSTOS DE CADA PRODUCTO O SERVICIO</t>
  </si>
  <si>
    <t>NOMBRE DEL PRODUCTO SERVICIO</t>
  </si>
  <si>
    <r>
      <t xml:space="preserve">COSTO UNITARIO DEL PDTO O </t>
    </r>
    <r>
      <rPr>
        <b/>
        <u/>
        <sz val="8"/>
        <color theme="1"/>
        <rFont val="Antique Olive"/>
      </rPr>
      <t>SERVICIO</t>
    </r>
  </si>
  <si>
    <t>COSTOS TOTALES</t>
  </si>
  <si>
    <t>PROYECCIONES</t>
  </si>
  <si>
    <t>VENTAS ANUALES</t>
  </si>
  <si>
    <t>COSTOS ANUALES</t>
  </si>
  <si>
    <t>MARGEN OPERATIVO</t>
  </si>
  <si>
    <t>DEFINA LA INVERISIÓN INICIAL QUE REALIZARÁN PARA LA PUESTA EN MARCHA DEL NEGOCIO:</t>
  </si>
  <si>
    <t>INVERSIÓN INICIAL</t>
  </si>
  <si>
    <t>DEP</t>
  </si>
  <si>
    <t>TERRENOS</t>
  </si>
  <si>
    <t>PROPIEDAD PLANTA Y EQUIPO</t>
  </si>
  <si>
    <t>MUEBLES Y ENSERES</t>
  </si>
  <si>
    <t>EQUIPO DE OFICINA</t>
  </si>
  <si>
    <t>EQUIPO DE TRANSPORTE</t>
  </si>
  <si>
    <t>FRANQUICIAS</t>
  </si>
  <si>
    <t>PATENTES /INV en INTANGIBLES</t>
  </si>
  <si>
    <t>GASTOS DE PUESTA EN MARCHA</t>
  </si>
  <si>
    <t>TOTAL INVERSIONES</t>
  </si>
  <si>
    <t>INCLUYA EN CADA CATEGORÍA LOS COSTOS Y GASTOS FIJOS DEL PRIMER AÑO, EN LOS QUE DEBERÁN INCURRRIR PARA LA OPERACIÓN DEL NEGOCIO</t>
  </si>
  <si>
    <t>NÓMINAS:</t>
  </si>
  <si>
    <t>GASTOS FIJOS:</t>
  </si>
  <si>
    <t>VALOR AÑO 1</t>
  </si>
  <si>
    <t>ADMINISTRATIVA:</t>
  </si>
  <si>
    <t>ARRIENDO:</t>
  </si>
  <si>
    <t>SERVICIOS PÚBLICOS:</t>
  </si>
  <si>
    <t>VENTAS:</t>
  </si>
  <si>
    <t>TELEFONÍA CELULAR:</t>
  </si>
  <si>
    <t>INTERNET:</t>
  </si>
  <si>
    <t>PRODUCCIÓN/SERVICIO:</t>
  </si>
  <si>
    <t>PAPELERÍA:</t>
  </si>
  <si>
    <t>TOTAL NÓMINAS</t>
  </si>
  <si>
    <t>SERVICIOS DE SEGURIDAD:</t>
  </si>
  <si>
    <t>SERVICIOS DE ASEO:</t>
  </si>
  <si>
    <t>PRESUPUESTO DEL MARKETING MIX año de INICIO.</t>
  </si>
  <si>
    <t>DISEÑADOR FREELANCE / DESARROLLADORES Y AJUSTES SOBRE MVP / ADMON MVP Y PUESTA EN MARCHA</t>
  </si>
  <si>
    <t>PROGRAMA DE SOSTENIBILIDAD</t>
  </si>
  <si>
    <t>GASTO PUBLICITARIO AÑOS SIGUIENTES</t>
  </si>
  <si>
    <t>PAQUETE DOCUMSIGN - FIRMAS</t>
  </si>
  <si>
    <t>DOMINIO</t>
  </si>
  <si>
    <t>CONTABILIDAD - REVISORIA FISCAL Y MANEJO DE NOMINA OUTSOURCING  - PENTESTING - CONSULTORIAS</t>
  </si>
  <si>
    <t>TOTAL GASTOS FIJOS</t>
  </si>
  <si>
    <t>INVERSIÓN TOTAL Y NECESIDADES DE FINANCIACIÓN</t>
  </si>
  <si>
    <t>TASA DE INT ANUAL CRÉDITO</t>
  </si>
  <si>
    <t>AÑOS DE CRÉDITO</t>
  </si>
  <si>
    <t>CALCULO DEL CAPITAL DE TRABAJO INICIAL</t>
  </si>
  <si>
    <t xml:space="preserve">CALCULO DEL PRÉSTAMO </t>
  </si>
  <si>
    <t>MESES</t>
  </si>
  <si>
    <t>VALOR</t>
  </si>
  <si>
    <t>inicial</t>
  </si>
  <si>
    <t>interés</t>
  </si>
  <si>
    <t>amort</t>
  </si>
  <si>
    <t>cuota</t>
  </si>
  <si>
    <t>final</t>
  </si>
  <si>
    <t>COSTOS OPERATIVOS</t>
  </si>
  <si>
    <t>AÑO 0</t>
  </si>
  <si>
    <t>NÓMINAS</t>
  </si>
  <si>
    <t>MARKETING MIX</t>
  </si>
  <si>
    <t>GASTOS FIJOS</t>
  </si>
  <si>
    <t>TOTAL INVERSIÓN</t>
  </si>
  <si>
    <t>APORTE DE LOS EMPRENDEDORES</t>
  </si>
  <si>
    <t>PRÉSTAMO A SOLICITAR</t>
  </si>
  <si>
    <t>ESTADOS FINANCIEROS BÁSICOS PROYECTADOS</t>
  </si>
  <si>
    <t>Todos los datos de los Estados financieros se generan de forma automática.</t>
  </si>
  <si>
    <t>ESTADO DE RESULTADOS</t>
  </si>
  <si>
    <t>VENTAS</t>
  </si>
  <si>
    <t>COSTO VENTAS</t>
  </si>
  <si>
    <t>UTILIDAD BRUTA</t>
  </si>
  <si>
    <t>GASTOS ADTIVOS Y VTAS</t>
  </si>
  <si>
    <t>GASTOS FIJOS DEL PERIODO</t>
  </si>
  <si>
    <t>OTROS GASTOS</t>
  </si>
  <si>
    <t>DEPRECIACIÓN</t>
  </si>
  <si>
    <t>UTILIDAD OPERATIVA</t>
  </si>
  <si>
    <t>GASTOS FINACIEROS</t>
  </si>
  <si>
    <t>UTILIDAD ANTES DE IMPTOS</t>
  </si>
  <si>
    <t>IMPUESTOS</t>
  </si>
  <si>
    <t>UTILIDAD NETA</t>
  </si>
  <si>
    <t>BALANCE</t>
  </si>
  <si>
    <t xml:space="preserve">ACTIVO </t>
  </si>
  <si>
    <t>CAJA/BANCOS</t>
  </si>
  <si>
    <t>FIJO NO DEPRECIABLE</t>
  </si>
  <si>
    <t>FIJO DEPRECIABLE</t>
  </si>
  <si>
    <t>DEPRECIACIÓN ACUMULADA</t>
  </si>
  <si>
    <t>ACTIVO FIJO NETO</t>
  </si>
  <si>
    <t>TOTAL ACTIVO</t>
  </si>
  <si>
    <t>PASIVO</t>
  </si>
  <si>
    <t>Impuestos X Pagar</t>
  </si>
  <si>
    <t>TOTAL PASIVO CORRIENTE</t>
  </si>
  <si>
    <t>Obligaciones Financieras</t>
  </si>
  <si>
    <t>PATRIMONIO</t>
  </si>
  <si>
    <t>Capital Social</t>
  </si>
  <si>
    <t>Utilidades del Ejercicio</t>
  </si>
  <si>
    <t>TOTAL PATRIMONIO</t>
  </si>
  <si>
    <t>TOTAL PAS + PAT</t>
  </si>
  <si>
    <t>CUADRE (ACT = PAS+PAT)</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</si>
  <si>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</si>
  <si>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</si>
  <si>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</si>
  <si>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</si>
  <si>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</si>
  <si>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</si>
  <si>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</si>
  <si>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</si>
  <si>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</si>
  <si>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</si>
  <si>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</si>
  <si>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</si>
  <si>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</si>
  <si>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</si>
  <si>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</si>
  <si>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EVALUACIÓN FINANCIERA Y PUNTO DE EQULIBRIO</t>
  </si>
  <si>
    <t>TASA DE EVALUACIÓN DEL PROYECTO</t>
  </si>
  <si>
    <t>FLUJO DE CAJA DE PROYECTO</t>
  </si>
  <si>
    <t>INVERSIÓN AÑO 0</t>
  </si>
  <si>
    <t>VALOR PRESENTE NETO DEL PROYECTO =</t>
  </si>
  <si>
    <t>TASA INTERNA DE RETORNO =</t>
  </si>
  <si>
    <t>PERIODO DE RECUPERACIÓN:</t>
  </si>
  <si>
    <t>AÑOS</t>
  </si>
  <si>
    <t>PUNTO DE EQULIBRIO</t>
  </si>
  <si>
    <t>MARGEN DE CONTRIBUCIÓN UNITARIO</t>
  </si>
  <si>
    <t>PARTICIPACIÓN % EN VENTAS TOTALES</t>
  </si>
  <si>
    <t>MARGEN DE CONTRIBUCIÓN PONDERADO</t>
  </si>
  <si>
    <t>PTO EQUILIBRIO POR REFERENCIA DE PDTO O SERVICIO</t>
  </si>
  <si>
    <t>COSTO</t>
  </si>
  <si>
    <t>UNIDADES</t>
  </si>
  <si>
    <t>TOTAL MARGEN DE CONTRIBUCIÓN PROMEDIO PONDERADO  =</t>
  </si>
  <si>
    <t>PUNTO DE EQULIBRIO = COSTOS Y GTOS FIJO/MCPP    =</t>
  </si>
  <si>
    <t>PUNTO DE EQULIBRIO EN PESOS (VALOR VENTAS MÍNIMAS EN TOTAL SIN IVA)</t>
  </si>
  <si>
    <t>COSTOS FIJO</t>
  </si>
  <si>
    <t>INGRESOS</t>
  </si>
  <si>
    <t>COSTO VAR</t>
  </si>
  <si>
    <t>COSTO TOTAL</t>
  </si>
  <si>
    <t xml:space="preserve">PRECIOS </t>
  </si>
  <si>
    <t>TOTAL VENTAS</t>
  </si>
  <si>
    <t>PASIVO /ACTIVOS</t>
  </si>
  <si>
    <t>PATRIMONIO/ACTIVOS</t>
  </si>
  <si>
    <t>IMPTO</t>
  </si>
  <si>
    <t>COSTO DEUDA</t>
  </si>
  <si>
    <t>TASA M R EMPRENDEDORES</t>
  </si>
  <si>
    <t>MVP - PUESTA EN MARCHA</t>
  </si>
  <si>
    <t>Profesional</t>
  </si>
  <si>
    <t>Salario Promedio Mensual</t>
  </si>
  <si>
    <t>Valor  Calculadora de Ministerio con prestaciones</t>
  </si>
  <si>
    <t>Cantidad Personas</t>
  </si>
  <si>
    <t>Total Mensual</t>
  </si>
  <si>
    <t>Meses 1er Año</t>
  </si>
  <si>
    <t>Valor Año Operación</t>
  </si>
  <si>
    <t>Consideraciones</t>
  </si>
  <si>
    <t>Tipo Recurso</t>
  </si>
  <si>
    <t xml:space="preserve">Gerente de Innovación e Implementación </t>
  </si>
  <si>
    <t>6 Meses</t>
  </si>
  <si>
    <t>Responsable de diseño e implementación general</t>
  </si>
  <si>
    <t>Producto</t>
  </si>
  <si>
    <t>Director de TI y Desarrollo</t>
  </si>
  <si>
    <t xml:space="preserve">Responsable de ejecución de acuerdo a la norma </t>
  </si>
  <si>
    <t>Arquitecto de Infraestructura</t>
  </si>
  <si>
    <t>Diseña y gestiona la infraestructura tecnológica.</t>
  </si>
  <si>
    <t>Administrador de Sistemas</t>
  </si>
  <si>
    <t>Administra sistemas operativos y servidores.</t>
  </si>
  <si>
    <t>Arquitecto de Redes</t>
  </si>
  <si>
    <t>Diseña, implementa y mantiene redes de comunicación.</t>
  </si>
  <si>
    <t>Arquitecto de Almacenamiento</t>
  </si>
  <si>
    <t>Gestiona almacenamiento de datos y sistemas de respaldo.</t>
  </si>
  <si>
    <t>Arquitecto de Virtualización</t>
  </si>
  <si>
    <t>Implementa y administra entornos virtuales.</t>
  </si>
  <si>
    <t>Arquitecto de Aplicaciones / Soluciones</t>
  </si>
  <si>
    <t>Diseña la arquitectura de aplicaciones empresariales.</t>
  </si>
  <si>
    <t>Líder Técnico</t>
  </si>
  <si>
    <t>Supervisa y guía a equipos técnicos.</t>
  </si>
  <si>
    <t>Tester QA</t>
  </si>
  <si>
    <t>Realiza pruebas de calidad en aplicaciones y sistemas.</t>
  </si>
  <si>
    <t>Líder QA</t>
  </si>
  <si>
    <t>Director Arquitectura Empresarial</t>
  </si>
  <si>
    <t>Diseña la estructura empresarial y tecnológica.</t>
  </si>
  <si>
    <t>Gerente de Proyecto</t>
  </si>
  <si>
    <t>Responsable de liderar proyectos y equipos.</t>
  </si>
  <si>
    <t>Diseñador de Procesos</t>
  </si>
  <si>
    <t>Diseña y optimiza procesos empresariales.</t>
  </si>
  <si>
    <t>Analista de Negocios</t>
  </si>
  <si>
    <t>Requiere habilidades de análisis y comunicación.</t>
  </si>
  <si>
    <t>Cliente</t>
  </si>
  <si>
    <t>Enfoque en satisfacción del cliente.</t>
  </si>
  <si>
    <t>Arquitecto Empresarial</t>
  </si>
  <si>
    <t>Administrador de Bases de Datos</t>
  </si>
  <si>
    <t>Gestiona bases de datos y su rendimiento.</t>
  </si>
  <si>
    <t>Analista de Datos</t>
  </si>
  <si>
    <t>Diseña esquemas y modelos de datos.
Analiza y visualiza datos para tomar decisiones.
- Programa y mantiene bases de datos.</t>
  </si>
  <si>
    <t>Administrador de Seguridad</t>
  </si>
  <si>
    <t>Protege sistemas y datos contra amenazas.</t>
  </si>
  <si>
    <t>Responsable de Cumplimiento Normativo</t>
  </si>
  <si>
    <t>Asegura el cumplimiento de regulaciones y políticas.                                                                                                                                                                                                                                                              Evalúa riesgos y establece medidas de seguridad.
Realiza auditorías de seguridad informática.</t>
  </si>
  <si>
    <t>Desarrollador de Software</t>
  </si>
  <si>
    <t>Crea aplicaciones y soluciones de software.</t>
  </si>
  <si>
    <t>Gerente de Producto</t>
  </si>
  <si>
    <t>Lidera el desarrollo y lanzamiento de productos.</t>
  </si>
  <si>
    <t>Vicepresidente Financiero</t>
  </si>
  <si>
    <t>3 Meses</t>
  </si>
  <si>
    <t>Lidera operación contable y financiera</t>
  </si>
  <si>
    <t>Administrativa</t>
  </si>
  <si>
    <t>Contador</t>
  </si>
  <si>
    <t>Paga impuestos y ejecuta la contabilidad y revisión de balance</t>
  </si>
  <si>
    <t>Vicepresidente TI y proyectos</t>
  </si>
  <si>
    <t xml:space="preserve">Gestiona los recursos de los proyectos </t>
  </si>
  <si>
    <t>Gerente TI</t>
  </si>
  <si>
    <t xml:space="preserve">Gestión de tecnología y alineación con la estrategía </t>
  </si>
  <si>
    <t>Director Infraestructura</t>
  </si>
  <si>
    <t>Profesional FinOps</t>
  </si>
  <si>
    <t>Gestiona y mitiga costos en Nube</t>
  </si>
  <si>
    <t>Director Desarrollo</t>
  </si>
  <si>
    <t>Gestiona los recursos de desarrollo</t>
  </si>
  <si>
    <t>Desarrollador Senior</t>
  </si>
  <si>
    <t>Desarrollo y soporte de aplicación, implementación y sitio</t>
  </si>
  <si>
    <t>Desarrollador Junior</t>
  </si>
  <si>
    <t>Desarrollador Back End</t>
  </si>
  <si>
    <t>Diseña y ejecuta pruebas unitarias y funcionales</t>
  </si>
  <si>
    <t>Vicepresidente Comercial</t>
  </si>
  <si>
    <t>Diseña la estrategía de ventas</t>
  </si>
  <si>
    <t>Director Comercial</t>
  </si>
  <si>
    <t>Prospecta y ejecuta planes de ventas</t>
  </si>
  <si>
    <t>Ejecutivo Ventas Senior</t>
  </si>
  <si>
    <t>Ejecutivo Ventas Junior</t>
  </si>
  <si>
    <t>Vicepresidente Legal Tech</t>
  </si>
  <si>
    <t>Valida nueva normatividad y cumplimiento de la actual</t>
  </si>
  <si>
    <t>Director Legal Tech</t>
  </si>
  <si>
    <t>Asesora en todos los conceptos requeridos al equipo de implementación y operación</t>
  </si>
  <si>
    <t>Abogado Senior</t>
  </si>
  <si>
    <t>Genera conceptos jurídicos</t>
  </si>
  <si>
    <t>Abogado Junior</t>
  </si>
  <si>
    <t>Apoya al Abogado señior</t>
  </si>
  <si>
    <t>Director de Soporte</t>
  </si>
  <si>
    <t>Encargado de los anillos de atención en Help Desk</t>
  </si>
  <si>
    <t>Soporte Senior</t>
  </si>
  <si>
    <t>Encargado de los casos que requieren especialista de atención</t>
  </si>
  <si>
    <t>Soporte Junior</t>
  </si>
  <si>
    <t>Encargado de los casos que no requieren especialista de atención</t>
  </si>
  <si>
    <t>Gerente de Gestión Humana</t>
  </si>
  <si>
    <t>Cumplimiento de objetivos y planes de desarrollo de personal</t>
  </si>
  <si>
    <t>Profesional Nómina</t>
  </si>
  <si>
    <t>Liquida, ejecuta y paga la nómina</t>
  </si>
  <si>
    <t>Gerente de Mercadeo</t>
  </si>
  <si>
    <t>Diseña el plan de marketing tradicional y digital</t>
  </si>
  <si>
    <t>Profesional Mercadeo</t>
  </si>
  <si>
    <t>Ejecuta acciones de marketing</t>
  </si>
  <si>
    <t>Contralor</t>
  </si>
  <si>
    <t>Audita y garantiza el buen gobierno de la compañía</t>
  </si>
  <si>
    <t>Revisor Fical</t>
  </si>
  <si>
    <t>Audita y certifica las cuentas contables</t>
  </si>
  <si>
    <t>Gerente de Riesgos</t>
  </si>
  <si>
    <t>Aporta en el cumplimiento normativo y el plan de continuidad de negocio</t>
  </si>
  <si>
    <t>Gerente de Oficial de Cumplimiento</t>
  </si>
  <si>
    <t>Implementa y soporta las normas SARLAFT</t>
  </si>
  <si>
    <t>Presidente</t>
  </si>
  <si>
    <t xml:space="preserve">Diseña y gestiona la estrategía empresarial </t>
  </si>
  <si>
    <t>Microsoft Azure Estimate</t>
  </si>
  <si>
    <t>SecureMailtrack</t>
  </si>
  <si>
    <t>Service category</t>
  </si>
  <si>
    <t>Service type</t>
  </si>
  <si>
    <t>Custom name</t>
  </si>
  <si>
    <t>Region</t>
  </si>
  <si>
    <t>Description</t>
  </si>
  <si>
    <t>Part number(s)</t>
  </si>
  <si>
    <t>Estimated monthly cost</t>
  </si>
  <si>
    <t>Estimated upfront cost</t>
  </si>
  <si>
    <t>Bases de datos</t>
  </si>
  <si>
    <t>Azure Cache for Redis</t>
  </si>
  <si>
    <t/>
  </si>
  <si>
    <t>West US</t>
  </si>
  <si>
    <t>Basic tier; 1 C0 instances, 730 Hours</t>
  </si>
  <si>
    <t>3SK-00042</t>
  </si>
  <si>
    <t>Azure SQL Database</t>
  </si>
  <si>
    <t>East US</t>
  </si>
  <si>
    <t>Single Database, vCore, General Purpose, Provisioned, Standard-series (Gen 5), Locally Redundant, 1 - 2 vCore Database(s) x 730 Hours, 32 GB Storage, RA-GRS Backup Storage Redundancy, 0 GB Point-In-Time Restore,  0 x 5 GB Long Term Retention</t>
  </si>
  <si>
    <t>AAD-37011</t>
  </si>
  <si>
    <t>Seguridad</t>
  </si>
  <si>
    <t>Key Vault</t>
  </si>
  <si>
    <t>Vault: 0 operations, 0 advanced operations, 0 renewals, 0 protected keys, 0 advanced protected keys; Managed HSM Pools: 0 Standard B1 HSM Pool(s) x 730 Hours</t>
  </si>
  <si>
    <t>AAA-21965, AAA-21964, AAD-71679, 3Q7-00090, 3Q7-00088, AAA-16178</t>
  </si>
  <si>
    <t>DevOps</t>
  </si>
  <si>
    <t>Azure Monitor</t>
  </si>
  <si>
    <t>Log analytics: Log Data Ingestion: 0 GB Daily Analytics logs ingested, 0 GB Daily Basic logs ingested, 1 months of Interactive Data Retention, 0 months of data archived, 0 Basic Log Search Queries per day with 0 GB data scanned per query, 0 GB of Log Data Exported per day, Platform Log Data Processed per day: 0 GB with Destination to Storage or Event Hub and 0 GB with Destination to Marketplace Partners, 0 Search job Queries per day with 0 GB data scanned per query; 0 SCOM MI Endpoints; Managed Prometheus: 0 AKS nodes in cluster, 10000 Prometheus metrics per node, 30 seconds of Metric collection interval, 0 Average daily Dashboards users, 7 Dashboards, 50000 Data samples queried per dashboard, 25 promql alerting rules, 25 promql recording rules; Application Insights: 3 months Data retention, 0 Multi-step Web Tests; 0 resources monitored X 1 metric time-series monitored per resource, 0 Log Alerts at 5 Minutes Frequency, 0 Additional events (in thousands), 0 Additional emails (in 100 thousands), 0 Additional push notifications (in 100 thousands), 0 Additional web hooks (in millions)</t>
  </si>
  <si>
    <t>AAA-67301, AAA-67339, AAA-67342, AAA-21960, AAA-67309, AAA-21961, AAA-67310, AAA-22046, AAA-22047, AAA-32107, AAM-84033</t>
  </si>
  <si>
    <t>Integración</t>
  </si>
  <si>
    <t>Service Bus</t>
  </si>
  <si>
    <t>Basic tier: 0 million messaging operations</t>
  </si>
  <si>
    <t>P5H-00052</t>
  </si>
  <si>
    <t>Redes</t>
  </si>
  <si>
    <t>Virtual Network</t>
  </si>
  <si>
    <t>East US (Virtual Network 1): 100 GB Outbound Data Transfer; East US (Virtual Network 2): 100 GB Outbound Data Transfer</t>
  </si>
  <si>
    <t>AAA-16366, AAD-84447, AAD-84444, AAA-16367</t>
  </si>
  <si>
    <t>Web</t>
  </si>
  <si>
    <t>Notification Hubs</t>
  </si>
  <si>
    <t>Basic tier, 1 million additional pushes</t>
  </si>
  <si>
    <t>P5H-00034, P5H-00036</t>
  </si>
  <si>
    <t>Azure Communication Services</t>
  </si>
  <si>
    <t>Phone numbers leasing: 0 local and 0 toll-free United States (+1) phone number(s); Phone number lookup: 0 line type queries; Voice and Video Calling - over IP: 1 reoccurring call(s) (30 minutes X 0 call(s) per month X 0 participants per call); Call Recording: 0 Mixed audio recorded minutes, 0 Mixed audio and video recorded minutes, 0 Unmixed audio minutes for 0 participants; SIP Direct Routing: 0 Inbound calling minutes, 0 Outbound calling minutes; TURN: 0 connections X 0 minutes per connection X 1 Mbps upload speed; Chat: 0 chat users x 0 message(s) sent per chat user; Email: 2000000 Email sent per month, 5 MB per Email; Whatsapp messaging: 0 Inbound messages, 0 Outbound messages; Job Router: 0 Jobs Routed per month</t>
  </si>
  <si>
    <t>AAJ-82165, AAJ-82228</t>
  </si>
  <si>
    <t>Traffic Manager</t>
  </si>
  <si>
    <t>0 million DNS queries/mo, 0 Azure endpoint(s), 0 Fast Azure endpoint(s), 0 External endpoint(s), 0 Fast External endpoint(s), 0 million(s) of user measurements, 0 million(s) of data points processed.</t>
  </si>
  <si>
    <t>T6Z-00002, T6Z-00004, AAA-16368, T6Z-00014, AAA-16369, AAA-21857, AAA-21859</t>
  </si>
  <si>
    <t>Application Gateway</t>
  </si>
  <si>
    <t>Basic tier, Small Instance size: 0 Gateway hours instance(s) x 730 Hours, 0 GB Data processed unit(s), 5 GB Zone unit(s)</t>
  </si>
  <si>
    <t>T6Z-00032, T6Z-00060, AAD-84530</t>
  </si>
  <si>
    <t>Compute</t>
  </si>
  <si>
    <t>App Service</t>
  </si>
  <si>
    <t>Basic Tier; 1 B1 (1 Core(s), 1.75 GB RAM, 10 GB Storage) x 730 Hours; Windows OS; 0 SNI SSL Connections; 0 IP SSL Connections; 0 Custom Domains; 0 Standard SLL Certificates; 0 Wildcard SSL Certificates</t>
  </si>
  <si>
    <t>T2X-00016</t>
  </si>
  <si>
    <t>Análisis</t>
  </si>
  <si>
    <t>Azure Data Lake Storage Gen1</t>
  </si>
  <si>
    <t>East US 2</t>
  </si>
  <si>
    <t>Pay-as-you-go: 0 GB Storage, 0 Read Transactions, 0 Write Transactions</t>
  </si>
  <si>
    <t>N7H-04735, AAA-33754, AAA-33755</t>
  </si>
  <si>
    <t>Herramientas para desarrolladores</t>
  </si>
  <si>
    <t>Azure DevOps</t>
  </si>
  <si>
    <t>10 Basic Plan license users, 10 Basic + Test Plans license users, Free tier - 1 Microsoft Hosted Pipeline(s), 1 Self Hosted Pipeline(s), 0 GB Artifacts</t>
  </si>
  <si>
    <t>WF9-00011, AAA-15043, AAA-18757, WF9-00008, WF9-00009</t>
  </si>
  <si>
    <t>Azure Cosmos DB</t>
  </si>
  <si>
    <t>Azure Cosmos DB for NoSQL (formerly Core), Standard provisioned throughput (manual), Always-free quantity disabled, Single Region Write (Single-Master) - East US (Write Region), 400 RU/s x 730 Hours, 0 GB transactional storage, Analytical storage disabled, 2 copies of periodic backup storage, Dedicated Gateway not enabled</t>
  </si>
  <si>
    <t>N7H-10257, N7H-10182</t>
  </si>
  <si>
    <t>Almacenamiento</t>
  </si>
  <si>
    <t>Storage Accounts</t>
  </si>
  <si>
    <t>Block Blob Storage, General Purpose V2, Hierarchical Namespace, LRS Redundancy, Hot Access Tier, 1,000 GB Capacity - Pay as you go, 10 x 10,000 Write operations, 10 x 10,000 Read operations, 10 x 10,000 Iterative Read operations, 10 x 100 Iterative Write operations, 1,000 GB Data Retrieval, 1,000 GB Data Write, SFTP disabled, 1,000 GB Index, 1 x 10,000 Other operations</t>
  </si>
  <si>
    <t>AAF-30492, AAD-54705, AAD-54700, AAD-54703</t>
  </si>
  <si>
    <t>API Management</t>
  </si>
  <si>
    <t>Developer tier, 1 unit(s), 730 Hours, 0 x 730 Hours x 5 overage workspaces</t>
  </si>
  <si>
    <t>AAD-71447, AAA-22037</t>
  </si>
  <si>
    <t>Azure Data Factory</t>
  </si>
  <si>
    <t xml:space="preserve">Azure Data Factory V2 Type, Data Pipeline Service Type,     </t>
  </si>
  <si>
    <t>AAD-19283, AAD-19284, AAD-19264, AAD-19265, AAD-19282, AAD-19285, AAD-19262, AAD-19263, AAD-19287, AAD-19286, AAD-97553, AAD-97626</t>
  </si>
  <si>
    <t>Event Hubs</t>
  </si>
  <si>
    <t>Basic tier: 1 Throughput unit(s) x 730 Hours, 0 million Ingress events</t>
  </si>
  <si>
    <t>P5H-00044, P5H-00042</t>
  </si>
  <si>
    <t>Azure Analysis Services</t>
  </si>
  <si>
    <t>South Central US</t>
  </si>
  <si>
    <t>Standard S1 (Hours), 1 Instance(s), 730 Hours</t>
  </si>
  <si>
    <t>AAA-25849, False</t>
  </si>
  <si>
    <t>Contenedores</t>
  </si>
  <si>
    <t>Azure Container Registry</t>
  </si>
  <si>
    <t>Basic Tier, 1 registry x 30 days, 0 GB Extra Storage, Container Build - 1 CPUs x 1 Seconds - Inter Region transfer type, 5 GB outbound data transfer from East US to East Asia</t>
  </si>
  <si>
    <t>AAA-89952, AAD-84502, False, AAD-50101</t>
  </si>
  <si>
    <t>Administración y Gobernanza</t>
  </si>
  <si>
    <t>Azure Resource Mover</t>
  </si>
  <si>
    <t>Azure Resource Mover is available for no additional charge</t>
  </si>
  <si>
    <t>IP Addresses</t>
  </si>
  <si>
    <t>Basic (Classic), 0 Dynamic IP Addresses X 730 Hours, 0 Static IP Addresses X 730 Hours</t>
  </si>
  <si>
    <t>T6Z-00010, T6Z-00022</t>
  </si>
  <si>
    <t>Support</t>
  </si>
  <si>
    <t>Free level</t>
  </si>
  <si>
    <t>Licensing Program</t>
  </si>
  <si>
    <t>Microsoft Customer Agreement (MCA)</t>
  </si>
  <si>
    <t>Billing Account</t>
  </si>
  <si>
    <t>Billing Profile</t>
  </si>
  <si>
    <t>Total</t>
  </si>
  <si>
    <t>Disclaimer</t>
  </si>
  <si>
    <t>All prices shown are in United States – Dollar ($) USD. This is a summary estimate, not a quote. For up to date pricing information please visit https://azure.microsoft.com/pricing/calculator/</t>
  </si>
  <si>
    <t>This estimate was created at 2/22/2024 3:10:05 AM UTC.</t>
  </si>
  <si>
    <t>INFRAESTRUCTURA NUBE</t>
  </si>
  <si>
    <t>Descripción</t>
  </si>
  <si>
    <t>Valor en pesos</t>
  </si>
  <si>
    <t>Valor Infraestructura Nube Anual en pesos</t>
  </si>
  <si>
    <t>Licencia Corporativa Webinars</t>
  </si>
  <si>
    <t>Espacio grabación historicos Anual</t>
  </si>
  <si>
    <t>Total Infraestructura</t>
  </si>
  <si>
    <t>* Calculada con tasa de cambio de 4000 pesos.</t>
  </si>
  <si>
    <t>Ventas</t>
  </si>
  <si>
    <t>HOSTING (Azure App Service BackEnd - Infraestructura Nube Microsoft Azure) - LICENCIA CORPORATIVA WEBINARS</t>
  </si>
  <si>
    <t>Cantidad de Verificación de Identidad persona Jurídica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</si>
</sst>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8" formatCode="&quot;$&quot;\ #,##0.00;[Red]\-&quot;$&quot;\ #,##0.00"/>
    <numFmt numFmtId="44" formatCode="_-&quot;$&quot;\ * #,##0.00_-;\-&quot;$&quot;\ * #,##0.00_-;_-&quot;$&quot;\ * &quot;-&quot;??_-;_-@_-"/>
    <numFmt numFmtId="164" formatCode="&quot;$&quot;#,##0.00;[Red]\-&quot;$&quot;#,##0.00"/>
    <numFmt numFmtId="165" formatCode="&quot;$&quot;\ #,##0.00_);[Red]\(&quot;$&quot;\ #,##0.00\)"/>
    <numFmt numFmtId="166" formatCode="_(&quot;$&quot;\ * #,##0.00_);_(&quot;$&quot;\ * \(#,##0.00\);_(&quot;$&quot;\ * &quot;-&quot;??_);_(@_)"/>
    <numFmt numFmtId="167" formatCode="_(* #,##0.00_);_(* \(#,##0.00\);_(* &quot;-&quot;??_);_(@_)"/>
    <numFmt numFmtId="168" formatCode="_(&quot;$&quot;\ * #,##0.0_);_(&quot;$&quot;\ * \(#,##0.0\);_(&quot;$&quot;\ * &quot;-&quot;??_);_(@_)"/>
    <numFmt numFmtId="169" formatCode="_(&quot;$&quot;\ * #,##0_);_(&quot;$&quot;\ * \(#,##0\);_(&quot;$&quot;\ * &quot;-&quot;??_);_(@_)"/>
    <numFmt numFmtId="170" formatCode="0.0%"/>
    <numFmt numFmtId="171" formatCode="_([$$-240A]\ * #,##0.00_);_([$$-240A]\ * \(#,##0.00\);_([$$-240A]\ * &quot;-&quot;??_);_(@_)"/>
    <numFmt numFmtId="172" formatCode="_(&quot;$&quot;\ * #,##0.00000_);_(&quot;$&quot;\ * \(#,##0.00000\);_(&quot;$&quot;\ * &quot;-&quot;??_);_(@_)"/>
    <numFmt numFmtId="173" formatCode="_ &quot;$&quot;\ * #,##0_ ;_ &quot;$&quot;\ * \-#,##0_ ;_ &quot;$&quot;\ * &quot;-&quot;??_ ;_ @_ "/>
    <numFmt numFmtId="174" formatCode="_(&quot;$&quot;\ * #,##0.0_);_(&quot;$&quot;\ * \(#,##0.0\);_(&quot;$&quot;\ * &quot;-&quot;?_);_(@_)"/>
    <numFmt numFmtId="175" formatCode="_(* #,##0_);_(* \(#,##0\);_(* &quot;-&quot;??_);_(@_)"/>
    <numFmt numFmtId="176" formatCode="_ &quot;$&quot;\ * #,##0.0_ ;_ &quot;$&quot;\ * \-#,##0.0_ ;_ &quot;$&quot;\ * &quot;-&quot;??_ ;_ @_ "/>
    <numFmt numFmtId="177" formatCode="_(* #,##0.0_);_(* \(#,##0.0\);_(* &quot;-&quot;??_);_(@_)"/>
    <numFmt numFmtId="178" formatCode="_ * #,##0.00_ ;_ * \-#,##0.00_ ;_ * &quot;-&quot;??_ ;_ @_ "/>
    <numFmt numFmtId="179" formatCode="&quot;$&quot;#,##0.00"/>
    <numFmt numFmtId="180" formatCode="_-&quot;$&quot;* #,##0.0_-;\-&quot;$&quot;* #,##0.0_-;_-&quot;$&quot;* &quot;-&quot;??_-;_-@_-"/>
    <numFmt numFmtId="181" formatCode="[$$]#,##0.00"/>
  </numFmts>
  <fonts count="58">
    <font>
      <sz val="11"/>
      <color theme="1"/>
      <name val="Calibri"/>
      <family val="2"/>
      <scheme val="minor"/>
    </font>
    <font>
      <sz val="11"/>
      <color theme="1"/>
      <name val="Calibri"/>
      <family val="2"/>
      <scheme val="minor"/>
    </font>
    <font>
      <b/>
      <sz val="11"/>
      <color theme="1"/>
      <name val="Calibri"/>
      <family val="2"/>
      <scheme val="minor"/>
    </font>
    <font>
      <b/>
      <sz val="11"/>
      <color theme="1"/>
      <name val="Aharoni"/>
    </font>
    <font>
      <sz val="11"/>
      <color theme="1"/>
      <name val="Aharoni"/>
    </font>
    <font>
      <b/>
      <sz val="8"/>
      <color theme="1"/>
      <name val="Antique Olive"/>
      <family val="2"/>
    </font>
    <font>
      <sz val="11"/>
      <color theme="1"/>
      <name val="Arial"/>
      <family val="2"/>
    </font>
    <font>
      <b/>
      <sz val="11"/>
      <color theme="1"/>
      <name val="Arial"/>
      <family val="2"/>
    </font>
    <font>
      <sz val="18"/>
      <color theme="1"/>
      <name val="Aharoni"/>
    </font>
    <font>
      <sz val="20"/>
      <color theme="1"/>
      <name val="Aharoni"/>
    </font>
    <font>
      <b/>
      <sz val="10"/>
      <color theme="1"/>
      <name val="Aharoni"/>
    </font>
    <font>
      <b/>
      <sz val="12"/>
      <color theme="1"/>
      <name val="Aharoni"/>
    </font>
    <font>
      <b/>
      <sz val="14"/>
      <color theme="1"/>
      <name val="Aharoni"/>
    </font>
    <font>
      <b/>
      <sz val="18"/>
      <color theme="1"/>
      <name val="Aharoni"/>
    </font>
    <font>
      <sz val="9"/>
      <color indexed="81"/>
      <name val="Tahoma"/>
      <family val="2"/>
    </font>
    <font>
      <b/>
      <sz val="9"/>
      <color indexed="81"/>
      <name val="Tahoma"/>
      <family val="2"/>
    </font>
    <font>
      <sz val="10"/>
      <color theme="1"/>
      <name val="Aharoni"/>
    </font>
    <font>
      <sz val="9"/>
      <color theme="1"/>
      <name val="Arial"/>
      <family val="2"/>
    </font>
    <font>
      <sz val="11"/>
      <color theme="0"/>
      <name val="Calibri"/>
      <family val="2"/>
      <scheme val="minor"/>
    </font>
    <font>
      <b/>
      <sz val="9"/>
      <color theme="1"/>
      <name val="Aharoni"/>
    </font>
    <font>
      <sz val="10"/>
      <name val="Arial"/>
      <family val="2"/>
    </font>
    <font>
      <b/>
      <sz val="12"/>
      <color theme="1"/>
      <name val="Calibri"/>
      <family val="2"/>
      <scheme val="minor"/>
    </font>
    <font>
      <b/>
      <sz val="14"/>
      <color theme="1"/>
      <name val="Calibri"/>
      <family val="2"/>
      <scheme val="minor"/>
    </font>
    <font>
      <sz val="14"/>
      <color theme="1"/>
      <name val="Aharoni"/>
    </font>
    <font>
      <b/>
      <sz val="10"/>
      <name val="Arial"/>
      <family val="2"/>
    </font>
    <font>
      <sz val="11"/>
      <name val="Arial"/>
      <family val="2"/>
    </font>
    <font>
      <b/>
      <sz val="11"/>
      <name val="Arial"/>
      <family val="2"/>
    </font>
    <font>
      <sz val="10"/>
      <color theme="1"/>
      <name val="Arial"/>
      <family val="2"/>
    </font>
    <font>
      <b/>
      <sz val="9"/>
      <name val="Arial"/>
      <family val="2"/>
    </font>
    <font>
      <sz val="11"/>
      <color theme="0"/>
      <name val="Arial"/>
      <family val="2"/>
    </font>
    <font>
      <sz val="18"/>
      <color theme="0"/>
      <name val="Aharoni"/>
    </font>
    <font>
      <sz val="12"/>
      <color theme="0"/>
      <name val="Aharoni"/>
    </font>
    <font>
      <sz val="12"/>
      <color theme="1"/>
      <name val="Aharoni"/>
    </font>
    <font>
      <b/>
      <sz val="12"/>
      <color rgb="FFFF0000"/>
      <name val="Calibri"/>
      <family val="2"/>
      <scheme val="minor"/>
    </font>
    <font>
      <sz val="9"/>
      <color theme="1"/>
      <name val="Aharoni"/>
    </font>
    <font>
      <b/>
      <sz val="20"/>
      <color theme="1"/>
      <name val="Aharoni"/>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sz val="22"/>
      <color theme="1"/>
      <name val="Aharoni"/>
    </font>
    <font>
      <sz val="14"/>
      <color theme="1"/>
      <name val="Calibri"/>
      <family val="2"/>
      <scheme val="minor"/>
    </font>
    <font>
      <b/>
      <sz val="16"/>
      <color theme="0"/>
      <name val="Arial"/>
      <family val="2"/>
    </font>
    <font>
      <b/>
      <u/>
      <sz val="8"/>
      <color theme="1"/>
      <name val="Antique Olive"/>
    </font>
    <font>
      <b/>
      <sz val="8"/>
      <color theme="1"/>
      <name val="Antique Olive"/>
    </font>
    <font>
      <b/>
      <sz val="16"/>
      <color theme="1"/>
      <name val="Arial"/>
      <family val="2"/>
    </font>
    <font>
      <b/>
      <sz val="8"/>
      <color theme="1"/>
      <name val="Aharoni"/>
    </font>
    <font>
      <sz val="11"/>
      <color rgb="FFFF0000"/>
      <name val="Calibri"/>
      <family val="2"/>
      <scheme val="minor"/>
    </font>
    <font>
      <b/>
      <sz val="11"/>
      <color theme="0"/>
      <name val="Calibri"/>
      <family val="2"/>
      <scheme val="minor"/>
    </font>
    <font>
      <b/>
      <sz val="11"/>
      <color theme="0"/>
      <name val="Aharoni"/>
    </font>
    <font>
      <b/>
      <sz val="11"/>
      <color rgb="FFFFFFFF"/>
      <name val="Calibri"/>
      <family val="2"/>
      <scheme val="minor"/>
    </font>
    <font>
      <sz val="11"/>
      <color rgb="FF000000"/>
      <name val="Calibri"/>
      <family val="2"/>
      <scheme val="minor"/>
    </font>
    <font>
      <b/>
      <sz val="14"/>
      <name val="Segoe UI Light"/>
    </font>
    <font>
      <sz val="11"/>
      <name val="Segoe UI Light"/>
    </font>
    <font>
      <b/>
      <sz val="12"/>
      <name val="Segoe UI Light"/>
    </font>
    <font>
      <b/>
      <sz val="11"/>
      <name val="Segoe UI Light"/>
    </font>
    <font>
      <i/>
      <sz val="11"/>
      <name val="Segoe UI Light"/>
    </font>
    <font>
      <b/>
      <sz val="9"/>
      <color theme="1"/>
      <name val="Aharoni"/>
      <charset val="177"/>
    </font>
  </fonts>
  <fills count="11">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
      <patternFill patternType="solid">
        <fgColor rgb="FF4472C4"/>
        <bgColor rgb="FF000000"/>
      </patternFill>
    </fill>
    <fill>
      <patternFill patternType="solid">
        <fgColor rgb="FFDDEBF7"/>
      </patternFill>
    </fill>
    <fill>
      <patternFill patternType="solid">
        <fgColor rgb="FFD3D3D3"/>
      </patternFill>
    </fill>
  </fills>
  <borders count="21">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style="thin">
        <color indexed="64"/>
      </left>
      <right/>
      <top/>
      <bottom style="thin">
        <color indexed="64"/>
      </bottom>
      <diagonal/>
    </border>
    <border>
      <left/>
      <right/>
      <top/>
      <bottom style="thin">
        <color indexed="64"/>
      </bottom>
      <diagonal/>
    </border>
  </borders>
  <cellStyleXfs count="7">
    <xf numFmtId="0" fontId="0" fillId="0" borderId="0"/>
    <xf numFmtId="166" fontId="1" fillId="0" borderId="0" applyFont="0" applyFill="0" applyBorder="0" applyAlignment="0" applyProtection="0"/>
    <xf numFmtId="9"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0" fontId="36" fillId="0" borderId="0" applyNumberFormat="0" applyFill="0" applyBorder="0" applyAlignment="0" applyProtection="0"/>
    <xf numFmtId="0" fontId="20" fillId="0" borderId="0"/>
  </cellStyleXfs>
  <cellXfs count="195">
    <xf numFmtId="0" fontId="0" fillId="0" borderId="0" xfId="0"/>
    <xf numFmtId="0" fontId="25" fillId="0" borderId="0" xfId="0" applyFont="1" applyProtection="1">
      <protection hidden="1"/>
    </xf>
    <xf numFmtId="173" fontId="0" fillId="0" borderId="0" xfId="1" applyNumberFormat="1" applyFont="1" applyFill="1" applyProtection="1">
      <protection hidden="1"/>
    </xf>
    <xf numFmtId="173" fontId="0" fillId="0" borderId="7" xfId="1" applyNumberFormat="1" applyFont="1" applyFill="1" applyBorder="1" applyProtection="1">
      <protection hidden="1"/>
    </xf>
    <xf numFmtId="0" fontId="26" fillId="0" borderId="0" xfId="0" applyFont="1" applyProtection="1">
      <protection hidden="1"/>
    </xf>
    <xf numFmtId="173" fontId="24" fillId="0" borderId="0" xfId="1" applyNumberFormat="1" applyFont="1" applyFill="1" applyProtection="1">
      <protection hidden="1"/>
    </xf>
    <xf numFmtId="173" fontId="24" fillId="0" borderId="1" xfId="1" applyNumberFormat="1" applyFont="1" applyFill="1" applyBorder="1" applyProtection="1">
      <protection hidden="1"/>
    </xf>
    <xf numFmtId="175" fontId="20" fillId="0" borderId="0" xfId="3" applyNumberFormat="1" applyFont="1" applyFill="1" applyProtection="1">
      <protection hidden="1"/>
    </xf>
    <xf numFmtId="0" fontId="0" fillId="0" borderId="0" xfId="0" applyProtection="1">
      <protection hidden="1"/>
    </xf>
    <xf numFmtId="176" fontId="0" fillId="0" borderId="0" xfId="1" applyNumberFormat="1" applyFont="1" applyFill="1" applyProtection="1">
      <protection hidden="1"/>
    </xf>
    <xf numFmtId="176" fontId="0" fillId="0" borderId="7" xfId="1" applyNumberFormat="1" applyFont="1" applyFill="1" applyBorder="1" applyProtection="1">
      <protection hidden="1"/>
    </xf>
    <xf numFmtId="175" fontId="27" fillId="0" borderId="0" xfId="3" applyNumberFormat="1" applyFont="1" applyFill="1" applyBorder="1" applyProtection="1">
      <protection hidden="1"/>
    </xf>
    <xf numFmtId="0" fontId="28" fillId="0" borderId="0" xfId="0" applyFont="1" applyProtection="1">
      <protection hidden="1"/>
    </xf>
    <xf numFmtId="0" fontId="29" fillId="4" borderId="0" xfId="0" applyFont="1" applyFill="1" applyProtection="1">
      <protection locked="0"/>
    </xf>
    <xf numFmtId="166" fontId="29" fillId="4" borderId="0" xfId="1" applyFont="1" applyFill="1" applyProtection="1">
      <protection locked="0"/>
    </xf>
    <xf numFmtId="0" fontId="31"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69" fontId="6" fillId="0" borderId="0" xfId="1" applyNumberFormat="1" applyFont="1" applyProtection="1">
      <protection hidden="1"/>
    </xf>
    <xf numFmtId="9" fontId="0" fillId="0" borderId="0" xfId="2" applyFont="1" applyAlignment="1" applyProtection="1">
      <alignment horizontal="center"/>
      <protection hidden="1"/>
    </xf>
    <xf numFmtId="169" fontId="0" fillId="0" borderId="0" xfId="1" applyNumberFormat="1" applyFont="1" applyProtection="1">
      <protection hidden="1"/>
    </xf>
    <xf numFmtId="166" fontId="0" fillId="0" borderId="0" xfId="1" applyFont="1" applyProtection="1">
      <protection hidden="1"/>
    </xf>
    <xf numFmtId="166" fontId="0" fillId="0" borderId="0" xfId="0" applyNumberFormat="1" applyProtection="1">
      <protection hidden="1"/>
    </xf>
    <xf numFmtId="0" fontId="12" fillId="0" borderId="4" xfId="0" applyFont="1" applyBorder="1" applyProtection="1">
      <protection hidden="1"/>
    </xf>
    <xf numFmtId="0" fontId="13" fillId="0" borderId="5" xfId="0" applyFont="1" applyBorder="1" applyAlignment="1" applyProtection="1">
      <alignment horizontal="center"/>
      <protection hidden="1"/>
    </xf>
    <xf numFmtId="0" fontId="13" fillId="0" borderId="6" xfId="0" applyFont="1" applyBorder="1" applyAlignment="1" applyProtection="1">
      <alignment horizontal="center"/>
      <protection hidden="1"/>
    </xf>
    <xf numFmtId="0" fontId="3"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169" fontId="7" fillId="5" borderId="0" xfId="0" applyNumberFormat="1" applyFont="1" applyFill="1" applyProtection="1">
      <protection hidden="1"/>
    </xf>
    <xf numFmtId="9" fontId="7" fillId="5" borderId="0" xfId="2" applyFont="1" applyFill="1" applyAlignment="1" applyProtection="1">
      <alignment horizontal="center"/>
      <protection hidden="1"/>
    </xf>
    <xf numFmtId="166" fontId="2" fillId="0" borderId="0" xfId="0" applyNumberFormat="1" applyFont="1" applyProtection="1">
      <protection hidden="1"/>
    </xf>
    <xf numFmtId="169"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71"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7" fillId="0" borderId="0" xfId="0" applyFont="1" applyProtection="1">
      <protection hidden="1"/>
    </xf>
    <xf numFmtId="168" fontId="6" fillId="0" borderId="0" xfId="1" applyNumberFormat="1" applyFont="1" applyProtection="1">
      <protection hidden="1"/>
    </xf>
    <xf numFmtId="168" fontId="6" fillId="0" borderId="0" xfId="0" applyNumberFormat="1" applyFont="1" applyProtection="1">
      <protection hidden="1"/>
    </xf>
    <xf numFmtId="0" fontId="16" fillId="0" borderId="0" xfId="0" applyFont="1" applyProtection="1">
      <protection hidden="1"/>
    </xf>
    <xf numFmtId="0" fontId="30" fillId="6" borderId="0" xfId="0" applyFont="1" applyFill="1" applyProtection="1">
      <protection locked="0"/>
    </xf>
    <xf numFmtId="170" fontId="30" fillId="6" borderId="0" xfId="2" applyNumberFormat="1" applyFont="1" applyFill="1" applyBorder="1" applyProtection="1">
      <protection locked="0"/>
    </xf>
    <xf numFmtId="170" fontId="30" fillId="6" borderId="14" xfId="2" applyNumberFormat="1" applyFont="1" applyFill="1" applyBorder="1" applyProtection="1">
      <protection locked="0"/>
    </xf>
    <xf numFmtId="170" fontId="30" fillId="6" borderId="3" xfId="2" applyNumberFormat="1" applyFont="1" applyFill="1" applyBorder="1" applyProtection="1">
      <protection locked="0"/>
    </xf>
    <xf numFmtId="170" fontId="30" fillId="6" borderId="5" xfId="2" applyNumberFormat="1" applyFont="1" applyFill="1" applyBorder="1" applyProtection="1">
      <protection locked="0"/>
    </xf>
    <xf numFmtId="167" fontId="29" fillId="4" borderId="0" xfId="4" applyFont="1" applyFill="1" applyProtection="1">
      <protection locked="0"/>
    </xf>
    <xf numFmtId="177" fontId="29" fillId="4" borderId="0" xfId="4" applyNumberFormat="1" applyFont="1" applyFill="1" applyAlignment="1" applyProtection="1">
      <alignment horizontal="center"/>
      <protection locked="0"/>
    </xf>
    <xf numFmtId="166" fontId="29" fillId="4" borderId="0" xfId="1" applyFont="1" applyFill="1" applyAlignment="1" applyProtection="1">
      <alignment horizontal="center"/>
      <protection locked="0"/>
    </xf>
    <xf numFmtId="0" fontId="13" fillId="0" borderId="0" xfId="0" applyFont="1" applyAlignment="1" applyProtection="1">
      <alignment horizontal="center" vertical="center"/>
      <protection hidden="1"/>
    </xf>
    <xf numFmtId="0" fontId="26" fillId="5" borderId="0" xfId="0" applyFont="1" applyFill="1" applyProtection="1">
      <protection hidden="1"/>
    </xf>
    <xf numFmtId="0" fontId="0" fillId="5" borderId="0" xfId="0" applyFill="1" applyProtection="1">
      <protection hidden="1"/>
    </xf>
    <xf numFmtId="173" fontId="24" fillId="5" borderId="1" xfId="1" applyNumberFormat="1" applyFont="1" applyFill="1" applyBorder="1" applyProtection="1">
      <protection hidden="1"/>
    </xf>
    <xf numFmtId="0" fontId="8" fillId="0" borderId="0" xfId="0" applyFont="1" applyAlignment="1" applyProtection="1">
      <alignment horizontal="center" vertical="center"/>
      <protection hidden="1"/>
    </xf>
    <xf numFmtId="168" fontId="0" fillId="0" borderId="0" xfId="1" applyNumberFormat="1" applyFont="1" applyProtection="1">
      <protection hidden="1"/>
    </xf>
    <xf numFmtId="0" fontId="2" fillId="0" borderId="1" xfId="0" applyFont="1" applyBorder="1" applyProtection="1">
      <protection hidden="1"/>
    </xf>
    <xf numFmtId="168" fontId="0" fillId="0" borderId="1" xfId="0" applyNumberFormat="1" applyBorder="1" applyProtection="1">
      <protection hidden="1"/>
    </xf>
    <xf numFmtId="174" fontId="0" fillId="0" borderId="1" xfId="0" applyNumberFormat="1" applyBorder="1" applyProtection="1">
      <protection hidden="1"/>
    </xf>
    <xf numFmtId="174" fontId="0" fillId="0" borderId="0" xfId="0" applyNumberFormat="1" applyProtection="1">
      <protection hidden="1"/>
    </xf>
    <xf numFmtId="0" fontId="2" fillId="0" borderId="2" xfId="0" applyFont="1" applyBorder="1" applyProtection="1">
      <protection hidden="1"/>
    </xf>
    <xf numFmtId="174" fontId="2" fillId="0" borderId="2" xfId="0" applyNumberFormat="1" applyFont="1" applyBorder="1" applyProtection="1">
      <protection hidden="1"/>
    </xf>
    <xf numFmtId="0" fontId="23" fillId="0" borderId="0" xfId="0" applyFont="1" applyAlignment="1" applyProtection="1">
      <alignment horizontal="center" vertical="center"/>
      <protection hidden="1"/>
    </xf>
    <xf numFmtId="166" fontId="2" fillId="0" borderId="1" xfId="0" applyNumberFormat="1" applyFont="1" applyBorder="1" applyProtection="1">
      <protection hidden="1"/>
    </xf>
    <xf numFmtId="166" fontId="0" fillId="5" borderId="0" xfId="0" applyNumberFormat="1" applyFill="1" applyProtection="1">
      <protection hidden="1"/>
    </xf>
    <xf numFmtId="0" fontId="18" fillId="0" borderId="0" xfId="0" applyFont="1" applyProtection="1">
      <protection hidden="1"/>
    </xf>
    <xf numFmtId="166" fontId="18" fillId="0" borderId="0" xfId="0" applyNumberFormat="1" applyFont="1" applyProtection="1">
      <protection hidden="1"/>
    </xf>
    <xf numFmtId="0" fontId="7" fillId="0" borderId="0" xfId="0" applyFont="1" applyProtection="1">
      <protection hidden="1"/>
    </xf>
    <xf numFmtId="166" fontId="21"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9" fillId="0" borderId="0" xfId="0" applyFont="1" applyAlignment="1" applyProtection="1">
      <alignment wrapText="1"/>
      <protection hidden="1"/>
    </xf>
    <xf numFmtId="172" fontId="0" fillId="0" borderId="0" xfId="1" applyNumberFormat="1" applyFont="1" applyProtection="1">
      <protection hidden="1"/>
    </xf>
    <xf numFmtId="0" fontId="16" fillId="0" borderId="0" xfId="0" applyFont="1" applyAlignment="1" applyProtection="1">
      <alignment horizontal="center"/>
      <protection hidden="1"/>
    </xf>
    <xf numFmtId="0" fontId="32" fillId="5" borderId="0" xfId="0" applyFont="1" applyFill="1" applyProtection="1">
      <protection hidden="1"/>
    </xf>
    <xf numFmtId="166" fontId="21" fillId="5" borderId="0" xfId="0" applyNumberFormat="1" applyFont="1" applyFill="1" applyProtection="1">
      <protection hidden="1"/>
    </xf>
    <xf numFmtId="166" fontId="33" fillId="0" borderId="0" xfId="0" applyNumberFormat="1" applyFont="1" applyProtection="1">
      <protection hidden="1"/>
    </xf>
    <xf numFmtId="0" fontId="23" fillId="0" borderId="9"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0" fillId="0" borderId="11" xfId="0" applyBorder="1" applyProtection="1">
      <protection hidden="1"/>
    </xf>
    <xf numFmtId="0" fontId="34" fillId="0" borderId="0" xfId="0" applyFont="1" applyAlignment="1" applyProtection="1">
      <alignment wrapText="1"/>
      <protection hidden="1"/>
    </xf>
    <xf numFmtId="166" fontId="6" fillId="0" borderId="0" xfId="0" applyNumberFormat="1" applyFont="1" applyProtection="1">
      <protection hidden="1"/>
    </xf>
    <xf numFmtId="9" fontId="6" fillId="0" borderId="0" xfId="0" applyNumberFormat="1" applyFont="1" applyProtection="1">
      <protection hidden="1"/>
    </xf>
    <xf numFmtId="167" fontId="6" fillId="0" borderId="0" xfId="0" applyNumberFormat="1" applyFont="1" applyProtection="1">
      <protection hidden="1"/>
    </xf>
    <xf numFmtId="167" fontId="18" fillId="0" borderId="0" xfId="0" applyNumberFormat="1" applyFont="1" applyProtection="1">
      <protection hidden="1"/>
    </xf>
    <xf numFmtId="0" fontId="6" fillId="0" borderId="0" xfId="0" applyFont="1" applyAlignment="1" applyProtection="1">
      <alignment horizontal="left"/>
      <protection hidden="1"/>
    </xf>
    <xf numFmtId="9" fontId="0" fillId="0" borderId="0" xfId="0" applyNumberFormat="1" applyProtection="1">
      <protection hidden="1"/>
    </xf>
    <xf numFmtId="167" fontId="35" fillId="0" borderId="0" xfId="4" applyFont="1" applyProtection="1">
      <protection hidden="1"/>
    </xf>
    <xf numFmtId="166" fontId="35" fillId="0" borderId="0" xfId="1" applyFont="1" applyProtection="1">
      <protection hidden="1"/>
    </xf>
    <xf numFmtId="0" fontId="2" fillId="0" borderId="0" xfId="0" applyFont="1" applyProtection="1">
      <protection hidden="1"/>
    </xf>
    <xf numFmtId="167" fontId="2" fillId="0" borderId="0" xfId="4" applyFont="1" applyProtection="1">
      <protection hidden="1"/>
    </xf>
    <xf numFmtId="0" fontId="19" fillId="0" borderId="0" xfId="0" applyFont="1" applyAlignment="1" applyProtection="1">
      <alignment wrapText="1"/>
      <protection locked="0"/>
    </xf>
    <xf numFmtId="0" fontId="21" fillId="0" borderId="8" xfId="0" applyFont="1" applyBorder="1" applyProtection="1">
      <protection hidden="1"/>
    </xf>
    <xf numFmtId="164" fontId="0" fillId="0" borderId="0" xfId="0" applyNumberFormat="1" applyProtection="1">
      <protection hidden="1"/>
    </xf>
    <xf numFmtId="0" fontId="20" fillId="0" borderId="0" xfId="6"/>
    <xf numFmtId="178" fontId="20" fillId="0" borderId="0" xfId="6" applyNumberFormat="1"/>
    <xf numFmtId="164" fontId="20" fillId="0" borderId="0" xfId="6" applyNumberFormat="1"/>
    <xf numFmtId="0" fontId="22" fillId="0" borderId="4" xfId="0" applyFont="1" applyBorder="1" applyProtection="1">
      <protection hidden="1"/>
    </xf>
    <xf numFmtId="2" fontId="39" fillId="7" borderId="5" xfId="0" applyNumberFormat="1" applyFont="1" applyFill="1" applyBorder="1" applyProtection="1">
      <protection hidden="1"/>
    </xf>
    <xf numFmtId="0" fontId="38" fillId="0" borderId="6" xfId="0" applyFont="1" applyBorder="1" applyProtection="1">
      <protection hidden="1"/>
    </xf>
    <xf numFmtId="179" fontId="41" fillId="0" borderId="3" xfId="0" applyNumberFormat="1" applyFont="1" applyBorder="1" applyProtection="1">
      <protection hidden="1"/>
    </xf>
    <xf numFmtId="179" fontId="41" fillId="0" borderId="12" xfId="0" applyNumberFormat="1" applyFont="1" applyBorder="1" applyProtection="1">
      <protection hidden="1"/>
    </xf>
    <xf numFmtId="165" fontId="39" fillId="5" borderId="6" xfId="0" applyNumberFormat="1" applyFont="1" applyFill="1" applyBorder="1" applyProtection="1">
      <protection hidden="1"/>
    </xf>
    <xf numFmtId="10" fontId="40" fillId="0" borderId="6" xfId="2" applyNumberFormat="1" applyFont="1" applyBorder="1" applyAlignment="1" applyProtection="1">
      <alignment horizontal="center" vertical="center"/>
      <protection hidden="1"/>
    </xf>
    <xf numFmtId="0" fontId="44" fillId="0" borderId="0" xfId="0" applyFont="1" applyAlignment="1" applyProtection="1">
      <alignment wrapText="1"/>
      <protection hidden="1"/>
    </xf>
    <xf numFmtId="0" fontId="2" fillId="0" borderId="0" xfId="0" applyFont="1" applyAlignment="1" applyProtection="1">
      <alignment horizontal="center"/>
      <protection hidden="1"/>
    </xf>
    <xf numFmtId="170" fontId="29" fillId="4" borderId="0" xfId="2" applyNumberFormat="1" applyFont="1" applyFill="1" applyProtection="1">
      <protection locked="0"/>
    </xf>
    <xf numFmtId="168" fontId="45" fillId="7" borderId="1" xfId="1" applyNumberFormat="1" applyFont="1" applyFill="1" applyBorder="1" applyProtection="1">
      <protection hidden="1"/>
    </xf>
    <xf numFmtId="0" fontId="46" fillId="0" borderId="13" xfId="0" applyFont="1" applyBorder="1" applyAlignment="1" applyProtection="1">
      <alignment wrapText="1"/>
      <protection hidden="1"/>
    </xf>
    <xf numFmtId="0" fontId="46" fillId="0" borderId="11" xfId="0" applyFont="1" applyBorder="1" applyProtection="1">
      <protection hidden="1"/>
    </xf>
    <xf numFmtId="0" fontId="0" fillId="0" borderId="8" xfId="0" applyBorder="1" applyProtection="1">
      <protection hidden="1"/>
    </xf>
    <xf numFmtId="0" fontId="26" fillId="0" borderId="15" xfId="0" applyFont="1" applyBorder="1" applyAlignment="1">
      <alignment horizontal="center"/>
    </xf>
    <xf numFmtId="0" fontId="26" fillId="0" borderId="16" xfId="0" applyFont="1" applyBorder="1" applyAlignment="1">
      <alignment horizontal="center"/>
    </xf>
    <xf numFmtId="0" fontId="2" fillId="0" borderId="13" xfId="0" applyFont="1" applyBorder="1" applyAlignment="1" applyProtection="1">
      <alignment horizontal="center"/>
      <protection hidden="1"/>
    </xf>
    <xf numFmtId="180" fontId="6" fillId="0" borderId="0" xfId="0" applyNumberFormat="1" applyFont="1"/>
    <xf numFmtId="180" fontId="6" fillId="0" borderId="14" xfId="0" applyNumberFormat="1" applyFont="1" applyBorder="1"/>
    <xf numFmtId="0" fontId="2" fillId="0" borderId="11" xfId="0" applyFont="1" applyBorder="1" applyAlignment="1" applyProtection="1">
      <alignment horizontal="center"/>
      <protection hidden="1"/>
    </xf>
    <xf numFmtId="180" fontId="6" fillId="0" borderId="0" xfId="0" applyNumberFormat="1" applyFont="1" applyProtection="1">
      <protection hidden="1"/>
    </xf>
    <xf numFmtId="180" fontId="6" fillId="0" borderId="14" xfId="0" applyNumberFormat="1" applyFont="1" applyBorder="1" applyProtection="1">
      <protection hidden="1"/>
    </xf>
    <xf numFmtId="180" fontId="6" fillId="0" borderId="3" xfId="0" applyNumberFormat="1" applyFont="1" applyBorder="1" applyProtection="1">
      <protection hidden="1"/>
    </xf>
    <xf numFmtId="180" fontId="6" fillId="0" borderId="12" xfId="0" applyNumberFormat="1" applyFont="1" applyBorder="1" applyProtection="1">
      <protection hidden="1"/>
    </xf>
    <xf numFmtId="0" fontId="18" fillId="4" borderId="0" xfId="0" applyFont="1" applyFill="1" applyProtection="1">
      <protection locked="0" hidden="1"/>
    </xf>
    <xf numFmtId="0" fontId="47" fillId="0" borderId="0" xfId="0" applyFont="1" applyProtection="1">
      <protection hidden="1"/>
    </xf>
    <xf numFmtId="166" fontId="18" fillId="0" borderId="0" xfId="1" applyFont="1" applyProtection="1">
      <protection hidden="1"/>
    </xf>
    <xf numFmtId="0" fontId="18" fillId="0" borderId="0" xfId="0" applyFont="1" applyAlignment="1" applyProtection="1">
      <alignment horizontal="center"/>
      <protection hidden="1"/>
    </xf>
    <xf numFmtId="166" fontId="48" fillId="0" borderId="0" xfId="1" applyFont="1" applyProtection="1">
      <protection hidden="1"/>
    </xf>
    <xf numFmtId="9" fontId="18" fillId="0" borderId="0" xfId="2" applyFont="1" applyProtection="1">
      <protection hidden="1"/>
    </xf>
    <xf numFmtId="10" fontId="42" fillId="0" borderId="0" xfId="2" applyNumberFormat="1" applyFont="1" applyFill="1" applyAlignment="1" applyProtection="1">
      <alignment horizontal="center" vertical="center"/>
      <protection locked="0"/>
    </xf>
    <xf numFmtId="0" fontId="0" fillId="0" borderId="17" xfId="0" applyBorder="1"/>
    <xf numFmtId="0" fontId="0" fillId="0" borderId="17" xfId="0" applyBorder="1" applyAlignment="1">
      <alignment wrapText="1"/>
    </xf>
    <xf numFmtId="44" fontId="0" fillId="0" borderId="17" xfId="0" applyNumberFormat="1" applyBorder="1"/>
    <xf numFmtId="166" fontId="0" fillId="0" borderId="17" xfId="1" applyFont="1" applyBorder="1"/>
    <xf numFmtId="8" fontId="51" fillId="0" borderId="17" xfId="0" applyNumberFormat="1" applyFont="1" applyBorder="1"/>
    <xf numFmtId="0" fontId="50" fillId="8" borderId="17" xfId="0" applyFont="1" applyFill="1" applyBorder="1"/>
    <xf numFmtId="0" fontId="0" fillId="0" borderId="0" xfId="0" applyAlignment="1">
      <alignment horizontal="left"/>
    </xf>
    <xf numFmtId="0" fontId="50" fillId="8" borderId="17" xfId="0" applyFont="1" applyFill="1" applyBorder="1" applyAlignment="1">
      <alignment horizontal="center" vertical="center"/>
    </xf>
    <xf numFmtId="0" fontId="53" fillId="0" borderId="0" xfId="0" applyFont="1" applyAlignment="1">
      <alignment vertical="top" wrapText="1"/>
    </xf>
    <xf numFmtId="181" fontId="53" fillId="0" borderId="0" xfId="0" applyNumberFormat="1" applyFont="1" applyAlignment="1">
      <alignment horizontal="left" vertical="top"/>
    </xf>
    <xf numFmtId="0" fontId="55" fillId="9" borderId="0" xfId="0" applyFont="1" applyFill="1" applyAlignment="1">
      <alignment vertical="top" wrapText="1"/>
    </xf>
    <xf numFmtId="181" fontId="55" fillId="9" borderId="0" xfId="0" applyNumberFormat="1" applyFont="1" applyFill="1" applyAlignment="1">
      <alignment horizontal="left" vertical="top"/>
    </xf>
    <xf numFmtId="0" fontId="55" fillId="0" borderId="0" xfId="0" applyFont="1" applyAlignment="1">
      <alignment vertical="top" wrapText="1"/>
    </xf>
    <xf numFmtId="0" fontId="53" fillId="0" borderId="18" xfId="0" applyFont="1" applyBorder="1" applyAlignment="1">
      <alignment vertical="top" wrapText="1"/>
    </xf>
    <xf numFmtId="0" fontId="55" fillId="0" borderId="18" xfId="0" applyFont="1" applyBorder="1" applyAlignment="1">
      <alignment vertical="top" wrapText="1"/>
    </xf>
    <xf numFmtId="181" fontId="55" fillId="0" borderId="18" xfId="0" applyNumberFormat="1" applyFont="1" applyBorder="1" applyAlignment="1">
      <alignment horizontal="left" vertical="top"/>
    </xf>
    <xf numFmtId="0" fontId="56" fillId="10" borderId="0" xfId="0" applyFont="1" applyFill="1" applyAlignment="1">
      <alignment vertical="top" wrapText="1"/>
    </xf>
    <xf numFmtId="181" fontId="56" fillId="10" borderId="0" xfId="0" applyNumberFormat="1" applyFont="1" applyFill="1" applyAlignment="1">
      <alignment horizontal="left" vertical="top"/>
    </xf>
    <xf numFmtId="0" fontId="50" fillId="8" borderId="17" xfId="0" applyFont="1" applyFill="1" applyBorder="1" applyAlignment="1">
      <alignment horizontal="center" vertical="center" wrapText="1"/>
    </xf>
    <xf numFmtId="44" fontId="0" fillId="0" borderId="0" xfId="0" applyNumberFormat="1"/>
    <xf numFmtId="166" fontId="0" fillId="0" borderId="17" xfId="0" applyNumberFormat="1" applyBorder="1"/>
    <xf numFmtId="0" fontId="0" fillId="0" borderId="0" xfId="0" applyAlignment="1">
      <alignment wrapText="1"/>
    </xf>
    <xf numFmtId="166" fontId="0" fillId="0" borderId="0" xfId="1" applyFont="1"/>
    <xf numFmtId="0" fontId="2" fillId="0" borderId="17" xfId="0" applyFont="1" applyBorder="1" applyAlignment="1">
      <alignment horizontal="center"/>
    </xf>
    <xf numFmtId="8" fontId="0" fillId="0" borderId="17" xfId="0" applyNumberFormat="1" applyBorder="1"/>
    <xf numFmtId="166" fontId="50" fillId="8" borderId="17" xfId="1" applyFont="1" applyFill="1" applyBorder="1"/>
    <xf numFmtId="0" fontId="11" fillId="0" borderId="4" xfId="0" applyFont="1" applyBorder="1" applyProtection="1">
      <protection hidden="1"/>
    </xf>
    <xf numFmtId="0" fontId="37" fillId="7" borderId="0" xfId="5" applyFont="1" applyFill="1" applyAlignment="1">
      <alignment horizontal="center"/>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Alignment="1" applyProtection="1">
      <alignment horizontal="left" wrapText="1"/>
      <protection hidden="1"/>
    </xf>
    <xf numFmtId="0" fontId="3" fillId="2" borderId="8" xfId="0" applyFont="1" applyFill="1" applyBorder="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3"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0" fillId="0" borderId="0" xfId="0" applyAlignment="1" applyProtection="1">
      <alignment horizontal="center"/>
      <protection hidden="1"/>
    </xf>
    <xf numFmtId="10" fontId="29" fillId="4" borderId="0" xfId="2" applyNumberFormat="1" applyFont="1" applyFill="1" applyAlignment="1" applyProtection="1">
      <alignment horizontal="center"/>
      <protection locked="0"/>
    </xf>
    <xf numFmtId="0" fontId="3" fillId="0" borderId="0" xfId="0" applyFont="1" applyAlignment="1" applyProtection="1">
      <alignment horizontal="center"/>
      <protection hidden="1"/>
    </xf>
    <xf numFmtId="0" fontId="2" fillId="0" borderId="0" xfId="0" applyFont="1" applyAlignment="1" applyProtection="1">
      <alignment horizontal="center"/>
      <protection hidden="1"/>
    </xf>
    <xf numFmtId="0" fontId="11" fillId="0" borderId="0" xfId="0" applyFont="1" applyAlignment="1" applyProtection="1">
      <alignment horizontal="center"/>
      <protection hidden="1"/>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49" fillId="0" borderId="0" xfId="0" applyFont="1" applyAlignment="1" applyProtection="1">
      <alignment horizontal="left"/>
      <protection hidden="1"/>
    </xf>
    <xf numFmtId="0" fontId="11" fillId="0" borderId="0" xfId="0" applyFont="1" applyAlignment="1" applyProtection="1">
      <alignment horizontal="left" wrapText="1"/>
      <protection hidden="1"/>
    </xf>
    <xf numFmtId="0" fontId="3" fillId="0" borderId="0" xfId="0" applyFont="1" applyAlignment="1" applyProtection="1">
      <alignment horizontal="left"/>
      <protection hidden="1"/>
    </xf>
    <xf numFmtId="0" fontId="11" fillId="0" borderId="0" xfId="0" applyFont="1" applyAlignment="1" applyProtection="1">
      <alignment wrapText="1"/>
      <protection hidden="1"/>
    </xf>
    <xf numFmtId="10" fontId="42" fillId="4" borderId="0" xfId="2" applyNumberFormat="1" applyFont="1" applyFill="1" applyAlignment="1" applyProtection="1">
      <alignment horizontal="center" vertical="center"/>
      <protection locked="0"/>
    </xf>
    <xf numFmtId="0" fontId="12" fillId="5" borderId="0" xfId="0" applyFont="1" applyFill="1" applyAlignment="1" applyProtection="1">
      <alignment horizontal="center"/>
      <protection hidden="1"/>
    </xf>
    <xf numFmtId="0" fontId="50" fillId="8" borderId="19" xfId="0" applyFont="1" applyFill="1" applyBorder="1" applyAlignment="1">
      <alignment horizontal="left"/>
    </xf>
    <xf numFmtId="0" fontId="50" fillId="8" borderId="20" xfId="0" applyFont="1" applyFill="1" applyBorder="1" applyAlignment="1">
      <alignment horizontal="left"/>
    </xf>
    <xf numFmtId="0" fontId="56" fillId="10" borderId="0" xfId="0" applyFont="1" applyFill="1" applyAlignment="1">
      <alignment vertical="top" wrapText="1"/>
    </xf>
    <xf numFmtId="181" fontId="56" fillId="10" borderId="0" xfId="0" applyNumberFormat="1" applyFont="1" applyFill="1" applyAlignment="1">
      <alignment horizontal="left" vertical="top"/>
    </xf>
    <xf numFmtId="0" fontId="52" fillId="0" borderId="0" xfId="0" applyFont="1" applyAlignment="1">
      <alignment vertical="top"/>
    </xf>
    <xf numFmtId="0" fontId="53" fillId="0" borderId="0" xfId="0" applyFont="1" applyAlignment="1">
      <alignment vertical="top" wrapText="1"/>
    </xf>
    <xf numFmtId="0" fontId="54" fillId="0" borderId="0" xfId="0" applyFont="1" applyAlignment="1">
      <alignment vertical="top"/>
    </xf>
    <xf numFmtId="0" fontId="57" fillId="0" borderId="0" xfId="0" applyFont="1" applyAlignment="1" applyProtection="1">
      <alignment wrapText="1"/>
      <protection locked="0"/>
    </xf>
  </cellXfs>
  <cellStyles count="7">
    <cellStyle name="Hipervínculo" xfId="5" builtinId="8"/>
    <cellStyle name="Millares" xfId="4" builtinId="3"/>
    <cellStyle name="Millares_Modelo Financiero ACME Final 2" xfId="3" xr:uid="{00000000-0005-0000-0000-000003000000}"/>
    <cellStyle name="Moneda" xfId="1" builtinId="4"/>
    <cellStyle name="Normal" xfId="0" builtinId="0"/>
    <cellStyle name="Normal 2" xfId="6" xr:uid="{00000000-0005-0000-0000-000005000000}"/>
    <cellStyle name="Porcentaje" xfId="2" builtinId="5"/>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'5'!$C$32</c:f>
              <c:strCache>
                <c:ptCount val="1"/>
                <c:pt idx="0">
                  <c:v>COSTOS FIJO</c:v>
                </c:pt>
              </c:strCache>
            </c:strRef>
          </c:tx>
          <c:marker>
            <c:symbol val="none"/>
          </c:marker>
          <c:cat>
            <c:numRef>
              <c:f>'5'!$B$33:$B$35</c:f>
              <c:numCache>
                <c:formatCode>_(* #,##0.00_);_(* \(#,##0.00\);_(* "-"??_);_(@_)</c:formatCode>
                <c:ptCount val="3"/>
                <c:pt idx="0" formatCode="General">
                  <c:v>0</c:v>
                </c:pt>
                <c:pt idx="1">
                  <c:v>2362507.4901984981</c:v>
                </c:pt>
                <c:pt idx="2">
                  <c:v>4725014.9803969963</c:v>
                </c:pt>
              </c:numCache>
            </c:numRef>
          </c:cat>
          <c:val>
            <c:numRef>
              <c:f>'5'!$C$33:$C$35</c:f>
              <c:numCache>
                <c:formatCode>_("$"\ * #,##0.00_);_("$"\ * \(#,##0.00\);_("$"\ * "-"??_);_(@_)</c:formatCode>
                <c:ptCount val="3"/>
                <c:pt idx="0">
                  <c:v>4380529400</c:v>
                </c:pt>
                <c:pt idx="1">
                  <c:v>4380529400</c:v>
                </c:pt>
                <c:pt idx="2">
                  <c:v>4380529400</c:v>
                </c:pt>
              </c:numCache>
            </c:numRef>
          </c:val>
          <c:smooth val="0"/>
          <c:extLst>
            <c:ext xmlns:c16="http://schemas.microsoft.com/office/drawing/2014/chart" uri="{C3380CC4-5D6E-409C-BE32-E72D297353CC}">
              <c16:uniqueId val="{00000000-8A79-4BFE-9417-0186D0F8B071}"/>
            </c:ext>
          </c:extLst>
        </c:ser>
        <c:ser>
          <c:idx val="1"/>
          <c:order val="1"/>
          <c:tx>
            <c:strRef>
              <c:f>'5'!$D$32</c:f>
              <c:strCache>
                <c:ptCount val="1"/>
                <c:pt idx="0">
                  <c:v>INGRESOS</c:v>
                </c:pt>
              </c:strCache>
            </c:strRef>
          </c:tx>
          <c:marker>
            <c:symbol val="none"/>
          </c:marker>
          <c:cat>
            <c:numRef>
              <c:f>'5'!$B$33:$B$35</c:f>
              <c:numCache>
                <c:formatCode>_(* #,##0.00_);_(* \(#,##0.00\);_(* "-"??_);_(@_)</c:formatCode>
                <c:ptCount val="3"/>
                <c:pt idx="0" formatCode="General">
                  <c:v>0</c:v>
                </c:pt>
                <c:pt idx="1">
                  <c:v>2362507.4901984981</c:v>
                </c:pt>
                <c:pt idx="2">
                  <c:v>4725014.9803969963</c:v>
                </c:pt>
              </c:numCache>
            </c:numRef>
          </c:cat>
          <c:val>
            <c:numRef>
              <c:f>'5'!$D$33:$D$35</c:f>
              <c:numCache>
                <c:formatCode>_("$"\ * #,##0.00_);_("$"\ * \(#,##0.00\);_("$"\ * "-"??_);_(@_)</c:formatCode>
                <c:ptCount val="3"/>
                <c:pt idx="0" formatCode="General">
                  <c:v>0</c:v>
                </c:pt>
                <c:pt idx="1">
                  <c:v>8236797060.8645821</c:v>
                </c:pt>
                <c:pt idx="2">
                  <c:v>16473594121.729168</c:v>
                </c:pt>
              </c:numCache>
            </c:numRef>
          </c:val>
          <c:smooth val="0"/>
          <c:extLst>
            <c:ext xmlns:c16="http://schemas.microsoft.com/office/drawing/2014/chart" uri="{C3380CC4-5D6E-409C-BE32-E72D297353CC}">
              <c16:uniqueId val="{00000001-8A79-4BFE-9417-0186D0F8B071}"/>
            </c:ext>
          </c:extLst>
        </c:ser>
        <c:ser>
          <c:idx val="2"/>
          <c:order val="2"/>
          <c:tx>
            <c:strRef>
              <c:f>'5'!$F$32</c:f>
              <c:strCache>
                <c:ptCount val="1"/>
                <c:pt idx="0">
                  <c:v>COSTO TOTAL</c:v>
                </c:pt>
              </c:strCache>
            </c:strRef>
          </c:tx>
          <c:marker>
            <c:symbol val="none"/>
          </c:marker>
          <c:cat>
            <c:numRef>
              <c:f>'5'!$B$33:$B$35</c:f>
              <c:numCache>
                <c:formatCode>_(* #,##0.00_);_(* \(#,##0.00\);_(* "-"??_);_(@_)</c:formatCode>
                <c:ptCount val="3"/>
                <c:pt idx="0" formatCode="General">
                  <c:v>0</c:v>
                </c:pt>
                <c:pt idx="1">
                  <c:v>2362507.4901984981</c:v>
                </c:pt>
                <c:pt idx="2">
                  <c:v>4725014.9803969963</c:v>
                </c:pt>
              </c:numCache>
            </c:numRef>
          </c:cat>
          <c:val>
            <c:numRef>
              <c:f>'5'!$F$33:$F$35</c:f>
              <c:numCache>
                <c:formatCode>_("$"\ * #,##0.00_);_("$"\ * \(#,##0.00\);_("$"\ * "-"??_);_(@_)</c:formatCode>
                <c:ptCount val="3"/>
                <c:pt idx="0">
                  <c:v>4380529400</c:v>
                </c:pt>
                <c:pt idx="1">
                  <c:v>8236797060.864583</c:v>
                </c:pt>
                <c:pt idx="2">
                  <c:v>12093064721.729168</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33709584"/>
        <c:axId val="-33717200"/>
      </c:lineChart>
      <c:catAx>
        <c:axId val="-33709584"/>
        <c:scaling>
          <c:orientation val="minMax"/>
        </c:scaling>
        <c:delete val="0"/>
        <c:axPos val="b"/>
        <c:numFmt formatCode="General" sourceLinked="1"/>
        <c:majorTickMark val="out"/>
        <c:minorTickMark val="none"/>
        <c:tickLblPos val="nextTo"/>
        <c:crossAx val="-33717200"/>
        <c:crosses val="autoZero"/>
        <c:auto val="1"/>
        <c:lblAlgn val="ctr"/>
        <c:lblOffset val="100"/>
        <c:noMultiLvlLbl val="0"/>
      </c:catAx>
      <c:valAx>
        <c:axId val="-33717200"/>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s-CO"/>
          </a:p>
        </c:txPr>
        <c:crossAx val="-33709584"/>
        <c:crosses val="autoZero"/>
        <c:crossBetween val="midCat"/>
      </c:valAx>
    </c:plotArea>
    <c:legend>
      <c:legendPos val="r"/>
      <c:layout>
        <c:manualLayout>
          <c:xMode val="edge"/>
          <c:yMode val="edge"/>
          <c:x val="2.2698594538394724E-2"/>
          <c:y val="0.93824729917921001"/>
          <c:w val="0.95884696821386661"/>
          <c:h val="5.8173535020252409E-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3'!A1"/><Relationship Id="rId7" Type="http://schemas.openxmlformats.org/officeDocument/2006/relationships/image" Target="../media/image1.png"/><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mailto:dmreyes@ean.edu.co" TargetMode="External"/><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xdr:from>
      <xdr:col>1</xdr:col>
      <xdr:colOff>209550</xdr:colOff>
      <xdr:row>21</xdr:row>
      <xdr:rowOff>85725</xdr:rowOff>
    </xdr:from>
    <xdr:to>
      <xdr:col>5</xdr:col>
      <xdr:colOff>200025</xdr:colOff>
      <xdr:row>23</xdr:row>
      <xdr:rowOff>95249</xdr:rowOff>
    </xdr:to>
    <xdr:sp macro="" textlink="">
      <xdr:nvSpPr>
        <xdr:cNvPr id="13" name="12 CuadroTexto">
          <a:hlinkClick xmlns:r="http://schemas.openxmlformats.org/officeDocument/2006/relationships" r:id="rId6"/>
          <a:extLst>
            <a:ext uri="{FF2B5EF4-FFF2-40B4-BE49-F238E27FC236}">
              <a16:creationId xmlns:a16="http://schemas.microsoft.com/office/drawing/2014/main" id="{00000000-0008-0000-0000-00000D000000}"/>
            </a:ext>
          </a:extLst>
        </xdr:cNvPr>
        <xdr:cNvSpPr txBox="1"/>
      </xdr:nvSpPr>
      <xdr:spPr>
        <a:xfrm>
          <a:off x="971550" y="4086225"/>
          <a:ext cx="3038475" cy="4571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Asociado Universidad  Univerisdad  -EAN.</a:t>
          </a:r>
        </a:p>
        <a:p>
          <a:pPr>
            <a:lnSpc>
              <a:spcPts val="900"/>
            </a:lnSpc>
          </a:pPr>
          <a:r>
            <a:rPr lang="es-CO" sz="800" b="1" baseline="0"/>
            <a:t>contacto: dmreyes@ean.edu.co - @dmreyesg</a:t>
          </a:r>
        </a:p>
        <a:p>
          <a:pPr>
            <a:lnSpc>
              <a:spcPts val="900"/>
            </a:lnSpc>
          </a:pPr>
          <a:r>
            <a:rPr lang="es-CO" sz="800" b="1" baseline="0"/>
            <a:t> </a:t>
          </a:r>
        </a:p>
        <a:p>
          <a:pPr>
            <a:lnSpc>
              <a:spcPts val="500"/>
            </a:lnSpc>
          </a:pPr>
          <a:endParaRPr lang="es-CO" sz="500"/>
        </a:p>
      </xdr:txBody>
    </xdr:sp>
    <xdr:clientData/>
  </xdr:twoCellAnchor>
  <xdr:twoCellAnchor editAs="oneCell">
    <xdr:from>
      <xdr:col>8</xdr:col>
      <xdr:colOff>581026</xdr:colOff>
      <xdr:row>1</xdr:row>
      <xdr:rowOff>38100</xdr:rowOff>
    </xdr:from>
    <xdr:to>
      <xdr:col>9</xdr:col>
      <xdr:colOff>695326</xdr:colOff>
      <xdr:row>6</xdr:row>
      <xdr:rowOff>41163</xdr:rowOff>
    </xdr:to>
    <xdr:pic>
      <xdr:nvPicPr>
        <xdr:cNvPr id="12" name="Imagen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677026" y="228600"/>
          <a:ext cx="876300" cy="955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152399</xdr:rowOff>
    </xdr:from>
    <xdr:to>
      <xdr:col>9</xdr:col>
      <xdr:colOff>171450</xdr:colOff>
      <xdr:row>32</xdr:row>
      <xdr:rowOff>161925</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9115425" y="3505199"/>
          <a:ext cx="238125" cy="3981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857248</xdr:colOff>
      <xdr:row>13</xdr:row>
      <xdr:rowOff>128589</xdr:rowOff>
    </xdr:from>
    <xdr:to>
      <xdr:col>12</xdr:col>
      <xdr:colOff>190498</xdr:colOff>
      <xdr:row>26</xdr:row>
      <xdr:rowOff>28576</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26</xdr:row>
      <xdr:rowOff>161925</xdr:rowOff>
    </xdr:from>
    <xdr:to>
      <xdr:col>9</xdr:col>
      <xdr:colOff>219076</xdr:colOff>
      <xdr:row>28</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30</xdr:row>
      <xdr:rowOff>154781</xdr:rowOff>
    </xdr:from>
    <xdr:to>
      <xdr:col>12</xdr:col>
      <xdr:colOff>14288</xdr:colOff>
      <xdr:row>34</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14</xdr:col>
      <xdr:colOff>561975</xdr:colOff>
      <xdr:row>0</xdr:row>
      <xdr:rowOff>0</xdr:rowOff>
    </xdr:from>
    <xdr:to>
      <xdr:col>25</xdr:col>
      <xdr:colOff>294470</xdr:colOff>
      <xdr:row>33</xdr:row>
      <xdr:rowOff>94298</xdr:rowOff>
    </xdr:to>
    <xdr:pic>
      <xdr:nvPicPr>
        <xdr:cNvPr id="2" name="Pictur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10334625" y="0"/>
          <a:ext cx="6438095" cy="761904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G23:H23"/>
  <sheetViews>
    <sheetView showGridLines="0" showRowColHeaders="0" view="pageBreakPreview" zoomScaleNormal="100" zoomScaleSheetLayoutView="100" workbookViewId="0">
      <selection activeCell="G23" sqref="G23:H23"/>
    </sheetView>
  </sheetViews>
  <sheetFormatPr baseColWidth="10" defaultColWidth="11.42578125" defaultRowHeight="15"/>
  <sheetData>
    <row r="23" spans="7:8" ht="20.25">
      <c r="G23" s="163" t="s">
        <v>0</v>
      </c>
      <c r="H23" s="163"/>
    </row>
  </sheetData>
  <sheetProtection algorithmName="SHA-512" hashValue="qMYMYC3mPprmgwq+iE0gDINjFQi/ooyDwKL4PJKrG/dV/hj/tQbfg1gZfjbKbJU6lprMrZyYtTpH9/wv5VBROg==" saltValue="sSdmD0maTdOHDSjElDeMAA==" spinCount="100000" sheet="1" objects="1" scenarios="1"/>
  <mergeCells count="1">
    <mergeCell ref="G23:H23"/>
  </mergeCells>
  <hyperlinks>
    <hyperlink ref="G23" r:id="rId1" xr:uid="{00000000-0004-0000-0000-000000000000}"/>
  </hyperlinks>
  <pageMargins left="0.7" right="0.7" top="0.75" bottom="0.75" header="0.3" footer="0.3"/>
  <pageSetup paperSize="9" scale="6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C35"/>
  <sheetViews>
    <sheetView showGridLines="0" topLeftCell="B8" zoomScaleNormal="100" workbookViewId="0">
      <selection activeCell="B23" sqref="B23"/>
    </sheetView>
  </sheetViews>
  <sheetFormatPr baseColWidth="10" defaultColWidth="11.42578125" defaultRowHeight="15"/>
  <cols>
    <col min="1" max="1" width="22.5703125" style="8" customWidth="1"/>
    <col min="2" max="2" width="142.85546875" style="8" customWidth="1"/>
    <col min="3" max="3" width="28.7109375" style="8" bestFit="1" customWidth="1"/>
    <col min="4" max="4" width="31.5703125" style="8" customWidth="1"/>
    <col min="5" max="5" width="30.42578125" style="8" customWidth="1"/>
    <col min="6" max="6" width="43.28515625" style="8" customWidth="1"/>
    <col min="7" max="7" width="22" style="8" customWidth="1"/>
    <col min="8" max="10" width="9.42578125" style="8" bestFit="1" customWidth="1"/>
    <col min="11" max="11" width="4.28515625" style="8" customWidth="1"/>
    <col min="12" max="15" width="11.42578125" style="8" hidden="1" customWidth="1"/>
    <col min="16" max="19" width="12" style="8" hidden="1" customWidth="1"/>
    <col min="20" max="24" width="15.5703125" style="8" hidden="1" customWidth="1"/>
    <col min="25" max="25" width="22.140625" style="8" bestFit="1" customWidth="1"/>
    <col min="26" max="29" width="11.42578125" style="8" bestFit="1" customWidth="1"/>
    <col min="30" max="16384" width="11.42578125" style="8"/>
  </cols>
  <sheetData>
    <row r="1" spans="1:29" ht="30.75" customHeight="1">
      <c r="A1" s="165" t="s">
        <v>1</v>
      </c>
      <c r="B1" s="165"/>
      <c r="C1" s="165"/>
      <c r="D1" s="165"/>
      <c r="E1" s="165"/>
      <c r="G1" s="166" t="s">
        <v>2</v>
      </c>
      <c r="H1" s="166"/>
      <c r="I1" s="166"/>
      <c r="J1" s="166"/>
      <c r="P1" s="8" t="s">
        <v>3</v>
      </c>
      <c r="Y1" s="15" t="s">
        <v>4</v>
      </c>
      <c r="Z1" s="49">
        <v>2024</v>
      </c>
      <c r="AA1" s="16"/>
    </row>
    <row r="2" spans="1:29" ht="32.25" customHeight="1" thickBot="1">
      <c r="B2" s="17" t="s">
        <v>5</v>
      </c>
      <c r="C2" s="18" t="s">
        <v>6</v>
      </c>
      <c r="D2" s="17" t="s">
        <v>7</v>
      </c>
      <c r="E2" s="18" t="s">
        <v>8</v>
      </c>
      <c r="F2" s="19" t="s">
        <v>9</v>
      </c>
      <c r="G2" s="20">
        <f>'1'!Z1+1</f>
        <v>2025</v>
      </c>
      <c r="H2" s="20">
        <f>G2+1</f>
        <v>2026</v>
      </c>
      <c r="I2" s="20">
        <f t="shared" ref="I2:J2" si="0">H2+1</f>
        <v>2027</v>
      </c>
      <c r="J2" s="20">
        <f t="shared" si="0"/>
        <v>2028</v>
      </c>
      <c r="L2" s="8">
        <f>G2</f>
        <v>2025</v>
      </c>
      <c r="M2" s="8">
        <f>H2</f>
        <v>2026</v>
      </c>
      <c r="N2" s="8">
        <f>M2+1</f>
        <v>2027</v>
      </c>
      <c r="O2" s="8">
        <f>N2+1</f>
        <v>2028</v>
      </c>
      <c r="P2" s="8" t="s">
        <v>10</v>
      </c>
      <c r="Q2" s="8" t="s">
        <v>11</v>
      </c>
      <c r="R2" s="8" t="s">
        <v>12</v>
      </c>
      <c r="S2" s="8" t="s">
        <v>13</v>
      </c>
      <c r="T2" s="8" t="s">
        <v>14</v>
      </c>
      <c r="U2" s="8" t="s">
        <v>15</v>
      </c>
      <c r="V2" s="8" t="s">
        <v>16</v>
      </c>
      <c r="W2" s="8" t="s">
        <v>17</v>
      </c>
      <c r="Y2" s="16"/>
      <c r="Z2" s="16"/>
      <c r="AA2" s="16"/>
    </row>
    <row r="3" spans="1:29" ht="24" thickBot="1">
      <c r="A3" s="21">
        <v>1</v>
      </c>
      <c r="B3" s="13" t="s">
        <v>18</v>
      </c>
      <c r="C3" s="54">
        <v>160000</v>
      </c>
      <c r="D3" s="14">
        <v>950</v>
      </c>
      <c r="E3" s="22">
        <f>C3*D3</f>
        <v>152000000</v>
      </c>
      <c r="F3" s="23">
        <f>IF($E$13=0,0,E3/$E$13)</f>
        <v>2.9138869718579864E-2</v>
      </c>
      <c r="G3" s="114">
        <v>0.15</v>
      </c>
      <c r="H3" s="114">
        <v>0.15</v>
      </c>
      <c r="I3" s="114">
        <v>0.15</v>
      </c>
      <c r="J3" s="114">
        <v>0.15</v>
      </c>
      <c r="K3" s="24"/>
      <c r="L3" s="8">
        <f t="shared" ref="L3:L12" si="1">C3*(1+G3)</f>
        <v>184000</v>
      </c>
      <c r="M3" s="8">
        <f>L3*(1+H3)</f>
        <v>211599.99999999997</v>
      </c>
      <c r="N3" s="8">
        <f t="shared" ref="N3:O3" si="2">M3*(1+I3)</f>
        <v>243339.99999999994</v>
      </c>
      <c r="O3" s="8">
        <f t="shared" si="2"/>
        <v>279840.99999999988</v>
      </c>
      <c r="P3" s="25">
        <f>D3*(1+'1'!$Z$4)</f>
        <v>1007</v>
      </c>
      <c r="Q3" s="25">
        <f>P3*(1+'1'!$AA$4)</f>
        <v>1067.42</v>
      </c>
      <c r="R3" s="25">
        <f>Q3*(1+'1'!$AB$4)</f>
        <v>1131.4652000000001</v>
      </c>
      <c r="S3" s="25">
        <f>R3*(1+'1'!$AC$4)</f>
        <v>1199.3531120000002</v>
      </c>
      <c r="T3" s="26">
        <f>L3*P3</f>
        <v>185288000</v>
      </c>
      <c r="U3" s="26">
        <f>M3*Q3</f>
        <v>225866071.99999997</v>
      </c>
      <c r="V3" s="26">
        <f>N3*R3</f>
        <v>275330741.76799995</v>
      </c>
      <c r="W3" s="26">
        <f>O3*S3</f>
        <v>335628174.2151919</v>
      </c>
      <c r="X3" s="26"/>
      <c r="Y3" s="27" t="s">
        <v>19</v>
      </c>
      <c r="Z3" s="28">
        <f>G2</f>
        <v>2025</v>
      </c>
      <c r="AA3" s="28">
        <f>Z3+1</f>
        <v>2026</v>
      </c>
      <c r="AB3" s="28">
        <f t="shared" ref="AB3:AC3" si="3">AA3+1</f>
        <v>2027</v>
      </c>
      <c r="AC3" s="29">
        <f t="shared" si="3"/>
        <v>2028</v>
      </c>
    </row>
    <row r="4" spans="1:29" ht="23.25">
      <c r="A4" s="21">
        <f>A3+1</f>
        <v>2</v>
      </c>
      <c r="B4" s="13" t="s">
        <v>20</v>
      </c>
      <c r="C4" s="54">
        <v>150000</v>
      </c>
      <c r="D4" s="14">
        <v>935</v>
      </c>
      <c r="E4" s="22">
        <f t="shared" ref="E4:E12" si="4">C4*D4</f>
        <v>140250000</v>
      </c>
      <c r="F4" s="23">
        <f t="shared" ref="F4:F12" si="5">IF($E$13=0,0,E4/$E$13)</f>
        <v>2.6886358408097537E-2</v>
      </c>
      <c r="G4" s="114">
        <v>0.15</v>
      </c>
      <c r="H4" s="114">
        <v>0.15</v>
      </c>
      <c r="I4" s="114">
        <v>0.15</v>
      </c>
      <c r="J4" s="114">
        <v>0.15</v>
      </c>
      <c r="K4" s="24"/>
      <c r="L4" s="8">
        <f t="shared" si="1"/>
        <v>172500</v>
      </c>
      <c r="M4" s="8">
        <f t="shared" ref="M4:M12" si="6">L4*(1+H4)</f>
        <v>198374.99999999997</v>
      </c>
      <c r="N4" s="8">
        <f t="shared" ref="N4:N12" si="7">M4*(1+I4)</f>
        <v>228131.24999999994</v>
      </c>
      <c r="O4" s="8">
        <f t="shared" ref="O4:O12" si="8">N4*(1+J4)</f>
        <v>262350.93749999994</v>
      </c>
      <c r="P4" s="25">
        <f>D4*(1+'1'!$Z$4)</f>
        <v>991.1</v>
      </c>
      <c r="Q4" s="25">
        <f>P4*(1+'1'!$AA$4)</f>
        <v>1050.566</v>
      </c>
      <c r="R4" s="25">
        <f>Q4*(1+'1'!$AB$4)</f>
        <v>1113.59996</v>
      </c>
      <c r="S4" s="25">
        <f>R4*(1+'1'!$AC$4)</f>
        <v>1180.4159576000002</v>
      </c>
      <c r="T4" s="26">
        <f t="shared" ref="T4:T12" si="9">L4*P4</f>
        <v>170964750</v>
      </c>
      <c r="U4" s="26">
        <f t="shared" ref="U4:U12" si="10">M4*Q4</f>
        <v>208406030.24999997</v>
      </c>
      <c r="V4" s="26">
        <f t="shared" ref="V4:V12" si="11">N4*R4</f>
        <v>254046950.87474993</v>
      </c>
      <c r="W4" s="26">
        <f t="shared" ref="W4:W12" si="12">O4*S4</f>
        <v>309683233.11632025</v>
      </c>
      <c r="X4" s="26"/>
      <c r="Y4" s="116" t="s">
        <v>21</v>
      </c>
      <c r="Z4" s="50">
        <v>0.06</v>
      </c>
      <c r="AA4" s="50">
        <v>0.06</v>
      </c>
      <c r="AB4" s="50">
        <v>0.06</v>
      </c>
      <c r="AC4" s="51">
        <v>0.06</v>
      </c>
    </row>
    <row r="5" spans="1:29" ht="24" thickBot="1">
      <c r="A5" s="21">
        <f t="shared" ref="A5:A12" si="13">A4+1</f>
        <v>3</v>
      </c>
      <c r="B5" s="13" t="s">
        <v>22</v>
      </c>
      <c r="C5" s="54">
        <v>365000</v>
      </c>
      <c r="D5" s="14">
        <v>910</v>
      </c>
      <c r="E5" s="22">
        <f t="shared" si="4"/>
        <v>332150000</v>
      </c>
      <c r="F5" s="23">
        <f t="shared" si="5"/>
        <v>6.3674181427804621E-2</v>
      </c>
      <c r="G5" s="114">
        <v>0.15</v>
      </c>
      <c r="H5" s="114">
        <v>0.15</v>
      </c>
      <c r="I5" s="114">
        <v>0.15</v>
      </c>
      <c r="J5" s="114">
        <v>0.15</v>
      </c>
      <c r="K5" s="24"/>
      <c r="L5" s="8">
        <f t="shared" si="1"/>
        <v>419749.99999999994</v>
      </c>
      <c r="M5" s="8">
        <f t="shared" si="6"/>
        <v>482712.49999999988</v>
      </c>
      <c r="N5" s="8">
        <f t="shared" si="7"/>
        <v>555119.37499999977</v>
      </c>
      <c r="O5" s="8">
        <f t="shared" si="8"/>
        <v>638387.28124999965</v>
      </c>
      <c r="P5" s="25">
        <f>D5*(1+'1'!$Z$4)</f>
        <v>964.6</v>
      </c>
      <c r="Q5" s="25">
        <f>P5*(1+'1'!$AA$4)</f>
        <v>1022.4760000000001</v>
      </c>
      <c r="R5" s="25">
        <f>Q5*(1+'1'!$AB$4)</f>
        <v>1083.8245600000002</v>
      </c>
      <c r="S5" s="25">
        <f>R5*(1+'1'!$AC$4)</f>
        <v>1148.8540336000003</v>
      </c>
      <c r="T5" s="26">
        <f t="shared" si="9"/>
        <v>404890849.99999994</v>
      </c>
      <c r="U5" s="26">
        <f t="shared" si="10"/>
        <v>493561946.14999992</v>
      </c>
      <c r="V5" s="26">
        <f t="shared" si="11"/>
        <v>601652012.35684991</v>
      </c>
      <c r="W5" s="26">
        <f t="shared" si="12"/>
        <v>733413803.06299996</v>
      </c>
      <c r="X5" s="26"/>
      <c r="Y5" s="117" t="s">
        <v>23</v>
      </c>
      <c r="Z5" s="52">
        <v>1.9E-2</v>
      </c>
      <c r="AA5" s="52">
        <v>1.9E-2</v>
      </c>
      <c r="AB5" s="52">
        <v>1.9E-2</v>
      </c>
      <c r="AC5" s="52">
        <v>1.9E-2</v>
      </c>
    </row>
    <row r="6" spans="1:29" ht="15.75" thickBot="1">
      <c r="A6" s="21">
        <f t="shared" si="13"/>
        <v>4</v>
      </c>
      <c r="B6" s="13" t="s">
        <v>24</v>
      </c>
      <c r="C6" s="54">
        <v>950000</v>
      </c>
      <c r="D6" s="14">
        <v>890</v>
      </c>
      <c r="E6" s="22">
        <f t="shared" si="4"/>
        <v>845500000</v>
      </c>
      <c r="F6" s="23">
        <f t="shared" si="5"/>
        <v>0.1620849628096005</v>
      </c>
      <c r="G6" s="114">
        <v>0.15</v>
      </c>
      <c r="H6" s="114">
        <v>0.15</v>
      </c>
      <c r="I6" s="114">
        <v>0.15</v>
      </c>
      <c r="J6" s="114">
        <v>0.15</v>
      </c>
      <c r="K6" s="24"/>
      <c r="L6" s="8">
        <f t="shared" si="1"/>
        <v>1092500</v>
      </c>
      <c r="M6" s="8">
        <f t="shared" si="6"/>
        <v>1256375</v>
      </c>
      <c r="N6" s="8">
        <f t="shared" si="7"/>
        <v>1444831.25</v>
      </c>
      <c r="O6" s="8">
        <f t="shared" si="8"/>
        <v>1661555.9374999998</v>
      </c>
      <c r="P6" s="25">
        <f>D6*(1+'1'!$Z$4)</f>
        <v>943.40000000000009</v>
      </c>
      <c r="Q6" s="25">
        <f>P6*(1+'1'!$AA$4)</f>
        <v>1000.0040000000001</v>
      </c>
      <c r="R6" s="25">
        <f>Q6*(1+'1'!$AB$4)</f>
        <v>1060.0042400000002</v>
      </c>
      <c r="S6" s="25">
        <f>R6*(1+'1'!$AC$4)</f>
        <v>1123.6044944000002</v>
      </c>
      <c r="T6" s="26">
        <f t="shared" si="9"/>
        <v>1030664500.0000001</v>
      </c>
      <c r="U6" s="26">
        <f t="shared" si="10"/>
        <v>1256380025.5000002</v>
      </c>
      <c r="V6" s="26">
        <f t="shared" si="11"/>
        <v>1531527251.0845003</v>
      </c>
      <c r="W6" s="26">
        <f t="shared" si="12"/>
        <v>1866931719.0720057</v>
      </c>
      <c r="X6" s="26"/>
    </row>
    <row r="7" spans="1:29" ht="24" thickBot="1">
      <c r="A7" s="21">
        <f t="shared" si="13"/>
        <v>5</v>
      </c>
      <c r="B7" s="13" t="s">
        <v>25</v>
      </c>
      <c r="C7" s="54">
        <v>3950000</v>
      </c>
      <c r="D7" s="14">
        <v>870</v>
      </c>
      <c r="E7" s="22">
        <f t="shared" si="4"/>
        <v>3436500000</v>
      </c>
      <c r="F7" s="23">
        <f t="shared" si="5"/>
        <v>0.6587876696572349</v>
      </c>
      <c r="G7" s="114">
        <v>0.15</v>
      </c>
      <c r="H7" s="114">
        <v>0.15</v>
      </c>
      <c r="I7" s="114">
        <v>0.15</v>
      </c>
      <c r="J7" s="114">
        <v>0.15</v>
      </c>
      <c r="K7" s="24"/>
      <c r="L7" s="8">
        <f t="shared" si="1"/>
        <v>4542500</v>
      </c>
      <c r="M7" s="8">
        <f t="shared" si="6"/>
        <v>5223875</v>
      </c>
      <c r="N7" s="8">
        <f t="shared" si="7"/>
        <v>6007456.25</v>
      </c>
      <c r="O7" s="8">
        <f t="shared" si="8"/>
        <v>6908574.6874999991</v>
      </c>
      <c r="P7" s="25">
        <f>D7*(1+'1'!$Z$4)</f>
        <v>922.2</v>
      </c>
      <c r="Q7" s="25">
        <f>P7*(1+'1'!$AA$4)</f>
        <v>977.53200000000015</v>
      </c>
      <c r="R7" s="25">
        <f>Q7*(1+'1'!$AB$4)</f>
        <v>1036.1839200000002</v>
      </c>
      <c r="S7" s="25">
        <f>R7*(1+'1'!$AC$4)</f>
        <v>1098.3549552000002</v>
      </c>
      <c r="T7" s="26">
        <f t="shared" si="9"/>
        <v>4189093500</v>
      </c>
      <c r="U7" s="26">
        <f t="shared" si="10"/>
        <v>5106504976.500001</v>
      </c>
      <c r="V7" s="26">
        <f t="shared" si="11"/>
        <v>6224829566.3535013</v>
      </c>
      <c r="W7" s="26">
        <f t="shared" si="12"/>
        <v>7588067241.3849163</v>
      </c>
      <c r="X7" s="26"/>
      <c r="Y7" s="30" t="s">
        <v>26</v>
      </c>
      <c r="Z7" s="31"/>
      <c r="AA7" s="31"/>
      <c r="AB7" s="53">
        <v>0.35</v>
      </c>
      <c r="AC7" s="32"/>
    </row>
    <row r="8" spans="1:29">
      <c r="A8" s="21">
        <f t="shared" si="13"/>
        <v>6</v>
      </c>
      <c r="B8" s="13" t="s">
        <v>27</v>
      </c>
      <c r="C8" s="54">
        <v>75000</v>
      </c>
      <c r="D8" s="14">
        <v>200</v>
      </c>
      <c r="E8" s="22">
        <f t="shared" si="4"/>
        <v>15000000</v>
      </c>
      <c r="F8" s="23">
        <f t="shared" si="5"/>
        <v>2.8755463538072232E-3</v>
      </c>
      <c r="G8" s="114">
        <v>0.15</v>
      </c>
      <c r="H8" s="114">
        <v>0.15</v>
      </c>
      <c r="I8" s="114">
        <v>0.15</v>
      </c>
      <c r="J8" s="114">
        <v>0.15</v>
      </c>
      <c r="K8" s="24"/>
      <c r="L8" s="8">
        <f t="shared" si="1"/>
        <v>86250</v>
      </c>
      <c r="M8" s="8">
        <f t="shared" si="6"/>
        <v>99187.499999999985</v>
      </c>
      <c r="N8" s="8">
        <f t="shared" si="7"/>
        <v>114065.62499999997</v>
      </c>
      <c r="O8" s="8">
        <f t="shared" si="8"/>
        <v>131175.46874999997</v>
      </c>
      <c r="P8" s="25">
        <f>D8*(1+'1'!$Z$4)</f>
        <v>212</v>
      </c>
      <c r="Q8" s="25">
        <f>P8*(1+'1'!$AA$4)</f>
        <v>224.72</v>
      </c>
      <c r="R8" s="25">
        <f>Q8*(1+'1'!$AB$4)</f>
        <v>238.20320000000001</v>
      </c>
      <c r="S8" s="25">
        <f>R8*(1+'1'!$AC$4)</f>
        <v>252.49539200000001</v>
      </c>
      <c r="T8" s="26">
        <f t="shared" si="9"/>
        <v>18285000</v>
      </c>
      <c r="U8" s="26">
        <f t="shared" si="10"/>
        <v>22289414.999999996</v>
      </c>
      <c r="V8" s="26">
        <f t="shared" si="11"/>
        <v>27170796.884999994</v>
      </c>
      <c r="W8" s="26">
        <f t="shared" si="12"/>
        <v>33121201.402814995</v>
      </c>
      <c r="X8" s="26"/>
    </row>
    <row r="9" spans="1:29">
      <c r="A9" s="21">
        <f t="shared" si="13"/>
        <v>7</v>
      </c>
      <c r="B9" s="13" t="s">
        <v>398</v>
      </c>
      <c r="C9" s="54">
        <v>25000</v>
      </c>
      <c r="D9" s="14">
        <v>6500</v>
      </c>
      <c r="E9" s="22">
        <f t="shared" si="4"/>
        <v>162500000</v>
      </c>
      <c r="F9" s="23">
        <f t="shared" si="5"/>
        <v>3.1151752166244918E-2</v>
      </c>
      <c r="G9" s="114">
        <v>0.15</v>
      </c>
      <c r="H9" s="114">
        <v>0.15</v>
      </c>
      <c r="I9" s="114">
        <v>0.15</v>
      </c>
      <c r="J9" s="114">
        <v>0.15</v>
      </c>
      <c r="K9" s="24"/>
      <c r="L9" s="8">
        <f t="shared" si="1"/>
        <v>28749.999999999996</v>
      </c>
      <c r="M9" s="8">
        <f t="shared" si="6"/>
        <v>33062.499999999993</v>
      </c>
      <c r="N9" s="8">
        <f t="shared" si="7"/>
        <v>38021.874999999985</v>
      </c>
      <c r="O9" s="8">
        <f t="shared" si="8"/>
        <v>43725.156249999978</v>
      </c>
      <c r="P9" s="25">
        <f>D9*(1+'1'!$Z$4)</f>
        <v>6890</v>
      </c>
      <c r="Q9" s="25">
        <f>P9*(1+'1'!$AA$4)</f>
        <v>7303.4000000000005</v>
      </c>
      <c r="R9" s="25">
        <f>Q9*(1+'1'!$AB$4)</f>
        <v>7741.6040000000012</v>
      </c>
      <c r="S9" s="25">
        <f>R9*(1+'1'!$AC$4)</f>
        <v>8206.1002400000016</v>
      </c>
      <c r="T9" s="26">
        <f t="shared" si="9"/>
        <v>198087499.99999997</v>
      </c>
      <c r="U9" s="26">
        <f t="shared" si="10"/>
        <v>241468662.49999997</v>
      </c>
      <c r="V9" s="26">
        <f t="shared" si="11"/>
        <v>294350299.58749992</v>
      </c>
      <c r="W9" s="26">
        <f t="shared" si="12"/>
        <v>358813015.19716239</v>
      </c>
      <c r="X9" s="26"/>
    </row>
    <row r="10" spans="1:29">
      <c r="A10" s="21">
        <f t="shared" si="13"/>
        <v>8</v>
      </c>
      <c r="B10" s="13" t="s">
        <v>28</v>
      </c>
      <c r="C10" s="54">
        <v>300</v>
      </c>
      <c r="D10" s="14">
        <v>95000</v>
      </c>
      <c r="E10" s="22">
        <f t="shared" si="4"/>
        <v>28500000</v>
      </c>
      <c r="F10" s="23">
        <f t="shared" si="5"/>
        <v>5.4635380722337246E-3</v>
      </c>
      <c r="G10" s="114">
        <v>0.15</v>
      </c>
      <c r="H10" s="114">
        <v>0.15</v>
      </c>
      <c r="I10" s="114">
        <v>0.15</v>
      </c>
      <c r="J10" s="114">
        <v>0.15</v>
      </c>
      <c r="K10" s="24"/>
      <c r="L10" s="8">
        <f t="shared" si="1"/>
        <v>345</v>
      </c>
      <c r="M10" s="8">
        <f t="shared" si="6"/>
        <v>396.74999999999994</v>
      </c>
      <c r="N10" s="8">
        <f t="shared" si="7"/>
        <v>456.26249999999987</v>
      </c>
      <c r="O10" s="8">
        <f t="shared" si="8"/>
        <v>524.70187499999986</v>
      </c>
      <c r="P10" s="25">
        <f>D10*(1+'1'!$Z$4)</f>
        <v>100700</v>
      </c>
      <c r="Q10" s="25">
        <f>P10*(1+'1'!$AA$4)</f>
        <v>106742</v>
      </c>
      <c r="R10" s="25">
        <f>Q10*(1+'1'!$AB$4)</f>
        <v>113146.52</v>
      </c>
      <c r="S10" s="25">
        <f>R10*(1+'1'!$AC$4)</f>
        <v>119935.31120000001</v>
      </c>
      <c r="T10" s="26">
        <f t="shared" si="9"/>
        <v>34741500</v>
      </c>
      <c r="U10" s="26">
        <f t="shared" si="10"/>
        <v>42349888.499999993</v>
      </c>
      <c r="V10" s="26">
        <f t="shared" si="11"/>
        <v>51624514.081499986</v>
      </c>
      <c r="W10" s="26">
        <f t="shared" si="12"/>
        <v>62930282.665348493</v>
      </c>
      <c r="X10" s="26"/>
    </row>
    <row r="11" spans="1:29">
      <c r="A11" s="21">
        <f t="shared" si="13"/>
        <v>9</v>
      </c>
      <c r="B11" s="13" t="s">
        <v>29</v>
      </c>
      <c r="C11" s="54">
        <v>800</v>
      </c>
      <c r="D11" s="14">
        <v>85000</v>
      </c>
      <c r="E11" s="22">
        <f t="shared" si="4"/>
        <v>68000000</v>
      </c>
      <c r="F11" s="23">
        <f t="shared" si="5"/>
        <v>1.3035810137259412E-2</v>
      </c>
      <c r="G11" s="114">
        <v>0.15</v>
      </c>
      <c r="H11" s="114">
        <v>0.15</v>
      </c>
      <c r="I11" s="114">
        <v>0.15</v>
      </c>
      <c r="J11" s="114">
        <v>0.15</v>
      </c>
      <c r="K11" s="24"/>
      <c r="L11" s="8">
        <f t="shared" si="1"/>
        <v>919.99999999999989</v>
      </c>
      <c r="M11" s="8">
        <f t="shared" si="6"/>
        <v>1057.9999999999998</v>
      </c>
      <c r="N11" s="8">
        <f t="shared" si="7"/>
        <v>1216.6999999999996</v>
      </c>
      <c r="O11" s="8">
        <f t="shared" si="8"/>
        <v>1399.2049999999995</v>
      </c>
      <c r="P11" s="25">
        <f>D11*(1+'1'!$Z$4)</f>
        <v>90100</v>
      </c>
      <c r="Q11" s="25">
        <f>P11*(1+'1'!$AA$4)</f>
        <v>95506</v>
      </c>
      <c r="R11" s="25">
        <f>Q11*(1+'1'!$AB$4)</f>
        <v>101236.36</v>
      </c>
      <c r="S11" s="25">
        <f>R11*(1+'1'!$AC$4)</f>
        <v>107310.54160000001</v>
      </c>
      <c r="T11" s="26">
        <f t="shared" si="9"/>
        <v>82891999.999999985</v>
      </c>
      <c r="U11" s="26">
        <f t="shared" si="10"/>
        <v>101045347.99999999</v>
      </c>
      <c r="V11" s="26">
        <f t="shared" si="11"/>
        <v>123174279.21199995</v>
      </c>
      <c r="W11" s="26">
        <f t="shared" si="12"/>
        <v>150149446.35942796</v>
      </c>
      <c r="X11" s="26"/>
    </row>
    <row r="12" spans="1:29">
      <c r="A12" s="21">
        <f t="shared" si="13"/>
        <v>10</v>
      </c>
      <c r="B12" s="13" t="s">
        <v>30</v>
      </c>
      <c r="C12" s="54">
        <v>300</v>
      </c>
      <c r="D12" s="14">
        <v>120000</v>
      </c>
      <c r="E12" s="22">
        <f t="shared" si="4"/>
        <v>36000000</v>
      </c>
      <c r="F12" s="23">
        <f t="shared" si="5"/>
        <v>6.901311249137336E-3</v>
      </c>
      <c r="G12" s="114">
        <v>0.15</v>
      </c>
      <c r="H12" s="114">
        <v>0.15</v>
      </c>
      <c r="I12" s="114">
        <v>0.15</v>
      </c>
      <c r="J12" s="114">
        <v>0.15</v>
      </c>
      <c r="K12" s="24"/>
      <c r="L12" s="8">
        <f t="shared" si="1"/>
        <v>345</v>
      </c>
      <c r="M12" s="8">
        <f t="shared" si="6"/>
        <v>396.74999999999994</v>
      </c>
      <c r="N12" s="8">
        <f t="shared" si="7"/>
        <v>456.26249999999987</v>
      </c>
      <c r="O12" s="8">
        <f t="shared" si="8"/>
        <v>524.70187499999986</v>
      </c>
      <c r="P12" s="25">
        <f>D12*(1+'1'!$Z$4)</f>
        <v>127200</v>
      </c>
      <c r="Q12" s="25">
        <f>P12*(1+'1'!$AA$4)</f>
        <v>134832</v>
      </c>
      <c r="R12" s="25">
        <f>Q12*(1+'1'!$AB$4)</f>
        <v>142921.92000000001</v>
      </c>
      <c r="S12" s="25">
        <f>R12*(1+'1'!$AC$4)</f>
        <v>151497.23520000002</v>
      </c>
      <c r="T12" s="26">
        <f t="shared" si="9"/>
        <v>43884000</v>
      </c>
      <c r="U12" s="26">
        <f t="shared" si="10"/>
        <v>53494595.999999993</v>
      </c>
      <c r="V12" s="26">
        <f t="shared" si="11"/>
        <v>65209912.523999989</v>
      </c>
      <c r="W12" s="26">
        <f t="shared" si="12"/>
        <v>79490883.366755992</v>
      </c>
      <c r="X12" s="26"/>
    </row>
    <row r="13" spans="1:29">
      <c r="D13" s="8" t="s">
        <v>31</v>
      </c>
      <c r="E13" s="33">
        <f>SUM(E3:E12)</f>
        <v>5216400000</v>
      </c>
      <c r="F13" s="34">
        <f>SUM(F3:F12)</f>
        <v>1</v>
      </c>
      <c r="T13" s="35">
        <f>SUM(T3:T12)</f>
        <v>6358791600</v>
      </c>
      <c r="U13" s="35">
        <f>SUM(U3:U12)</f>
        <v>7751366960.4000015</v>
      </c>
      <c r="V13" s="35">
        <f>SUM(V3:V12)</f>
        <v>9448916324.7276001</v>
      </c>
      <c r="W13" s="35">
        <f>SUM(W3:W12)</f>
        <v>11518228999.842945</v>
      </c>
      <c r="X13" s="26"/>
    </row>
    <row r="15" spans="1:29" ht="23.25" customHeight="1">
      <c r="A15" s="165" t="s">
        <v>32</v>
      </c>
      <c r="B15" s="165"/>
      <c r="C15" s="165"/>
      <c r="D15" s="165"/>
      <c r="E15" s="165"/>
      <c r="G15" s="36"/>
    </row>
    <row r="16" spans="1:29" ht="25.5" customHeight="1">
      <c r="B16" s="17" t="s">
        <v>33</v>
      </c>
      <c r="C16" s="37" t="s">
        <v>6</v>
      </c>
      <c r="D16" s="112" t="s">
        <v>34</v>
      </c>
      <c r="E16" s="18" t="s">
        <v>35</v>
      </c>
      <c r="L16" s="8">
        <f>L2</f>
        <v>2025</v>
      </c>
      <c r="M16" s="8">
        <f t="shared" ref="M16:W16" si="14">M2</f>
        <v>2026</v>
      </c>
      <c r="N16" s="8">
        <f t="shared" si="14"/>
        <v>2027</v>
      </c>
      <c r="O16" s="8">
        <f t="shared" si="14"/>
        <v>2028</v>
      </c>
      <c r="P16" s="8" t="str">
        <f t="shared" si="14"/>
        <v>AÑO 2</v>
      </c>
      <c r="Q16" s="8" t="str">
        <f t="shared" si="14"/>
        <v>AÑO 3</v>
      </c>
      <c r="R16" s="8" t="str">
        <f t="shared" si="14"/>
        <v>AÑO 4</v>
      </c>
      <c r="S16" s="8" t="str">
        <f t="shared" si="14"/>
        <v>AÑO 5</v>
      </c>
      <c r="T16" s="8" t="str">
        <f t="shared" si="14"/>
        <v>año 2</v>
      </c>
      <c r="U16" s="8" t="str">
        <f t="shared" si="14"/>
        <v>año 3</v>
      </c>
      <c r="V16" s="8" t="str">
        <f t="shared" si="14"/>
        <v>año 4</v>
      </c>
      <c r="W16" s="8" t="str">
        <f t="shared" si="14"/>
        <v>año 5</v>
      </c>
    </row>
    <row r="17" spans="1:24">
      <c r="A17" s="21">
        <f>A3</f>
        <v>1</v>
      </c>
      <c r="B17" s="93" t="str">
        <f>B3</f>
        <v>Correos en paquete entre 0 y 1000</v>
      </c>
      <c r="C17" s="39">
        <f>C3</f>
        <v>160000</v>
      </c>
      <c r="D17" s="14">
        <v>80</v>
      </c>
      <c r="E17" s="22">
        <f>C17*D17</f>
        <v>12800000</v>
      </c>
      <c r="F17" s="23">
        <f>IF($E$27=0,0,E17/$E$27)</f>
        <v>1.9467680608365019E-2</v>
      </c>
      <c r="L17" s="8">
        <f t="shared" ref="L17:L26" si="15">C17*(1+G3)</f>
        <v>184000</v>
      </c>
      <c r="M17" s="8">
        <f>L17*(1+H3)</f>
        <v>211599.99999999997</v>
      </c>
      <c r="N17" s="8">
        <f t="shared" ref="N17:O17" si="16">M17*(1+I3)</f>
        <v>243339.99999999994</v>
      </c>
      <c r="O17" s="8">
        <f t="shared" si="16"/>
        <v>279840.99999999988</v>
      </c>
      <c r="P17" s="40">
        <f>D17*(1+'1'!$Z$5)</f>
        <v>81.52</v>
      </c>
      <c r="Q17" s="25">
        <f>P17*(1+'1'!$AA$5)</f>
        <v>83.068879999999993</v>
      </c>
      <c r="R17" s="25">
        <f>Q17*(1+'1'!$AB$5)</f>
        <v>84.647188719999988</v>
      </c>
      <c r="S17" s="25">
        <f>R17*(1+'1'!$AC$5)</f>
        <v>86.255485305679983</v>
      </c>
      <c r="T17" s="40">
        <f t="shared" ref="T17:U19" si="17">L17*P17</f>
        <v>14999680</v>
      </c>
      <c r="U17" s="26">
        <f t="shared" si="17"/>
        <v>17577375.007999998</v>
      </c>
      <c r="V17" s="26">
        <f t="shared" ref="V17:W17" si="18">N17*R17</f>
        <v>20598046.903124791</v>
      </c>
      <c r="W17" s="26">
        <f t="shared" si="18"/>
        <v>24137821.263426781</v>
      </c>
      <c r="X17" s="26"/>
    </row>
    <row r="18" spans="1:24">
      <c r="A18" s="21">
        <f t="shared" ref="A18:B25" si="19">A4</f>
        <v>2</v>
      </c>
      <c r="B18" s="41" t="str">
        <f t="shared" si="19"/>
        <v>Correos en paquete entre 1001 y 5000</v>
      </c>
      <c r="C18" s="39">
        <f t="shared" ref="C18:C26" si="20">C4</f>
        <v>150000</v>
      </c>
      <c r="D18" s="14">
        <v>80</v>
      </c>
      <c r="E18" s="22">
        <f t="shared" ref="E18:E26" si="21">C18*D18</f>
        <v>12000000</v>
      </c>
      <c r="F18" s="23">
        <f t="shared" ref="F18:F26" si="22">IF($E$27=0,0,E18/$E$27)</f>
        <v>1.8250950570342206E-2</v>
      </c>
      <c r="L18" s="8">
        <f t="shared" si="15"/>
        <v>172500</v>
      </c>
      <c r="M18" s="8">
        <f t="shared" ref="M18:M26" si="23">L18*(1+H4)</f>
        <v>198374.99999999997</v>
      </c>
      <c r="N18" s="8">
        <f t="shared" ref="N18:N26" si="24">M18*(1+I4)</f>
        <v>228131.24999999994</v>
      </c>
      <c r="O18" s="8">
        <f t="shared" ref="O18:O26" si="25">N18*(1+J4)</f>
        <v>262350.93749999994</v>
      </c>
      <c r="P18" s="40">
        <f>D18*(1+'1'!$Z$5)</f>
        <v>81.52</v>
      </c>
      <c r="Q18" s="25">
        <f>P18*(1+'1'!$AA$5)</f>
        <v>83.068879999999993</v>
      </c>
      <c r="R18" s="25">
        <f>Q18*(1+'1'!$AB$5)</f>
        <v>84.647188719999988</v>
      </c>
      <c r="S18" s="25">
        <f>R18*(1+'1'!$AC$5)</f>
        <v>86.255485305679983</v>
      </c>
      <c r="T18" s="40">
        <f t="shared" si="17"/>
        <v>14062200</v>
      </c>
      <c r="U18" s="26">
        <f t="shared" si="17"/>
        <v>16478789.069999997</v>
      </c>
      <c r="V18" s="26">
        <f t="shared" ref="V18:V26" si="26">N18*R18</f>
        <v>19310668.971679494</v>
      </c>
      <c r="W18" s="26">
        <f t="shared" ref="W18:W26" si="27">O18*S18</f>
        <v>22629207.434462614</v>
      </c>
      <c r="X18" s="26"/>
    </row>
    <row r="19" spans="1:24">
      <c r="A19" s="21">
        <f t="shared" si="19"/>
        <v>3</v>
      </c>
      <c r="B19" s="41" t="str">
        <f t="shared" si="19"/>
        <v>Correos en paquete entre 5001  y 50000</v>
      </c>
      <c r="C19" s="39">
        <f t="shared" si="20"/>
        <v>365000</v>
      </c>
      <c r="D19" s="14">
        <v>80</v>
      </c>
      <c r="E19" s="22">
        <f t="shared" si="21"/>
        <v>29200000</v>
      </c>
      <c r="F19" s="23">
        <f t="shared" si="22"/>
        <v>4.4410646387832702E-2</v>
      </c>
      <c r="L19" s="8">
        <f t="shared" si="15"/>
        <v>419749.99999999994</v>
      </c>
      <c r="M19" s="8">
        <f t="shared" si="23"/>
        <v>482712.49999999988</v>
      </c>
      <c r="N19" s="8">
        <f t="shared" si="24"/>
        <v>555119.37499999977</v>
      </c>
      <c r="O19" s="8">
        <f t="shared" si="25"/>
        <v>638387.28124999965</v>
      </c>
      <c r="P19" s="40">
        <f>D19*(1+'1'!$Z$5)</f>
        <v>81.52</v>
      </c>
      <c r="Q19" s="25">
        <f>P19*(1+'1'!$AA$5)</f>
        <v>83.068879999999993</v>
      </c>
      <c r="R19" s="25">
        <f>Q19*(1+'1'!$AB$5)</f>
        <v>84.647188719999988</v>
      </c>
      <c r="S19" s="25">
        <f>R19*(1+'1'!$AC$5)</f>
        <v>86.255485305679983</v>
      </c>
      <c r="T19" s="40">
        <f t="shared" si="17"/>
        <v>34218019.999999993</v>
      </c>
      <c r="U19" s="26">
        <f t="shared" si="17"/>
        <v>40098386.736999989</v>
      </c>
      <c r="V19" s="26">
        <f t="shared" si="26"/>
        <v>46989294.497753426</v>
      </c>
      <c r="W19" s="26">
        <f t="shared" si="27"/>
        <v>55064404.757192336</v>
      </c>
      <c r="X19" s="26"/>
    </row>
    <row r="20" spans="1:24">
      <c r="A20" s="21">
        <f t="shared" si="19"/>
        <v>4</v>
      </c>
      <c r="B20" s="41" t="str">
        <f t="shared" si="19"/>
        <v>Correos en paquete entre 50001  y 200000</v>
      </c>
      <c r="C20" s="39">
        <f t="shared" si="20"/>
        <v>950000</v>
      </c>
      <c r="D20" s="14">
        <v>80</v>
      </c>
      <c r="E20" s="22">
        <f t="shared" si="21"/>
        <v>76000000</v>
      </c>
      <c r="F20" s="23">
        <f t="shared" si="22"/>
        <v>0.11558935361216729</v>
      </c>
      <c r="L20" s="8">
        <f t="shared" si="15"/>
        <v>1092500</v>
      </c>
      <c r="M20" s="8">
        <f t="shared" si="23"/>
        <v>1256375</v>
      </c>
      <c r="N20" s="8">
        <f t="shared" si="24"/>
        <v>1444831.25</v>
      </c>
      <c r="O20" s="8">
        <f t="shared" si="25"/>
        <v>1661555.9374999998</v>
      </c>
      <c r="P20" s="40">
        <f>D20*(1+'1'!$Z$5)</f>
        <v>81.52</v>
      </c>
      <c r="Q20" s="25">
        <f>P20*(1+'1'!$AA$5)</f>
        <v>83.068879999999993</v>
      </c>
      <c r="R20" s="25">
        <f>Q20*(1+'1'!$AB$5)</f>
        <v>84.647188719999988</v>
      </c>
      <c r="S20" s="25">
        <f>R20*(1+'1'!$AC$5)</f>
        <v>86.255485305679983</v>
      </c>
      <c r="T20" s="40">
        <f t="shared" ref="T20:T26" si="28">L20*P20</f>
        <v>89060600</v>
      </c>
      <c r="U20" s="26">
        <f t="shared" ref="U20:U26" si="29">M20*Q20</f>
        <v>104365664.10999998</v>
      </c>
      <c r="V20" s="26">
        <f t="shared" si="26"/>
        <v>122300903.48730348</v>
      </c>
      <c r="W20" s="26">
        <f t="shared" si="27"/>
        <v>143318313.75159657</v>
      </c>
      <c r="X20" s="26"/>
    </row>
    <row r="21" spans="1:24">
      <c r="A21" s="21">
        <f t="shared" si="19"/>
        <v>5</v>
      </c>
      <c r="B21" s="41" t="str">
        <f t="shared" si="19"/>
        <v>Mayor a 200001</v>
      </c>
      <c r="C21" s="39">
        <f t="shared" si="20"/>
        <v>3950000</v>
      </c>
      <c r="D21" s="14">
        <v>80</v>
      </c>
      <c r="E21" s="22">
        <f t="shared" si="21"/>
        <v>316000000</v>
      </c>
      <c r="F21" s="23">
        <f t="shared" si="22"/>
        <v>0.48060836501901139</v>
      </c>
      <c r="L21" s="8">
        <f t="shared" si="15"/>
        <v>4542500</v>
      </c>
      <c r="M21" s="8">
        <f t="shared" si="23"/>
        <v>5223875</v>
      </c>
      <c r="N21" s="8">
        <f t="shared" si="24"/>
        <v>6007456.25</v>
      </c>
      <c r="O21" s="8">
        <f t="shared" si="25"/>
        <v>6908574.6874999991</v>
      </c>
      <c r="P21" s="40">
        <f>D21*(1+'1'!$Z$5)</f>
        <v>81.52</v>
      </c>
      <c r="Q21" s="25">
        <f>P21*(1+'1'!$AA$5)</f>
        <v>83.068879999999993</v>
      </c>
      <c r="R21" s="25">
        <f>Q21*(1+'1'!$AB$5)</f>
        <v>84.647188719999988</v>
      </c>
      <c r="S21" s="25">
        <f>R21*(1+'1'!$AC$5)</f>
        <v>86.255485305679983</v>
      </c>
      <c r="T21" s="40">
        <f t="shared" si="28"/>
        <v>370304600</v>
      </c>
      <c r="U21" s="26">
        <f t="shared" si="29"/>
        <v>433941445.50999999</v>
      </c>
      <c r="V21" s="26">
        <f t="shared" si="26"/>
        <v>508514282.92089343</v>
      </c>
      <c r="W21" s="26">
        <f t="shared" si="27"/>
        <v>595902462.44084883</v>
      </c>
      <c r="X21" s="26"/>
    </row>
    <row r="22" spans="1:24">
      <c r="A22" s="21">
        <f t="shared" si="19"/>
        <v>6</v>
      </c>
      <c r="B22" s="41" t="str">
        <f t="shared" si="19"/>
        <v>Cantidad de verificación de Identidad persona Natural</v>
      </c>
      <c r="C22" s="39">
        <f t="shared" si="20"/>
        <v>75000</v>
      </c>
      <c r="D22" s="14">
        <v>140</v>
      </c>
      <c r="E22" s="22">
        <f t="shared" si="21"/>
        <v>10500000</v>
      </c>
      <c r="F22" s="23">
        <f t="shared" si="22"/>
        <v>1.596958174904943E-2</v>
      </c>
      <c r="L22" s="8">
        <f t="shared" si="15"/>
        <v>86250</v>
      </c>
      <c r="M22" s="8">
        <f t="shared" si="23"/>
        <v>99187.499999999985</v>
      </c>
      <c r="N22" s="8">
        <f t="shared" si="24"/>
        <v>114065.62499999997</v>
      </c>
      <c r="O22" s="8">
        <f t="shared" si="25"/>
        <v>131175.46874999997</v>
      </c>
      <c r="P22" s="40">
        <f>D22*(1+'1'!$Z$5)</f>
        <v>142.66</v>
      </c>
      <c r="Q22" s="25">
        <f>P22*(1+'1'!$AA$5)</f>
        <v>145.37053999999998</v>
      </c>
      <c r="R22" s="25">
        <f>Q22*(1+'1'!$AB$5)</f>
        <v>148.13258025999997</v>
      </c>
      <c r="S22" s="25">
        <f>R22*(1+'1'!$AC$5)</f>
        <v>150.94709928493995</v>
      </c>
      <c r="T22" s="40">
        <f t="shared" si="28"/>
        <v>12304425</v>
      </c>
      <c r="U22" s="26">
        <f t="shared" si="29"/>
        <v>14418940.436249996</v>
      </c>
      <c r="V22" s="26">
        <f t="shared" si="26"/>
        <v>16896835.350219555</v>
      </c>
      <c r="W22" s="26">
        <f t="shared" si="27"/>
        <v>19800556.505154785</v>
      </c>
      <c r="X22" s="26"/>
    </row>
    <row r="23" spans="1:24">
      <c r="A23" s="21">
        <f t="shared" si="19"/>
        <v>7</v>
      </c>
      <c r="B23" s="41" t="str">
        <f t="shared" si="19"/>
        <v>Cantidad de Verificación de Identidad persona Jurídica</v>
      </c>
      <c r="C23" s="39">
        <f t="shared" si="20"/>
        <v>25000</v>
      </c>
      <c r="D23" s="14">
        <v>5000</v>
      </c>
      <c r="E23" s="22">
        <f t="shared" si="21"/>
        <v>125000000</v>
      </c>
      <c r="F23" s="23">
        <f t="shared" si="22"/>
        <v>0.19011406844106463</v>
      </c>
      <c r="L23" s="8">
        <f t="shared" si="15"/>
        <v>28749.999999999996</v>
      </c>
      <c r="M23" s="8">
        <f t="shared" si="23"/>
        <v>33062.499999999993</v>
      </c>
      <c r="N23" s="8">
        <f t="shared" si="24"/>
        <v>38021.874999999985</v>
      </c>
      <c r="O23" s="8">
        <f t="shared" si="25"/>
        <v>43725.156249999978</v>
      </c>
      <c r="P23" s="40">
        <f>D23*(1+'1'!$Z$5)</f>
        <v>5094.9999999999991</v>
      </c>
      <c r="Q23" s="25">
        <f>P23*(1+'1'!$AA$5)</f>
        <v>5191.8049999999985</v>
      </c>
      <c r="R23" s="25">
        <f>Q23*(1+'1'!$AB$5)</f>
        <v>5290.4492949999976</v>
      </c>
      <c r="S23" s="25">
        <f>R23*(1+'1'!$AC$5)</f>
        <v>5390.9678316049967</v>
      </c>
      <c r="T23" s="40">
        <f t="shared" si="28"/>
        <v>146481249.99999997</v>
      </c>
      <c r="U23" s="26">
        <f t="shared" si="29"/>
        <v>171654052.81249991</v>
      </c>
      <c r="V23" s="26">
        <f t="shared" si="26"/>
        <v>201152801.78832796</v>
      </c>
      <c r="W23" s="26">
        <f t="shared" si="27"/>
        <v>235720910.77565205</v>
      </c>
      <c r="X23" s="26"/>
    </row>
    <row r="24" spans="1:24">
      <c r="A24" s="21">
        <f t="shared" si="19"/>
        <v>8</v>
      </c>
      <c r="B24" s="41" t="str">
        <f t="shared" si="19"/>
        <v xml:space="preserve">Cantidad horas consultor de procesos </v>
      </c>
      <c r="C24" s="39">
        <f t="shared" si="20"/>
        <v>300</v>
      </c>
      <c r="D24" s="14">
        <v>55000</v>
      </c>
      <c r="E24" s="22">
        <f t="shared" si="21"/>
        <v>16500000</v>
      </c>
      <c r="F24" s="23">
        <f t="shared" si="22"/>
        <v>2.5095057034220533E-2</v>
      </c>
      <c r="L24" s="8">
        <f t="shared" si="15"/>
        <v>345</v>
      </c>
      <c r="M24" s="8">
        <f t="shared" si="23"/>
        <v>396.74999999999994</v>
      </c>
      <c r="N24" s="8">
        <f t="shared" si="24"/>
        <v>456.26249999999987</v>
      </c>
      <c r="O24" s="8">
        <f t="shared" si="25"/>
        <v>524.70187499999986</v>
      </c>
      <c r="P24" s="40">
        <f>D24*(1+'1'!$Z$5)</f>
        <v>56044.999999999993</v>
      </c>
      <c r="Q24" s="25">
        <f>P24*(1+'1'!$AA$5)</f>
        <v>57109.854999999989</v>
      </c>
      <c r="R24" s="25">
        <f>Q24*(1+'1'!$AB$5)</f>
        <v>58194.942244999984</v>
      </c>
      <c r="S24" s="25">
        <f>R24*(1+'1'!$AC$5)</f>
        <v>59300.646147654981</v>
      </c>
      <c r="T24" s="40">
        <f t="shared" si="28"/>
        <v>19335524.999999996</v>
      </c>
      <c r="U24" s="26">
        <f t="shared" si="29"/>
        <v>22658334.971249994</v>
      </c>
      <c r="V24" s="26">
        <f t="shared" si="26"/>
        <v>26552169.836059298</v>
      </c>
      <c r="W24" s="26">
        <f t="shared" si="27"/>
        <v>31115160.222386088</v>
      </c>
      <c r="X24" s="26"/>
    </row>
    <row r="25" spans="1:24">
      <c r="A25" s="21">
        <f t="shared" si="19"/>
        <v>9</v>
      </c>
      <c r="B25" s="41" t="str">
        <f t="shared" si="19"/>
        <v>Cantidad horas diseñador gráfico</v>
      </c>
      <c r="C25" s="39">
        <f t="shared" si="20"/>
        <v>800</v>
      </c>
      <c r="D25" s="14">
        <v>50000</v>
      </c>
      <c r="E25" s="22">
        <f t="shared" si="21"/>
        <v>40000000</v>
      </c>
      <c r="F25" s="23">
        <f t="shared" si="22"/>
        <v>6.0836501901140684E-2</v>
      </c>
      <c r="L25" s="8">
        <f t="shared" si="15"/>
        <v>919.99999999999989</v>
      </c>
      <c r="M25" s="8">
        <f t="shared" si="23"/>
        <v>1057.9999999999998</v>
      </c>
      <c r="N25" s="8">
        <f t="shared" si="24"/>
        <v>1216.6999999999996</v>
      </c>
      <c r="O25" s="8">
        <f t="shared" si="25"/>
        <v>1399.2049999999995</v>
      </c>
      <c r="P25" s="40">
        <f>D25*(1+'1'!$Z$5)</f>
        <v>50949.999999999993</v>
      </c>
      <c r="Q25" s="25">
        <f>P25*(1+'1'!$AA$5)</f>
        <v>51918.049999999988</v>
      </c>
      <c r="R25" s="25">
        <f>Q25*(1+'1'!$AB$5)</f>
        <v>52904.492949999985</v>
      </c>
      <c r="S25" s="25">
        <f>R25*(1+'1'!$AC$5)</f>
        <v>53909.678316049984</v>
      </c>
      <c r="T25" s="40">
        <f t="shared" si="28"/>
        <v>46873999.999999985</v>
      </c>
      <c r="U25" s="26">
        <f t="shared" si="29"/>
        <v>54929296.899999976</v>
      </c>
      <c r="V25" s="26">
        <f t="shared" si="26"/>
        <v>64368896.572264962</v>
      </c>
      <c r="W25" s="26">
        <f t="shared" si="27"/>
        <v>75430691.44820869</v>
      </c>
      <c r="X25" s="26"/>
    </row>
    <row r="26" spans="1:24">
      <c r="A26" s="21">
        <f>A12</f>
        <v>10</v>
      </c>
      <c r="B26" s="41" t="str">
        <f t="shared" ref="B26" si="30">B12</f>
        <v>Cantidad horas analista de datos</v>
      </c>
      <c r="C26" s="39">
        <f t="shared" si="20"/>
        <v>300</v>
      </c>
      <c r="D26" s="14">
        <v>65000</v>
      </c>
      <c r="E26" s="22">
        <f t="shared" si="21"/>
        <v>19500000</v>
      </c>
      <c r="F26" s="23">
        <f t="shared" si="22"/>
        <v>2.9657794676806085E-2</v>
      </c>
      <c r="L26" s="8">
        <f t="shared" si="15"/>
        <v>345</v>
      </c>
      <c r="M26" s="8">
        <f t="shared" si="23"/>
        <v>396.74999999999994</v>
      </c>
      <c r="N26" s="8">
        <f t="shared" si="24"/>
        <v>456.26249999999987</v>
      </c>
      <c r="O26" s="8">
        <f t="shared" si="25"/>
        <v>524.70187499999986</v>
      </c>
      <c r="P26" s="40">
        <f>D26*(1+'1'!$Z$5)</f>
        <v>66235</v>
      </c>
      <c r="Q26" s="25">
        <f>P26*(1+'1'!$AA$5)</f>
        <v>67493.464999999997</v>
      </c>
      <c r="R26" s="25">
        <f>Q26*(1+'1'!$AB$5)</f>
        <v>68775.840834999995</v>
      </c>
      <c r="S26" s="25">
        <f>R26*(1+'1'!$AC$5)</f>
        <v>70082.581810864984</v>
      </c>
      <c r="T26" s="40">
        <f t="shared" si="28"/>
        <v>22851075</v>
      </c>
      <c r="U26" s="26">
        <f t="shared" si="29"/>
        <v>26778032.238749996</v>
      </c>
      <c r="V26" s="26">
        <f t="shared" si="26"/>
        <v>31379837.078979176</v>
      </c>
      <c r="W26" s="26">
        <f t="shared" si="27"/>
        <v>36772462.081001744</v>
      </c>
      <c r="X26" s="26"/>
    </row>
    <row r="27" spans="1:24">
      <c r="D27" s="8" t="str">
        <f>D13</f>
        <v>TOTAL</v>
      </c>
      <c r="E27" s="33">
        <f>SUM(E17:E26)</f>
        <v>657500000</v>
      </c>
      <c r="F27" s="34">
        <f>SUM(F17:F26)</f>
        <v>0.99999999999999989</v>
      </c>
      <c r="T27" s="35">
        <f>SUM(T17:T26)</f>
        <v>770491375</v>
      </c>
      <c r="U27" s="35">
        <f>SUM(U17:U26)</f>
        <v>902900317.79374969</v>
      </c>
      <c r="V27" s="35">
        <f t="shared" ref="V27:W27" si="31">SUM(V17:V26)</f>
        <v>1058063737.4066055</v>
      </c>
      <c r="W27" s="35">
        <f t="shared" si="31"/>
        <v>1239891990.6799302</v>
      </c>
      <c r="X27" s="26"/>
    </row>
    <row r="30" spans="1:24">
      <c r="A30" s="164" t="s">
        <v>36</v>
      </c>
      <c r="B30" s="164"/>
      <c r="C30" s="164"/>
      <c r="D30" s="164"/>
      <c r="E30" s="164"/>
      <c r="F30" s="164"/>
    </row>
    <row r="31" spans="1:24" ht="26.25">
      <c r="A31" s="42" t="s">
        <v>19</v>
      </c>
      <c r="B31" s="43">
        <f>'1'!Z1</f>
        <v>2024</v>
      </c>
      <c r="C31" s="43">
        <f>B31+1</f>
        <v>2025</v>
      </c>
      <c r="D31" s="43">
        <f>C31+1</f>
        <v>2026</v>
      </c>
      <c r="E31" s="43">
        <f>D31+1</f>
        <v>2027</v>
      </c>
      <c r="F31" s="43">
        <f>E31+1</f>
        <v>2028</v>
      </c>
      <c r="H31" s="44"/>
      <c r="I31" s="44"/>
      <c r="J31" s="44"/>
      <c r="K31" s="44"/>
      <c r="L31" s="44"/>
      <c r="M31" s="44"/>
      <c r="N31" s="44"/>
      <c r="O31" s="44"/>
      <c r="P31" s="44"/>
      <c r="Q31" s="44"/>
      <c r="R31" s="44"/>
      <c r="S31" s="44"/>
      <c r="T31" s="44"/>
      <c r="U31" s="44"/>
      <c r="V31" s="44"/>
    </row>
    <row r="32" spans="1:24">
      <c r="A32" s="45" t="s">
        <v>37</v>
      </c>
      <c r="B32" s="46">
        <f>'1'!E13</f>
        <v>5216400000</v>
      </c>
      <c r="C32" s="47">
        <f>'1'!T13</f>
        <v>6358791600</v>
      </c>
      <c r="D32" s="47">
        <f>'1'!U13</f>
        <v>7751366960.4000015</v>
      </c>
      <c r="E32" s="47">
        <f>'1'!V13</f>
        <v>9448916324.7276001</v>
      </c>
      <c r="F32" s="47">
        <f>'1'!W13</f>
        <v>11518228999.842945</v>
      </c>
    </row>
    <row r="33" spans="1:6">
      <c r="A33" s="45" t="s">
        <v>38</v>
      </c>
      <c r="B33" s="46">
        <f>'1'!E27</f>
        <v>657500000</v>
      </c>
      <c r="C33" s="46">
        <f>'1'!T27</f>
        <v>770491375</v>
      </c>
      <c r="D33" s="46">
        <f>'1'!U27</f>
        <v>902900317.79374969</v>
      </c>
      <c r="E33" s="46">
        <f>'1'!V27</f>
        <v>1058063737.4066055</v>
      </c>
      <c r="F33" s="46">
        <f>'1'!W27</f>
        <v>1239891990.6799302</v>
      </c>
    </row>
    <row r="34" spans="1:6" ht="21" thickBot="1">
      <c r="A34" s="48" t="s">
        <v>39</v>
      </c>
      <c r="B34" s="115">
        <f>B32-B33</f>
        <v>4558900000</v>
      </c>
      <c r="C34" s="115">
        <f t="shared" ref="C34:D34" si="32">C32-C33</f>
        <v>5588300225</v>
      </c>
      <c r="D34" s="115">
        <f t="shared" si="32"/>
        <v>6848466642.6062517</v>
      </c>
      <c r="E34" s="115">
        <f t="shared" ref="E34" si="33">E32-E33</f>
        <v>8390852587.3209944</v>
      </c>
      <c r="F34" s="115">
        <f t="shared" ref="F34" si="34">F32-F33</f>
        <v>10278337009.163015</v>
      </c>
    </row>
    <row r="35" spans="1:6" ht="15.75" thickTop="1"/>
  </sheetData>
  <sheetProtection algorithmName="SHA-512" hashValue="IM2j+jM+f5Q0iSszpln9SjYa1ct3EnrJ+Fgo/eN1hcEJORKRM/VAmG9BLJ7GlrkOo/6UzT1NeQHoNEo7xoCZ8g==" saltValue="pvCg7EA79uYf5kWmnFj3uQ==" spinCount="100000" sheet="1" formatCells="0" formatColumns="0" formatRows="0"/>
  <mergeCells count="4">
    <mergeCell ref="A30:F30"/>
    <mergeCell ref="A1:E1"/>
    <mergeCell ref="A15:E15"/>
    <mergeCell ref="G1:J1"/>
  </mergeCells>
  <conditionalFormatting sqref="B34:F34">
    <cfRule type="cellIs" dxfId="10" priority="1" operator="lessThan">
      <formula>0</formula>
    </cfRule>
  </conditionalFormatting>
  <pageMargins left="0.7" right="0.7" top="0.75" bottom="0.75" header="0.3" footer="0.3"/>
  <pageSetup orientation="portrait" verticalDpi="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1:H31"/>
  <sheetViews>
    <sheetView showGridLines="0" workbookViewId="0">
      <pane ySplit="14" topLeftCell="A15" activePane="bottomLeft" state="frozenSplit"/>
      <selection activeCell="B40" sqref="B40"/>
      <selection pane="bottomLeft" activeCell="E29" sqref="E29"/>
    </sheetView>
  </sheetViews>
  <sheetFormatPr baseColWidth="10" defaultColWidth="11.42578125" defaultRowHeight="15"/>
  <cols>
    <col min="1" max="1" width="5.42578125" style="8" customWidth="1"/>
    <col min="2" max="2" width="37.85546875" style="8" customWidth="1"/>
    <col min="3" max="3" width="20.28515625" style="8" customWidth="1"/>
    <col min="4" max="4" width="11.42578125" style="8"/>
    <col min="5" max="5" width="31.5703125" style="8" customWidth="1"/>
    <col min="6" max="6" width="21.140625" style="8" customWidth="1"/>
    <col min="7" max="7" width="15.5703125" style="8" bestFit="1" customWidth="1"/>
    <col min="8" max="16384" width="11.42578125" style="8"/>
  </cols>
  <sheetData>
    <row r="1" spans="2:8">
      <c r="B1" s="167" t="s">
        <v>40</v>
      </c>
      <c r="C1" s="167"/>
      <c r="D1" s="167"/>
      <c r="E1" s="167"/>
      <c r="F1" s="167"/>
      <c r="G1" s="167"/>
      <c r="H1" s="167"/>
    </row>
    <row r="2" spans="2:8" ht="3.75" customHeight="1">
      <c r="B2" s="167"/>
      <c r="C2" s="167"/>
      <c r="D2" s="167"/>
      <c r="E2" s="167"/>
      <c r="F2" s="167"/>
      <c r="G2" s="167"/>
      <c r="H2" s="167"/>
    </row>
    <row r="3" spans="2:8">
      <c r="C3" s="21" t="s">
        <v>41</v>
      </c>
      <c r="F3" s="72" t="s">
        <v>42</v>
      </c>
      <c r="G3" s="72"/>
    </row>
    <row r="4" spans="2:8">
      <c r="B4" s="48" t="s">
        <v>43</v>
      </c>
      <c r="C4" s="14">
        <v>0</v>
      </c>
      <c r="F4" s="72"/>
      <c r="G4" s="72"/>
    </row>
    <row r="5" spans="2:8">
      <c r="B5" s="48" t="s">
        <v>44</v>
      </c>
      <c r="C5" s="14">
        <v>0</v>
      </c>
      <c r="F5" s="72">
        <v>10</v>
      </c>
      <c r="G5" s="73">
        <f t="shared" ref="G5:G11" si="0">C5/F5</f>
        <v>0</v>
      </c>
    </row>
    <row r="6" spans="2:8">
      <c r="B6" s="48" t="s">
        <v>45</v>
      </c>
      <c r="C6" s="14">
        <v>42000000</v>
      </c>
      <c r="F6" s="72">
        <v>5</v>
      </c>
      <c r="G6" s="73">
        <f t="shared" si="0"/>
        <v>8400000</v>
      </c>
    </row>
    <row r="7" spans="2:8">
      <c r="B7" s="48" t="s">
        <v>46</v>
      </c>
      <c r="C7" s="14">
        <v>108000000</v>
      </c>
      <c r="F7" s="72">
        <v>5</v>
      </c>
      <c r="G7" s="73">
        <f t="shared" si="0"/>
        <v>21600000</v>
      </c>
    </row>
    <row r="8" spans="2:8">
      <c r="B8" s="48" t="s">
        <v>47</v>
      </c>
      <c r="C8" s="14">
        <v>0</v>
      </c>
      <c r="F8" s="72">
        <v>5</v>
      </c>
      <c r="G8" s="73">
        <f t="shared" si="0"/>
        <v>0</v>
      </c>
    </row>
    <row r="9" spans="2:8">
      <c r="B9" s="48" t="s">
        <v>48</v>
      </c>
      <c r="C9" s="14">
        <v>0</v>
      </c>
      <c r="F9" s="72">
        <v>5</v>
      </c>
      <c r="G9" s="73">
        <f t="shared" si="0"/>
        <v>0</v>
      </c>
    </row>
    <row r="10" spans="2:8">
      <c r="B10" s="48" t="s">
        <v>49</v>
      </c>
      <c r="C10" s="14">
        <v>0</v>
      </c>
      <c r="F10" s="72">
        <v>5</v>
      </c>
      <c r="G10" s="73">
        <f t="shared" si="0"/>
        <v>0</v>
      </c>
    </row>
    <row r="11" spans="2:8">
      <c r="B11" s="48" t="s">
        <v>50</v>
      </c>
      <c r="C11" s="14">
        <v>1357209426</v>
      </c>
      <c r="F11" s="72">
        <v>5</v>
      </c>
      <c r="G11" s="73">
        <f t="shared" si="0"/>
        <v>271441885.19999999</v>
      </c>
    </row>
    <row r="12" spans="2:8" ht="16.5" thickBot="1">
      <c r="B12" s="74" t="s">
        <v>51</v>
      </c>
      <c r="C12" s="75">
        <f>SUM(C4:C11)</f>
        <v>1507209426</v>
      </c>
      <c r="F12" s="72"/>
      <c r="G12" s="73">
        <f>SUM(G5:G11)</f>
        <v>301441885.19999999</v>
      </c>
    </row>
    <row r="13" spans="2:8">
      <c r="B13" s="168" t="s">
        <v>52</v>
      </c>
      <c r="C13" s="169"/>
      <c r="D13" s="169"/>
      <c r="E13" s="169"/>
      <c r="F13" s="169"/>
      <c r="G13" s="169"/>
      <c r="H13" s="170"/>
    </row>
    <row r="14" spans="2:8" ht="15.75" thickBot="1">
      <c r="B14" s="171"/>
      <c r="C14" s="172"/>
      <c r="D14" s="172"/>
      <c r="E14" s="172"/>
      <c r="F14" s="172"/>
      <c r="G14" s="172"/>
      <c r="H14" s="173"/>
    </row>
    <row r="15" spans="2:8">
      <c r="B15" s="76"/>
      <c r="C15" s="76"/>
      <c r="D15" s="76"/>
      <c r="E15" s="76"/>
      <c r="F15" s="76"/>
      <c r="G15" s="76"/>
      <c r="H15" s="76"/>
    </row>
    <row r="16" spans="2:8">
      <c r="B16" s="74" t="s">
        <v>53</v>
      </c>
      <c r="E16" s="74" t="s">
        <v>54</v>
      </c>
      <c r="F16" s="38"/>
    </row>
    <row r="17" spans="2:6">
      <c r="C17" s="74" t="s">
        <v>55</v>
      </c>
      <c r="F17" s="74" t="str">
        <f>C17</f>
        <v>VALOR AÑO 1</v>
      </c>
    </row>
    <row r="18" spans="2:6">
      <c r="B18" s="77" t="s">
        <v>56</v>
      </c>
      <c r="C18" s="14">
        <v>2049357480</v>
      </c>
      <c r="E18" s="78" t="s">
        <v>57</v>
      </c>
      <c r="F18" s="14">
        <v>36000000</v>
      </c>
    </row>
    <row r="19" spans="2:6">
      <c r="C19" s="79"/>
      <c r="E19" s="78" t="s">
        <v>58</v>
      </c>
      <c r="F19" s="14">
        <v>19200000</v>
      </c>
    </row>
    <row r="20" spans="2:6">
      <c r="B20" s="77" t="s">
        <v>59</v>
      </c>
      <c r="C20" s="14">
        <v>332088816</v>
      </c>
      <c r="E20" s="78" t="s">
        <v>60</v>
      </c>
      <c r="F20" s="14">
        <v>5760000</v>
      </c>
    </row>
    <row r="21" spans="2:6">
      <c r="C21" s="79"/>
      <c r="E21" s="78" t="s">
        <v>61</v>
      </c>
      <c r="F21" s="14">
        <v>3840000</v>
      </c>
    </row>
    <row r="22" spans="2:6">
      <c r="B22" s="77" t="s">
        <v>62</v>
      </c>
      <c r="C22" s="14">
        <v>1523695704</v>
      </c>
      <c r="E22" s="78" t="s">
        <v>63</v>
      </c>
      <c r="F22" s="14">
        <v>2160000</v>
      </c>
    </row>
    <row r="23" spans="2:6" ht="15.75">
      <c r="B23" s="8" t="s">
        <v>64</v>
      </c>
      <c r="C23" s="75">
        <f>C18+C20+C22</f>
        <v>3905142000</v>
      </c>
      <c r="E23" s="78" t="s">
        <v>65</v>
      </c>
      <c r="F23" s="14">
        <v>0</v>
      </c>
    </row>
    <row r="24" spans="2:6">
      <c r="E24" s="78" t="s">
        <v>66</v>
      </c>
      <c r="F24" s="14">
        <v>0</v>
      </c>
    </row>
    <row r="25" spans="2:6" ht="48.75">
      <c r="B25" s="78" t="s">
        <v>67</v>
      </c>
      <c r="C25" s="14">
        <v>35000000</v>
      </c>
      <c r="E25" s="99" t="s">
        <v>68</v>
      </c>
      <c r="F25" s="14">
        <v>0</v>
      </c>
    </row>
    <row r="26" spans="2:6">
      <c r="E26" s="99" t="s">
        <v>69</v>
      </c>
      <c r="F26" s="14">
        <v>20000000</v>
      </c>
    </row>
    <row r="27" spans="2:6">
      <c r="B27" s="97" t="s">
        <v>70</v>
      </c>
      <c r="C27" s="97"/>
      <c r="E27" s="99" t="s">
        <v>71</v>
      </c>
      <c r="F27" s="14">
        <v>10000000</v>
      </c>
    </row>
    <row r="28" spans="2:6">
      <c r="B28" s="113">
        <f>'1'!G2</f>
        <v>2025</v>
      </c>
      <c r="C28" s="14">
        <v>20000000</v>
      </c>
      <c r="E28" s="99" t="s">
        <v>72</v>
      </c>
      <c r="F28" s="14">
        <v>2460000</v>
      </c>
    </row>
    <row r="29" spans="2:6" ht="48.75">
      <c r="B29" s="113">
        <f>'1'!H2</f>
        <v>2026</v>
      </c>
      <c r="C29" s="14">
        <v>20000000</v>
      </c>
      <c r="E29" s="194" t="s">
        <v>397</v>
      </c>
      <c r="F29" s="14">
        <v>261767400</v>
      </c>
    </row>
    <row r="30" spans="2:6" ht="48.75">
      <c r="B30" s="113">
        <f>'1'!I2</f>
        <v>2027</v>
      </c>
      <c r="C30" s="14">
        <v>20000000</v>
      </c>
      <c r="E30" s="99" t="s">
        <v>73</v>
      </c>
      <c r="F30" s="14">
        <v>79200000</v>
      </c>
    </row>
    <row r="31" spans="2:6" ht="15.75">
      <c r="B31" s="113">
        <f>'1'!J2</f>
        <v>2028</v>
      </c>
      <c r="C31" s="14">
        <v>20000000</v>
      </c>
      <c r="E31" s="78" t="s">
        <v>74</v>
      </c>
      <c r="F31" s="75">
        <f>SUM(F18:F30)</f>
        <v>440387400</v>
      </c>
    </row>
  </sheetData>
  <sheetProtection password="8F5C" sheet="1" objects="1" scenarios="1" formatCells="0" formatColumns="0" formatRows="0"/>
  <mergeCells count="2">
    <mergeCell ref="B1:H2"/>
    <mergeCell ref="B13:H14"/>
  </mergeCells>
  <pageMargins left="0.7" right="0.7" top="0.75" bottom="0.75" header="0.3" footer="0.3"/>
  <pageSetup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L16"/>
  <sheetViews>
    <sheetView showGridLines="0" workbookViewId="0">
      <selection activeCell="D16" sqref="D16"/>
    </sheetView>
  </sheetViews>
  <sheetFormatPr baseColWidth="10" defaultColWidth="11.42578125" defaultRowHeight="15"/>
  <cols>
    <col min="1" max="1" width="11.42578125" style="8"/>
    <col min="2" max="2" width="46.85546875" style="8" bestFit="1" customWidth="1"/>
    <col min="3" max="3" width="23.28515625" style="8" customWidth="1"/>
    <col min="4" max="4" width="30" style="8" bestFit="1" customWidth="1"/>
    <col min="5" max="5" width="6.5703125" style="8" bestFit="1" customWidth="1"/>
    <col min="6" max="6" width="28.140625" style="8" bestFit="1" customWidth="1"/>
    <col min="7" max="8" width="27" style="8" bestFit="1" customWidth="1"/>
    <col min="9" max="10" width="28.140625" style="8" bestFit="1" customWidth="1"/>
    <col min="11" max="11" width="11.42578125" style="8"/>
    <col min="12" max="12" width="2" style="8" bestFit="1" customWidth="1"/>
    <col min="13" max="16384" width="11.42578125" style="8"/>
  </cols>
  <sheetData>
    <row r="2" spans="2:12" ht="29.25" customHeight="1">
      <c r="B2" s="165" t="s">
        <v>75</v>
      </c>
      <c r="C2" s="165"/>
      <c r="D2" s="165"/>
      <c r="E2" s="165"/>
      <c r="F2" s="165"/>
      <c r="G2" s="165"/>
      <c r="H2" s="165"/>
      <c r="I2" s="165"/>
      <c r="J2" s="165"/>
    </row>
    <row r="3" spans="2:12">
      <c r="F3" s="174" t="s">
        <v>76</v>
      </c>
      <c r="G3" s="174"/>
    </row>
    <row r="4" spans="2:12" ht="15.75">
      <c r="B4" s="16" t="s">
        <v>51</v>
      </c>
      <c r="C4" s="75">
        <f>'2'!C12</f>
        <v>1507209426</v>
      </c>
      <c r="F4" s="175">
        <v>0.24160000000000001</v>
      </c>
      <c r="G4" s="175"/>
      <c r="I4" s="8" t="s">
        <v>77</v>
      </c>
      <c r="J4" s="129">
        <v>5</v>
      </c>
      <c r="L4" s="72">
        <v>1</v>
      </c>
    </row>
    <row r="5" spans="2:12">
      <c r="L5" s="72">
        <v>2</v>
      </c>
    </row>
    <row r="6" spans="2:12" ht="15.75" thickBot="1">
      <c r="B6" s="16" t="s">
        <v>78</v>
      </c>
      <c r="F6" s="164" t="s">
        <v>79</v>
      </c>
      <c r="G6" s="164"/>
      <c r="H6" s="164"/>
      <c r="I6" s="164"/>
      <c r="J6" s="164"/>
      <c r="L6" s="72">
        <v>3</v>
      </c>
    </row>
    <row r="7" spans="2:12">
      <c r="C7" s="80" t="s">
        <v>80</v>
      </c>
      <c r="D7" s="80" t="s">
        <v>81</v>
      </c>
      <c r="E7" s="118"/>
      <c r="F7" s="119" t="s">
        <v>82</v>
      </c>
      <c r="G7" s="119" t="s">
        <v>83</v>
      </c>
      <c r="H7" s="119" t="s">
        <v>84</v>
      </c>
      <c r="I7" s="119" t="s">
        <v>85</v>
      </c>
      <c r="J7" s="120" t="s">
        <v>86</v>
      </c>
      <c r="L7" s="72">
        <v>4</v>
      </c>
    </row>
    <row r="8" spans="2:12">
      <c r="B8" s="48" t="s">
        <v>87</v>
      </c>
      <c r="C8" s="55">
        <v>3</v>
      </c>
      <c r="D8" s="25">
        <f>('1'!B33/12)*C8</f>
        <v>164375000</v>
      </c>
      <c r="E8" s="121" t="s">
        <v>88</v>
      </c>
      <c r="F8" s="122"/>
      <c r="G8" s="122"/>
      <c r="H8" s="122"/>
      <c r="I8" s="122"/>
      <c r="J8" s="123">
        <f>D16</f>
        <v>2586716776</v>
      </c>
      <c r="L8" s="72">
        <v>5</v>
      </c>
    </row>
    <row r="9" spans="2:12">
      <c r="B9" s="48" t="s">
        <v>89</v>
      </c>
      <c r="C9" s="55">
        <v>3</v>
      </c>
      <c r="D9" s="25">
        <f>('2'!C23/12)*C9</f>
        <v>976285500</v>
      </c>
      <c r="E9" s="121">
        <f>'1'!B31</f>
        <v>2024</v>
      </c>
      <c r="F9" s="125">
        <f t="shared" ref="F9:F13" si="0">IF(J8&gt;0,J8,0)</f>
        <v>2586716776</v>
      </c>
      <c r="G9" s="125">
        <f>F9*$F$4</f>
        <v>624950773.08160007</v>
      </c>
      <c r="H9" s="125">
        <f>IF(J8&lt;1,0,(I9-G9))</f>
        <v>320391024.03805399</v>
      </c>
      <c r="I9" s="125">
        <f>PMT(F4,J4,J8)*-1</f>
        <v>945341797.11965406</v>
      </c>
      <c r="J9" s="126">
        <f>F9-H9</f>
        <v>2266325751.961946</v>
      </c>
    </row>
    <row r="10" spans="2:12">
      <c r="B10" s="48" t="s">
        <v>90</v>
      </c>
      <c r="C10" s="55">
        <v>3</v>
      </c>
      <c r="D10" s="25">
        <f>('2'!C25/12)*C10</f>
        <v>8750000</v>
      </c>
      <c r="E10" s="121">
        <f>'1'!C31</f>
        <v>2025</v>
      </c>
      <c r="F10" s="125">
        <f t="shared" si="0"/>
        <v>2266325751.961946</v>
      </c>
      <c r="G10" s="125">
        <f t="shared" ref="G10:G13" si="1">F10*$F$4</f>
        <v>547544301.67400622</v>
      </c>
      <c r="H10" s="125">
        <f t="shared" ref="H10:H13" si="2">IF(J9&lt;1,0,(I10-G10))</f>
        <v>397797495.44564784</v>
      </c>
      <c r="I10" s="125">
        <f>IF(J9&lt;1,0,(I9*(1+$K$7)))</f>
        <v>945341797.11965406</v>
      </c>
      <c r="J10" s="126">
        <f t="shared" ref="J10:J13" si="3">F10-H10</f>
        <v>1868528256.5162983</v>
      </c>
    </row>
    <row r="11" spans="2:12">
      <c r="B11" s="48" t="s">
        <v>91</v>
      </c>
      <c r="C11" s="55">
        <v>3</v>
      </c>
      <c r="D11" s="25">
        <f>('2'!F31/12)*C11</f>
        <v>110096850</v>
      </c>
      <c r="E11" s="121">
        <f>'1'!D31</f>
        <v>2026</v>
      </c>
      <c r="F11" s="125">
        <f t="shared" si="0"/>
        <v>1868528256.5162983</v>
      </c>
      <c r="G11" s="125">
        <f t="shared" si="1"/>
        <v>451436426.77433771</v>
      </c>
      <c r="H11" s="125">
        <f t="shared" si="2"/>
        <v>493905370.34531635</v>
      </c>
      <c r="I11" s="125">
        <f t="shared" ref="I11:I13" si="4">IF(J10&lt;1,0,(I10*(1+$K$7)))</f>
        <v>945341797.11965406</v>
      </c>
      <c r="J11" s="126">
        <f t="shared" si="3"/>
        <v>1374622886.1709819</v>
      </c>
    </row>
    <row r="12" spans="2:12" ht="15.75">
      <c r="B12" s="81" t="s">
        <v>31</v>
      </c>
      <c r="C12" s="59"/>
      <c r="D12" s="82">
        <f>SUM(D8:D11)</f>
        <v>1259507350</v>
      </c>
      <c r="E12" s="121">
        <f>'1'!E31</f>
        <v>2027</v>
      </c>
      <c r="F12" s="125">
        <f t="shared" si="0"/>
        <v>1374622886.1709819</v>
      </c>
      <c r="G12" s="125">
        <f t="shared" si="1"/>
        <v>332108889.29890925</v>
      </c>
      <c r="H12" s="125">
        <f t="shared" si="2"/>
        <v>613232907.82074475</v>
      </c>
      <c r="I12" s="125">
        <f t="shared" si="4"/>
        <v>945341797.11965406</v>
      </c>
      <c r="J12" s="126">
        <f t="shared" si="3"/>
        <v>761389978.35023713</v>
      </c>
    </row>
    <row r="13" spans="2:12" ht="15.75" thickBot="1">
      <c r="E13" s="124">
        <f>'1'!F31</f>
        <v>2028</v>
      </c>
      <c r="F13" s="127">
        <f t="shared" si="0"/>
        <v>761389978.35023713</v>
      </c>
      <c r="G13" s="127">
        <f t="shared" si="1"/>
        <v>183951818.76941729</v>
      </c>
      <c r="H13" s="127">
        <f t="shared" si="2"/>
        <v>761389978.35023677</v>
      </c>
      <c r="I13" s="127">
        <f t="shared" si="4"/>
        <v>945341797.11965406</v>
      </c>
      <c r="J13" s="128">
        <f t="shared" si="3"/>
        <v>0</v>
      </c>
    </row>
    <row r="14" spans="2:12" ht="15.75">
      <c r="B14" s="48" t="s">
        <v>92</v>
      </c>
      <c r="D14" s="75">
        <f>C4+D12</f>
        <v>2766716776</v>
      </c>
    </row>
    <row r="15" spans="2:12">
      <c r="B15" s="48" t="s">
        <v>93</v>
      </c>
      <c r="D15" s="56">
        <v>180000000</v>
      </c>
    </row>
    <row r="16" spans="2:12" ht="15.75">
      <c r="B16" s="48" t="s">
        <v>94</v>
      </c>
      <c r="D16" s="83">
        <f>D14-D15</f>
        <v>2586716776</v>
      </c>
    </row>
  </sheetData>
  <sheetProtection algorithmName="SHA-512" hashValue="B7ndtVYrux/uk+TvKDgtfYGjnqXa+9M3E9gljRPOZhV/jkPmtPJ48OWu3kAOqJQSLrGaBzYHxAE1Z4CTlcjgvQ==" saltValue="O/PBqDHoH4Qcnc7JWRDO+Q==" spinCount="100000" sheet="1" formatCells="0" formatColumns="0" formatRows="0"/>
  <mergeCells count="4">
    <mergeCell ref="F6:J6"/>
    <mergeCell ref="F3:G3"/>
    <mergeCell ref="F4:G4"/>
    <mergeCell ref="B2:J2"/>
  </mergeCells>
  <dataValidations count="1">
    <dataValidation type="list" allowBlank="1" showInputMessage="1" showErrorMessage="1" sqref="L4 J4" xr:uid="{00000000-0002-0000-0300-000000000000}">
      <formula1>$L$4:$L$8</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0"/>
  <sheetViews>
    <sheetView showGridLines="0" tabSelected="1" zoomScale="90" zoomScaleNormal="90" workbookViewId="0">
      <pane xSplit="7" ySplit="1" topLeftCell="H3" activePane="bottomRight" state="frozenSplit"/>
      <selection pane="topRight" activeCell="E1" sqref="E1"/>
      <selection pane="bottomLeft" activeCell="A12" sqref="A12"/>
      <selection pane="bottomRight" activeCell="C17" sqref="C17"/>
    </sheetView>
  </sheetViews>
  <sheetFormatPr baseColWidth="10" defaultColWidth="28.42578125" defaultRowHeight="15"/>
  <cols>
    <col min="1" max="16384" width="28.42578125" style="8"/>
  </cols>
  <sheetData>
    <row r="1" spans="1:7" ht="34.5" customHeight="1">
      <c r="A1" s="179" t="s">
        <v>95</v>
      </c>
      <c r="B1" s="179"/>
      <c r="C1" s="179"/>
      <c r="D1" s="179"/>
      <c r="E1" s="179"/>
      <c r="F1" s="179"/>
      <c r="G1" s="179"/>
    </row>
    <row r="2" spans="1:7" ht="23.25">
      <c r="A2" s="180" t="s">
        <v>96</v>
      </c>
      <c r="B2" s="180"/>
      <c r="C2" s="180"/>
      <c r="D2" s="180"/>
      <c r="E2" s="180"/>
      <c r="F2" s="180"/>
      <c r="G2" s="180"/>
    </row>
    <row r="3" spans="1:7" ht="8.25" customHeight="1">
      <c r="A3" s="57"/>
      <c r="B3" s="57"/>
      <c r="C3" s="57"/>
      <c r="D3" s="57"/>
      <c r="E3" s="57"/>
      <c r="F3" s="57"/>
      <c r="G3" s="57"/>
    </row>
    <row r="4" spans="1:7" ht="15.75">
      <c r="A4" s="178" t="s">
        <v>97</v>
      </c>
      <c r="B4" s="178"/>
      <c r="C4" s="178"/>
      <c r="D4" s="178"/>
      <c r="E4" s="178"/>
      <c r="F4" s="178"/>
      <c r="G4" s="178"/>
    </row>
    <row r="5" spans="1:7" ht="23.25">
      <c r="C5" s="61">
        <f>'1'!B31</f>
        <v>2024</v>
      </c>
      <c r="D5" s="61">
        <f>'1'!C31</f>
        <v>2025</v>
      </c>
      <c r="E5" s="61">
        <f>'1'!D31</f>
        <v>2026</v>
      </c>
      <c r="F5" s="61">
        <f>'1'!E31</f>
        <v>2027</v>
      </c>
      <c r="G5" s="61">
        <f>'1'!F31</f>
        <v>2028</v>
      </c>
    </row>
    <row r="6" spans="1:7">
      <c r="B6" s="8" t="s">
        <v>98</v>
      </c>
      <c r="C6" s="62">
        <f>'1'!B32</f>
        <v>5216400000</v>
      </c>
      <c r="D6" s="62">
        <f>'1'!C32</f>
        <v>6358791600</v>
      </c>
      <c r="E6" s="62">
        <f>'1'!D32</f>
        <v>7751366960.4000015</v>
      </c>
      <c r="F6" s="62">
        <f>'1'!E32</f>
        <v>9448916324.7276001</v>
      </c>
      <c r="G6" s="62">
        <f>'1'!F32</f>
        <v>11518228999.842945</v>
      </c>
    </row>
    <row r="7" spans="1:7">
      <c r="B7" s="8" t="s">
        <v>99</v>
      </c>
      <c r="C7" s="62">
        <f>'1'!B33</f>
        <v>657500000</v>
      </c>
      <c r="D7" s="62">
        <f>'1'!C33</f>
        <v>770491375</v>
      </c>
      <c r="E7" s="62">
        <f>'1'!D33</f>
        <v>902900317.79374969</v>
      </c>
      <c r="F7" s="62">
        <f>'1'!E33</f>
        <v>1058063737.4066055</v>
      </c>
      <c r="G7" s="62">
        <f>'1'!F33</f>
        <v>1239891990.6799302</v>
      </c>
    </row>
    <row r="8" spans="1:7" ht="15.75" thickBot="1">
      <c r="B8" s="63" t="s">
        <v>100</v>
      </c>
      <c r="C8" s="64">
        <f>C6-C7</f>
        <v>4558900000</v>
      </c>
      <c r="D8" s="64">
        <f t="shared" ref="D8:G8" si="0">D6-D7</f>
        <v>5588300225</v>
      </c>
      <c r="E8" s="64">
        <f t="shared" si="0"/>
        <v>6848466642.6062517</v>
      </c>
      <c r="F8" s="64">
        <f t="shared" si="0"/>
        <v>8390852587.3209944</v>
      </c>
      <c r="G8" s="64">
        <f t="shared" si="0"/>
        <v>10278337009.163015</v>
      </c>
    </row>
    <row r="9" spans="1:7" ht="15.75" thickTop="1">
      <c r="B9" s="8" t="s">
        <v>101</v>
      </c>
      <c r="C9" s="62">
        <f>'2'!C23</f>
        <v>3905142000</v>
      </c>
      <c r="D9" s="62">
        <f>C9*(1+'1'!Z4)</f>
        <v>4139450520</v>
      </c>
      <c r="E9" s="62">
        <f>D9*(1+'1'!AA4)</f>
        <v>4387817551.1999998</v>
      </c>
      <c r="F9" s="62">
        <f>E9*(1+'1'!AB4)</f>
        <v>4651086604.2720003</v>
      </c>
      <c r="G9" s="62">
        <f>F9*(1+'1'!AC4)</f>
        <v>4930151800.5283203</v>
      </c>
    </row>
    <row r="10" spans="1:7">
      <c r="B10" s="8" t="s">
        <v>102</v>
      </c>
      <c r="C10" s="62">
        <f>'2'!F31</f>
        <v>440387400</v>
      </c>
      <c r="D10" s="62">
        <f>C10*(1+'1'!Z4)</f>
        <v>466810644</v>
      </c>
      <c r="E10" s="62">
        <f>D10*(1+'1'!AA4)</f>
        <v>494819282.64000005</v>
      </c>
      <c r="F10" s="62">
        <f>E10*(1+'1'!AB4)</f>
        <v>524508439.59840006</v>
      </c>
      <c r="G10" s="62">
        <f>F10*(1+'1'!AC4)</f>
        <v>555978945.97430408</v>
      </c>
    </row>
    <row r="11" spans="1:7">
      <c r="B11" s="8" t="s">
        <v>103</v>
      </c>
      <c r="C11" s="62">
        <f>'2'!C25</f>
        <v>35000000</v>
      </c>
      <c r="D11" s="62">
        <f>'2'!C28</f>
        <v>20000000</v>
      </c>
      <c r="E11" s="62">
        <f>'2'!C29</f>
        <v>20000000</v>
      </c>
      <c r="F11" s="62">
        <f>'2'!C30</f>
        <v>20000000</v>
      </c>
      <c r="G11" s="62">
        <f>'2'!C31</f>
        <v>20000000</v>
      </c>
    </row>
    <row r="12" spans="1:7">
      <c r="B12" s="8" t="s">
        <v>104</v>
      </c>
      <c r="C12" s="62">
        <f>'2'!G12</f>
        <v>301441885.19999999</v>
      </c>
      <c r="D12" s="62">
        <f>C12</f>
        <v>301441885.19999999</v>
      </c>
      <c r="E12" s="62">
        <f t="shared" ref="E12:G12" si="1">D12</f>
        <v>301441885.19999999</v>
      </c>
      <c r="F12" s="62">
        <f t="shared" si="1"/>
        <v>301441885.19999999</v>
      </c>
      <c r="G12" s="62">
        <f t="shared" si="1"/>
        <v>301441885.19999999</v>
      </c>
    </row>
    <row r="13" spans="1:7" ht="15.75" thickBot="1">
      <c r="B13" s="63" t="s">
        <v>105</v>
      </c>
      <c r="C13" s="65">
        <f>C8-C9-C10-C11-C12</f>
        <v>-123071285.19999999</v>
      </c>
      <c r="D13" s="65">
        <f t="shared" ref="D13:G13" si="2">D8-D9-D10-D11-D12</f>
        <v>660597175.79999995</v>
      </c>
      <c r="E13" s="65">
        <f t="shared" si="2"/>
        <v>1644387923.5662518</v>
      </c>
      <c r="F13" s="65">
        <f t="shared" si="2"/>
        <v>2893815658.2505941</v>
      </c>
      <c r="G13" s="65">
        <f t="shared" si="2"/>
        <v>4470764377.460391</v>
      </c>
    </row>
    <row r="14" spans="1:7" ht="15.75" thickTop="1">
      <c r="B14" s="8" t="s">
        <v>106</v>
      </c>
      <c r="C14" s="62">
        <f>'3'!G9</f>
        <v>624950773.08160007</v>
      </c>
      <c r="D14" s="62">
        <f>'3'!G10</f>
        <v>547544301.67400622</v>
      </c>
      <c r="E14" s="62">
        <f>'3'!G11</f>
        <v>451436426.77433771</v>
      </c>
      <c r="F14" s="62">
        <f>'3'!G12</f>
        <v>332108889.29890925</v>
      </c>
      <c r="G14" s="62">
        <f>'3'!G13</f>
        <v>183951818.76941729</v>
      </c>
    </row>
    <row r="15" spans="1:7" ht="15.75" thickBot="1">
      <c r="B15" s="63" t="s">
        <v>107</v>
      </c>
      <c r="C15" s="65">
        <f>C13-C14</f>
        <v>-748022058.2816</v>
      </c>
      <c r="D15" s="65">
        <f t="shared" ref="D15:G15" si="3">D13-D14</f>
        <v>113052874.12599373</v>
      </c>
      <c r="E15" s="65">
        <f t="shared" si="3"/>
        <v>1192951496.791914</v>
      </c>
      <c r="F15" s="65">
        <f t="shared" si="3"/>
        <v>2561706768.951685</v>
      </c>
      <c r="G15" s="65">
        <f t="shared" si="3"/>
        <v>4286812558.6909738</v>
      </c>
    </row>
    <row r="16" spans="1:7" ht="15.75" thickTop="1">
      <c r="B16" s="8" t="s">
        <v>108</v>
      </c>
      <c r="C16" s="66">
        <f>IF(C15*'1'!$AB$7&lt;0,0,C15*'1'!$AB$7)</f>
        <v>0</v>
      </c>
      <c r="D16" s="66">
        <f>IF(D15*'1'!$AB$7&lt;0,0,D15*'1'!$AB$7)</f>
        <v>39568505.944097802</v>
      </c>
      <c r="E16" s="66">
        <f>IF(E15*'1'!$AB$7&lt;0,0,E15*'1'!$AB$7)</f>
        <v>417533023.87716985</v>
      </c>
      <c r="F16" s="66">
        <f>IF(F15*'1'!$AB$7&lt;0,0,F15*'1'!$AB$7)</f>
        <v>896597369.13308966</v>
      </c>
      <c r="G16" s="66">
        <f>IF(G15*'1'!$AB$7&lt;0,0,G15*'1'!$AB$7)</f>
        <v>1500384395.5418408</v>
      </c>
    </row>
    <row r="17" spans="1:8" ht="15.75" thickBot="1">
      <c r="B17" s="67" t="s">
        <v>109</v>
      </c>
      <c r="C17" s="68">
        <f>C15-C16</f>
        <v>-748022058.2816</v>
      </c>
      <c r="D17" s="68">
        <f t="shared" ref="D17:G17" si="4">D15-D16</f>
        <v>73484368.181895927</v>
      </c>
      <c r="E17" s="68">
        <f t="shared" si="4"/>
        <v>775418472.91474414</v>
      </c>
      <c r="F17" s="68">
        <f t="shared" si="4"/>
        <v>1665109399.8185954</v>
      </c>
      <c r="G17" s="68">
        <f t="shared" si="4"/>
        <v>2786428163.1491327</v>
      </c>
    </row>
    <row r="19" spans="1:8" ht="15.75">
      <c r="A19" s="178" t="s">
        <v>110</v>
      </c>
      <c r="B19" s="178"/>
      <c r="C19" s="178"/>
      <c r="D19" s="178"/>
      <c r="E19" s="178"/>
      <c r="F19" s="178"/>
      <c r="G19" s="178"/>
    </row>
    <row r="20" spans="1:8" ht="23.25">
      <c r="B20" s="69" t="s">
        <v>88</v>
      </c>
      <c r="C20" s="61">
        <f>C5</f>
        <v>2024</v>
      </c>
      <c r="D20" s="61">
        <f>D5</f>
        <v>2025</v>
      </c>
      <c r="E20" s="61">
        <f>E5</f>
        <v>2026</v>
      </c>
      <c r="F20" s="61">
        <f>F5</f>
        <v>2027</v>
      </c>
      <c r="G20" s="61">
        <f>G5</f>
        <v>2028</v>
      </c>
    </row>
    <row r="21" spans="1:8">
      <c r="A21" s="177" t="s">
        <v>111</v>
      </c>
      <c r="B21" s="177"/>
      <c r="C21" s="177"/>
      <c r="D21" s="177"/>
      <c r="E21" s="177"/>
      <c r="F21" s="177"/>
      <c r="G21" s="177"/>
    </row>
    <row r="22" spans="1:8">
      <c r="A22" s="8" t="s">
        <v>112</v>
      </c>
      <c r="B22" s="26">
        <f>B38-B26</f>
        <v>1259507350</v>
      </c>
      <c r="C22" s="26">
        <f t="shared" ref="C22:G22" si="5">C38-C26</f>
        <v>492536152.88034606</v>
      </c>
      <c r="D22" s="26">
        <f t="shared" si="5"/>
        <v>1257255475.0422921</v>
      </c>
      <c r="E22" s="26">
        <f t="shared" si="5"/>
        <v>2144690612.5628958</v>
      </c>
      <c r="F22" s="26">
        <f t="shared" si="5"/>
        <v>3201654862.101922</v>
      </c>
      <c r="G22" s="26">
        <f t="shared" si="5"/>
        <v>4466812558.6909733</v>
      </c>
    </row>
    <row r="23" spans="1:8">
      <c r="A23" s="8" t="s">
        <v>113</v>
      </c>
      <c r="B23" s="26">
        <f>'2'!C4</f>
        <v>0</v>
      </c>
      <c r="C23" s="26">
        <f>B23</f>
        <v>0</v>
      </c>
      <c r="D23" s="26">
        <f t="shared" ref="D23:G23" si="6">C23</f>
        <v>0</v>
      </c>
      <c r="E23" s="26">
        <f t="shared" si="6"/>
        <v>0</v>
      </c>
      <c r="F23" s="26">
        <f t="shared" si="6"/>
        <v>0</v>
      </c>
      <c r="G23" s="26">
        <f t="shared" si="6"/>
        <v>0</v>
      </c>
      <c r="H23" s="26"/>
    </row>
    <row r="24" spans="1:8">
      <c r="A24" s="8" t="s">
        <v>114</v>
      </c>
      <c r="B24" s="26">
        <f>'2'!C12-'2'!C4</f>
        <v>1507209426</v>
      </c>
      <c r="C24" s="26">
        <f>B24</f>
        <v>1507209426</v>
      </c>
      <c r="D24" s="26">
        <f t="shared" ref="D24:G24" si="7">C24</f>
        <v>1507209426</v>
      </c>
      <c r="E24" s="26">
        <f t="shared" si="7"/>
        <v>1507209426</v>
      </c>
      <c r="F24" s="26">
        <f t="shared" si="7"/>
        <v>1507209426</v>
      </c>
      <c r="G24" s="26">
        <f t="shared" si="7"/>
        <v>1507209426</v>
      </c>
      <c r="H24" s="26"/>
    </row>
    <row r="25" spans="1:8">
      <c r="A25" s="8" t="s">
        <v>115</v>
      </c>
      <c r="B25" s="26">
        <v>0</v>
      </c>
      <c r="C25" s="26">
        <f>C12</f>
        <v>301441885.19999999</v>
      </c>
      <c r="D25" s="26">
        <f>D12+C12</f>
        <v>602883770.39999998</v>
      </c>
      <c r="E25" s="26">
        <f>E12+D12+C12</f>
        <v>904325655.5999999</v>
      </c>
      <c r="F25" s="26">
        <f>F12+E12+D12+C12</f>
        <v>1205767540.8</v>
      </c>
      <c r="G25" s="26">
        <f>F25+G12</f>
        <v>1507209426</v>
      </c>
      <c r="H25" s="26"/>
    </row>
    <row r="26" spans="1:8">
      <c r="A26" s="8" t="s">
        <v>116</v>
      </c>
      <c r="B26" s="26">
        <f>B23+(B24-B25)</f>
        <v>1507209426</v>
      </c>
      <c r="C26" s="26">
        <f>C23+(C24-C25)</f>
        <v>1205767540.8</v>
      </c>
      <c r="D26" s="26">
        <f t="shared" ref="D26:G26" si="8">D23+(D24-D25)</f>
        <v>904325655.60000002</v>
      </c>
      <c r="E26" s="26">
        <f t="shared" si="8"/>
        <v>602883770.4000001</v>
      </c>
      <c r="F26" s="26">
        <f t="shared" si="8"/>
        <v>301441885.20000005</v>
      </c>
      <c r="G26" s="26">
        <f t="shared" si="8"/>
        <v>0</v>
      </c>
      <c r="H26" s="26"/>
    </row>
    <row r="27" spans="1:8" ht="15.75" thickBot="1">
      <c r="A27" s="63" t="s">
        <v>117</v>
      </c>
      <c r="B27" s="70">
        <f>B22+B26</f>
        <v>2766716776</v>
      </c>
      <c r="C27" s="70">
        <f t="shared" ref="C27:G27" si="9">C22+C26</f>
        <v>1698303693.680346</v>
      </c>
      <c r="D27" s="70">
        <f t="shared" si="9"/>
        <v>2161581130.642292</v>
      </c>
      <c r="E27" s="70">
        <f t="shared" si="9"/>
        <v>2747574382.9628959</v>
      </c>
      <c r="F27" s="70">
        <f t="shared" si="9"/>
        <v>3503096747.3019218</v>
      </c>
      <c r="G27" s="70">
        <f t="shared" si="9"/>
        <v>4466812558.6909733</v>
      </c>
      <c r="H27" s="26"/>
    </row>
    <row r="28" spans="1:8" ht="15.75" thickTop="1">
      <c r="A28" s="177" t="s">
        <v>118</v>
      </c>
      <c r="B28" s="177"/>
      <c r="C28" s="177"/>
      <c r="D28" s="177"/>
      <c r="E28" s="177"/>
      <c r="F28" s="177"/>
      <c r="G28" s="177"/>
    </row>
    <row r="29" spans="1:8">
      <c r="A29" s="8" t="s">
        <v>119</v>
      </c>
      <c r="B29" s="8">
        <v>0</v>
      </c>
      <c r="C29" s="66">
        <f>C16</f>
        <v>0</v>
      </c>
      <c r="D29" s="66">
        <f>D16</f>
        <v>39568505.944097802</v>
      </c>
      <c r="E29" s="66">
        <f>E16</f>
        <v>417533023.87716985</v>
      </c>
      <c r="F29" s="66">
        <f>F16</f>
        <v>896597369.13308966</v>
      </c>
      <c r="G29" s="66">
        <f>G16</f>
        <v>1500384395.5418408</v>
      </c>
    </row>
    <row r="30" spans="1:8">
      <c r="A30" s="8" t="s">
        <v>120</v>
      </c>
      <c r="B30" s="66">
        <f>B29</f>
        <v>0</v>
      </c>
      <c r="C30" s="66">
        <f t="shared" ref="C30:G30" si="10">C29</f>
        <v>0</v>
      </c>
      <c r="D30" s="66">
        <f t="shared" si="10"/>
        <v>39568505.944097802</v>
      </c>
      <c r="E30" s="66">
        <f t="shared" si="10"/>
        <v>417533023.87716985</v>
      </c>
      <c r="F30" s="66">
        <f t="shared" si="10"/>
        <v>896597369.13308966</v>
      </c>
      <c r="G30" s="66">
        <f t="shared" si="10"/>
        <v>1500384395.5418408</v>
      </c>
    </row>
    <row r="31" spans="1:8">
      <c r="A31" s="8" t="s">
        <v>121</v>
      </c>
      <c r="B31" s="25">
        <f>'3'!J8</f>
        <v>2586716776</v>
      </c>
      <c r="C31" s="25">
        <f>'3'!J9</f>
        <v>2266325751.961946</v>
      </c>
      <c r="D31" s="25">
        <f>'3'!J10</f>
        <v>1868528256.5162983</v>
      </c>
      <c r="E31" s="25">
        <f>'3'!J11</f>
        <v>1374622886.1709819</v>
      </c>
      <c r="F31" s="25">
        <f>'3'!J12</f>
        <v>761389978.35023713</v>
      </c>
      <c r="G31" s="25">
        <f>'3'!J13</f>
        <v>0</v>
      </c>
    </row>
    <row r="32" spans="1:8" ht="15.75" thickBot="1">
      <c r="A32" s="63" t="s">
        <v>118</v>
      </c>
      <c r="B32" s="70">
        <f>B30+B31</f>
        <v>2586716776</v>
      </c>
      <c r="C32" s="70">
        <f t="shared" ref="C32:G32" si="11">C30+C31</f>
        <v>2266325751.961946</v>
      </c>
      <c r="D32" s="70">
        <f t="shared" si="11"/>
        <v>1908096762.4603961</v>
      </c>
      <c r="E32" s="70">
        <f t="shared" si="11"/>
        <v>1792155910.0481517</v>
      </c>
      <c r="F32" s="70">
        <f t="shared" si="11"/>
        <v>1657987347.4833269</v>
      </c>
      <c r="G32" s="70">
        <f t="shared" si="11"/>
        <v>1500384395.5418408</v>
      </c>
    </row>
    <row r="33" spans="1:7" ht="15.75" thickTop="1">
      <c r="A33" s="177" t="s">
        <v>122</v>
      </c>
      <c r="B33" s="177"/>
      <c r="C33" s="177"/>
      <c r="D33" s="177"/>
      <c r="E33" s="177"/>
      <c r="F33" s="177"/>
      <c r="G33" s="177"/>
    </row>
    <row r="34" spans="1:7">
      <c r="A34" s="8" t="s">
        <v>123</v>
      </c>
      <c r="B34" s="26">
        <f>'3'!D15</f>
        <v>180000000</v>
      </c>
      <c r="C34" s="26">
        <f>B34</f>
        <v>180000000</v>
      </c>
      <c r="D34" s="26">
        <f t="shared" ref="D34:G34" si="12">C34</f>
        <v>180000000</v>
      </c>
      <c r="E34" s="26">
        <f t="shared" si="12"/>
        <v>180000000</v>
      </c>
      <c r="F34" s="26">
        <f t="shared" si="12"/>
        <v>180000000</v>
      </c>
      <c r="G34" s="26">
        <f t="shared" si="12"/>
        <v>180000000</v>
      </c>
    </row>
    <row r="35" spans="1:7">
      <c r="A35" s="8" t="s">
        <v>124</v>
      </c>
      <c r="B35" s="8">
        <v>0</v>
      </c>
      <c r="C35" s="66">
        <f>C17</f>
        <v>-748022058.2816</v>
      </c>
      <c r="D35" s="66">
        <f>D17</f>
        <v>73484368.181895927</v>
      </c>
      <c r="E35" s="66">
        <f>E17</f>
        <v>775418472.91474414</v>
      </c>
      <c r="F35" s="66">
        <f>F17</f>
        <v>1665109399.8185954</v>
      </c>
      <c r="G35" s="66">
        <f>G17</f>
        <v>2786428163.1491327</v>
      </c>
    </row>
    <row r="36" spans="1:7" ht="15.75" thickBot="1">
      <c r="A36" s="63" t="s">
        <v>125</v>
      </c>
      <c r="B36" s="70">
        <f>B34+B35</f>
        <v>180000000</v>
      </c>
      <c r="C36" s="70">
        <f t="shared" ref="C36:G36" si="13">C34+C35</f>
        <v>-568022058.2816</v>
      </c>
      <c r="D36" s="70">
        <f t="shared" si="13"/>
        <v>253484368.18189591</v>
      </c>
      <c r="E36" s="70">
        <f t="shared" si="13"/>
        <v>955418472.91474414</v>
      </c>
      <c r="F36" s="70">
        <f t="shared" si="13"/>
        <v>1845109399.8185954</v>
      </c>
      <c r="G36" s="70">
        <f t="shared" si="13"/>
        <v>2966428163.1491327</v>
      </c>
    </row>
    <row r="37" spans="1:7" ht="15.75" thickTop="1"/>
    <row r="38" spans="1:7" ht="15.75" thickBot="1">
      <c r="A38" s="63" t="s">
        <v>126</v>
      </c>
      <c r="B38" s="70">
        <f>B32+B36</f>
        <v>2766716776</v>
      </c>
      <c r="C38" s="70">
        <f t="shared" ref="C38:G38" si="14">C32+C36</f>
        <v>1698303693.680346</v>
      </c>
      <c r="D38" s="70">
        <f t="shared" si="14"/>
        <v>2161581130.642292</v>
      </c>
      <c r="E38" s="70">
        <f t="shared" si="14"/>
        <v>2747574382.9628959</v>
      </c>
      <c r="F38" s="70">
        <f t="shared" si="14"/>
        <v>3503096747.3019223</v>
      </c>
      <c r="G38" s="70">
        <f t="shared" si="14"/>
        <v>4466812558.6909733</v>
      </c>
    </row>
    <row r="39" spans="1:7" ht="15.75" thickTop="1">
      <c r="A39" s="59" t="s">
        <v>127</v>
      </c>
      <c r="B39" s="71">
        <f>B27-B38</f>
        <v>0</v>
      </c>
      <c r="C39" s="71">
        <f t="shared" ref="C39:G39" si="15">C27-C38</f>
        <v>0</v>
      </c>
      <c r="D39" s="71">
        <f t="shared" si="15"/>
        <v>0</v>
      </c>
      <c r="E39" s="71">
        <f t="shared" si="15"/>
        <v>0</v>
      </c>
      <c r="F39" s="71">
        <f t="shared" si="15"/>
        <v>0</v>
      </c>
      <c r="G39" s="71">
        <f t="shared" si="15"/>
        <v>0</v>
      </c>
    </row>
    <row r="41" spans="1:7" ht="15.75">
      <c r="A41" s="178" t="s">
        <v>128</v>
      </c>
      <c r="B41" s="178"/>
      <c r="C41" s="178"/>
      <c r="D41" s="178"/>
      <c r="E41" s="178"/>
      <c r="F41" s="178"/>
      <c r="G41" s="178"/>
    </row>
    <row r="42" spans="1:7">
      <c r="A42" s="177" t="s">
        <v>129</v>
      </c>
      <c r="B42" s="177"/>
      <c r="C42" s="177"/>
      <c r="D42" s="177"/>
      <c r="E42" s="177"/>
      <c r="F42" s="177"/>
      <c r="G42" s="177"/>
    </row>
    <row r="43" spans="1:7" ht="23.25">
      <c r="A43" s="11"/>
      <c r="B43" s="69" t="s">
        <v>88</v>
      </c>
      <c r="C43" s="61">
        <f>C20</f>
        <v>2024</v>
      </c>
      <c r="D43" s="61">
        <f t="shared" ref="D43:G43" si="16">D20</f>
        <v>2025</v>
      </c>
      <c r="E43" s="61">
        <f t="shared" si="16"/>
        <v>2026</v>
      </c>
      <c r="F43" s="61">
        <f t="shared" si="16"/>
        <v>2027</v>
      </c>
      <c r="G43" s="61">
        <f t="shared" si="16"/>
        <v>2028</v>
      </c>
    </row>
    <row r="44" spans="1:7">
      <c r="A44" s="1" t="s">
        <v>130</v>
      </c>
      <c r="B44" s="2">
        <f>B22</f>
        <v>1259507350</v>
      </c>
      <c r="C44" s="2">
        <f t="shared" ref="C44:G44" si="17">C22</f>
        <v>492536152.88034606</v>
      </c>
      <c r="D44" s="2">
        <f t="shared" si="17"/>
        <v>1257255475.0422921</v>
      </c>
      <c r="E44" s="2">
        <f t="shared" si="17"/>
        <v>2144690612.5628958</v>
      </c>
      <c r="F44" s="2">
        <f t="shared" si="17"/>
        <v>3201654862.101922</v>
      </c>
      <c r="G44" s="2">
        <f t="shared" si="17"/>
        <v>4466812558.6909733</v>
      </c>
    </row>
    <row r="45" spans="1:7" ht="15.75" thickBot="1">
      <c r="A45" s="1" t="s">
        <v>131</v>
      </c>
      <c r="B45" s="3">
        <f>B29</f>
        <v>0</v>
      </c>
      <c r="C45" s="3">
        <f t="shared" ref="C45:G45" si="18">C29</f>
        <v>0</v>
      </c>
      <c r="D45" s="3">
        <f t="shared" si="18"/>
        <v>39568505.944097802</v>
      </c>
      <c r="E45" s="3">
        <f t="shared" si="18"/>
        <v>417533023.87716985</v>
      </c>
      <c r="F45" s="3">
        <f t="shared" si="18"/>
        <v>896597369.13308966</v>
      </c>
      <c r="G45" s="3">
        <f t="shared" si="18"/>
        <v>1500384395.5418408</v>
      </c>
    </row>
    <row r="46" spans="1:7" ht="15.75" thickTop="1">
      <c r="A46" s="4" t="s">
        <v>132</v>
      </c>
      <c r="B46" s="5">
        <f t="shared" ref="B46:G46" si="19">B44-B45</f>
        <v>1259507350</v>
      </c>
      <c r="C46" s="5">
        <f t="shared" si="19"/>
        <v>492536152.88034606</v>
      </c>
      <c r="D46" s="5">
        <f t="shared" si="19"/>
        <v>1217686969.0981944</v>
      </c>
      <c r="E46" s="5">
        <f t="shared" si="19"/>
        <v>1727157588.6857259</v>
      </c>
      <c r="F46" s="5">
        <f t="shared" si="19"/>
        <v>2305057492.9688325</v>
      </c>
      <c r="G46" s="5">
        <f t="shared" si="19"/>
        <v>2966428163.1491327</v>
      </c>
    </row>
    <row r="47" spans="1:7">
      <c r="A47" s="1"/>
      <c r="B47" s="2"/>
      <c r="C47" s="2"/>
      <c r="D47" s="2"/>
      <c r="E47" s="2"/>
      <c r="F47" s="2"/>
      <c r="G47" s="2"/>
    </row>
    <row r="48" spans="1:7">
      <c r="A48" s="4" t="s">
        <v>133</v>
      </c>
      <c r="B48" s="2">
        <f>B26</f>
        <v>1507209426</v>
      </c>
      <c r="C48" s="2">
        <f t="shared" ref="C48:G48" si="20">C26</f>
        <v>1205767540.8</v>
      </c>
      <c r="D48" s="2">
        <f t="shared" si="20"/>
        <v>904325655.60000002</v>
      </c>
      <c r="E48" s="2">
        <f t="shared" si="20"/>
        <v>602883770.4000001</v>
      </c>
      <c r="F48" s="2">
        <f t="shared" si="20"/>
        <v>301441885.20000005</v>
      </c>
      <c r="G48" s="2">
        <f t="shared" si="20"/>
        <v>0</v>
      </c>
    </row>
    <row r="49" spans="1:7" ht="15.75" thickBot="1">
      <c r="A49" s="1" t="s">
        <v>134</v>
      </c>
      <c r="B49" s="3">
        <f>B25</f>
        <v>0</v>
      </c>
      <c r="C49" s="3">
        <f t="shared" ref="C49:G49" si="21">C25</f>
        <v>301441885.19999999</v>
      </c>
      <c r="D49" s="3">
        <f t="shared" si="21"/>
        <v>602883770.39999998</v>
      </c>
      <c r="E49" s="3">
        <f t="shared" si="21"/>
        <v>904325655.5999999</v>
      </c>
      <c r="F49" s="3">
        <f t="shared" si="21"/>
        <v>1205767540.8</v>
      </c>
      <c r="G49" s="3">
        <f t="shared" si="21"/>
        <v>1507209426</v>
      </c>
    </row>
    <row r="50" spans="1:7" ht="15.75" thickTop="1">
      <c r="A50" s="4" t="s">
        <v>135</v>
      </c>
      <c r="B50" s="5">
        <f t="shared" ref="B50:G50" si="22">B48+B49</f>
        <v>1507209426</v>
      </c>
      <c r="C50" s="5">
        <f t="shared" si="22"/>
        <v>1507209426</v>
      </c>
      <c r="D50" s="5">
        <f t="shared" si="22"/>
        <v>1507209426</v>
      </c>
      <c r="E50" s="5">
        <f t="shared" si="22"/>
        <v>1507209426</v>
      </c>
      <c r="F50" s="5">
        <f t="shared" si="22"/>
        <v>1507209426</v>
      </c>
      <c r="G50" s="5">
        <f t="shared" si="22"/>
        <v>1507209426</v>
      </c>
    </row>
    <row r="51" spans="1:7">
      <c r="A51" s="1"/>
      <c r="B51" s="2"/>
      <c r="C51" s="2"/>
      <c r="D51" s="2"/>
      <c r="E51" s="2"/>
      <c r="F51" s="2"/>
      <c r="G51" s="2"/>
    </row>
    <row r="52" spans="1:7" ht="15.75" thickBot="1">
      <c r="A52" s="12" t="s">
        <v>136</v>
      </c>
      <c r="B52" s="6">
        <f t="shared" ref="B52:G52" si="23">B46+B48</f>
        <v>2766716776</v>
      </c>
      <c r="C52" s="6">
        <f t="shared" si="23"/>
        <v>1698303693.680346</v>
      </c>
      <c r="D52" s="6">
        <f t="shared" si="23"/>
        <v>2122012624.6981945</v>
      </c>
      <c r="E52" s="6">
        <f t="shared" si="23"/>
        <v>2330041359.0857258</v>
      </c>
      <c r="F52" s="6">
        <f t="shared" si="23"/>
        <v>2606499378.1688328</v>
      </c>
      <c r="G52" s="6">
        <f t="shared" si="23"/>
        <v>2966428163.1491327</v>
      </c>
    </row>
    <row r="53" spans="1:7" ht="15.75" thickTop="1">
      <c r="A53" s="7"/>
      <c r="B53" s="2"/>
      <c r="C53" s="2"/>
      <c r="D53" s="2"/>
      <c r="E53" s="2"/>
      <c r="F53" s="2"/>
      <c r="G53" s="2"/>
    </row>
    <row r="54" spans="1:7">
      <c r="A54" s="176" t="s">
        <v>137</v>
      </c>
      <c r="B54" s="176"/>
      <c r="C54" s="176"/>
      <c r="D54" s="176"/>
      <c r="E54" s="176"/>
      <c r="F54" s="176"/>
      <c r="G54" s="176"/>
    </row>
    <row r="55" spans="1:7">
      <c r="A55" s="1" t="s">
        <v>138</v>
      </c>
      <c r="C55" s="9">
        <f>C13</f>
        <v>-123071285.19999999</v>
      </c>
      <c r="D55" s="9">
        <f t="shared" ref="D55:G55" si="24">D13</f>
        <v>660597175.79999995</v>
      </c>
      <c r="E55" s="9">
        <f t="shared" si="24"/>
        <v>1644387923.5662518</v>
      </c>
      <c r="F55" s="9">
        <f t="shared" si="24"/>
        <v>2893815658.2505941</v>
      </c>
      <c r="G55" s="9">
        <f t="shared" si="24"/>
        <v>4470764377.460391</v>
      </c>
    </row>
    <row r="56" spans="1:7" ht="15.75" thickBot="1">
      <c r="A56" s="1" t="s">
        <v>139</v>
      </c>
      <c r="C56" s="10">
        <f>C55*'1'!$AB$7</f>
        <v>-43074949.819999993</v>
      </c>
      <c r="D56" s="10">
        <f>D55*'1'!$AB$7</f>
        <v>231209011.52999997</v>
      </c>
      <c r="E56" s="10">
        <f>E55*'1'!$AB$7</f>
        <v>575535773.24818802</v>
      </c>
      <c r="F56" s="10">
        <f>F55*'1'!$AB$7</f>
        <v>1012835480.3877078</v>
      </c>
      <c r="G56" s="10">
        <f>G55*'1'!$AB$7</f>
        <v>1564767532.1111367</v>
      </c>
    </row>
    <row r="57" spans="1:7" ht="15.75" thickTop="1">
      <c r="A57" s="4" t="s">
        <v>140</v>
      </c>
      <c r="C57" s="9">
        <f>C55-C56</f>
        <v>-79996335.379999995</v>
      </c>
      <c r="D57" s="9">
        <f>D55-D56</f>
        <v>429388164.26999998</v>
      </c>
      <c r="E57" s="9">
        <f>E55-E56</f>
        <v>1068852150.3180637</v>
      </c>
      <c r="F57" s="9">
        <f>F55-F56</f>
        <v>1880980177.8628864</v>
      </c>
      <c r="G57" s="9">
        <f>G55-G56</f>
        <v>2905996845.3492546</v>
      </c>
    </row>
    <row r="58" spans="1:7" ht="15.75" thickBot="1">
      <c r="A58" s="1" t="s">
        <v>141</v>
      </c>
      <c r="C58" s="10">
        <f>-(C52-B52)</f>
        <v>1068413082.319654</v>
      </c>
      <c r="D58" s="10">
        <f t="shared" ref="D58:G58" si="25">-(D52-C52)</f>
        <v>-423708931.01784849</v>
      </c>
      <c r="E58" s="10">
        <f t="shared" si="25"/>
        <v>-208028734.38753128</v>
      </c>
      <c r="F58" s="10">
        <f t="shared" si="25"/>
        <v>-276458019.08310699</v>
      </c>
      <c r="G58" s="10">
        <f t="shared" si="25"/>
        <v>-359928784.98029995</v>
      </c>
    </row>
    <row r="59" spans="1:7" ht="16.5" thickTop="1" thickBot="1">
      <c r="A59" s="58" t="s">
        <v>142</v>
      </c>
      <c r="B59" s="59"/>
      <c r="C59" s="60">
        <f>SUM(C57:C58)</f>
        <v>988416746.93965399</v>
      </c>
      <c r="D59" s="60">
        <f t="shared" ref="D59:G59" si="26">SUM(D57:D58)</f>
        <v>5679233.2521514893</v>
      </c>
      <c r="E59" s="60">
        <f t="shared" si="26"/>
        <v>860823415.93053246</v>
      </c>
      <c r="F59" s="60">
        <f t="shared" si="26"/>
        <v>1604522158.7797794</v>
      </c>
      <c r="G59" s="60">
        <f t="shared" si="26"/>
        <v>2546068060.3689547</v>
      </c>
    </row>
    <row r="60" spans="1:7" ht="15.75" thickTop="1"/>
  </sheetData>
  <sheetProtection algorithmName="SHA-512" hashValue="IQcSUX7WgA2g30pLr7tJMmGcfuMimbrrDJr6FK6q2BovQKn0/6cnsWuXbCiptrpMrL+x4GNmNQ/jXdjtPO3XfQ==" saltValue="CaVricx0vPQy+wJOqrscFw==" spinCount="100000" sheet="1" formatCells="0" formatColumns="0" formatRows="0"/>
  <mergeCells count="10">
    <mergeCell ref="A1:G1"/>
    <mergeCell ref="A2:G2"/>
    <mergeCell ref="A4:G4"/>
    <mergeCell ref="A41:G41"/>
    <mergeCell ref="A42:G42"/>
    <mergeCell ref="A54:G54"/>
    <mergeCell ref="A21:G21"/>
    <mergeCell ref="A28:G28"/>
    <mergeCell ref="A33:G33"/>
    <mergeCell ref="A19:G19"/>
  </mergeCells>
  <conditionalFormatting sqref="B22:G22">
    <cfRule type="cellIs" dxfId="9" priority="2" operator="lessThan">
      <formula>0</formula>
    </cfRule>
  </conditionalFormatting>
  <conditionalFormatting sqref="C17:G17">
    <cfRule type="cellIs" dxfId="8" priority="3" operator="lessThan">
      <formula>0</formula>
    </cfRule>
  </conditionalFormatting>
  <conditionalFormatting sqref="C59:G59">
    <cfRule type="cellIs" dxfId="7" priority="1" operator="lessThan">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66"/>
  <sheetViews>
    <sheetView showGridLines="0" zoomScale="80" zoomScaleNormal="80" workbookViewId="0">
      <selection activeCell="D11" sqref="D11"/>
    </sheetView>
  </sheetViews>
  <sheetFormatPr baseColWidth="10" defaultColWidth="11.42578125" defaultRowHeight="15"/>
  <cols>
    <col min="1" max="1" width="11.42578125" style="8"/>
    <col min="2" max="2" width="32.5703125" style="8" customWidth="1"/>
    <col min="3" max="3" width="24.28515625" style="8" bestFit="1" customWidth="1"/>
    <col min="4" max="4" width="36.28515625" style="8" bestFit="1" customWidth="1"/>
    <col min="5" max="5" width="45.5703125" style="8" customWidth="1"/>
    <col min="6" max="6" width="26" style="8" customWidth="1"/>
    <col min="7" max="8" width="20.7109375" style="8" bestFit="1" customWidth="1"/>
    <col min="9" max="9" width="11.42578125" style="8"/>
    <col min="10" max="10" width="12" style="8" bestFit="1" customWidth="1"/>
    <col min="11" max="14" width="11.42578125" style="8"/>
    <col min="15" max="15" width="15.28515625" style="8" bestFit="1" customWidth="1"/>
    <col min="16" max="16" width="21.5703125" style="8" bestFit="1" customWidth="1"/>
    <col min="17" max="16384" width="11.42578125" style="8"/>
  </cols>
  <sheetData>
    <row r="2" spans="2:16" ht="38.25" customHeight="1">
      <c r="B2" s="165" t="s">
        <v>143</v>
      </c>
      <c r="C2" s="165"/>
      <c r="D2" s="165"/>
      <c r="E2" s="165"/>
      <c r="F2" s="165"/>
      <c r="G2" s="165"/>
      <c r="H2" s="165"/>
    </row>
    <row r="3" spans="2:16" ht="15.75" customHeight="1">
      <c r="B3" s="184" t="s">
        <v>144</v>
      </c>
      <c r="C3" s="184"/>
      <c r="D3" s="184"/>
      <c r="E3" s="185">
        <v>0.15</v>
      </c>
      <c r="F3" s="185"/>
    </row>
    <row r="4" spans="2:16" ht="16.5" customHeight="1">
      <c r="B4" s="184"/>
      <c r="C4" s="184"/>
      <c r="D4" s="184"/>
      <c r="E4" s="185"/>
      <c r="F4" s="185"/>
      <c r="O4" s="101"/>
    </row>
    <row r="5" spans="2:16" ht="16.5" customHeight="1">
      <c r="B5" s="182"/>
      <c r="C5" s="182"/>
      <c r="D5" s="182"/>
      <c r="E5" s="135">
        <v>0.25</v>
      </c>
      <c r="F5" s="135"/>
      <c r="O5" s="101"/>
    </row>
    <row r="6" spans="2:16" ht="15.75" thickBot="1">
      <c r="O6" s="101"/>
      <c r="P6" s="104"/>
    </row>
    <row r="7" spans="2:16" ht="23.25">
      <c r="B7" s="100" t="s">
        <v>145</v>
      </c>
      <c r="C7" s="84" t="s">
        <v>146</v>
      </c>
      <c r="D7" s="85">
        <f>'4'!C20</f>
        <v>2024</v>
      </c>
      <c r="E7" s="85">
        <f>'4'!D20</f>
        <v>2025</v>
      </c>
      <c r="F7" s="85">
        <f>'4'!E20</f>
        <v>2026</v>
      </c>
      <c r="G7" s="85">
        <f>'4'!F20</f>
        <v>2027</v>
      </c>
      <c r="H7" s="86">
        <f>'4'!G20</f>
        <v>2028</v>
      </c>
      <c r="O7" s="101"/>
      <c r="P7" s="103"/>
    </row>
    <row r="8" spans="2:16" ht="19.5" thickBot="1">
      <c r="B8" s="87"/>
      <c r="C8" s="108">
        <f>-'3'!D14</f>
        <v>-2766716776</v>
      </c>
      <c r="D8" s="108">
        <f>'4'!C59</f>
        <v>988416746.93965399</v>
      </c>
      <c r="E8" s="108">
        <f>'4'!D59</f>
        <v>5679233.2521514893</v>
      </c>
      <c r="F8" s="108">
        <f>'4'!E59</f>
        <v>860823415.93053246</v>
      </c>
      <c r="G8" s="108">
        <f>'4'!F59</f>
        <v>1604522158.7797794</v>
      </c>
      <c r="H8" s="109">
        <f>'4'!G59</f>
        <v>2546068060.3689547</v>
      </c>
      <c r="O8" s="101"/>
      <c r="P8" s="103"/>
    </row>
    <row r="9" spans="2:16" ht="15.75" thickBot="1">
      <c r="C9" s="72">
        <f>C8/(1+$E$3)^0</f>
        <v>-2766716776</v>
      </c>
      <c r="D9" s="72">
        <f>D8/(1+$E$3)^1</f>
        <v>859492823.42578614</v>
      </c>
      <c r="E9" s="72">
        <f>E8/(1+$E$3)^2</f>
        <v>4294316.2587156827</v>
      </c>
      <c r="F9" s="72">
        <f>F8/(1+$E$3)^3</f>
        <v>566005369.23187816</v>
      </c>
      <c r="G9" s="72">
        <f>G8/(1+$E$3)^4</f>
        <v>917390751.9082793</v>
      </c>
      <c r="H9" s="72">
        <f>H8/(1+$E$3)^5</f>
        <v>1265845806.1014862</v>
      </c>
      <c r="O9" s="101"/>
      <c r="P9" s="103"/>
    </row>
    <row r="10" spans="2:16" ht="24" thickBot="1">
      <c r="B10" s="30" t="s">
        <v>147</v>
      </c>
      <c r="C10" s="31"/>
      <c r="D10" s="110">
        <f>NPV(E3,D8:H8)+$C$8</f>
        <v>846312290.92614555</v>
      </c>
      <c r="O10" s="101"/>
      <c r="P10" s="103"/>
    </row>
    <row r="11" spans="2:16" ht="28.5" thickBot="1">
      <c r="B11" s="162" t="s">
        <v>148</v>
      </c>
      <c r="C11" s="31"/>
      <c r="D11" s="111">
        <f>IF(ISERROR(IRR(C8:H8)),"NO_APLICA",(IRR(C8:H8)))</f>
        <v>0.24444403160146333</v>
      </c>
      <c r="F11" s="105" t="s">
        <v>149</v>
      </c>
      <c r="G11" s="31"/>
      <c r="H11" s="106">
        <f>IF(ISERROR(-C9/AVERAGE(D9:H9)),"NO_APLICA",(-C9/AVERAGE(D9:H9)))</f>
        <v>3.8288050341563373</v>
      </c>
      <c r="I11" s="107" t="s">
        <v>150</v>
      </c>
      <c r="P11" s="102"/>
    </row>
    <row r="13" spans="2:16" ht="18.75">
      <c r="B13" s="186" t="s">
        <v>151</v>
      </c>
      <c r="C13" s="186"/>
      <c r="D13" s="186"/>
      <c r="E13" s="186"/>
      <c r="F13" s="186"/>
      <c r="G13" s="186"/>
      <c r="H13" s="186"/>
    </row>
    <row r="14" spans="2:16" ht="36.75">
      <c r="B14" s="88" t="str">
        <f>'1'!B2</f>
        <v>NOMBRE DEL PRODUCTO O SERVICIO</v>
      </c>
      <c r="C14" s="88" t="s">
        <v>152</v>
      </c>
      <c r="D14" s="88" t="s">
        <v>153</v>
      </c>
      <c r="E14" s="88" t="s">
        <v>154</v>
      </c>
      <c r="F14" s="88" t="s">
        <v>155</v>
      </c>
      <c r="H14" s="72"/>
      <c r="I14" s="72"/>
      <c r="J14" s="72" t="s">
        <v>156</v>
      </c>
    </row>
    <row r="15" spans="2:16">
      <c r="B15" s="38" t="str">
        <f>'1'!B3</f>
        <v>Correos en paquete entre 0 y 1000</v>
      </c>
      <c r="C15" s="89">
        <f>'1'!D3-'1'!D17</f>
        <v>870</v>
      </c>
      <c r="D15" s="90">
        <f>'1'!F3</f>
        <v>2.9138869718579864E-2</v>
      </c>
      <c r="E15" s="89">
        <f>C15*D15</f>
        <v>25.350816655164483</v>
      </c>
      <c r="F15" s="91">
        <f t="shared" ref="F15:F24" si="0">$E$28*D15</f>
        <v>68840.797966063124</v>
      </c>
      <c r="G15" s="38" t="s">
        <v>157</v>
      </c>
      <c r="H15" s="73">
        <f>'1'!D3</f>
        <v>950</v>
      </c>
      <c r="I15" s="92">
        <f t="shared" ref="I15:I24" si="1">$B$35*D15</f>
        <v>137681.59593212625</v>
      </c>
      <c r="J15" s="73">
        <f>'1'!D17</f>
        <v>80</v>
      </c>
    </row>
    <row r="16" spans="2:16">
      <c r="B16" s="93" t="str">
        <f>'1'!B4</f>
        <v>Correos en paquete entre 1001 y 5000</v>
      </c>
      <c r="C16" s="89">
        <f>'1'!D4-'1'!D18</f>
        <v>855</v>
      </c>
      <c r="D16" s="90">
        <f>'1'!F4</f>
        <v>2.6886358408097537E-2</v>
      </c>
      <c r="E16" s="89">
        <f t="shared" ref="E16:E24" si="2">C16*D16</f>
        <v>22.987836438923395</v>
      </c>
      <c r="F16" s="91">
        <f t="shared" si="0"/>
        <v>63519.223123291791</v>
      </c>
      <c r="G16" s="38" t="str">
        <f>G15</f>
        <v>UNIDADES</v>
      </c>
      <c r="H16" s="73">
        <f>'1'!D4</f>
        <v>935</v>
      </c>
      <c r="I16" s="92">
        <f t="shared" si="1"/>
        <v>127038.4462465836</v>
      </c>
      <c r="J16" s="73">
        <f>'1'!D18</f>
        <v>80</v>
      </c>
    </row>
    <row r="17" spans="2:10">
      <c r="B17" s="93" t="str">
        <f>'1'!B5</f>
        <v>Correos en paquete entre 5001  y 50000</v>
      </c>
      <c r="C17" s="89">
        <f>'1'!D5-'1'!D19</f>
        <v>830</v>
      </c>
      <c r="D17" s="90">
        <f>'1'!F5</f>
        <v>6.3674181427804621E-2</v>
      </c>
      <c r="E17" s="89">
        <f t="shared" si="2"/>
        <v>52.849570585077835</v>
      </c>
      <c r="F17" s="91">
        <f t="shared" si="0"/>
        <v>150430.7305554465</v>
      </c>
      <c r="G17" s="38" t="str">
        <f t="shared" ref="G17:G24" si="3">G16</f>
        <v>UNIDADES</v>
      </c>
      <c r="H17" s="73">
        <f>'1'!D5</f>
        <v>910</v>
      </c>
      <c r="I17" s="92">
        <f t="shared" si="1"/>
        <v>300861.46111089305</v>
      </c>
      <c r="J17" s="73">
        <f>'1'!D19</f>
        <v>80</v>
      </c>
    </row>
    <row r="18" spans="2:10">
      <c r="B18" s="93" t="str">
        <f>'1'!B6</f>
        <v>Correos en paquete entre 50001  y 200000</v>
      </c>
      <c r="C18" s="89">
        <f>'1'!D6-'1'!D20</f>
        <v>810</v>
      </c>
      <c r="D18" s="90">
        <f>'1'!F6</f>
        <v>0.1620849628096005</v>
      </c>
      <c r="E18" s="89">
        <f t="shared" si="2"/>
        <v>131.2888198757764</v>
      </c>
      <c r="F18" s="91">
        <f t="shared" si="0"/>
        <v>382926.93868622609</v>
      </c>
      <c r="G18" s="38" t="str">
        <f t="shared" si="3"/>
        <v>UNIDADES</v>
      </c>
      <c r="H18" s="73">
        <f>'1'!D6</f>
        <v>890</v>
      </c>
      <c r="I18" s="92">
        <f t="shared" si="1"/>
        <v>765853.87737245241</v>
      </c>
      <c r="J18" s="73">
        <f>'1'!D20</f>
        <v>80</v>
      </c>
    </row>
    <row r="19" spans="2:10">
      <c r="B19" s="93" t="str">
        <f>'1'!B7</f>
        <v>Mayor a 200001</v>
      </c>
      <c r="C19" s="89">
        <f>'1'!D7-'1'!D21</f>
        <v>790</v>
      </c>
      <c r="D19" s="90">
        <f>'1'!F7</f>
        <v>0.6587876696572349</v>
      </c>
      <c r="E19" s="89">
        <f t="shared" si="2"/>
        <v>520.44225902921562</v>
      </c>
      <c r="F19" s="91">
        <f t="shared" si="0"/>
        <v>1556390.8040156311</v>
      </c>
      <c r="G19" s="38" t="str">
        <f t="shared" si="3"/>
        <v>UNIDADES</v>
      </c>
      <c r="H19" s="73">
        <f>'1'!D7</f>
        <v>870</v>
      </c>
      <c r="I19" s="92">
        <f t="shared" si="1"/>
        <v>3112781.6080312626</v>
      </c>
      <c r="J19" s="73">
        <f>'1'!D21</f>
        <v>80</v>
      </c>
    </row>
    <row r="20" spans="2:10">
      <c r="B20" s="93" t="str">
        <f>'1'!B8</f>
        <v>Cantidad de verificación de Identidad persona Natural</v>
      </c>
      <c r="C20" s="89">
        <f>'1'!D8-'1'!D22</f>
        <v>60</v>
      </c>
      <c r="D20" s="90">
        <f>'1'!F8</f>
        <v>2.8755463538072232E-3</v>
      </c>
      <c r="E20" s="89">
        <f t="shared" si="2"/>
        <v>0.17253278122843338</v>
      </c>
      <c r="F20" s="91">
        <f t="shared" si="0"/>
        <v>6793.4997992825438</v>
      </c>
      <c r="G20" s="38" t="str">
        <f t="shared" si="3"/>
        <v>UNIDADES</v>
      </c>
      <c r="H20" s="73">
        <f>'1'!D8</f>
        <v>200</v>
      </c>
      <c r="I20" s="92">
        <f t="shared" si="1"/>
        <v>13586.999598565091</v>
      </c>
      <c r="J20" s="73">
        <f>'1'!D22</f>
        <v>140</v>
      </c>
    </row>
    <row r="21" spans="2:10">
      <c r="B21" s="93" t="str">
        <f>'1'!B9</f>
        <v>Cantidad de Verificación de Identidad persona Jurídica</v>
      </c>
      <c r="C21" s="89">
        <f>'1'!D9-'1'!D23</f>
        <v>1500</v>
      </c>
      <c r="D21" s="90">
        <f>'1'!F9</f>
        <v>3.1151752166244918E-2</v>
      </c>
      <c r="E21" s="89">
        <f t="shared" si="2"/>
        <v>46.727628249367378</v>
      </c>
      <c r="F21" s="91">
        <f t="shared" si="0"/>
        <v>73596.247825560902</v>
      </c>
      <c r="G21" s="38" t="str">
        <f t="shared" si="3"/>
        <v>UNIDADES</v>
      </c>
      <c r="H21" s="73">
        <f>'1'!D9</f>
        <v>6500</v>
      </c>
      <c r="I21" s="92">
        <f t="shared" si="1"/>
        <v>147192.49565112183</v>
      </c>
      <c r="J21" s="73">
        <f>'1'!D23</f>
        <v>5000</v>
      </c>
    </row>
    <row r="22" spans="2:10">
      <c r="B22" s="93" t="str">
        <f>'1'!B10</f>
        <v xml:space="preserve">Cantidad horas consultor de procesos </v>
      </c>
      <c r="C22" s="89">
        <f>'1'!D10-'1'!D24</f>
        <v>40000</v>
      </c>
      <c r="D22" s="90">
        <f>'1'!F10</f>
        <v>5.4635380722337246E-3</v>
      </c>
      <c r="E22" s="89">
        <f t="shared" si="2"/>
        <v>218.54152288934898</v>
      </c>
      <c r="F22" s="91">
        <f t="shared" si="0"/>
        <v>12907.649618636835</v>
      </c>
      <c r="G22" s="38" t="str">
        <f t="shared" si="3"/>
        <v>UNIDADES</v>
      </c>
      <c r="H22" s="73">
        <f>'1'!D10</f>
        <v>95000</v>
      </c>
      <c r="I22" s="92">
        <f t="shared" si="1"/>
        <v>25815.299237273673</v>
      </c>
      <c r="J22" s="73">
        <f>'1'!D24</f>
        <v>55000</v>
      </c>
    </row>
    <row r="23" spans="2:10">
      <c r="B23" s="93" t="str">
        <f>'1'!B11</f>
        <v>Cantidad horas diseñador gráfico</v>
      </c>
      <c r="C23" s="89">
        <f>'1'!D11-'1'!D25</f>
        <v>35000</v>
      </c>
      <c r="D23" s="90">
        <f>'1'!F11</f>
        <v>1.3035810137259412E-2</v>
      </c>
      <c r="E23" s="89">
        <f t="shared" si="2"/>
        <v>456.25335480407944</v>
      </c>
      <c r="F23" s="91">
        <f t="shared" si="0"/>
        <v>30797.199090080867</v>
      </c>
      <c r="G23" s="38" t="str">
        <f t="shared" si="3"/>
        <v>UNIDADES</v>
      </c>
      <c r="H23" s="73">
        <f>'1'!D11</f>
        <v>85000</v>
      </c>
      <c r="I23" s="92">
        <f t="shared" si="1"/>
        <v>61594.398180161748</v>
      </c>
      <c r="J23" s="73">
        <f>'1'!D25</f>
        <v>50000</v>
      </c>
    </row>
    <row r="24" spans="2:10">
      <c r="B24" s="38" t="str">
        <f>'1'!B12</f>
        <v>Cantidad horas analista de datos</v>
      </c>
      <c r="C24" s="89">
        <f>'1'!D12-'1'!D26</f>
        <v>55000</v>
      </c>
      <c r="D24" s="90">
        <f>'1'!F12</f>
        <v>6.901311249137336E-3</v>
      </c>
      <c r="E24" s="89">
        <f t="shared" si="2"/>
        <v>379.5721187025535</v>
      </c>
      <c r="F24" s="91">
        <f t="shared" si="0"/>
        <v>16304.399518278107</v>
      </c>
      <c r="G24" s="38" t="str">
        <f t="shared" si="3"/>
        <v>UNIDADES</v>
      </c>
      <c r="H24" s="73">
        <f>'1'!D12</f>
        <v>120000</v>
      </c>
      <c r="I24" s="92">
        <f t="shared" si="1"/>
        <v>32608.799036556218</v>
      </c>
      <c r="J24" s="73">
        <f>'1'!D26</f>
        <v>65000</v>
      </c>
    </row>
    <row r="25" spans="2:10" ht="26.25">
      <c r="C25" s="26"/>
      <c r="D25" s="94"/>
      <c r="E25" s="26"/>
      <c r="F25" s="95">
        <f>SUM(F15:F24)</f>
        <v>2362507.4901984981</v>
      </c>
      <c r="G25" s="8" t="str">
        <f>G24</f>
        <v>UNIDADES</v>
      </c>
      <c r="H25" s="73"/>
      <c r="I25" s="92"/>
      <c r="J25" s="73"/>
    </row>
    <row r="26" spans="2:10" ht="12.75" customHeight="1">
      <c r="C26" s="26"/>
      <c r="D26" s="94"/>
      <c r="E26" s="26"/>
      <c r="F26" s="95"/>
      <c r="H26" s="73"/>
      <c r="I26" s="92"/>
      <c r="J26" s="73"/>
    </row>
    <row r="27" spans="2:10" ht="21" customHeight="1">
      <c r="B27" s="183" t="s">
        <v>158</v>
      </c>
      <c r="C27" s="183"/>
      <c r="D27" s="183"/>
      <c r="E27" s="96">
        <f>SUM(E15:E24)</f>
        <v>1854.1864600107356</v>
      </c>
      <c r="H27" s="72"/>
      <c r="I27" s="72"/>
      <c r="J27" s="72"/>
    </row>
    <row r="28" spans="2:10" ht="19.5" customHeight="1">
      <c r="B28" s="183" t="s">
        <v>159</v>
      </c>
      <c r="C28" s="183"/>
      <c r="D28" s="183"/>
      <c r="E28" s="95">
        <f>IF(E27=0,0,('2'!C23+'2'!F31+'2'!C25)/'5'!E27)</f>
        <v>2362507.4901984977</v>
      </c>
      <c r="F28" s="97" t="s">
        <v>157</v>
      </c>
      <c r="H28" s="98"/>
    </row>
    <row r="29" spans="2:10" ht="26.25">
      <c r="B29" s="183" t="s">
        <v>160</v>
      </c>
      <c r="C29" s="183"/>
      <c r="D29" s="183"/>
      <c r="E29" s="96">
        <f>E49</f>
        <v>8236797060.8645821</v>
      </c>
    </row>
    <row r="30" spans="2:10">
      <c r="B30" s="130"/>
      <c r="C30" s="130"/>
      <c r="D30" s="130"/>
      <c r="E30" s="130"/>
      <c r="F30" s="130"/>
      <c r="G30" s="130"/>
    </row>
    <row r="31" spans="2:10" s="72" customFormat="1"/>
    <row r="32" spans="2:10" s="72" customFormat="1">
      <c r="C32" s="72" t="s">
        <v>161</v>
      </c>
      <c r="D32" s="72" t="s">
        <v>162</v>
      </c>
      <c r="E32" s="72" t="s">
        <v>163</v>
      </c>
      <c r="F32" s="72" t="s">
        <v>164</v>
      </c>
    </row>
    <row r="33" spans="2:6" s="72" customFormat="1">
      <c r="B33" s="72">
        <v>0</v>
      </c>
      <c r="C33" s="73">
        <f>'2'!C25+'2'!F31+'2'!C23</f>
        <v>4380529400</v>
      </c>
      <c r="D33" s="72">
        <f>0</f>
        <v>0</v>
      </c>
      <c r="E33" s="72">
        <v>0</v>
      </c>
      <c r="F33" s="73">
        <f>C33+E33</f>
        <v>4380529400</v>
      </c>
    </row>
    <row r="34" spans="2:6" s="72" customFormat="1">
      <c r="B34" s="92">
        <f>F25</f>
        <v>2362507.4901984981</v>
      </c>
      <c r="C34" s="73">
        <f>C33</f>
        <v>4380529400</v>
      </c>
      <c r="D34" s="131">
        <f>SUMPRODUCT(F15:F24,H15:H24)</f>
        <v>8236797060.8645821</v>
      </c>
      <c r="E34" s="131">
        <f>SUMPRODUCT(F15:F24,J15:J24)</f>
        <v>3856267660.864583</v>
      </c>
      <c r="F34" s="73">
        <f t="shared" ref="F34:F35" si="4">C34+E34</f>
        <v>8236797060.864583</v>
      </c>
    </row>
    <row r="35" spans="2:6" s="72" customFormat="1">
      <c r="B35" s="92">
        <f>B34*2</f>
        <v>4725014.9803969963</v>
      </c>
      <c r="C35" s="73">
        <f>C34</f>
        <v>4380529400</v>
      </c>
      <c r="D35" s="131">
        <f>SUMPRODUCT(H15:H24,I15:I24)</f>
        <v>16473594121.729168</v>
      </c>
      <c r="E35" s="131">
        <f>SUMPRODUCT(I15:I24,J15:J24)</f>
        <v>7712535321.7291679</v>
      </c>
      <c r="F35" s="73">
        <f t="shared" si="4"/>
        <v>12093064721.729168</v>
      </c>
    </row>
    <row r="36" spans="2:6" s="72" customFormat="1">
      <c r="C36" s="73"/>
    </row>
    <row r="37" spans="2:6" s="72" customFormat="1">
      <c r="C37" s="73"/>
    </row>
    <row r="38" spans="2:6" s="72" customFormat="1">
      <c r="C38" s="132" t="s">
        <v>165</v>
      </c>
      <c r="D38" s="72" t="s">
        <v>157</v>
      </c>
      <c r="E38" s="72" t="s">
        <v>166</v>
      </c>
    </row>
    <row r="39" spans="2:6" s="72" customFormat="1">
      <c r="B39" s="72">
        <v>1</v>
      </c>
      <c r="C39" s="73">
        <f>'1'!D3</f>
        <v>950</v>
      </c>
      <c r="D39" s="92">
        <f>F15</f>
        <v>68840.797966063124</v>
      </c>
      <c r="E39" s="72">
        <f>C39*D39</f>
        <v>65398758.067759968</v>
      </c>
    </row>
    <row r="40" spans="2:6" s="72" customFormat="1">
      <c r="B40" s="72">
        <f>B39+1</f>
        <v>2</v>
      </c>
      <c r="C40" s="73">
        <f>'1'!D4</f>
        <v>935</v>
      </c>
      <c r="D40" s="92">
        <f t="shared" ref="D40:D48" si="5">F16</f>
        <v>63519.223123291791</v>
      </c>
      <c r="E40" s="72">
        <f t="shared" ref="E40:E48" si="6">C40*D40</f>
        <v>59390473.620277822</v>
      </c>
    </row>
    <row r="41" spans="2:6" s="72" customFormat="1">
      <c r="B41" s="72">
        <f t="shared" ref="B41:B48" si="7">B40+1</f>
        <v>3</v>
      </c>
      <c r="C41" s="73">
        <f>'1'!D5</f>
        <v>910</v>
      </c>
      <c r="D41" s="92">
        <f t="shared" si="5"/>
        <v>150430.7305554465</v>
      </c>
      <c r="E41" s="72">
        <f t="shared" si="6"/>
        <v>136891964.80545631</v>
      </c>
    </row>
    <row r="42" spans="2:6" s="72" customFormat="1">
      <c r="B42" s="72">
        <f t="shared" si="7"/>
        <v>4</v>
      </c>
      <c r="C42" s="73">
        <f>'1'!D6</f>
        <v>890</v>
      </c>
      <c r="D42" s="92">
        <f t="shared" si="5"/>
        <v>382926.93868622609</v>
      </c>
      <c r="E42" s="72">
        <f t="shared" si="6"/>
        <v>340804975.43074119</v>
      </c>
    </row>
    <row r="43" spans="2:6" s="72" customFormat="1">
      <c r="B43" s="72">
        <f t="shared" si="7"/>
        <v>5</v>
      </c>
      <c r="C43" s="73">
        <f>'1'!D7</f>
        <v>870</v>
      </c>
      <c r="D43" s="92">
        <f t="shared" si="5"/>
        <v>1556390.8040156311</v>
      </c>
      <c r="E43" s="72">
        <f t="shared" si="6"/>
        <v>1354059999.4935989</v>
      </c>
    </row>
    <row r="44" spans="2:6" s="72" customFormat="1">
      <c r="B44" s="72">
        <f t="shared" si="7"/>
        <v>6</v>
      </c>
      <c r="C44" s="73">
        <f>'1'!D8</f>
        <v>200</v>
      </c>
      <c r="D44" s="92">
        <f t="shared" si="5"/>
        <v>6793.4997992825438</v>
      </c>
      <c r="E44" s="72">
        <f t="shared" si="6"/>
        <v>1358699.9598565088</v>
      </c>
    </row>
    <row r="45" spans="2:6" s="72" customFormat="1">
      <c r="B45" s="72">
        <f t="shared" si="7"/>
        <v>7</v>
      </c>
      <c r="C45" s="73">
        <f>'1'!D9</f>
        <v>6500</v>
      </c>
      <c r="D45" s="92">
        <f t="shared" si="5"/>
        <v>73596.247825560902</v>
      </c>
      <c r="E45" s="72">
        <f t="shared" si="6"/>
        <v>478375610.86614585</v>
      </c>
    </row>
    <row r="46" spans="2:6" s="72" customFormat="1">
      <c r="B46" s="72">
        <f t="shared" si="7"/>
        <v>8</v>
      </c>
      <c r="C46" s="73">
        <f>'1'!D10</f>
        <v>95000</v>
      </c>
      <c r="D46" s="92">
        <f t="shared" si="5"/>
        <v>12907.649618636835</v>
      </c>
      <c r="E46" s="72">
        <f t="shared" si="6"/>
        <v>1226226713.7704992</v>
      </c>
    </row>
    <row r="47" spans="2:6" s="72" customFormat="1">
      <c r="B47" s="72">
        <f t="shared" si="7"/>
        <v>9</v>
      </c>
      <c r="C47" s="73">
        <f>'1'!D11</f>
        <v>85000</v>
      </c>
      <c r="D47" s="92">
        <f t="shared" si="5"/>
        <v>30797.199090080867</v>
      </c>
      <c r="E47" s="72">
        <f t="shared" si="6"/>
        <v>2617761922.6568737</v>
      </c>
    </row>
    <row r="48" spans="2:6" s="72" customFormat="1">
      <c r="B48" s="72">
        <f t="shared" si="7"/>
        <v>10</v>
      </c>
      <c r="C48" s="73">
        <f>'1'!D12</f>
        <v>120000</v>
      </c>
      <c r="D48" s="92">
        <f t="shared" si="5"/>
        <v>16304.399518278107</v>
      </c>
      <c r="E48" s="72">
        <f t="shared" si="6"/>
        <v>1956527942.193373</v>
      </c>
    </row>
    <row r="49" spans="2:8" s="72" customFormat="1">
      <c r="C49" s="73"/>
      <c r="E49" s="133">
        <f>SUM(E39:E48)</f>
        <v>8236797060.8645821</v>
      </c>
    </row>
    <row r="50" spans="2:8" s="72" customFormat="1"/>
    <row r="51" spans="2:8" s="72" customFormat="1">
      <c r="C51" s="73"/>
    </row>
    <row r="52" spans="2:8" s="72" customFormat="1">
      <c r="B52" s="181"/>
      <c r="C52" s="181"/>
      <c r="D52" s="181"/>
      <c r="G52" s="72" t="s">
        <v>167</v>
      </c>
      <c r="H52" s="134">
        <f>'4'!B32/'4'!B27</f>
        <v>0.93494093737334538</v>
      </c>
    </row>
    <row r="53" spans="2:8" s="72" customFormat="1">
      <c r="C53" s="73"/>
      <c r="G53" s="72" t="s">
        <v>168</v>
      </c>
      <c r="H53" s="134">
        <f>'4'!B36/'4'!B27</f>
        <v>6.5059062626654632E-2</v>
      </c>
    </row>
    <row r="54" spans="2:8" s="72" customFormat="1">
      <c r="G54" s="72" t="s">
        <v>169</v>
      </c>
      <c r="H54" s="72">
        <f>'1'!AB7</f>
        <v>0.35</v>
      </c>
    </row>
    <row r="55" spans="2:8" s="72" customFormat="1">
      <c r="G55" s="72" t="s">
        <v>170</v>
      </c>
      <c r="H55" s="134">
        <f>'3'!F4</f>
        <v>0.24160000000000001</v>
      </c>
    </row>
    <row r="56" spans="2:8" s="72" customFormat="1">
      <c r="G56" s="72" t="s">
        <v>171</v>
      </c>
    </row>
    <row r="57" spans="2:8" s="72" customFormat="1"/>
    <row r="58" spans="2:8" s="72" customFormat="1"/>
    <row r="59" spans="2:8" s="72" customFormat="1"/>
    <row r="60" spans="2:8" s="72" customFormat="1"/>
    <row r="61" spans="2:8" s="72" customFormat="1"/>
    <row r="62" spans="2:8">
      <c r="B62" s="130"/>
      <c r="C62" s="130"/>
      <c r="D62" s="130"/>
      <c r="E62" s="130"/>
      <c r="F62" s="130"/>
      <c r="G62" s="130"/>
    </row>
    <row r="63" spans="2:8">
      <c r="B63" s="130"/>
      <c r="C63" s="130"/>
      <c r="D63" s="130"/>
      <c r="E63" s="130"/>
      <c r="F63" s="130"/>
      <c r="G63" s="130"/>
    </row>
    <row r="64" spans="2:8">
      <c r="B64" s="130"/>
      <c r="C64" s="130"/>
      <c r="D64" s="130"/>
      <c r="E64" s="130"/>
      <c r="F64" s="130"/>
      <c r="G64" s="130"/>
    </row>
    <row r="65" spans="2:7">
      <c r="B65" s="130"/>
      <c r="C65" s="130"/>
      <c r="D65" s="130"/>
      <c r="E65" s="130"/>
      <c r="F65" s="130"/>
      <c r="G65" s="130"/>
    </row>
    <row r="66" spans="2:7">
      <c r="B66" s="130"/>
      <c r="C66" s="130"/>
      <c r="D66" s="130"/>
      <c r="E66" s="130"/>
      <c r="F66" s="130"/>
      <c r="G66" s="130"/>
    </row>
  </sheetData>
  <sheetProtection algorithmName="SHA-512" hashValue="d8YmbEuhgH/1suTHnyk65cUm7JICPWvCYFmBmgZq8qv3j6oNX1dH6pxbsOvEemrfsUtiheOuJ37FLcWPLzLIBA==" saltValue="9SYKwqsdfai2EFAADOs7AQ==" spinCount="100000" sheet="1" formatCells="0" formatColumns="0" formatRows="0"/>
  <mergeCells count="10">
    <mergeCell ref="B2:F2"/>
    <mergeCell ref="G2:H2"/>
    <mergeCell ref="B3:D4"/>
    <mergeCell ref="E3:F4"/>
    <mergeCell ref="B13:H13"/>
    <mergeCell ref="B52:D52"/>
    <mergeCell ref="B5:D5"/>
    <mergeCell ref="B29:D29"/>
    <mergeCell ref="B27:D27"/>
    <mergeCell ref="B28:D28"/>
  </mergeCells>
  <conditionalFormatting sqref="D10:D11">
    <cfRule type="cellIs" dxfId="6" priority="4" operator="lessThan">
      <formula>0</formula>
    </cfRule>
  </conditionalFormatting>
  <conditionalFormatting sqref="D11">
    <cfRule type="containsText" dxfId="5" priority="2" operator="containsText" text="NO_APLICA">
      <formula>NOT(ISERROR(SEARCH("NO_APLICA",D11)))</formula>
    </cfRule>
    <cfRule type="cellIs" dxfId="4" priority="6" operator="equal">
      <formula>$E$3</formula>
    </cfRule>
    <cfRule type="cellIs" dxfId="3" priority="7" operator="greaterThan">
      <formula>$E$3</formula>
    </cfRule>
    <cfRule type="cellIs" dxfId="2" priority="8" operator="lessThan">
      <formula>$E$3</formula>
    </cfRule>
  </conditionalFormatting>
  <conditionalFormatting sqref="H11">
    <cfRule type="containsText" dxfId="1" priority="1" operator="containsText" text="NO_APLICA">
      <formula>NOT(ISERROR(SEARCH("NO_APLICA",H11)))</formula>
    </cfRule>
    <cfRule type="cellIs" dxfId="0" priority="3" operator="lessThan">
      <formula>0</formula>
    </cfRule>
  </conditionalFormatting>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58"/>
  <sheetViews>
    <sheetView workbookViewId="0">
      <selection sqref="A1:I1"/>
    </sheetView>
  </sheetViews>
  <sheetFormatPr baseColWidth="10" defaultColWidth="9.140625" defaultRowHeight="15"/>
  <cols>
    <col min="1" max="1" width="38.85546875" bestFit="1" customWidth="1"/>
    <col min="2" max="2" width="24.5703125" bestFit="1" customWidth="1"/>
    <col min="3" max="3" width="45.42578125" bestFit="1" customWidth="1"/>
    <col min="4" max="4" width="17.42578125" bestFit="1" customWidth="1"/>
    <col min="5" max="5" width="14.5703125" bestFit="1" customWidth="1"/>
    <col min="6" max="6" width="18.28515625" bestFit="1" customWidth="1"/>
    <col min="7" max="7" width="19.42578125" bestFit="1" customWidth="1"/>
    <col min="8" max="8" width="244" bestFit="1" customWidth="1"/>
    <col min="9" max="9" width="12.28515625" bestFit="1" customWidth="1"/>
  </cols>
  <sheetData>
    <row r="1" spans="1:9">
      <c r="A1" s="187" t="s">
        <v>172</v>
      </c>
      <c r="B1" s="188"/>
      <c r="C1" s="188"/>
      <c r="D1" s="188"/>
      <c r="E1" s="188"/>
      <c r="F1" s="188"/>
      <c r="G1" s="188"/>
      <c r="H1" s="188"/>
      <c r="I1" s="188"/>
    </row>
    <row r="2" spans="1:9">
      <c r="A2" s="141" t="s">
        <v>173</v>
      </c>
      <c r="B2" s="141" t="s">
        <v>174</v>
      </c>
      <c r="C2" s="141" t="s">
        <v>175</v>
      </c>
      <c r="D2" s="141" t="s">
        <v>176</v>
      </c>
      <c r="E2" s="141" t="s">
        <v>177</v>
      </c>
      <c r="F2" s="141" t="s">
        <v>178</v>
      </c>
      <c r="G2" s="141" t="s">
        <v>179</v>
      </c>
      <c r="H2" s="141" t="s">
        <v>180</v>
      </c>
      <c r="I2" s="141" t="s">
        <v>181</v>
      </c>
    </row>
    <row r="3" spans="1:9">
      <c r="A3" s="136" t="s">
        <v>182</v>
      </c>
      <c r="B3" s="136">
        <v>5500000</v>
      </c>
      <c r="C3" s="136">
        <v>7609544</v>
      </c>
      <c r="D3" s="136">
        <v>1</v>
      </c>
      <c r="E3" s="136">
        <v>7609544</v>
      </c>
      <c r="F3" s="136">
        <v>45657264</v>
      </c>
      <c r="G3" s="136" t="s">
        <v>183</v>
      </c>
      <c r="H3" s="136" t="s">
        <v>184</v>
      </c>
      <c r="I3" s="136" t="s">
        <v>185</v>
      </c>
    </row>
    <row r="4" spans="1:9">
      <c r="A4" s="136" t="s">
        <v>186</v>
      </c>
      <c r="B4" s="136">
        <v>5000000</v>
      </c>
      <c r="C4" s="136">
        <v>6917767</v>
      </c>
      <c r="D4" s="136">
        <v>1</v>
      </c>
      <c r="E4" s="136">
        <v>6917767</v>
      </c>
      <c r="F4" s="136">
        <v>41506602</v>
      </c>
      <c r="G4" s="136" t="s">
        <v>183</v>
      </c>
      <c r="H4" s="136" t="s">
        <v>187</v>
      </c>
      <c r="I4" s="136" t="s">
        <v>185</v>
      </c>
    </row>
    <row r="5" spans="1:9">
      <c r="A5" s="136" t="s">
        <v>188</v>
      </c>
      <c r="B5" s="136">
        <v>4000000</v>
      </c>
      <c r="C5" s="136">
        <v>5537214</v>
      </c>
      <c r="D5" s="136">
        <v>1</v>
      </c>
      <c r="E5" s="136">
        <v>5537214</v>
      </c>
      <c r="F5" s="136">
        <v>33223284</v>
      </c>
      <c r="G5" s="136" t="s">
        <v>183</v>
      </c>
      <c r="H5" s="136" t="s">
        <v>189</v>
      </c>
      <c r="I5" s="136" t="s">
        <v>185</v>
      </c>
    </row>
    <row r="6" spans="1:9">
      <c r="A6" s="136" t="s">
        <v>190</v>
      </c>
      <c r="B6" s="136">
        <v>4000000</v>
      </c>
      <c r="C6" s="136">
        <v>5537214</v>
      </c>
      <c r="D6" s="136">
        <v>1</v>
      </c>
      <c r="E6" s="136">
        <v>5537214</v>
      </c>
      <c r="F6" s="136">
        <v>33223284</v>
      </c>
      <c r="G6" s="136" t="s">
        <v>183</v>
      </c>
      <c r="H6" s="136" t="s">
        <v>191</v>
      </c>
      <c r="I6" s="136" t="s">
        <v>185</v>
      </c>
    </row>
    <row r="7" spans="1:9">
      <c r="A7" s="136" t="s">
        <v>192</v>
      </c>
      <c r="B7" s="136">
        <v>4000000</v>
      </c>
      <c r="C7" s="136">
        <v>5537214</v>
      </c>
      <c r="D7" s="136">
        <v>1</v>
      </c>
      <c r="E7" s="136">
        <v>5537214</v>
      </c>
      <c r="F7" s="136">
        <v>33223284</v>
      </c>
      <c r="G7" s="136" t="s">
        <v>183</v>
      </c>
      <c r="H7" s="136" t="s">
        <v>193</v>
      </c>
      <c r="I7" s="136" t="s">
        <v>185</v>
      </c>
    </row>
    <row r="8" spans="1:9">
      <c r="A8" s="136" t="s">
        <v>194</v>
      </c>
      <c r="B8" s="136">
        <v>4000000</v>
      </c>
      <c r="C8" s="136">
        <v>5537214</v>
      </c>
      <c r="D8" s="136">
        <v>1</v>
      </c>
      <c r="E8" s="136">
        <v>5537214</v>
      </c>
      <c r="F8" s="136">
        <v>33223284</v>
      </c>
      <c r="G8" s="136" t="s">
        <v>183</v>
      </c>
      <c r="H8" s="136" t="s">
        <v>195</v>
      </c>
      <c r="I8" s="136" t="s">
        <v>185</v>
      </c>
    </row>
    <row r="9" spans="1:9">
      <c r="A9" s="136" t="s">
        <v>196</v>
      </c>
      <c r="B9" s="136">
        <v>4000000</v>
      </c>
      <c r="C9" s="136">
        <v>5537214</v>
      </c>
      <c r="D9" s="136">
        <v>1</v>
      </c>
      <c r="E9" s="136">
        <v>5537214</v>
      </c>
      <c r="F9" s="136">
        <v>33223284</v>
      </c>
      <c r="G9" s="136" t="s">
        <v>183</v>
      </c>
      <c r="H9" s="136" t="s">
        <v>197</v>
      </c>
      <c r="I9" s="136" t="s">
        <v>185</v>
      </c>
    </row>
    <row r="10" spans="1:9">
      <c r="A10" s="136" t="s">
        <v>198</v>
      </c>
      <c r="B10" s="136">
        <v>4000000</v>
      </c>
      <c r="C10" s="136">
        <v>5537214</v>
      </c>
      <c r="D10" s="136">
        <v>1</v>
      </c>
      <c r="E10" s="136">
        <v>5537214</v>
      </c>
      <c r="F10" s="136">
        <v>33223284</v>
      </c>
      <c r="G10" s="136" t="s">
        <v>183</v>
      </c>
      <c r="H10" s="136" t="s">
        <v>199</v>
      </c>
      <c r="I10" s="136" t="s">
        <v>185</v>
      </c>
    </row>
    <row r="11" spans="1:9">
      <c r="A11" s="136" t="s">
        <v>200</v>
      </c>
      <c r="B11" s="136">
        <v>4000000</v>
      </c>
      <c r="C11" s="136">
        <v>5537214</v>
      </c>
      <c r="D11" s="136">
        <v>1</v>
      </c>
      <c r="E11" s="136">
        <v>5537214</v>
      </c>
      <c r="F11" s="136">
        <v>33223284</v>
      </c>
      <c r="G11" s="136" t="s">
        <v>183</v>
      </c>
      <c r="H11" s="136" t="s">
        <v>201</v>
      </c>
      <c r="I11" s="136" t="s">
        <v>185</v>
      </c>
    </row>
    <row r="12" spans="1:9">
      <c r="A12" s="136" t="s">
        <v>202</v>
      </c>
      <c r="B12" s="136">
        <v>2500000</v>
      </c>
      <c r="C12" s="136">
        <v>3796383</v>
      </c>
      <c r="D12" s="136">
        <v>1</v>
      </c>
      <c r="E12" s="136">
        <v>3796383</v>
      </c>
      <c r="F12" s="136">
        <v>22778298</v>
      </c>
      <c r="G12" s="136" t="s">
        <v>183</v>
      </c>
      <c r="H12" s="136" t="s">
        <v>203</v>
      </c>
      <c r="I12" s="136" t="s">
        <v>185</v>
      </c>
    </row>
    <row r="13" spans="1:9">
      <c r="A13" s="136" t="s">
        <v>204</v>
      </c>
      <c r="B13" s="136">
        <v>3500000</v>
      </c>
      <c r="C13" s="136">
        <v>4842437</v>
      </c>
      <c r="D13" s="136">
        <v>1</v>
      </c>
      <c r="E13" s="136">
        <v>4842437</v>
      </c>
      <c r="F13" s="136">
        <v>29054622</v>
      </c>
      <c r="G13" s="136" t="s">
        <v>183</v>
      </c>
      <c r="H13" s="136" t="s">
        <v>201</v>
      </c>
      <c r="I13" s="136" t="s">
        <v>185</v>
      </c>
    </row>
    <row r="14" spans="1:9">
      <c r="A14" s="136" t="s">
        <v>205</v>
      </c>
      <c r="B14" s="136">
        <v>5000000</v>
      </c>
      <c r="C14" s="136">
        <v>6917767</v>
      </c>
      <c r="D14" s="136">
        <v>1</v>
      </c>
      <c r="E14" s="136">
        <v>6917767</v>
      </c>
      <c r="F14" s="136">
        <v>41506602</v>
      </c>
      <c r="G14" s="136" t="s">
        <v>183</v>
      </c>
      <c r="H14" s="136" t="s">
        <v>206</v>
      </c>
      <c r="I14" s="136" t="s">
        <v>185</v>
      </c>
    </row>
    <row r="15" spans="1:9">
      <c r="A15" s="136" t="s">
        <v>207</v>
      </c>
      <c r="B15" s="136">
        <v>4000000</v>
      </c>
      <c r="C15" s="136">
        <v>5537214</v>
      </c>
      <c r="D15" s="136">
        <v>1</v>
      </c>
      <c r="E15" s="136">
        <v>5537214</v>
      </c>
      <c r="F15" s="136">
        <v>33223284</v>
      </c>
      <c r="G15" s="136" t="s">
        <v>183</v>
      </c>
      <c r="H15" s="136" t="s">
        <v>208</v>
      </c>
      <c r="I15" s="136" t="s">
        <v>185</v>
      </c>
    </row>
    <row r="16" spans="1:9">
      <c r="A16" s="136" t="s">
        <v>209</v>
      </c>
      <c r="B16" s="136">
        <v>3500000</v>
      </c>
      <c r="C16" s="136">
        <v>4842437</v>
      </c>
      <c r="D16" s="136">
        <v>1</v>
      </c>
      <c r="E16" s="136">
        <v>4842437</v>
      </c>
      <c r="F16" s="136">
        <v>29054622</v>
      </c>
      <c r="G16" s="136" t="s">
        <v>183</v>
      </c>
      <c r="H16" s="136" t="s">
        <v>210</v>
      </c>
      <c r="I16" s="136" t="s">
        <v>185</v>
      </c>
    </row>
    <row r="17" spans="1:9">
      <c r="A17" s="136" t="s">
        <v>211</v>
      </c>
      <c r="B17" s="136">
        <v>3500000</v>
      </c>
      <c r="C17" s="136">
        <v>4842437</v>
      </c>
      <c r="D17" s="136">
        <v>1</v>
      </c>
      <c r="E17" s="136">
        <v>4842437</v>
      </c>
      <c r="F17" s="136">
        <v>29054622</v>
      </c>
      <c r="G17" s="136" t="s">
        <v>183</v>
      </c>
      <c r="H17" s="136" t="s">
        <v>212</v>
      </c>
      <c r="I17" s="136" t="s">
        <v>185</v>
      </c>
    </row>
    <row r="18" spans="1:9">
      <c r="A18" s="136" t="s">
        <v>213</v>
      </c>
      <c r="B18" s="136">
        <v>3500000</v>
      </c>
      <c r="C18" s="136">
        <v>4842437</v>
      </c>
      <c r="D18" s="136">
        <v>1</v>
      </c>
      <c r="E18" s="136">
        <v>4842437</v>
      </c>
      <c r="F18" s="136">
        <v>29054622</v>
      </c>
      <c r="G18" s="136" t="s">
        <v>183</v>
      </c>
      <c r="H18" s="136" t="s">
        <v>214</v>
      </c>
      <c r="I18" s="136" t="s">
        <v>185</v>
      </c>
    </row>
    <row r="19" spans="1:9">
      <c r="A19" s="136" t="s">
        <v>215</v>
      </c>
      <c r="B19" s="136">
        <v>4000000</v>
      </c>
      <c r="C19" s="136">
        <v>5537214</v>
      </c>
      <c r="D19" s="136">
        <v>1</v>
      </c>
      <c r="E19" s="136">
        <v>5537214</v>
      </c>
      <c r="F19" s="136">
        <v>33223284</v>
      </c>
      <c r="G19" s="136" t="s">
        <v>183</v>
      </c>
      <c r="H19" s="136" t="s">
        <v>206</v>
      </c>
      <c r="I19" s="136" t="s">
        <v>185</v>
      </c>
    </row>
    <row r="20" spans="1:9">
      <c r="A20" s="136" t="s">
        <v>216</v>
      </c>
      <c r="B20" s="136">
        <v>4000000</v>
      </c>
      <c r="C20" s="136">
        <v>5537214</v>
      </c>
      <c r="D20" s="136">
        <v>1</v>
      </c>
      <c r="E20" s="136">
        <v>5537214</v>
      </c>
      <c r="F20" s="136">
        <v>33223284</v>
      </c>
      <c r="G20" s="136" t="s">
        <v>183</v>
      </c>
      <c r="H20" s="136" t="s">
        <v>217</v>
      </c>
      <c r="I20" s="136" t="s">
        <v>185</v>
      </c>
    </row>
    <row r="21" spans="1:9">
      <c r="A21" s="136" t="s">
        <v>218</v>
      </c>
      <c r="B21" s="136">
        <v>3500000</v>
      </c>
      <c r="C21" s="136">
        <v>4842437</v>
      </c>
      <c r="D21" s="136">
        <v>1</v>
      </c>
      <c r="E21" s="136">
        <v>4842437</v>
      </c>
      <c r="F21" s="136">
        <v>29054622</v>
      </c>
      <c r="G21" s="136" t="s">
        <v>183</v>
      </c>
      <c r="H21" s="136" t="s">
        <v>219</v>
      </c>
      <c r="I21" s="136" t="s">
        <v>185</v>
      </c>
    </row>
    <row r="22" spans="1:9">
      <c r="A22" s="136" t="s">
        <v>220</v>
      </c>
      <c r="B22" s="136">
        <v>4000000</v>
      </c>
      <c r="C22" s="136">
        <v>5537214</v>
      </c>
      <c r="D22" s="136">
        <v>1</v>
      </c>
      <c r="E22" s="136">
        <v>5537214</v>
      </c>
      <c r="F22" s="136">
        <v>33223284</v>
      </c>
      <c r="G22" s="136" t="s">
        <v>183</v>
      </c>
      <c r="H22" s="136" t="s">
        <v>221</v>
      </c>
      <c r="I22" s="136" t="s">
        <v>185</v>
      </c>
    </row>
    <row r="23" spans="1:9">
      <c r="A23" s="136" t="s">
        <v>222</v>
      </c>
      <c r="B23" s="136">
        <v>4000000</v>
      </c>
      <c r="C23" s="136">
        <v>5537214</v>
      </c>
      <c r="D23" s="136">
        <v>1</v>
      </c>
      <c r="E23" s="136">
        <v>5537214</v>
      </c>
      <c r="F23" s="136">
        <v>33223284</v>
      </c>
      <c r="G23" s="136" t="s">
        <v>183</v>
      </c>
      <c r="H23" s="136" t="s">
        <v>223</v>
      </c>
      <c r="I23" s="136" t="s">
        <v>185</v>
      </c>
    </row>
    <row r="24" spans="1:9">
      <c r="A24" s="136" t="s">
        <v>224</v>
      </c>
      <c r="B24" s="136">
        <v>4000000</v>
      </c>
      <c r="C24" s="136">
        <v>5537214</v>
      </c>
      <c r="D24" s="136">
        <v>1</v>
      </c>
      <c r="E24" s="136">
        <v>5537214</v>
      </c>
      <c r="F24" s="136">
        <v>33223284</v>
      </c>
      <c r="G24" s="136" t="s">
        <v>183</v>
      </c>
      <c r="H24" s="136" t="s">
        <v>225</v>
      </c>
      <c r="I24" s="136" t="s">
        <v>185</v>
      </c>
    </row>
    <row r="25" spans="1:9">
      <c r="A25" s="136" t="s">
        <v>226</v>
      </c>
      <c r="B25" s="136">
        <v>4000000</v>
      </c>
      <c r="C25" s="136">
        <v>5537214</v>
      </c>
      <c r="D25" s="136">
        <v>1</v>
      </c>
      <c r="E25" s="136">
        <v>5537214</v>
      </c>
      <c r="F25" s="136">
        <v>33223284</v>
      </c>
      <c r="G25" s="136" t="s">
        <v>183</v>
      </c>
      <c r="H25" s="136" t="s">
        <v>227</v>
      </c>
      <c r="I25" s="136" t="s">
        <v>185</v>
      </c>
    </row>
    <row r="26" spans="1:9">
      <c r="A26" s="136" t="s">
        <v>228</v>
      </c>
      <c r="B26" s="136">
        <v>6000000</v>
      </c>
      <c r="C26" s="136">
        <v>8301320</v>
      </c>
      <c r="D26" s="136">
        <v>1</v>
      </c>
      <c r="E26" s="136">
        <v>8301320</v>
      </c>
      <c r="F26" s="136">
        <v>24903960</v>
      </c>
      <c r="G26" s="136" t="s">
        <v>229</v>
      </c>
      <c r="H26" s="136" t="s">
        <v>230</v>
      </c>
      <c r="I26" s="136" t="s">
        <v>231</v>
      </c>
    </row>
    <row r="27" spans="1:9">
      <c r="A27" s="136" t="s">
        <v>232</v>
      </c>
      <c r="B27" s="136">
        <v>4000000</v>
      </c>
      <c r="C27" s="136">
        <v>5537214</v>
      </c>
      <c r="D27" s="136">
        <v>1</v>
      </c>
      <c r="E27" s="136">
        <v>5537214</v>
      </c>
      <c r="F27" s="136">
        <v>16611642</v>
      </c>
      <c r="G27" s="136" t="s">
        <v>229</v>
      </c>
      <c r="H27" s="136" t="s">
        <v>233</v>
      </c>
      <c r="I27" s="136" t="s">
        <v>231</v>
      </c>
    </row>
    <row r="28" spans="1:9">
      <c r="A28" s="136" t="s">
        <v>234</v>
      </c>
      <c r="B28" s="136">
        <v>6000000</v>
      </c>
      <c r="C28" s="136">
        <v>8301320</v>
      </c>
      <c r="D28" s="136">
        <v>1</v>
      </c>
      <c r="E28" s="136">
        <v>8301320</v>
      </c>
      <c r="F28" s="136">
        <v>24903960</v>
      </c>
      <c r="G28" s="136" t="s">
        <v>229</v>
      </c>
      <c r="H28" s="136" t="s">
        <v>235</v>
      </c>
      <c r="I28" s="136" t="s">
        <v>231</v>
      </c>
    </row>
    <row r="29" spans="1:9">
      <c r="A29" s="136" t="s">
        <v>236</v>
      </c>
      <c r="B29" s="136">
        <v>5500000</v>
      </c>
      <c r="C29" s="136">
        <v>7609544</v>
      </c>
      <c r="D29" s="136">
        <v>1</v>
      </c>
      <c r="E29" s="136">
        <v>7609544</v>
      </c>
      <c r="F29" s="136">
        <v>22828632</v>
      </c>
      <c r="G29" s="136" t="s">
        <v>229</v>
      </c>
      <c r="H29" s="136" t="s">
        <v>237</v>
      </c>
      <c r="I29" s="136" t="s">
        <v>231</v>
      </c>
    </row>
    <row r="30" spans="1:9">
      <c r="A30" s="136" t="s">
        <v>238</v>
      </c>
      <c r="B30" s="136">
        <v>5000000</v>
      </c>
      <c r="C30" s="136">
        <v>6917767</v>
      </c>
      <c r="D30" s="136">
        <v>1</v>
      </c>
      <c r="E30" s="136">
        <v>6917767</v>
      </c>
      <c r="F30" s="136">
        <v>20753301</v>
      </c>
      <c r="G30" s="136" t="s">
        <v>229</v>
      </c>
      <c r="H30" s="136" t="s">
        <v>189</v>
      </c>
      <c r="I30" s="136" t="s">
        <v>231</v>
      </c>
    </row>
    <row r="31" spans="1:9">
      <c r="A31" s="136" t="s">
        <v>239</v>
      </c>
      <c r="B31" s="136">
        <v>5000000</v>
      </c>
      <c r="C31" s="136">
        <v>6917767</v>
      </c>
      <c r="D31" s="136">
        <v>1</v>
      </c>
      <c r="E31" s="136">
        <v>6917767</v>
      </c>
      <c r="F31" s="136">
        <v>20753301</v>
      </c>
      <c r="G31" s="136" t="s">
        <v>229</v>
      </c>
      <c r="H31" s="136" t="s">
        <v>240</v>
      </c>
      <c r="I31" s="136" t="s">
        <v>231</v>
      </c>
    </row>
    <row r="32" spans="1:9">
      <c r="A32" s="136" t="s">
        <v>241</v>
      </c>
      <c r="B32" s="136">
        <v>4000000</v>
      </c>
      <c r="C32" s="136">
        <v>5537214</v>
      </c>
      <c r="D32" s="136">
        <v>1</v>
      </c>
      <c r="E32" s="136">
        <v>5537214</v>
      </c>
      <c r="F32" s="136">
        <v>16611642</v>
      </c>
      <c r="G32" s="136" t="s">
        <v>229</v>
      </c>
      <c r="H32" s="136" t="s">
        <v>242</v>
      </c>
      <c r="I32" s="136" t="s">
        <v>231</v>
      </c>
    </row>
    <row r="33" spans="1:9">
      <c r="A33" s="136" t="s">
        <v>243</v>
      </c>
      <c r="B33" s="136">
        <v>4000000</v>
      </c>
      <c r="C33" s="136">
        <v>5537214</v>
      </c>
      <c r="D33" s="136">
        <v>1</v>
      </c>
      <c r="E33" s="136">
        <v>5537214</v>
      </c>
      <c r="F33" s="136">
        <v>16611642</v>
      </c>
      <c r="G33" s="136" t="s">
        <v>229</v>
      </c>
      <c r="H33" s="136" t="s">
        <v>244</v>
      </c>
      <c r="I33" s="136" t="s">
        <v>231</v>
      </c>
    </row>
    <row r="34" spans="1:9">
      <c r="A34" s="136" t="s">
        <v>245</v>
      </c>
      <c r="B34" s="136">
        <v>3000000</v>
      </c>
      <c r="C34" s="136">
        <v>4150660</v>
      </c>
      <c r="D34" s="136">
        <v>1</v>
      </c>
      <c r="E34" s="136">
        <v>4150660</v>
      </c>
      <c r="F34" s="136">
        <v>12451980</v>
      </c>
      <c r="G34" s="136" t="s">
        <v>229</v>
      </c>
      <c r="H34" s="136" t="s">
        <v>244</v>
      </c>
      <c r="I34" s="136" t="s">
        <v>231</v>
      </c>
    </row>
    <row r="35" spans="1:9">
      <c r="A35" s="136" t="s">
        <v>246</v>
      </c>
      <c r="B35" s="136">
        <v>5000000</v>
      </c>
      <c r="C35" s="136">
        <v>6917767</v>
      </c>
      <c r="D35" s="136">
        <v>1</v>
      </c>
      <c r="E35" s="136">
        <v>6917767</v>
      </c>
      <c r="F35" s="136">
        <v>20753301</v>
      </c>
      <c r="G35" s="136" t="s">
        <v>229</v>
      </c>
      <c r="H35" s="136" t="s">
        <v>244</v>
      </c>
      <c r="I35" s="136" t="s">
        <v>231</v>
      </c>
    </row>
    <row r="36" spans="1:9">
      <c r="A36" s="136" t="s">
        <v>202</v>
      </c>
      <c r="B36" s="136">
        <v>2500000</v>
      </c>
      <c r="C36" s="136">
        <v>3796383</v>
      </c>
      <c r="D36" s="136">
        <v>1</v>
      </c>
      <c r="E36" s="136">
        <v>3796383</v>
      </c>
      <c r="F36" s="136">
        <v>11389149</v>
      </c>
      <c r="G36" s="136" t="s">
        <v>229</v>
      </c>
      <c r="H36" s="136" t="s">
        <v>247</v>
      </c>
      <c r="I36" s="136" t="s">
        <v>231</v>
      </c>
    </row>
    <row r="37" spans="1:9">
      <c r="A37" s="136" t="s">
        <v>248</v>
      </c>
      <c r="B37" s="136">
        <v>6000000</v>
      </c>
      <c r="C37" s="136">
        <v>8301320</v>
      </c>
      <c r="D37" s="136">
        <v>1</v>
      </c>
      <c r="E37" s="136">
        <v>8301320</v>
      </c>
      <c r="F37" s="136">
        <v>24903960</v>
      </c>
      <c r="G37" s="136" t="s">
        <v>229</v>
      </c>
      <c r="H37" s="136" t="s">
        <v>249</v>
      </c>
      <c r="I37" s="136" t="s">
        <v>231</v>
      </c>
    </row>
    <row r="38" spans="1:9">
      <c r="A38" s="136" t="s">
        <v>250</v>
      </c>
      <c r="B38" s="136">
        <v>5000000</v>
      </c>
      <c r="C38" s="136">
        <v>6917767</v>
      </c>
      <c r="D38" s="136">
        <v>1</v>
      </c>
      <c r="E38" s="136">
        <v>6917767</v>
      </c>
      <c r="F38" s="136">
        <v>20753301</v>
      </c>
      <c r="G38" s="136" t="s">
        <v>229</v>
      </c>
      <c r="H38" s="136" t="s">
        <v>251</v>
      </c>
      <c r="I38" s="136" t="s">
        <v>231</v>
      </c>
    </row>
    <row r="39" spans="1:9">
      <c r="A39" s="136" t="s">
        <v>252</v>
      </c>
      <c r="B39" s="136">
        <v>5000000</v>
      </c>
      <c r="C39" s="136">
        <v>6917767</v>
      </c>
      <c r="D39" s="136">
        <v>1</v>
      </c>
      <c r="E39" s="136">
        <v>6917767</v>
      </c>
      <c r="F39" s="136">
        <v>20753301</v>
      </c>
      <c r="G39" s="136" t="s">
        <v>229</v>
      </c>
      <c r="H39" s="136" t="s">
        <v>251</v>
      </c>
      <c r="I39" s="136" t="s">
        <v>231</v>
      </c>
    </row>
    <row r="40" spans="1:9">
      <c r="A40" s="136" t="s">
        <v>253</v>
      </c>
      <c r="B40" s="136">
        <v>4000000</v>
      </c>
      <c r="C40" s="136">
        <v>5537214</v>
      </c>
      <c r="D40" s="136">
        <v>1</v>
      </c>
      <c r="E40" s="136">
        <v>5537214</v>
      </c>
      <c r="F40" s="136">
        <v>16611642</v>
      </c>
      <c r="G40" s="136" t="s">
        <v>229</v>
      </c>
      <c r="H40" s="136" t="s">
        <v>251</v>
      </c>
      <c r="I40" s="136" t="s">
        <v>231</v>
      </c>
    </row>
    <row r="41" spans="1:9">
      <c r="A41" s="136" t="s">
        <v>254</v>
      </c>
      <c r="B41" s="136">
        <v>6000000</v>
      </c>
      <c r="C41" s="136">
        <v>8301320</v>
      </c>
      <c r="D41" s="136">
        <v>1</v>
      </c>
      <c r="E41" s="136">
        <v>8301320</v>
      </c>
      <c r="F41" s="136">
        <v>24903960</v>
      </c>
      <c r="G41" s="136" t="s">
        <v>229</v>
      </c>
      <c r="H41" s="136" t="s">
        <v>255</v>
      </c>
      <c r="I41" s="136" t="s">
        <v>231</v>
      </c>
    </row>
    <row r="42" spans="1:9">
      <c r="A42" s="136" t="s">
        <v>256</v>
      </c>
      <c r="B42" s="136">
        <v>5500000</v>
      </c>
      <c r="C42" s="136">
        <v>7609544</v>
      </c>
      <c r="D42" s="136">
        <v>1</v>
      </c>
      <c r="E42" s="136">
        <v>7609544</v>
      </c>
      <c r="F42" s="136">
        <v>22828632</v>
      </c>
      <c r="G42" s="136" t="s">
        <v>229</v>
      </c>
      <c r="H42" s="136" t="s">
        <v>257</v>
      </c>
      <c r="I42" s="136" t="s">
        <v>231</v>
      </c>
    </row>
    <row r="43" spans="1:9">
      <c r="A43" s="136" t="s">
        <v>258</v>
      </c>
      <c r="B43" s="136">
        <v>5000000</v>
      </c>
      <c r="C43" s="136">
        <v>6917767</v>
      </c>
      <c r="D43" s="136">
        <v>1</v>
      </c>
      <c r="E43" s="136">
        <v>6917767</v>
      </c>
      <c r="F43" s="136">
        <v>20753301</v>
      </c>
      <c r="G43" s="136" t="s">
        <v>229</v>
      </c>
      <c r="H43" s="136" t="s">
        <v>259</v>
      </c>
      <c r="I43" s="136" t="s">
        <v>231</v>
      </c>
    </row>
    <row r="44" spans="1:9">
      <c r="A44" s="136" t="s">
        <v>260</v>
      </c>
      <c r="B44" s="136">
        <v>4000000</v>
      </c>
      <c r="C44" s="136">
        <v>5537214</v>
      </c>
      <c r="D44" s="136">
        <v>1</v>
      </c>
      <c r="E44" s="136">
        <v>5537214</v>
      </c>
      <c r="F44" s="136">
        <v>16611642</v>
      </c>
      <c r="G44" s="136" t="s">
        <v>229</v>
      </c>
      <c r="H44" s="136" t="s">
        <v>261</v>
      </c>
      <c r="I44" s="136" t="s">
        <v>231</v>
      </c>
    </row>
    <row r="45" spans="1:9">
      <c r="A45" s="136" t="s">
        <v>262</v>
      </c>
      <c r="B45" s="136">
        <v>3000000</v>
      </c>
      <c r="C45" s="136">
        <v>4150660</v>
      </c>
      <c r="D45" s="136">
        <v>1</v>
      </c>
      <c r="E45" s="136">
        <v>4150660</v>
      </c>
      <c r="F45" s="136">
        <v>12451980</v>
      </c>
      <c r="G45" s="136" t="s">
        <v>229</v>
      </c>
      <c r="H45" s="136" t="s">
        <v>263</v>
      </c>
      <c r="I45" s="136" t="s">
        <v>231</v>
      </c>
    </row>
    <row r="46" spans="1:9">
      <c r="A46" s="136" t="s">
        <v>264</v>
      </c>
      <c r="B46" s="136">
        <v>2500000</v>
      </c>
      <c r="C46" s="136">
        <v>3796383</v>
      </c>
      <c r="D46" s="136">
        <v>1</v>
      </c>
      <c r="E46" s="136">
        <v>3796383</v>
      </c>
      <c r="F46" s="136">
        <v>11389149</v>
      </c>
      <c r="G46" s="136" t="s">
        <v>229</v>
      </c>
      <c r="H46" s="136" t="s">
        <v>265</v>
      </c>
      <c r="I46" s="136" t="s">
        <v>231</v>
      </c>
    </row>
    <row r="47" spans="1:9">
      <c r="A47" s="136" t="s">
        <v>266</v>
      </c>
      <c r="B47" s="136">
        <v>2000000</v>
      </c>
      <c r="C47" s="136">
        <v>3037107</v>
      </c>
      <c r="D47" s="136">
        <v>1</v>
      </c>
      <c r="E47" s="136">
        <v>3037107</v>
      </c>
      <c r="F47" s="136">
        <v>9111321</v>
      </c>
      <c r="G47" s="136" t="s">
        <v>229</v>
      </c>
      <c r="H47" s="136" t="s">
        <v>267</v>
      </c>
      <c r="I47" s="136" t="s">
        <v>231</v>
      </c>
    </row>
    <row r="48" spans="1:9">
      <c r="A48" s="136" t="s">
        <v>268</v>
      </c>
      <c r="B48" s="136">
        <v>5000000</v>
      </c>
      <c r="C48" s="136">
        <v>6917767</v>
      </c>
      <c r="D48" s="136">
        <v>1</v>
      </c>
      <c r="E48" s="136">
        <v>6917767</v>
      </c>
      <c r="F48" s="136">
        <v>20753301</v>
      </c>
      <c r="G48" s="136" t="s">
        <v>229</v>
      </c>
      <c r="H48" s="136" t="s">
        <v>269</v>
      </c>
      <c r="I48" s="136" t="s">
        <v>231</v>
      </c>
    </row>
    <row r="49" spans="1:9">
      <c r="A49" s="136" t="s">
        <v>270</v>
      </c>
      <c r="B49" s="136">
        <v>2500000</v>
      </c>
      <c r="C49" s="136">
        <v>3796383</v>
      </c>
      <c r="D49" s="136">
        <v>1</v>
      </c>
      <c r="E49" s="136">
        <v>3796383</v>
      </c>
      <c r="F49" s="136">
        <v>11389149</v>
      </c>
      <c r="G49" s="136" t="s">
        <v>229</v>
      </c>
      <c r="H49" s="136" t="s">
        <v>271</v>
      </c>
      <c r="I49" s="136" t="s">
        <v>231</v>
      </c>
    </row>
    <row r="50" spans="1:9">
      <c r="A50" s="136" t="s">
        <v>272</v>
      </c>
      <c r="B50" s="136">
        <v>5000000</v>
      </c>
      <c r="C50" s="136">
        <v>6917767</v>
      </c>
      <c r="D50" s="136">
        <v>1</v>
      </c>
      <c r="E50" s="136">
        <v>6917767</v>
      </c>
      <c r="F50" s="136">
        <v>20753301</v>
      </c>
      <c r="G50" s="136" t="s">
        <v>229</v>
      </c>
      <c r="H50" s="136" t="s">
        <v>273</v>
      </c>
      <c r="I50" s="136" t="s">
        <v>231</v>
      </c>
    </row>
    <row r="51" spans="1:9">
      <c r="A51" s="136" t="s">
        <v>274</v>
      </c>
      <c r="B51" s="136">
        <v>3000000</v>
      </c>
      <c r="C51" s="136">
        <v>4150660</v>
      </c>
      <c r="D51" s="136">
        <v>1</v>
      </c>
      <c r="E51" s="136">
        <v>4150660</v>
      </c>
      <c r="F51" s="136">
        <v>12451980</v>
      </c>
      <c r="G51" s="136" t="s">
        <v>229</v>
      </c>
      <c r="H51" s="136" t="s">
        <v>275</v>
      </c>
      <c r="I51" s="136" t="s">
        <v>231</v>
      </c>
    </row>
    <row r="52" spans="1:9">
      <c r="A52" s="136" t="s">
        <v>276</v>
      </c>
      <c r="B52" s="136">
        <v>5000000</v>
      </c>
      <c r="C52" s="136">
        <v>6917767</v>
      </c>
      <c r="D52" s="136">
        <v>1</v>
      </c>
      <c r="E52" s="136">
        <v>6917767</v>
      </c>
      <c r="F52" s="136">
        <v>20753301</v>
      </c>
      <c r="G52" s="136" t="s">
        <v>229</v>
      </c>
      <c r="H52" s="136" t="s">
        <v>277</v>
      </c>
      <c r="I52" s="136" t="s">
        <v>231</v>
      </c>
    </row>
    <row r="53" spans="1:9">
      <c r="A53" s="136" t="s">
        <v>278</v>
      </c>
      <c r="B53" s="136">
        <v>5000000</v>
      </c>
      <c r="C53" s="136">
        <v>6917767</v>
      </c>
      <c r="D53" s="136">
        <v>1</v>
      </c>
      <c r="E53" s="136">
        <v>6917767</v>
      </c>
      <c r="F53" s="136">
        <v>20753301</v>
      </c>
      <c r="G53" s="136" t="s">
        <v>229</v>
      </c>
      <c r="H53" s="136" t="s">
        <v>279</v>
      </c>
      <c r="I53" s="136" t="s">
        <v>231</v>
      </c>
    </row>
    <row r="54" spans="1:9">
      <c r="A54" s="136" t="s">
        <v>280</v>
      </c>
      <c r="B54" s="136">
        <v>5000000</v>
      </c>
      <c r="C54" s="136">
        <v>6917767</v>
      </c>
      <c r="D54" s="136">
        <v>1</v>
      </c>
      <c r="E54" s="136">
        <v>6917767</v>
      </c>
      <c r="F54" s="136">
        <v>20753301</v>
      </c>
      <c r="G54" s="136" t="s">
        <v>229</v>
      </c>
      <c r="H54" s="136" t="s">
        <v>281</v>
      </c>
      <c r="I54" s="136" t="s">
        <v>231</v>
      </c>
    </row>
    <row r="55" spans="1:9">
      <c r="A55" s="136" t="s">
        <v>282</v>
      </c>
      <c r="B55" s="136">
        <v>5000000</v>
      </c>
      <c r="C55" s="136">
        <v>6917767</v>
      </c>
      <c r="D55" s="136">
        <v>1</v>
      </c>
      <c r="E55" s="136">
        <v>6917767</v>
      </c>
      <c r="F55" s="136">
        <v>20753301</v>
      </c>
      <c r="G55" s="136" t="s">
        <v>229</v>
      </c>
      <c r="H55" s="136" t="s">
        <v>283</v>
      </c>
      <c r="I55" s="136" t="s">
        <v>231</v>
      </c>
    </row>
    <row r="56" spans="1:9">
      <c r="A56" s="136" t="s">
        <v>284</v>
      </c>
      <c r="B56" s="136">
        <v>9000000</v>
      </c>
      <c r="C56" s="136">
        <v>12451980</v>
      </c>
      <c r="D56" s="136">
        <v>1</v>
      </c>
      <c r="E56" s="136">
        <v>12451980</v>
      </c>
      <c r="F56" s="136">
        <v>37355940</v>
      </c>
      <c r="G56" s="136" t="s">
        <v>229</v>
      </c>
      <c r="H56" s="136" t="s">
        <v>285</v>
      </c>
      <c r="I56" s="136" t="s">
        <v>231</v>
      </c>
    </row>
    <row r="58" spans="1:9">
      <c r="F58" s="158">
        <f>SUM(F3:F57)</f>
        <v>1357209426</v>
      </c>
    </row>
  </sheetData>
  <mergeCells count="1">
    <mergeCell ref="A1:I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50"/>
  <sheetViews>
    <sheetView zoomScale="80" zoomScaleNormal="80" workbookViewId="0">
      <selection activeCell="A2" sqref="A2:C2"/>
    </sheetView>
  </sheetViews>
  <sheetFormatPr baseColWidth="10" defaultColWidth="9.140625" defaultRowHeight="15"/>
  <cols>
    <col min="1" max="1" width="47.85546875" bestFit="1" customWidth="1"/>
    <col min="2" max="2" width="29.140625" bestFit="1" customWidth="1"/>
    <col min="3" max="3" width="15.7109375" bestFit="1" customWidth="1"/>
    <col min="4" max="4" width="16.28515625" bestFit="1" customWidth="1"/>
    <col min="5" max="5" width="111.5703125" bestFit="1" customWidth="1"/>
    <col min="6" max="6" width="70.140625" bestFit="1" customWidth="1"/>
    <col min="7" max="7" width="26.42578125" bestFit="1" customWidth="1"/>
    <col min="8" max="8" width="25.85546875" bestFit="1" customWidth="1"/>
  </cols>
  <sheetData>
    <row r="1" spans="1:8" ht="20.25">
      <c r="A1" s="191" t="s">
        <v>286</v>
      </c>
      <c r="B1" s="192"/>
      <c r="C1" s="192"/>
      <c r="D1" s="144"/>
      <c r="E1" s="144"/>
      <c r="F1" s="144"/>
      <c r="G1" s="145"/>
      <c r="H1" s="145"/>
    </row>
    <row r="2" spans="1:8" ht="17.25">
      <c r="A2" s="193" t="s">
        <v>287</v>
      </c>
      <c r="B2" s="192"/>
      <c r="C2" s="192"/>
      <c r="D2" s="144"/>
      <c r="E2" s="144"/>
      <c r="F2" s="144"/>
      <c r="G2" s="145"/>
      <c r="H2" s="145"/>
    </row>
    <row r="3" spans="1:8" ht="16.5">
      <c r="A3" s="146" t="s">
        <v>288</v>
      </c>
      <c r="B3" s="146" t="s">
        <v>289</v>
      </c>
      <c r="C3" s="146" t="s">
        <v>290</v>
      </c>
      <c r="D3" s="146" t="s">
        <v>291</v>
      </c>
      <c r="E3" s="146" t="s">
        <v>292</v>
      </c>
      <c r="F3" s="146" t="s">
        <v>293</v>
      </c>
      <c r="G3" s="147" t="s">
        <v>294</v>
      </c>
      <c r="H3" s="147" t="s">
        <v>295</v>
      </c>
    </row>
    <row r="4" spans="1:8" ht="16.5">
      <c r="A4" s="144" t="s">
        <v>296</v>
      </c>
      <c r="B4" s="144" t="s">
        <v>297</v>
      </c>
      <c r="C4" s="144" t="s">
        <v>298</v>
      </c>
      <c r="D4" s="144" t="s">
        <v>299</v>
      </c>
      <c r="E4" s="144" t="s">
        <v>300</v>
      </c>
      <c r="F4" s="144" t="s">
        <v>301</v>
      </c>
      <c r="G4" s="145">
        <v>16.059999999999999</v>
      </c>
      <c r="H4" s="145">
        <v>0</v>
      </c>
    </row>
    <row r="5" spans="1:8" ht="49.5">
      <c r="A5" s="144" t="s">
        <v>296</v>
      </c>
      <c r="B5" s="144" t="s">
        <v>302</v>
      </c>
      <c r="C5" s="144" t="s">
        <v>298</v>
      </c>
      <c r="D5" s="144" t="s">
        <v>303</v>
      </c>
      <c r="E5" s="144" t="s">
        <v>304</v>
      </c>
      <c r="F5" s="144" t="s">
        <v>305</v>
      </c>
      <c r="G5" s="145">
        <v>372.97118</v>
      </c>
      <c r="H5" s="145">
        <v>0</v>
      </c>
    </row>
    <row r="6" spans="1:8" ht="33">
      <c r="A6" s="144" t="s">
        <v>306</v>
      </c>
      <c r="B6" s="144" t="s">
        <v>307</v>
      </c>
      <c r="C6" s="144" t="s">
        <v>298</v>
      </c>
      <c r="D6" s="144" t="s">
        <v>303</v>
      </c>
      <c r="E6" s="144" t="s">
        <v>308</v>
      </c>
      <c r="F6" s="144" t="s">
        <v>309</v>
      </c>
      <c r="G6" s="145">
        <v>0</v>
      </c>
      <c r="H6" s="145">
        <v>0</v>
      </c>
    </row>
    <row r="7" spans="1:8" ht="165">
      <c r="A7" s="144" t="s">
        <v>310</v>
      </c>
      <c r="B7" s="144" t="s">
        <v>311</v>
      </c>
      <c r="C7" s="144" t="s">
        <v>298</v>
      </c>
      <c r="D7" s="144" t="s">
        <v>303</v>
      </c>
      <c r="E7" s="144" t="s">
        <v>312</v>
      </c>
      <c r="F7" s="144" t="s">
        <v>313</v>
      </c>
      <c r="G7" s="145">
        <v>0</v>
      </c>
      <c r="H7" s="145">
        <v>0</v>
      </c>
    </row>
    <row r="8" spans="1:8" ht="16.5">
      <c r="A8" s="144" t="s">
        <v>314</v>
      </c>
      <c r="B8" s="144" t="s">
        <v>315</v>
      </c>
      <c r="C8" s="144" t="s">
        <v>298</v>
      </c>
      <c r="D8" s="144" t="s">
        <v>303</v>
      </c>
      <c r="E8" s="144" t="s">
        <v>316</v>
      </c>
      <c r="F8" s="144" t="s">
        <v>317</v>
      </c>
      <c r="G8" s="145">
        <v>0</v>
      </c>
      <c r="H8" s="145">
        <v>0</v>
      </c>
    </row>
    <row r="9" spans="1:8" ht="16.5">
      <c r="A9" s="144" t="s">
        <v>318</v>
      </c>
      <c r="B9" s="144" t="s">
        <v>319</v>
      </c>
      <c r="C9" s="144" t="s">
        <v>298</v>
      </c>
      <c r="D9" s="144"/>
      <c r="E9" s="144" t="s">
        <v>320</v>
      </c>
      <c r="F9" s="144" t="s">
        <v>321</v>
      </c>
      <c r="G9" s="145">
        <v>4</v>
      </c>
      <c r="H9" s="145">
        <v>0</v>
      </c>
    </row>
    <row r="10" spans="1:8" ht="16.5">
      <c r="A10" s="144" t="s">
        <v>322</v>
      </c>
      <c r="B10" s="144" t="s">
        <v>323</v>
      </c>
      <c r="C10" s="144" t="s">
        <v>298</v>
      </c>
      <c r="D10" s="144" t="s">
        <v>303</v>
      </c>
      <c r="E10" s="144" t="s">
        <v>324</v>
      </c>
      <c r="F10" s="144" t="s">
        <v>325</v>
      </c>
      <c r="G10" s="145">
        <v>10</v>
      </c>
      <c r="H10" s="145">
        <v>0</v>
      </c>
    </row>
    <row r="11" spans="1:8" ht="16.5">
      <c r="A11" s="144" t="s">
        <v>322</v>
      </c>
      <c r="B11" s="144" t="s">
        <v>323</v>
      </c>
      <c r="C11" s="144" t="s">
        <v>298</v>
      </c>
      <c r="D11" s="144" t="s">
        <v>303</v>
      </c>
      <c r="E11" s="144" t="s">
        <v>324</v>
      </c>
      <c r="F11" s="144" t="s">
        <v>325</v>
      </c>
      <c r="G11" s="145">
        <v>10</v>
      </c>
      <c r="H11" s="145">
        <v>0</v>
      </c>
    </row>
    <row r="12" spans="1:8" ht="115.5">
      <c r="A12" s="144" t="s">
        <v>322</v>
      </c>
      <c r="B12" s="144" t="s">
        <v>326</v>
      </c>
      <c r="C12" s="144" t="s">
        <v>298</v>
      </c>
      <c r="D12" s="144" t="s">
        <v>303</v>
      </c>
      <c r="E12" s="144" t="s">
        <v>327</v>
      </c>
      <c r="F12" s="144" t="s">
        <v>328</v>
      </c>
      <c r="G12" s="145">
        <v>1700</v>
      </c>
      <c r="H12" s="145">
        <v>0</v>
      </c>
    </row>
    <row r="13" spans="1:8" ht="33">
      <c r="A13" s="144" t="s">
        <v>318</v>
      </c>
      <c r="B13" s="144" t="s">
        <v>329</v>
      </c>
      <c r="C13" s="144" t="s">
        <v>298</v>
      </c>
      <c r="D13" s="144" t="s">
        <v>303</v>
      </c>
      <c r="E13" s="144" t="s">
        <v>330</v>
      </c>
      <c r="F13" s="144" t="s">
        <v>331</v>
      </c>
      <c r="G13" s="145">
        <v>0</v>
      </c>
      <c r="H13" s="145">
        <v>0</v>
      </c>
    </row>
    <row r="14" spans="1:8" ht="16.5">
      <c r="A14" s="144" t="s">
        <v>318</v>
      </c>
      <c r="B14" s="144" t="s">
        <v>332</v>
      </c>
      <c r="C14" s="144" t="s">
        <v>298</v>
      </c>
      <c r="D14" s="144" t="s">
        <v>303</v>
      </c>
      <c r="E14" s="144" t="s">
        <v>333</v>
      </c>
      <c r="F14" s="144" t="s">
        <v>334</v>
      </c>
      <c r="G14" s="145">
        <v>0</v>
      </c>
      <c r="H14" s="145">
        <v>0</v>
      </c>
    </row>
    <row r="15" spans="1:8" ht="33">
      <c r="A15" s="144" t="s">
        <v>335</v>
      </c>
      <c r="B15" s="144" t="s">
        <v>336</v>
      </c>
      <c r="C15" s="144" t="s">
        <v>298</v>
      </c>
      <c r="D15" s="144" t="s">
        <v>299</v>
      </c>
      <c r="E15" s="144" t="s">
        <v>337</v>
      </c>
      <c r="F15" s="144" t="s">
        <v>338</v>
      </c>
      <c r="G15" s="145">
        <v>54.75</v>
      </c>
      <c r="H15" s="145">
        <v>0</v>
      </c>
    </row>
    <row r="16" spans="1:8" ht="16.5">
      <c r="A16" s="144" t="s">
        <v>339</v>
      </c>
      <c r="B16" s="144" t="s">
        <v>340</v>
      </c>
      <c r="C16" s="144" t="s">
        <v>298</v>
      </c>
      <c r="D16" s="144" t="s">
        <v>341</v>
      </c>
      <c r="E16" s="144" t="s">
        <v>342</v>
      </c>
      <c r="F16" s="144" t="s">
        <v>343</v>
      </c>
      <c r="G16" s="145">
        <v>0</v>
      </c>
      <c r="H16" s="145">
        <v>0</v>
      </c>
    </row>
    <row r="17" spans="1:8" ht="33">
      <c r="A17" s="144" t="s">
        <v>344</v>
      </c>
      <c r="B17" s="144" t="s">
        <v>345</v>
      </c>
      <c r="C17" s="144" t="s">
        <v>298</v>
      </c>
      <c r="D17" s="144"/>
      <c r="E17" s="144" t="s">
        <v>346</v>
      </c>
      <c r="F17" s="144" t="s">
        <v>347</v>
      </c>
      <c r="G17" s="145">
        <v>550</v>
      </c>
      <c r="H17" s="145">
        <v>0</v>
      </c>
    </row>
    <row r="18" spans="1:8" ht="49.5">
      <c r="A18" s="144" t="s">
        <v>296</v>
      </c>
      <c r="B18" s="144" t="s">
        <v>348</v>
      </c>
      <c r="C18" s="144" t="s">
        <v>298</v>
      </c>
      <c r="D18" s="144" t="s">
        <v>303</v>
      </c>
      <c r="E18" s="144" t="s">
        <v>349</v>
      </c>
      <c r="F18" s="144" t="s">
        <v>350</v>
      </c>
      <c r="G18" s="145">
        <v>23.36</v>
      </c>
      <c r="H18" s="145">
        <v>0</v>
      </c>
    </row>
    <row r="19" spans="1:8" ht="66">
      <c r="A19" s="144" t="s">
        <v>351</v>
      </c>
      <c r="B19" s="144" t="s">
        <v>352</v>
      </c>
      <c r="C19" s="144" t="s">
        <v>298</v>
      </c>
      <c r="D19" s="144" t="s">
        <v>303</v>
      </c>
      <c r="E19" s="144" t="s">
        <v>353</v>
      </c>
      <c r="F19" s="144" t="s">
        <v>354</v>
      </c>
      <c r="G19" s="145">
        <v>52.406999999999996</v>
      </c>
      <c r="H19" s="145">
        <v>0</v>
      </c>
    </row>
    <row r="20" spans="1:8" ht="16.5">
      <c r="A20" s="144" t="s">
        <v>322</v>
      </c>
      <c r="B20" s="144" t="s">
        <v>355</v>
      </c>
      <c r="C20" s="144" t="s">
        <v>298</v>
      </c>
      <c r="D20" s="144" t="s">
        <v>303</v>
      </c>
      <c r="E20" s="144" t="s">
        <v>356</v>
      </c>
      <c r="F20" s="144" t="s">
        <v>357</v>
      </c>
      <c r="G20" s="145">
        <v>48.033999999999999</v>
      </c>
      <c r="H20" s="145">
        <v>0</v>
      </c>
    </row>
    <row r="21" spans="1:8" ht="33">
      <c r="A21" s="144" t="s">
        <v>339</v>
      </c>
      <c r="B21" s="144" t="s">
        <v>358</v>
      </c>
      <c r="C21" s="144" t="s">
        <v>298</v>
      </c>
      <c r="D21" s="144" t="s">
        <v>303</v>
      </c>
      <c r="E21" s="144" t="s">
        <v>359</v>
      </c>
      <c r="F21" s="144" t="s">
        <v>360</v>
      </c>
      <c r="G21" s="145">
        <v>0</v>
      </c>
      <c r="H21" s="145">
        <v>0</v>
      </c>
    </row>
    <row r="22" spans="1:8" ht="16.5">
      <c r="A22" s="144" t="s">
        <v>339</v>
      </c>
      <c r="B22" s="144" t="s">
        <v>361</v>
      </c>
      <c r="C22" s="144" t="s">
        <v>298</v>
      </c>
      <c r="D22" s="144" t="s">
        <v>303</v>
      </c>
      <c r="E22" s="144" t="s">
        <v>362</v>
      </c>
      <c r="F22" s="144" t="s">
        <v>363</v>
      </c>
      <c r="G22" s="145">
        <v>10.95</v>
      </c>
      <c r="H22" s="145">
        <v>0</v>
      </c>
    </row>
    <row r="23" spans="1:8" ht="16.5">
      <c r="A23" s="144" t="s">
        <v>339</v>
      </c>
      <c r="B23" s="144" t="s">
        <v>364</v>
      </c>
      <c r="C23" s="144" t="s">
        <v>298</v>
      </c>
      <c r="D23" s="144" t="s">
        <v>365</v>
      </c>
      <c r="E23" s="144" t="s">
        <v>366</v>
      </c>
      <c r="F23" s="144" t="s">
        <v>367</v>
      </c>
      <c r="G23" s="145">
        <v>1481.9</v>
      </c>
      <c r="H23" s="145">
        <v>0</v>
      </c>
    </row>
    <row r="24" spans="1:8" ht="33">
      <c r="A24" s="144" t="s">
        <v>368</v>
      </c>
      <c r="B24" s="144" t="s">
        <v>369</v>
      </c>
      <c r="C24" s="144" t="s">
        <v>298</v>
      </c>
      <c r="D24" s="144" t="s">
        <v>303</v>
      </c>
      <c r="E24" s="144" t="s">
        <v>370</v>
      </c>
      <c r="F24" s="144" t="s">
        <v>371</v>
      </c>
      <c r="G24" s="145">
        <v>4.9980000000000002</v>
      </c>
      <c r="H24" s="145">
        <v>0</v>
      </c>
    </row>
    <row r="25" spans="1:8" ht="16.5">
      <c r="A25" s="144" t="s">
        <v>372</v>
      </c>
      <c r="B25" s="144" t="s">
        <v>373</v>
      </c>
      <c r="C25" s="144" t="s">
        <v>298</v>
      </c>
      <c r="D25" s="144"/>
      <c r="E25" s="144" t="s">
        <v>374</v>
      </c>
      <c r="F25" s="144" t="s">
        <v>298</v>
      </c>
      <c r="G25" s="145">
        <v>0</v>
      </c>
      <c r="H25" s="145">
        <v>0</v>
      </c>
    </row>
    <row r="26" spans="1:8" ht="49.5">
      <c r="A26" s="144" t="s">
        <v>296</v>
      </c>
      <c r="B26" s="144" t="s">
        <v>348</v>
      </c>
      <c r="C26" s="144" t="s">
        <v>298</v>
      </c>
      <c r="D26" s="144" t="s">
        <v>303</v>
      </c>
      <c r="E26" s="144" t="s">
        <v>349</v>
      </c>
      <c r="F26" s="144" t="s">
        <v>350</v>
      </c>
      <c r="G26" s="145">
        <v>23.36</v>
      </c>
      <c r="H26" s="145">
        <v>0</v>
      </c>
    </row>
    <row r="27" spans="1:8" ht="16.5">
      <c r="A27" s="144" t="s">
        <v>318</v>
      </c>
      <c r="B27" s="144" t="s">
        <v>375</v>
      </c>
      <c r="C27" s="144" t="s">
        <v>298</v>
      </c>
      <c r="D27" s="144" t="s">
        <v>303</v>
      </c>
      <c r="E27" s="144" t="s">
        <v>376</v>
      </c>
      <c r="F27" s="144" t="s">
        <v>377</v>
      </c>
      <c r="G27" s="145">
        <v>0</v>
      </c>
      <c r="H27" s="145">
        <v>0</v>
      </c>
    </row>
    <row r="28" spans="1:8" ht="16.5">
      <c r="A28" s="144" t="s">
        <v>378</v>
      </c>
      <c r="B28" s="144"/>
      <c r="C28" s="144"/>
      <c r="D28" s="144" t="s">
        <v>379</v>
      </c>
      <c r="E28" s="148" t="s">
        <v>378</v>
      </c>
      <c r="F28" s="149"/>
      <c r="G28" s="145">
        <v>0</v>
      </c>
      <c r="H28" s="145">
        <v>0</v>
      </c>
    </row>
    <row r="29" spans="1:8" ht="16.5">
      <c r="A29" s="144"/>
      <c r="B29" s="144"/>
      <c r="C29" s="144"/>
      <c r="D29" s="144"/>
      <c r="E29" s="148" t="s">
        <v>380</v>
      </c>
      <c r="F29" s="148" t="s">
        <v>381</v>
      </c>
      <c r="G29" s="145"/>
      <c r="H29" s="145"/>
    </row>
    <row r="30" spans="1:8" ht="16.5">
      <c r="A30" s="144"/>
      <c r="B30" s="144"/>
      <c r="C30" s="144"/>
      <c r="D30" s="144"/>
      <c r="E30" s="148" t="s">
        <v>382</v>
      </c>
      <c r="F30" s="148" t="s">
        <v>298</v>
      </c>
      <c r="G30" s="145"/>
      <c r="H30" s="145"/>
    </row>
    <row r="31" spans="1:8" ht="16.5">
      <c r="A31" s="144"/>
      <c r="B31" s="144"/>
      <c r="C31" s="144"/>
      <c r="D31" s="144"/>
      <c r="E31" s="148" t="s">
        <v>383</v>
      </c>
      <c r="F31" s="148" t="s">
        <v>298</v>
      </c>
      <c r="G31" s="145"/>
      <c r="H31" s="145"/>
    </row>
    <row r="32" spans="1:8" ht="16.5">
      <c r="A32" s="144"/>
      <c r="B32" s="144"/>
      <c r="C32" s="144"/>
      <c r="D32" s="144"/>
      <c r="E32" s="150" t="s">
        <v>384</v>
      </c>
      <c r="F32" s="149"/>
      <c r="G32" s="151">
        <v>4362.79018</v>
      </c>
      <c r="H32" s="151">
        <v>0</v>
      </c>
    </row>
    <row r="33" spans="1:8" ht="16.5">
      <c r="A33" s="144"/>
      <c r="B33" s="144"/>
      <c r="C33" s="144"/>
      <c r="D33" s="144"/>
      <c r="E33" s="144"/>
      <c r="F33" s="144"/>
      <c r="G33" s="145"/>
      <c r="H33" s="145"/>
    </row>
    <row r="34" spans="1:8" ht="16.5">
      <c r="A34" s="148" t="s">
        <v>385</v>
      </c>
      <c r="B34" s="144"/>
      <c r="C34" s="144"/>
      <c r="D34" s="144"/>
      <c r="E34" s="144"/>
      <c r="F34" s="144"/>
      <c r="G34" s="145"/>
      <c r="H34" s="145"/>
    </row>
    <row r="35" spans="1:8" ht="16.5">
      <c r="A35" s="189" t="s">
        <v>386</v>
      </c>
      <c r="B35" s="189"/>
      <c r="C35" s="189"/>
      <c r="D35" s="189"/>
      <c r="E35" s="189"/>
      <c r="F35" s="189"/>
      <c r="G35" s="190"/>
      <c r="H35" s="190"/>
    </row>
    <row r="36" spans="1:8" ht="16.5">
      <c r="A36" s="189" t="s">
        <v>387</v>
      </c>
      <c r="B36" s="189"/>
      <c r="C36" s="189"/>
      <c r="D36" s="189"/>
      <c r="E36" s="189"/>
      <c r="F36" s="189"/>
      <c r="G36" s="190"/>
      <c r="H36" s="190"/>
    </row>
    <row r="37" spans="1:8" ht="16.5">
      <c r="A37" s="152"/>
      <c r="B37" s="152"/>
      <c r="C37" s="152"/>
      <c r="D37" s="152"/>
      <c r="E37" s="152"/>
      <c r="F37" s="152"/>
      <c r="G37" s="153"/>
      <c r="H37" s="153"/>
    </row>
    <row r="41" spans="1:8">
      <c r="A41" t="s">
        <v>388</v>
      </c>
      <c r="E41" s="140">
        <v>4362.79</v>
      </c>
    </row>
    <row r="42" spans="1:8">
      <c r="E42" s="160">
        <v>0</v>
      </c>
    </row>
    <row r="43" spans="1:8">
      <c r="E43" s="160">
        <f>+E41+E42</f>
        <v>4362.79</v>
      </c>
    </row>
    <row r="44" spans="1:8">
      <c r="A44" s="159" t="s">
        <v>389</v>
      </c>
      <c r="B44" s="159" t="s">
        <v>390</v>
      </c>
      <c r="E44" s="161">
        <f>E43*4000</f>
        <v>17451160</v>
      </c>
    </row>
    <row r="45" spans="1:8">
      <c r="A45" s="136" t="s">
        <v>391</v>
      </c>
      <c r="B45" s="138">
        <f>E44*12</f>
        <v>209413920</v>
      </c>
    </row>
    <row r="46" spans="1:8">
      <c r="A46" s="137" t="s">
        <v>392</v>
      </c>
      <c r="B46" s="140">
        <f>240*4000</f>
        <v>960000</v>
      </c>
    </row>
    <row r="47" spans="1:8">
      <c r="A47" s="136" t="s">
        <v>393</v>
      </c>
      <c r="B47" s="139">
        <v>51393480</v>
      </c>
    </row>
    <row r="48" spans="1:8">
      <c r="A48" s="136" t="s">
        <v>394</v>
      </c>
      <c r="B48" s="160">
        <f>+B45+B46+B47</f>
        <v>261767400</v>
      </c>
    </row>
    <row r="50" spans="1:1">
      <c r="A50" s="142" t="s">
        <v>395</v>
      </c>
    </row>
  </sheetData>
  <mergeCells count="4">
    <mergeCell ref="A36:H36"/>
    <mergeCell ref="A1:C1"/>
    <mergeCell ref="A2:C2"/>
    <mergeCell ref="A35:H35"/>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55"/>
  <sheetViews>
    <sheetView topLeftCell="C46" workbookViewId="0">
      <selection activeCell="G2" sqref="G2:G64"/>
    </sheetView>
  </sheetViews>
  <sheetFormatPr baseColWidth="10" defaultColWidth="9.140625" defaultRowHeight="15"/>
  <cols>
    <col min="1" max="1" width="55.140625" bestFit="1" customWidth="1"/>
    <col min="2" max="2" width="16.28515625" bestFit="1" customWidth="1"/>
    <col min="3" max="3" width="19.7109375" bestFit="1" customWidth="1"/>
    <col min="4" max="4" width="17.42578125" bestFit="1" customWidth="1"/>
    <col min="5" max="6" width="15.5703125" bestFit="1" customWidth="1"/>
    <col min="7" max="7" width="16.7109375" bestFit="1" customWidth="1"/>
    <col min="8" max="8" width="55.42578125" style="157" bestFit="1" customWidth="1"/>
    <col min="9" max="9" width="14" bestFit="1" customWidth="1"/>
    <col min="10" max="10" width="18.28515625" bestFit="1" customWidth="1"/>
  </cols>
  <sheetData>
    <row r="1" spans="1:9" ht="45">
      <c r="A1" s="143" t="s">
        <v>173</v>
      </c>
      <c r="B1" s="154" t="s">
        <v>174</v>
      </c>
      <c r="C1" s="154" t="s">
        <v>175</v>
      </c>
      <c r="D1" s="154" t="s">
        <v>176</v>
      </c>
      <c r="E1" s="154" t="s">
        <v>177</v>
      </c>
      <c r="F1" s="154" t="s">
        <v>178</v>
      </c>
      <c r="G1" s="154" t="s">
        <v>179</v>
      </c>
      <c r="H1" s="154" t="s">
        <v>180</v>
      </c>
      <c r="I1" s="143" t="s">
        <v>181</v>
      </c>
    </row>
    <row r="2" spans="1:9">
      <c r="A2" s="136" t="s">
        <v>182</v>
      </c>
      <c r="B2" s="139">
        <v>5500000</v>
      </c>
      <c r="C2" s="139">
        <v>7609544</v>
      </c>
      <c r="D2" s="136">
        <v>1</v>
      </c>
      <c r="E2" s="156">
        <f>C2</f>
        <v>7609544</v>
      </c>
      <c r="F2" s="138">
        <f>E2*6</f>
        <v>45657264</v>
      </c>
      <c r="G2" s="138">
        <f>E2*12</f>
        <v>91314528</v>
      </c>
      <c r="H2" s="137" t="s">
        <v>184</v>
      </c>
      <c r="I2" s="136" t="s">
        <v>185</v>
      </c>
    </row>
    <row r="3" spans="1:9">
      <c r="A3" s="136" t="s">
        <v>186</v>
      </c>
      <c r="B3" s="139">
        <v>5000000</v>
      </c>
      <c r="C3" s="139">
        <v>6917767</v>
      </c>
      <c r="D3" s="136">
        <v>1</v>
      </c>
      <c r="E3" s="156">
        <f t="shared" ref="E3:E51" si="0">C3</f>
        <v>6917767</v>
      </c>
      <c r="F3" s="138">
        <f t="shared" ref="F3:F24" si="1">E3*6</f>
        <v>41506602</v>
      </c>
      <c r="G3" s="138">
        <f t="shared" ref="G3:G51" si="2">E3*12</f>
        <v>83013204</v>
      </c>
      <c r="H3" s="137" t="s">
        <v>187</v>
      </c>
      <c r="I3" s="136" t="s">
        <v>185</v>
      </c>
    </row>
    <row r="4" spans="1:9">
      <c r="A4" s="136" t="s">
        <v>188</v>
      </c>
      <c r="B4" s="139">
        <v>4000000</v>
      </c>
      <c r="C4" s="139">
        <v>5537214</v>
      </c>
      <c r="D4" s="136">
        <v>1</v>
      </c>
      <c r="E4" s="156">
        <f t="shared" si="0"/>
        <v>5537214</v>
      </c>
      <c r="F4" s="138">
        <f t="shared" si="1"/>
        <v>33223284</v>
      </c>
      <c r="G4" s="138">
        <f t="shared" si="2"/>
        <v>66446568</v>
      </c>
      <c r="H4" s="137" t="s">
        <v>189</v>
      </c>
      <c r="I4" s="136" t="s">
        <v>185</v>
      </c>
    </row>
    <row r="5" spans="1:9">
      <c r="A5" s="136" t="s">
        <v>190</v>
      </c>
      <c r="B5" s="139">
        <v>4000000</v>
      </c>
      <c r="C5" s="139">
        <v>5537214</v>
      </c>
      <c r="D5" s="136">
        <v>1</v>
      </c>
      <c r="E5" s="156">
        <f t="shared" si="0"/>
        <v>5537214</v>
      </c>
      <c r="F5" s="138">
        <f t="shared" si="1"/>
        <v>33223284</v>
      </c>
      <c r="G5" s="138">
        <f t="shared" si="2"/>
        <v>66446568</v>
      </c>
      <c r="H5" s="137" t="s">
        <v>191</v>
      </c>
      <c r="I5" s="136" t="s">
        <v>185</v>
      </c>
    </row>
    <row r="6" spans="1:9">
      <c r="A6" s="136" t="s">
        <v>192</v>
      </c>
      <c r="B6" s="139">
        <v>4000000</v>
      </c>
      <c r="C6" s="139">
        <v>5537214</v>
      </c>
      <c r="D6" s="136">
        <v>1</v>
      </c>
      <c r="E6" s="156">
        <f t="shared" si="0"/>
        <v>5537214</v>
      </c>
      <c r="F6" s="138">
        <f t="shared" si="1"/>
        <v>33223284</v>
      </c>
      <c r="G6" s="138">
        <f t="shared" si="2"/>
        <v>66446568</v>
      </c>
      <c r="H6" s="137" t="s">
        <v>193</v>
      </c>
      <c r="I6" s="136" t="s">
        <v>185</v>
      </c>
    </row>
    <row r="7" spans="1:9">
      <c r="A7" s="136" t="s">
        <v>194</v>
      </c>
      <c r="B7" s="139">
        <v>4000000</v>
      </c>
      <c r="C7" s="139">
        <v>5537214</v>
      </c>
      <c r="D7" s="136">
        <v>1</v>
      </c>
      <c r="E7" s="156">
        <f t="shared" si="0"/>
        <v>5537214</v>
      </c>
      <c r="F7" s="138">
        <f t="shared" si="1"/>
        <v>33223284</v>
      </c>
      <c r="G7" s="138">
        <f t="shared" si="2"/>
        <v>66446568</v>
      </c>
      <c r="H7" s="137" t="s">
        <v>195</v>
      </c>
      <c r="I7" s="136" t="s">
        <v>185</v>
      </c>
    </row>
    <row r="8" spans="1:9">
      <c r="A8" s="136" t="s">
        <v>196</v>
      </c>
      <c r="B8" s="139">
        <v>4000000</v>
      </c>
      <c r="C8" s="139">
        <v>5537214</v>
      </c>
      <c r="D8" s="136">
        <v>1</v>
      </c>
      <c r="E8" s="156">
        <f t="shared" si="0"/>
        <v>5537214</v>
      </c>
      <c r="F8" s="138">
        <f t="shared" si="1"/>
        <v>33223284</v>
      </c>
      <c r="G8" s="138">
        <f t="shared" si="2"/>
        <v>66446568</v>
      </c>
      <c r="H8" s="137" t="s">
        <v>197</v>
      </c>
      <c r="I8" s="136" t="s">
        <v>185</v>
      </c>
    </row>
    <row r="9" spans="1:9">
      <c r="A9" s="136" t="s">
        <v>198</v>
      </c>
      <c r="B9" s="139">
        <v>4000000</v>
      </c>
      <c r="C9" s="139">
        <v>5537214</v>
      </c>
      <c r="D9" s="136">
        <v>1</v>
      </c>
      <c r="E9" s="156">
        <f t="shared" si="0"/>
        <v>5537214</v>
      </c>
      <c r="F9" s="138">
        <f t="shared" si="1"/>
        <v>33223284</v>
      </c>
      <c r="G9" s="138">
        <f t="shared" si="2"/>
        <v>66446568</v>
      </c>
      <c r="H9" s="137" t="s">
        <v>199</v>
      </c>
      <c r="I9" s="136" t="s">
        <v>185</v>
      </c>
    </row>
    <row r="10" spans="1:9">
      <c r="A10" s="136" t="s">
        <v>200</v>
      </c>
      <c r="B10" s="139">
        <v>4000000</v>
      </c>
      <c r="C10" s="139">
        <v>5537214</v>
      </c>
      <c r="D10" s="136">
        <v>1</v>
      </c>
      <c r="E10" s="156">
        <f t="shared" si="0"/>
        <v>5537214</v>
      </c>
      <c r="F10" s="138">
        <f t="shared" si="1"/>
        <v>33223284</v>
      </c>
      <c r="G10" s="138">
        <f t="shared" si="2"/>
        <v>66446568</v>
      </c>
      <c r="H10" s="137" t="s">
        <v>201</v>
      </c>
      <c r="I10" s="136" t="s">
        <v>185</v>
      </c>
    </row>
    <row r="11" spans="1:9">
      <c r="A11" s="136" t="s">
        <v>202</v>
      </c>
      <c r="B11" s="139">
        <v>2500000</v>
      </c>
      <c r="C11" s="139">
        <v>3796383</v>
      </c>
      <c r="D11" s="136">
        <v>1</v>
      </c>
      <c r="E11" s="156">
        <f t="shared" si="0"/>
        <v>3796383</v>
      </c>
      <c r="F11" s="138">
        <f t="shared" si="1"/>
        <v>22778298</v>
      </c>
      <c r="G11" s="138">
        <f t="shared" si="2"/>
        <v>45556596</v>
      </c>
      <c r="H11" s="137" t="s">
        <v>203</v>
      </c>
      <c r="I11" s="136" t="s">
        <v>185</v>
      </c>
    </row>
    <row r="12" spans="1:9">
      <c r="A12" s="136" t="s">
        <v>204</v>
      </c>
      <c r="B12" s="139">
        <v>3500000</v>
      </c>
      <c r="C12" s="139">
        <v>4842437</v>
      </c>
      <c r="D12" s="136">
        <v>1</v>
      </c>
      <c r="E12" s="156">
        <f t="shared" si="0"/>
        <v>4842437</v>
      </c>
      <c r="F12" s="138">
        <f t="shared" si="1"/>
        <v>29054622</v>
      </c>
      <c r="G12" s="138">
        <f t="shared" si="2"/>
        <v>58109244</v>
      </c>
      <c r="H12" s="137" t="s">
        <v>201</v>
      </c>
      <c r="I12" s="136" t="s">
        <v>185</v>
      </c>
    </row>
    <row r="13" spans="1:9">
      <c r="A13" s="136" t="s">
        <v>205</v>
      </c>
      <c r="B13" s="139">
        <v>5000000</v>
      </c>
      <c r="C13" s="139">
        <v>6917767</v>
      </c>
      <c r="D13" s="136">
        <v>1</v>
      </c>
      <c r="E13" s="156">
        <f t="shared" si="0"/>
        <v>6917767</v>
      </c>
      <c r="F13" s="138">
        <f t="shared" si="1"/>
        <v>41506602</v>
      </c>
      <c r="G13" s="138">
        <f t="shared" si="2"/>
        <v>83013204</v>
      </c>
      <c r="H13" s="137" t="s">
        <v>206</v>
      </c>
      <c r="I13" s="136" t="s">
        <v>185</v>
      </c>
    </row>
    <row r="14" spans="1:9">
      <c r="A14" s="136" t="s">
        <v>207</v>
      </c>
      <c r="B14" s="139">
        <v>4000000</v>
      </c>
      <c r="C14" s="139">
        <v>5537214</v>
      </c>
      <c r="D14" s="136">
        <v>1</v>
      </c>
      <c r="E14" s="156">
        <f t="shared" si="0"/>
        <v>5537214</v>
      </c>
      <c r="F14" s="138">
        <f t="shared" si="1"/>
        <v>33223284</v>
      </c>
      <c r="G14" s="138">
        <f t="shared" si="2"/>
        <v>66446568</v>
      </c>
      <c r="H14" s="137" t="s">
        <v>208</v>
      </c>
      <c r="I14" s="136" t="s">
        <v>185</v>
      </c>
    </row>
    <row r="15" spans="1:9">
      <c r="A15" s="136" t="s">
        <v>209</v>
      </c>
      <c r="B15" s="139">
        <v>3500000</v>
      </c>
      <c r="C15" s="139">
        <v>4842437</v>
      </c>
      <c r="D15" s="136">
        <v>1</v>
      </c>
      <c r="E15" s="156">
        <f t="shared" si="0"/>
        <v>4842437</v>
      </c>
      <c r="F15" s="138">
        <f t="shared" si="1"/>
        <v>29054622</v>
      </c>
      <c r="G15" s="138">
        <f t="shared" si="2"/>
        <v>58109244</v>
      </c>
      <c r="H15" s="137" t="s">
        <v>210</v>
      </c>
      <c r="I15" s="136" t="s">
        <v>185</v>
      </c>
    </row>
    <row r="16" spans="1:9">
      <c r="A16" s="136" t="s">
        <v>211</v>
      </c>
      <c r="B16" s="139">
        <v>3500000</v>
      </c>
      <c r="C16" s="139">
        <v>4842437</v>
      </c>
      <c r="D16" s="136">
        <v>1</v>
      </c>
      <c r="E16" s="156">
        <f t="shared" si="0"/>
        <v>4842437</v>
      </c>
      <c r="F16" s="138">
        <f t="shared" si="1"/>
        <v>29054622</v>
      </c>
      <c r="G16" s="138">
        <f t="shared" si="2"/>
        <v>58109244</v>
      </c>
      <c r="H16" s="137" t="s">
        <v>212</v>
      </c>
      <c r="I16" s="136" t="s">
        <v>185</v>
      </c>
    </row>
    <row r="17" spans="1:10">
      <c r="A17" s="136" t="s">
        <v>213</v>
      </c>
      <c r="B17" s="139">
        <v>3500000</v>
      </c>
      <c r="C17" s="139">
        <v>4842437</v>
      </c>
      <c r="D17" s="136">
        <v>1</v>
      </c>
      <c r="E17" s="156">
        <f t="shared" si="0"/>
        <v>4842437</v>
      </c>
      <c r="F17" s="138">
        <f t="shared" si="1"/>
        <v>29054622</v>
      </c>
      <c r="G17" s="138">
        <f t="shared" si="2"/>
        <v>58109244</v>
      </c>
      <c r="H17" s="137" t="s">
        <v>214</v>
      </c>
      <c r="I17" s="136" t="s">
        <v>185</v>
      </c>
    </row>
    <row r="18" spans="1:10">
      <c r="A18" s="136" t="s">
        <v>215</v>
      </c>
      <c r="B18" s="139">
        <v>4000000</v>
      </c>
      <c r="C18" s="139">
        <v>5537214</v>
      </c>
      <c r="D18" s="136">
        <v>1</v>
      </c>
      <c r="E18" s="156">
        <f t="shared" si="0"/>
        <v>5537214</v>
      </c>
      <c r="F18" s="138">
        <f t="shared" si="1"/>
        <v>33223284</v>
      </c>
      <c r="G18" s="138">
        <f t="shared" si="2"/>
        <v>66446568</v>
      </c>
      <c r="H18" s="137" t="s">
        <v>206</v>
      </c>
      <c r="I18" s="136" t="s">
        <v>185</v>
      </c>
    </row>
    <row r="19" spans="1:10" ht="24.75" customHeight="1">
      <c r="A19" s="136" t="s">
        <v>216</v>
      </c>
      <c r="B19" s="139">
        <v>4000000</v>
      </c>
      <c r="C19" s="139">
        <v>5537214</v>
      </c>
      <c r="D19" s="136">
        <v>1</v>
      </c>
      <c r="E19" s="156">
        <f t="shared" si="0"/>
        <v>5537214</v>
      </c>
      <c r="F19" s="138">
        <f t="shared" si="1"/>
        <v>33223284</v>
      </c>
      <c r="G19" s="138">
        <f t="shared" si="2"/>
        <v>66446568</v>
      </c>
      <c r="H19" s="137" t="s">
        <v>217</v>
      </c>
      <c r="I19" s="136" t="s">
        <v>185</v>
      </c>
    </row>
    <row r="20" spans="1:10" ht="27.75" customHeight="1">
      <c r="A20" s="136" t="s">
        <v>218</v>
      </c>
      <c r="B20" s="139">
        <v>3500000</v>
      </c>
      <c r="C20" s="139">
        <v>4842437</v>
      </c>
      <c r="D20" s="136">
        <v>1</v>
      </c>
      <c r="E20" s="156">
        <f t="shared" si="0"/>
        <v>4842437</v>
      </c>
      <c r="F20" s="138">
        <f t="shared" si="1"/>
        <v>29054622</v>
      </c>
      <c r="G20" s="138">
        <f t="shared" si="2"/>
        <v>58109244</v>
      </c>
      <c r="H20" s="137" t="s">
        <v>219</v>
      </c>
      <c r="I20" s="136" t="s">
        <v>185</v>
      </c>
    </row>
    <row r="21" spans="1:10">
      <c r="A21" s="136" t="s">
        <v>220</v>
      </c>
      <c r="B21" s="139">
        <v>4000000</v>
      </c>
      <c r="C21" s="139">
        <v>5537214</v>
      </c>
      <c r="D21" s="136">
        <v>1</v>
      </c>
      <c r="E21" s="156">
        <f t="shared" si="0"/>
        <v>5537214</v>
      </c>
      <c r="F21" s="138">
        <f t="shared" si="1"/>
        <v>33223284</v>
      </c>
      <c r="G21" s="138">
        <f t="shared" si="2"/>
        <v>66446568</v>
      </c>
      <c r="H21" s="137" t="s">
        <v>221</v>
      </c>
      <c r="I21" s="136" t="s">
        <v>185</v>
      </c>
    </row>
    <row r="22" spans="1:10" ht="45">
      <c r="A22" s="136" t="s">
        <v>222</v>
      </c>
      <c r="B22" s="139">
        <v>4000000</v>
      </c>
      <c r="C22" s="139">
        <v>5537214</v>
      </c>
      <c r="D22" s="136">
        <v>1</v>
      </c>
      <c r="E22" s="156">
        <f t="shared" si="0"/>
        <v>5537214</v>
      </c>
      <c r="F22" s="138">
        <f t="shared" si="1"/>
        <v>33223284</v>
      </c>
      <c r="G22" s="138">
        <f t="shared" si="2"/>
        <v>66446568</v>
      </c>
      <c r="H22" s="137" t="s">
        <v>223</v>
      </c>
      <c r="I22" s="136" t="s">
        <v>185</v>
      </c>
    </row>
    <row r="23" spans="1:10">
      <c r="A23" s="136" t="s">
        <v>224</v>
      </c>
      <c r="B23" s="139">
        <v>4000000</v>
      </c>
      <c r="C23" s="139">
        <v>5537214</v>
      </c>
      <c r="D23" s="136">
        <v>1</v>
      </c>
      <c r="E23" s="156">
        <f t="shared" si="0"/>
        <v>5537214</v>
      </c>
      <c r="F23" s="138">
        <f t="shared" si="1"/>
        <v>33223284</v>
      </c>
      <c r="G23" s="138">
        <f t="shared" si="2"/>
        <v>66446568</v>
      </c>
      <c r="H23" s="137" t="s">
        <v>225</v>
      </c>
      <c r="I23" s="136" t="s">
        <v>185</v>
      </c>
    </row>
    <row r="24" spans="1:10">
      <c r="A24" s="136" t="s">
        <v>226</v>
      </c>
      <c r="B24" s="139">
        <v>4000000</v>
      </c>
      <c r="C24" s="139">
        <v>5537214</v>
      </c>
      <c r="D24" s="136">
        <v>1</v>
      </c>
      <c r="E24" s="156">
        <f t="shared" si="0"/>
        <v>5537214</v>
      </c>
      <c r="F24" s="138">
        <f t="shared" si="1"/>
        <v>33223284</v>
      </c>
      <c r="G24" s="138">
        <f t="shared" si="2"/>
        <v>66446568</v>
      </c>
      <c r="H24" s="137" t="s">
        <v>227</v>
      </c>
      <c r="I24" s="136" t="s">
        <v>185</v>
      </c>
      <c r="J24" s="155">
        <f>SUM(G2:G24)</f>
        <v>1523695704</v>
      </c>
    </row>
    <row r="25" spans="1:10">
      <c r="A25" s="136" t="s">
        <v>228</v>
      </c>
      <c r="B25" s="139">
        <v>6000000</v>
      </c>
      <c r="C25" s="139">
        <v>8301320</v>
      </c>
      <c r="D25" s="136">
        <v>1</v>
      </c>
      <c r="E25" s="156">
        <f t="shared" si="0"/>
        <v>8301320</v>
      </c>
      <c r="F25" s="138">
        <f>C25*3</f>
        <v>24903960</v>
      </c>
      <c r="G25" s="138">
        <f t="shared" si="2"/>
        <v>99615840</v>
      </c>
      <c r="H25" s="137" t="s">
        <v>230</v>
      </c>
      <c r="I25" s="136" t="s">
        <v>231</v>
      </c>
    </row>
    <row r="26" spans="1:10" ht="30">
      <c r="A26" s="136" t="s">
        <v>232</v>
      </c>
      <c r="B26" s="139">
        <v>4000000</v>
      </c>
      <c r="C26" s="139">
        <v>5537214</v>
      </c>
      <c r="D26" s="136">
        <v>1</v>
      </c>
      <c r="E26" s="156">
        <f t="shared" si="0"/>
        <v>5537214</v>
      </c>
      <c r="F26" s="138">
        <f t="shared" ref="F26:F51" si="3">C26*3</f>
        <v>16611642</v>
      </c>
      <c r="G26" s="138">
        <f t="shared" si="2"/>
        <v>66446568</v>
      </c>
      <c r="H26" s="137" t="s">
        <v>233</v>
      </c>
      <c r="I26" s="136" t="s">
        <v>231</v>
      </c>
    </row>
    <row r="27" spans="1:10">
      <c r="A27" s="136" t="s">
        <v>234</v>
      </c>
      <c r="B27" s="139">
        <v>6000000</v>
      </c>
      <c r="C27" s="139">
        <v>8301320</v>
      </c>
      <c r="D27" s="136">
        <v>1</v>
      </c>
      <c r="E27" s="156">
        <f t="shared" si="0"/>
        <v>8301320</v>
      </c>
      <c r="F27" s="138">
        <f t="shared" si="3"/>
        <v>24903960</v>
      </c>
      <c r="G27" s="138">
        <f t="shared" si="2"/>
        <v>99615840</v>
      </c>
      <c r="H27" s="137" t="s">
        <v>235</v>
      </c>
      <c r="I27" s="136" t="s">
        <v>231</v>
      </c>
    </row>
    <row r="28" spans="1:10">
      <c r="A28" s="136" t="s">
        <v>236</v>
      </c>
      <c r="B28" s="139">
        <v>5500000</v>
      </c>
      <c r="C28" s="139">
        <v>7609544</v>
      </c>
      <c r="D28" s="136">
        <v>1</v>
      </c>
      <c r="E28" s="156">
        <f t="shared" si="0"/>
        <v>7609544</v>
      </c>
      <c r="F28" s="138">
        <f t="shared" si="3"/>
        <v>22828632</v>
      </c>
      <c r="G28" s="138">
        <f t="shared" si="2"/>
        <v>91314528</v>
      </c>
      <c r="H28" s="137" t="s">
        <v>237</v>
      </c>
      <c r="I28" s="136" t="s">
        <v>231</v>
      </c>
    </row>
    <row r="29" spans="1:10">
      <c r="A29" s="136" t="s">
        <v>238</v>
      </c>
      <c r="B29" s="139">
        <v>5000000</v>
      </c>
      <c r="C29" s="139">
        <v>6917767</v>
      </c>
      <c r="D29" s="136">
        <v>1</v>
      </c>
      <c r="E29" s="156">
        <f t="shared" si="0"/>
        <v>6917767</v>
      </c>
      <c r="F29" s="138">
        <f t="shared" si="3"/>
        <v>20753301</v>
      </c>
      <c r="G29" s="138">
        <f t="shared" si="2"/>
        <v>83013204</v>
      </c>
      <c r="H29" s="137" t="s">
        <v>189</v>
      </c>
      <c r="I29" s="136" t="s">
        <v>231</v>
      </c>
    </row>
    <row r="30" spans="1:10">
      <c r="A30" s="136" t="s">
        <v>239</v>
      </c>
      <c r="B30" s="139">
        <v>5000000</v>
      </c>
      <c r="C30" s="139">
        <v>6917767</v>
      </c>
      <c r="D30" s="136">
        <v>1</v>
      </c>
      <c r="E30" s="156">
        <f t="shared" si="0"/>
        <v>6917767</v>
      </c>
      <c r="F30" s="138">
        <f t="shared" si="3"/>
        <v>20753301</v>
      </c>
      <c r="G30" s="138">
        <f t="shared" si="2"/>
        <v>83013204</v>
      </c>
      <c r="H30" s="137" t="s">
        <v>240</v>
      </c>
      <c r="I30" s="136" t="s">
        <v>231</v>
      </c>
    </row>
    <row r="31" spans="1:10">
      <c r="A31" s="136" t="s">
        <v>241</v>
      </c>
      <c r="B31" s="139">
        <v>4000000</v>
      </c>
      <c r="C31" s="139">
        <v>5537214</v>
      </c>
      <c r="D31" s="136">
        <v>1</v>
      </c>
      <c r="E31" s="156">
        <f t="shared" si="0"/>
        <v>5537214</v>
      </c>
      <c r="F31" s="138">
        <f t="shared" si="3"/>
        <v>16611642</v>
      </c>
      <c r="G31" s="138">
        <f t="shared" si="2"/>
        <v>66446568</v>
      </c>
      <c r="H31" s="137" t="s">
        <v>242</v>
      </c>
      <c r="I31" s="136" t="s">
        <v>231</v>
      </c>
    </row>
    <row r="32" spans="1:10">
      <c r="A32" s="136" t="s">
        <v>243</v>
      </c>
      <c r="B32" s="139">
        <v>4000000</v>
      </c>
      <c r="C32" s="139">
        <v>5537214</v>
      </c>
      <c r="D32" s="136">
        <v>1</v>
      </c>
      <c r="E32" s="156">
        <f t="shared" si="0"/>
        <v>5537214</v>
      </c>
      <c r="F32" s="138">
        <f t="shared" si="3"/>
        <v>16611642</v>
      </c>
      <c r="G32" s="138">
        <f t="shared" si="2"/>
        <v>66446568</v>
      </c>
      <c r="H32" s="137" t="s">
        <v>244</v>
      </c>
      <c r="I32" s="136" t="s">
        <v>231</v>
      </c>
    </row>
    <row r="33" spans="1:9">
      <c r="A33" s="136" t="s">
        <v>245</v>
      </c>
      <c r="B33" s="139">
        <v>3000000</v>
      </c>
      <c r="C33" s="139">
        <v>4150660</v>
      </c>
      <c r="D33" s="136">
        <v>1</v>
      </c>
      <c r="E33" s="156">
        <f t="shared" si="0"/>
        <v>4150660</v>
      </c>
      <c r="F33" s="138">
        <f t="shared" si="3"/>
        <v>12451980</v>
      </c>
      <c r="G33" s="138">
        <f t="shared" si="2"/>
        <v>49807920</v>
      </c>
      <c r="H33" s="137" t="s">
        <v>244</v>
      </c>
      <c r="I33" s="136" t="s">
        <v>231</v>
      </c>
    </row>
    <row r="34" spans="1:9">
      <c r="A34" s="136" t="s">
        <v>246</v>
      </c>
      <c r="B34" s="139">
        <v>5000000</v>
      </c>
      <c r="C34" s="139">
        <v>6917767</v>
      </c>
      <c r="D34" s="136">
        <v>1</v>
      </c>
      <c r="E34" s="156">
        <f t="shared" si="0"/>
        <v>6917767</v>
      </c>
      <c r="F34" s="138">
        <f t="shared" si="3"/>
        <v>20753301</v>
      </c>
      <c r="G34" s="138">
        <f t="shared" si="2"/>
        <v>83013204</v>
      </c>
      <c r="H34" s="137" t="s">
        <v>244</v>
      </c>
      <c r="I34" s="136" t="s">
        <v>231</v>
      </c>
    </row>
    <row r="35" spans="1:9">
      <c r="A35" s="136" t="s">
        <v>202</v>
      </c>
      <c r="B35" s="139">
        <v>2500000</v>
      </c>
      <c r="C35" s="139">
        <v>3796383</v>
      </c>
      <c r="D35" s="136">
        <v>1</v>
      </c>
      <c r="E35" s="156">
        <f t="shared" si="0"/>
        <v>3796383</v>
      </c>
      <c r="F35" s="138">
        <f t="shared" si="3"/>
        <v>11389149</v>
      </c>
      <c r="G35" s="138">
        <f t="shared" si="2"/>
        <v>45556596</v>
      </c>
      <c r="H35" s="137" t="s">
        <v>247</v>
      </c>
      <c r="I35" s="136" t="s">
        <v>231</v>
      </c>
    </row>
    <row r="36" spans="1:9">
      <c r="A36" s="136" t="s">
        <v>254</v>
      </c>
      <c r="B36" s="139">
        <v>6000000</v>
      </c>
      <c r="C36" s="139">
        <v>8301320</v>
      </c>
      <c r="D36" s="136">
        <v>1</v>
      </c>
      <c r="E36" s="156">
        <f t="shared" si="0"/>
        <v>8301320</v>
      </c>
      <c r="F36" s="138">
        <f t="shared" si="3"/>
        <v>24903960</v>
      </c>
      <c r="G36" s="138">
        <f t="shared" si="2"/>
        <v>99615840</v>
      </c>
      <c r="H36" s="137" t="s">
        <v>255</v>
      </c>
      <c r="I36" s="136" t="s">
        <v>231</v>
      </c>
    </row>
    <row r="37" spans="1:9" ht="30">
      <c r="A37" s="136" t="s">
        <v>256</v>
      </c>
      <c r="B37" s="139">
        <v>5500000</v>
      </c>
      <c r="C37" s="139">
        <v>7609544</v>
      </c>
      <c r="D37" s="136">
        <v>1</v>
      </c>
      <c r="E37" s="156">
        <f t="shared" si="0"/>
        <v>7609544</v>
      </c>
      <c r="F37" s="138">
        <f t="shared" si="3"/>
        <v>22828632</v>
      </c>
      <c r="G37" s="138">
        <f t="shared" si="2"/>
        <v>91314528</v>
      </c>
      <c r="H37" s="137" t="s">
        <v>257</v>
      </c>
      <c r="I37" s="136" t="s">
        <v>231</v>
      </c>
    </row>
    <row r="38" spans="1:9">
      <c r="A38" s="136" t="s">
        <v>258</v>
      </c>
      <c r="B38" s="139">
        <v>5000000</v>
      </c>
      <c r="C38" s="139">
        <v>6917767</v>
      </c>
      <c r="D38" s="136">
        <v>1</v>
      </c>
      <c r="E38" s="156">
        <f t="shared" si="0"/>
        <v>6917767</v>
      </c>
      <c r="F38" s="138">
        <f t="shared" si="3"/>
        <v>20753301</v>
      </c>
      <c r="G38" s="138">
        <f t="shared" si="2"/>
        <v>83013204</v>
      </c>
      <c r="H38" s="137" t="s">
        <v>259</v>
      </c>
      <c r="I38" s="136" t="s">
        <v>231</v>
      </c>
    </row>
    <row r="39" spans="1:9">
      <c r="A39" s="136" t="s">
        <v>260</v>
      </c>
      <c r="B39" s="139">
        <v>4000000</v>
      </c>
      <c r="C39" s="139">
        <v>5537214</v>
      </c>
      <c r="D39" s="136">
        <v>1</v>
      </c>
      <c r="E39" s="156">
        <f t="shared" si="0"/>
        <v>5537214</v>
      </c>
      <c r="F39" s="138">
        <f t="shared" si="3"/>
        <v>16611642</v>
      </c>
      <c r="G39" s="138">
        <f t="shared" si="2"/>
        <v>66446568</v>
      </c>
      <c r="H39" s="137" t="s">
        <v>261</v>
      </c>
      <c r="I39" s="136" t="s">
        <v>231</v>
      </c>
    </row>
    <row r="40" spans="1:9">
      <c r="A40" s="136" t="s">
        <v>262</v>
      </c>
      <c r="B40" s="139">
        <v>3000000</v>
      </c>
      <c r="C40" s="139">
        <v>4150660</v>
      </c>
      <c r="D40" s="136">
        <v>1</v>
      </c>
      <c r="E40" s="156">
        <f t="shared" si="0"/>
        <v>4150660</v>
      </c>
      <c r="F40" s="138">
        <f t="shared" si="3"/>
        <v>12451980</v>
      </c>
      <c r="G40" s="138">
        <f t="shared" si="2"/>
        <v>49807920</v>
      </c>
      <c r="H40" s="137" t="s">
        <v>263</v>
      </c>
      <c r="I40" s="136" t="s">
        <v>231</v>
      </c>
    </row>
    <row r="41" spans="1:9" ht="30">
      <c r="A41" s="136" t="s">
        <v>264</v>
      </c>
      <c r="B41" s="139">
        <v>2500000</v>
      </c>
      <c r="C41" s="139">
        <v>3796383</v>
      </c>
      <c r="D41" s="136">
        <v>1</v>
      </c>
      <c r="E41" s="156">
        <f t="shared" si="0"/>
        <v>3796383</v>
      </c>
      <c r="F41" s="138">
        <f t="shared" si="3"/>
        <v>11389149</v>
      </c>
      <c r="G41" s="138">
        <f t="shared" si="2"/>
        <v>45556596</v>
      </c>
      <c r="H41" s="137" t="s">
        <v>265</v>
      </c>
      <c r="I41" s="136" t="s">
        <v>231</v>
      </c>
    </row>
    <row r="42" spans="1:9" ht="30">
      <c r="A42" s="136" t="s">
        <v>266</v>
      </c>
      <c r="B42" s="139">
        <v>2000000</v>
      </c>
      <c r="C42" s="139">
        <v>3037107</v>
      </c>
      <c r="D42" s="136">
        <v>1</v>
      </c>
      <c r="E42" s="156">
        <f t="shared" si="0"/>
        <v>3037107</v>
      </c>
      <c r="F42" s="138">
        <f t="shared" si="3"/>
        <v>9111321</v>
      </c>
      <c r="G42" s="138">
        <f t="shared" si="2"/>
        <v>36445284</v>
      </c>
      <c r="H42" s="137" t="s">
        <v>267</v>
      </c>
      <c r="I42" s="136" t="s">
        <v>231</v>
      </c>
    </row>
    <row r="43" spans="1:9" ht="30">
      <c r="A43" s="136" t="s">
        <v>268</v>
      </c>
      <c r="B43" s="139">
        <v>5000000</v>
      </c>
      <c r="C43" s="139">
        <v>6917767</v>
      </c>
      <c r="D43" s="136">
        <v>1</v>
      </c>
      <c r="E43" s="156">
        <f t="shared" si="0"/>
        <v>6917767</v>
      </c>
      <c r="F43" s="138">
        <f t="shared" si="3"/>
        <v>20753301</v>
      </c>
      <c r="G43" s="138">
        <f t="shared" si="2"/>
        <v>83013204</v>
      </c>
      <c r="H43" s="137" t="s">
        <v>269</v>
      </c>
      <c r="I43" s="136" t="s">
        <v>231</v>
      </c>
    </row>
    <row r="44" spans="1:9">
      <c r="A44" s="136" t="s">
        <v>270</v>
      </c>
      <c r="B44" s="139">
        <v>2500000</v>
      </c>
      <c r="C44" s="139">
        <v>3796383</v>
      </c>
      <c r="D44" s="136">
        <v>1</v>
      </c>
      <c r="E44" s="156">
        <f t="shared" si="0"/>
        <v>3796383</v>
      </c>
      <c r="F44" s="138">
        <f t="shared" si="3"/>
        <v>11389149</v>
      </c>
      <c r="G44" s="138">
        <f t="shared" si="2"/>
        <v>45556596</v>
      </c>
      <c r="H44" s="137" t="s">
        <v>271</v>
      </c>
      <c r="I44" s="136" t="s">
        <v>231</v>
      </c>
    </row>
    <row r="45" spans="1:9">
      <c r="A45" s="136" t="s">
        <v>272</v>
      </c>
      <c r="B45" s="139">
        <v>5000000</v>
      </c>
      <c r="C45" s="139">
        <v>6917767</v>
      </c>
      <c r="D45" s="136">
        <v>1</v>
      </c>
      <c r="E45" s="156">
        <f t="shared" si="0"/>
        <v>6917767</v>
      </c>
      <c r="F45" s="138">
        <f t="shared" si="3"/>
        <v>20753301</v>
      </c>
      <c r="G45" s="138">
        <f t="shared" si="2"/>
        <v>83013204</v>
      </c>
      <c r="H45" s="137" t="s">
        <v>273</v>
      </c>
      <c r="I45" s="136" t="s">
        <v>231</v>
      </c>
    </row>
    <row r="46" spans="1:9">
      <c r="A46" s="136" t="s">
        <v>274</v>
      </c>
      <c r="B46" s="139">
        <v>3000000</v>
      </c>
      <c r="C46" s="139">
        <v>4150660</v>
      </c>
      <c r="D46" s="136">
        <v>1</v>
      </c>
      <c r="E46" s="156">
        <f t="shared" si="0"/>
        <v>4150660</v>
      </c>
      <c r="F46" s="138">
        <f t="shared" si="3"/>
        <v>12451980</v>
      </c>
      <c r="G46" s="138">
        <f t="shared" si="2"/>
        <v>49807920</v>
      </c>
      <c r="H46" s="137" t="s">
        <v>275</v>
      </c>
      <c r="I46" s="136" t="s">
        <v>231</v>
      </c>
    </row>
    <row r="47" spans="1:9">
      <c r="A47" s="136" t="s">
        <v>276</v>
      </c>
      <c r="B47" s="139">
        <v>5000000</v>
      </c>
      <c r="C47" s="139">
        <v>6917767</v>
      </c>
      <c r="D47" s="136">
        <v>1</v>
      </c>
      <c r="E47" s="156">
        <f t="shared" si="0"/>
        <v>6917767</v>
      </c>
      <c r="F47" s="138">
        <f t="shared" si="3"/>
        <v>20753301</v>
      </c>
      <c r="G47" s="138">
        <f t="shared" si="2"/>
        <v>83013204</v>
      </c>
      <c r="H47" s="137" t="s">
        <v>277</v>
      </c>
      <c r="I47" s="136" t="s">
        <v>231</v>
      </c>
    </row>
    <row r="48" spans="1:9">
      <c r="A48" s="136" t="s">
        <v>278</v>
      </c>
      <c r="B48" s="139">
        <v>5000000</v>
      </c>
      <c r="C48" s="139">
        <v>6917767</v>
      </c>
      <c r="D48" s="136">
        <v>1</v>
      </c>
      <c r="E48" s="156">
        <f t="shared" si="0"/>
        <v>6917767</v>
      </c>
      <c r="F48" s="138">
        <f t="shared" si="3"/>
        <v>20753301</v>
      </c>
      <c r="G48" s="138">
        <f t="shared" si="2"/>
        <v>83013204</v>
      </c>
      <c r="H48" s="137" t="s">
        <v>279</v>
      </c>
      <c r="I48" s="136" t="s">
        <v>231</v>
      </c>
    </row>
    <row r="49" spans="1:10" ht="30">
      <c r="A49" s="136" t="s">
        <v>280</v>
      </c>
      <c r="B49" s="139">
        <v>5000000</v>
      </c>
      <c r="C49" s="139">
        <v>6917767</v>
      </c>
      <c r="D49" s="136">
        <v>1</v>
      </c>
      <c r="E49" s="156">
        <f t="shared" si="0"/>
        <v>6917767</v>
      </c>
      <c r="F49" s="138">
        <f t="shared" si="3"/>
        <v>20753301</v>
      </c>
      <c r="G49" s="138">
        <f t="shared" si="2"/>
        <v>83013204</v>
      </c>
      <c r="H49" s="137" t="s">
        <v>281</v>
      </c>
      <c r="I49" s="136" t="s">
        <v>231</v>
      </c>
    </row>
    <row r="50" spans="1:10">
      <c r="A50" s="136" t="s">
        <v>282</v>
      </c>
      <c r="B50" s="139">
        <v>5000000</v>
      </c>
      <c r="C50" s="139">
        <v>6917767</v>
      </c>
      <c r="D50" s="136">
        <v>1</v>
      </c>
      <c r="E50" s="156">
        <f t="shared" si="0"/>
        <v>6917767</v>
      </c>
      <c r="F50" s="138">
        <f t="shared" si="3"/>
        <v>20753301</v>
      </c>
      <c r="G50" s="138">
        <f t="shared" si="2"/>
        <v>83013204</v>
      </c>
      <c r="H50" s="137" t="s">
        <v>283</v>
      </c>
      <c r="I50" s="136" t="s">
        <v>231</v>
      </c>
    </row>
    <row r="51" spans="1:10">
      <c r="A51" s="136" t="s">
        <v>284</v>
      </c>
      <c r="B51" s="139">
        <v>9000000</v>
      </c>
      <c r="C51" s="139">
        <v>12451980</v>
      </c>
      <c r="D51" s="136">
        <v>1</v>
      </c>
      <c r="E51" s="156">
        <f t="shared" si="0"/>
        <v>12451980</v>
      </c>
      <c r="F51" s="138">
        <f t="shared" si="3"/>
        <v>37355940</v>
      </c>
      <c r="G51" s="138">
        <f t="shared" si="2"/>
        <v>149423760</v>
      </c>
      <c r="H51" s="137" t="s">
        <v>285</v>
      </c>
      <c r="I51" s="136" t="s">
        <v>231</v>
      </c>
      <c r="J51" s="155">
        <f>SUM(G25:G51)</f>
        <v>2049357480</v>
      </c>
    </row>
    <row r="52" spans="1:10">
      <c r="A52" s="136" t="s">
        <v>248</v>
      </c>
      <c r="B52" s="139">
        <v>6000000</v>
      </c>
      <c r="C52" s="139">
        <v>8301320</v>
      </c>
      <c r="D52" s="136">
        <v>1</v>
      </c>
      <c r="E52" s="156">
        <f>C52</f>
        <v>8301320</v>
      </c>
      <c r="F52" s="138">
        <f>C52*3</f>
        <v>24903960</v>
      </c>
      <c r="G52" s="138">
        <f>E52*12</f>
        <v>99615840</v>
      </c>
      <c r="H52" s="137" t="s">
        <v>249</v>
      </c>
      <c r="I52" s="136" t="s">
        <v>396</v>
      </c>
    </row>
    <row r="53" spans="1:10">
      <c r="A53" s="136" t="s">
        <v>250</v>
      </c>
      <c r="B53" s="139">
        <v>5000000</v>
      </c>
      <c r="C53" s="139">
        <v>6917767</v>
      </c>
      <c r="D53" s="136">
        <v>1</v>
      </c>
      <c r="E53" s="156">
        <f>C53</f>
        <v>6917767</v>
      </c>
      <c r="F53" s="138">
        <f>C53*3</f>
        <v>20753301</v>
      </c>
      <c r="G53" s="138">
        <f>E53*12</f>
        <v>83013204</v>
      </c>
      <c r="H53" s="137" t="s">
        <v>251</v>
      </c>
      <c r="I53" s="136" t="s">
        <v>396</v>
      </c>
    </row>
    <row r="54" spans="1:10">
      <c r="A54" s="136" t="s">
        <v>252</v>
      </c>
      <c r="B54" s="139">
        <v>5000000</v>
      </c>
      <c r="C54" s="139">
        <v>6917767</v>
      </c>
      <c r="D54" s="136">
        <v>1</v>
      </c>
      <c r="E54" s="156">
        <f>C54</f>
        <v>6917767</v>
      </c>
      <c r="F54" s="138">
        <f>C54*3</f>
        <v>20753301</v>
      </c>
      <c r="G54" s="138">
        <f>E54*12</f>
        <v>83013204</v>
      </c>
      <c r="H54" s="137" t="s">
        <v>251</v>
      </c>
      <c r="I54" s="136" t="s">
        <v>396</v>
      </c>
    </row>
    <row r="55" spans="1:10">
      <c r="A55" s="136" t="s">
        <v>253</v>
      </c>
      <c r="B55" s="139">
        <v>4000000</v>
      </c>
      <c r="C55" s="139">
        <v>5537214</v>
      </c>
      <c r="D55" s="136">
        <v>1</v>
      </c>
      <c r="E55" s="156">
        <f>C55</f>
        <v>5537214</v>
      </c>
      <c r="F55" s="138">
        <f>C55*3</f>
        <v>16611642</v>
      </c>
      <c r="G55" s="138">
        <f>E55*12</f>
        <v>66446568</v>
      </c>
      <c r="H55" s="137" t="s">
        <v>251</v>
      </c>
      <c r="I55" s="136" t="s">
        <v>396</v>
      </c>
      <c r="J55" s="155">
        <f>SUM(G52:G55)</f>
        <v>332088816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E1867F41BDD9240A81FEDAA9DCD38CD" ma:contentTypeVersion="4" ma:contentTypeDescription="Crear nuevo documento." ma:contentTypeScope="" ma:versionID="073022b879163f8d5ebae8fc2c730274">
  <xsd:schema xmlns:xsd="http://www.w3.org/2001/XMLSchema" xmlns:xs="http://www.w3.org/2001/XMLSchema" xmlns:p="http://schemas.microsoft.com/office/2006/metadata/properties" xmlns:ns2="f7ff1548-ea36-4159-a306-74aa0083697f" xmlns:ns3="d59ba5de-05cd-4945-add5-aa2c30c31883" targetNamespace="http://schemas.microsoft.com/office/2006/metadata/properties" ma:root="true" ma:fieldsID="132ae79edaa00bd3d08c47edf1b971c7" ns2:_="" ns3:_="">
    <xsd:import namespace="f7ff1548-ea36-4159-a306-74aa0083697f"/>
    <xsd:import namespace="d59ba5de-05cd-4945-add5-aa2c30c318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ff1548-ea36-4159-a306-74aa008369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9ba5de-05cd-4945-add5-aa2c30c3188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C712E58-D6D2-4C0F-B37A-BDAB77C8BA24}">
  <ds:schemaRefs>
    <ds:schemaRef ds:uri="http://schemas.microsoft.com/sharepoint/v3/contenttype/forms"/>
  </ds:schemaRefs>
</ds:datastoreItem>
</file>

<file path=customXml/itemProps2.xml><?xml version="1.0" encoding="utf-8"?>
<ds:datastoreItem xmlns:ds="http://schemas.openxmlformats.org/officeDocument/2006/customXml" ds:itemID="{1646126D-72FF-43C3-B754-1B03FE5D0211}">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BB641118-A753-42A3-B749-BC5DC5244A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ff1548-ea36-4159-a306-74aa0083697f"/>
    <ds:schemaRef ds:uri="d59ba5de-05cd-4945-add5-aa2c30c318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vt:i4>
      </vt:variant>
    </vt:vector>
  </HeadingPairs>
  <TitlesOfParts>
    <vt:vector size="10" baseType="lpstr">
      <vt:lpstr>Menú</vt:lpstr>
      <vt:lpstr>1</vt:lpstr>
      <vt:lpstr>2</vt:lpstr>
      <vt:lpstr>3</vt:lpstr>
      <vt:lpstr>4</vt:lpstr>
      <vt:lpstr>5</vt:lpstr>
      <vt:lpstr>SoportePuestaMarcha</vt:lpstr>
      <vt:lpstr>Infraestructura</vt:lpstr>
      <vt:lpstr>Nomina</vt:lpstr>
      <vt:lpstr>Menú!Área_de_impresión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DARIO MAURICIO REYES GIRALDO</dc:creator>
  <cp:keywords/>
  <dc:description/>
  <cp:lastModifiedBy>EDGAR YESID RODRIGUEZ RONCANCIO</cp:lastModifiedBy>
  <cp:revision/>
  <dcterms:created xsi:type="dcterms:W3CDTF">2013-07-30T17:19:59Z</dcterms:created>
  <dcterms:modified xsi:type="dcterms:W3CDTF">2024-04-15T00:44:37Z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0x010100FE1867F41BDD9240A81FEDAA9DCD38CD</vt:lpwstr>
  </property>
</Properties>
</file>