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F:\COPIA PC 15-11-23\TAREAS JAIME\TRABAJO DE GRADO\"/>
    </mc:Choice>
  </mc:AlternateContent>
  <bookViews>
    <workbookView xWindow="0" yWindow="0" windowWidth="19200" windowHeight="7050" tabRatio="703" activeTab="5"/>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62913"/>
</workbook>
</file>

<file path=xl/calcChain.xml><?xml version="1.0" encoding="utf-8"?>
<calcChain xmlns="http://schemas.openxmlformats.org/spreadsheetml/2006/main">
  <c r="D5" i="1" l="1"/>
  <c r="D4" i="1" l="1"/>
  <c r="D3" i="1"/>
  <c r="H55" i="6" l="1"/>
  <c r="H54" i="6"/>
  <c r="B41" i="6" l="1"/>
  <c r="B42" i="6" s="1"/>
  <c r="B43" i="6" s="1"/>
  <c r="B44" i="6" s="1"/>
  <c r="B45" i="6" s="1"/>
  <c r="B46" i="6" s="1"/>
  <c r="B47" i="6" s="1"/>
  <c r="B48" i="6" s="1"/>
  <c r="B40" i="6"/>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I2" i="1" s="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H52" i="6" s="1"/>
  <c r="C17" i="5"/>
  <c r="C35" i="5" s="1"/>
  <c r="C36" i="5" s="1"/>
  <c r="H9" i="3"/>
  <c r="J9" i="3" s="1"/>
  <c r="I10" i="3" s="1"/>
  <c r="E35" i="6"/>
  <c r="F35" i="6" s="1"/>
  <c r="D35" i="6"/>
  <c r="C30" i="5"/>
  <c r="C45" i="5"/>
  <c r="H53" i="6" l="1"/>
  <c r="B39" i="5"/>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I12" i="3" s="1"/>
  <c r="D44" i="5"/>
  <c r="E45" i="5"/>
  <c r="E17" i="5"/>
  <c r="E35" i="5" s="1"/>
  <c r="E36" i="5" s="1"/>
  <c r="E31" i="5" l="1"/>
  <c r="E32" i="5" s="1"/>
  <c r="E38" i="5" s="1"/>
  <c r="E22" i="5" s="1"/>
  <c r="E27" i="5" s="1"/>
  <c r="E39" i="5" s="1"/>
  <c r="F12" i="3"/>
  <c r="G12" i="3" s="1"/>
  <c r="F14" i="5" s="1"/>
  <c r="F15" i="5" s="1"/>
  <c r="F16" i="5" s="1"/>
  <c r="F17" i="5" s="1"/>
  <c r="F35" i="5" s="1"/>
  <c r="F36" i="5" s="1"/>
  <c r="D46" i="5"/>
  <c r="D52" i="5" s="1"/>
  <c r="D58" i="5" s="1"/>
  <c r="D59" i="5" s="1"/>
  <c r="E8" i="6" s="1"/>
  <c r="H12" i="3" l="1"/>
  <c r="J12" i="3" s="1"/>
  <c r="F13" i="3" s="1"/>
  <c r="G13" i="3" s="1"/>
  <c r="G14" i="5" s="1"/>
  <c r="G15" i="5" s="1"/>
  <c r="G16" i="5" s="1"/>
  <c r="G17" i="5" s="1"/>
  <c r="F29" i="5"/>
  <c r="F45" i="5" s="1"/>
  <c r="E44" i="5"/>
  <c r="F31" i="5" l="1"/>
  <c r="I13" i="3"/>
  <c r="H13" i="3" s="1"/>
  <c r="J13" i="3" s="1"/>
  <c r="G31" i="5" s="1"/>
  <c r="F30" i="5"/>
  <c r="G29" i="5"/>
  <c r="G30" i="5" s="1"/>
  <c r="E46" i="5"/>
  <c r="E52" i="5" s="1"/>
  <c r="E58" i="5" s="1"/>
  <c r="E59" i="5" s="1"/>
  <c r="F8" i="6" s="1"/>
  <c r="G35" i="5"/>
  <c r="G36" i="5" s="1"/>
  <c r="G45" i="5" l="1"/>
  <c r="F32" i="5"/>
  <c r="F38" i="5" s="1"/>
  <c r="F22" i="5" s="1"/>
  <c r="F44" i="5" s="1"/>
  <c r="F46" i="5" s="1"/>
  <c r="F52" i="5" s="1"/>
  <c r="F58" i="5" s="1"/>
  <c r="F59" i="5" s="1"/>
  <c r="G8" i="6" s="1"/>
  <c r="G32" i="5"/>
  <c r="G38" i="5" s="1"/>
  <c r="G22" i="5"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authors>
    <author>DARIO MAURICIO REYES GIRALDO</author>
  </authors>
  <commentList>
    <comment ref="Z1" authorId="0" shapeId="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authors>
    <author>DARIO MAURICIO REYES GIRALDO</author>
  </authors>
  <commentList>
    <comment ref="C4" authorId="0" shapeId="0">
      <text>
        <r>
          <rPr>
            <b/>
            <sz val="9"/>
            <color indexed="81"/>
            <rFont val="Tahoma"/>
            <family val="2"/>
          </rPr>
          <t>DARIO MAURICIO REYES GIRALDO:</t>
        </r>
        <r>
          <rPr>
            <sz val="9"/>
            <color indexed="81"/>
            <rFont val="Tahoma"/>
            <family val="2"/>
          </rPr>
          <t xml:space="preserve">
Todos los valores deben se anuales.</t>
        </r>
      </text>
    </comment>
    <comment ref="C18" authorId="0" shapeId="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text>
        <r>
          <rPr>
            <b/>
            <sz val="9"/>
            <color indexed="81"/>
            <rFont val="Tahoma"/>
            <family val="2"/>
          </rPr>
          <t>DARIO MAURICIO REYES GIRALDO:</t>
        </r>
        <r>
          <rPr>
            <sz val="9"/>
            <color indexed="81"/>
            <rFont val="Tahoma"/>
            <family val="2"/>
          </rPr>
          <t xml:space="preserve">
Todos los valores deben se anuales.</t>
        </r>
      </text>
    </comment>
    <comment ref="C20" authorId="0" shapeId="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text>
        <r>
          <rPr>
            <b/>
            <sz val="9"/>
            <color indexed="81"/>
            <rFont val="Tahoma"/>
            <family val="2"/>
          </rPr>
          <t>DARIO MAURICIO REYES GIRALDO:</t>
        </r>
        <r>
          <rPr>
            <sz val="9"/>
            <color indexed="81"/>
            <rFont val="Tahoma"/>
            <family val="2"/>
          </rPr>
          <t xml:space="preserve">
Digite el nombre de los rubros adicionales.</t>
        </r>
      </text>
    </comment>
    <comment ref="E26" authorId="0" shapeId="0">
      <text>
        <r>
          <rPr>
            <b/>
            <sz val="9"/>
            <color indexed="81"/>
            <rFont val="Tahoma"/>
            <family val="2"/>
          </rPr>
          <t>DARIO MAURICIO REYES GIRALDO:</t>
        </r>
        <r>
          <rPr>
            <sz val="9"/>
            <color indexed="81"/>
            <rFont val="Tahoma"/>
            <family val="2"/>
          </rPr>
          <t xml:space="preserve">
Digite el nombre de los rubros adicionales.</t>
        </r>
      </text>
    </comment>
    <comment ref="E27" authorId="0" shapeId="0">
      <text>
        <r>
          <rPr>
            <b/>
            <sz val="9"/>
            <color indexed="81"/>
            <rFont val="Tahoma"/>
            <family val="2"/>
          </rPr>
          <t>DARIO MAURICIO REYES GIRALDO:</t>
        </r>
        <r>
          <rPr>
            <sz val="9"/>
            <color indexed="81"/>
            <rFont val="Tahoma"/>
            <family val="2"/>
          </rPr>
          <t xml:space="preserve">
Digite el nombre de los rubros adicionales.</t>
        </r>
      </text>
    </comment>
    <comment ref="E28" authorId="0" shapeId="0">
      <text>
        <r>
          <rPr>
            <b/>
            <sz val="9"/>
            <color indexed="81"/>
            <rFont val="Tahoma"/>
            <family val="2"/>
          </rPr>
          <t>DARIO MAURICIO REYES GIRALDO:</t>
        </r>
        <r>
          <rPr>
            <sz val="9"/>
            <color indexed="81"/>
            <rFont val="Tahoma"/>
            <family val="2"/>
          </rPr>
          <t xml:space="preserve">
Digite el nombre de los rubros adicionales.</t>
        </r>
      </text>
    </comment>
    <comment ref="E29" authorId="0" shapeId="0">
      <text>
        <r>
          <rPr>
            <b/>
            <sz val="9"/>
            <color indexed="81"/>
            <rFont val="Tahoma"/>
            <family val="2"/>
          </rPr>
          <t>DARIO MAURICIO REYES GIRALDO:</t>
        </r>
        <r>
          <rPr>
            <sz val="9"/>
            <color indexed="81"/>
            <rFont val="Tahoma"/>
            <family val="2"/>
          </rPr>
          <t xml:space="preserve">
Digite el nombre de los rubros adicionales.</t>
        </r>
      </text>
    </comment>
    <comment ref="E30" authorId="0" shapeId="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authors>
    <author>DARIO MAURICIO REYES GIRALDO</author>
  </authors>
  <commentList>
    <comment ref="F4" authorId="0" shapeId="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text>
        <r>
          <rPr>
            <b/>
            <sz val="9"/>
            <color indexed="81"/>
            <rFont val="Tahoma"/>
            <family val="2"/>
          </rPr>
          <t>DARIO MAURICIO REYES GIRALDO:</t>
        </r>
        <r>
          <rPr>
            <sz val="9"/>
            <color indexed="81"/>
            <rFont val="Tahoma"/>
            <family val="2"/>
          </rPr>
          <t xml:space="preserve">
Escoja un valor entre 1 y 5.</t>
        </r>
      </text>
    </comment>
    <comment ref="C7" authorId="0" shapeId="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authors>
    <author>DARIO MAURICIO REYES GIRALDO</author>
  </authors>
  <commentList>
    <comment ref="E3" authorId="0" shapeId="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<sst xmlns="http://schemas.openxmlformats.org/spreadsheetml/2006/main" count="172" uniqueCount="163">
  <si>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</si>
  <si>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</si>
  <si>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</si>
  <si>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</si>
  <si>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</si>
  <si>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</si>
  <si>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</si>
  <si>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</si>
  <si>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</si>
  <si>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</si>
  <si>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</si>
  <si>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</si>
  <si>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</si>
  <si>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</si>
  <si>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</si>
  <si>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</si>
  <si>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</si>
  <si>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</si>
  <si>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</si>
  <si>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</si>
  <si>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</si>
  <si>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</si>
  <si>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</si>
  <si>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</si>
  <si>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</si>
  <si>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</si>
  <si>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</si>
  <si>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</si>
  <si>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</si>
  <si>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</si>
  <si>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</si>
  <si>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</si>
  <si>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</si>
  <si>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</si>
  <si>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</si>
  <si>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</si>
  <si>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</si>
  <si>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</si>
  <si>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</si>
  <si>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</si>
  <si>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</si>
  <si>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</si>
  <si>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</si>
  <si>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</si>
  <si>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</si>
  <si>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</si>
  <si>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</si>
  <si>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</si>
  <si>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</si>
  <si>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</si>
  <si>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</si>
  <si>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</si>
  <si>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</si>
  <si>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</si>
  <si>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</si>
  <si>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</si>
  <si>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</si>
  <si>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</si>
  <si>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</si>
  <si>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</si>
  <si>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</si>
  <si>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</si>
  <si>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</si>
  <si>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</si>
  <si>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</si>
  <si>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</si>
  <si>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</si>
  <si>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</si>
  <si>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</si>
  <si>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</si>
  <si>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</si>
  <si>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</si>
  <si>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</si>
  <si>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</si>
  <si>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</si>
  <si>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</si>
  <si>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</si>
  <si>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</si>
  <si>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</si>
  <si>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</si>
  <si>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</si>
  <si>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</si>
  <si>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</si>
  <si>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</si>
  <si>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</si>
  <si>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</si>
  <si>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</si>
  <si>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</si>
  <si>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</si>
  <si>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</si>
  <si>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</si>
  <si>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</si>
  <si>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</si>
  <si>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</si>
  <si>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</si>
  <si>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</si>
  <si>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</si>
  <si>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</si>
  <si>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</si>
  <si>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</si>
  <si>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</si>
  <si>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</si>
  <si>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</si>
  <si>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</si>
  <si>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</si>
  <si>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</si>
  <si>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</si>
  <si>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</si>
  <si>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</si>
  <si>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</si>
  <si>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</si>
  <si>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</si>
  <si>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</si>
  <si>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</si>
  <si>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</si>
  <si>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</si>
  <si>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</si>
  <si>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</si>
  <si>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</si>
  <si>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</si>
  <si>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</si>
  <si>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</si>
  <si>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</si>
  <si>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</si>
  <si>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</si>
  <si>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</si>
  <si>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</si>
  <si>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</si>
  <si>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</si>
  <si>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</si>
  <si>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</si>
  <si>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</si>
  <si>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</si>
  <si>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</si>
  <si>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</si>
  <si>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</si>
  <si>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</si>
  <si>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</si>
  <si>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</si>
  <si>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</si>
  <si>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</si>
  <si>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</si>
  <si>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</si>
  <si>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</si>
  <si>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</si>
  <si>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</si>
  <si>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</si>
  <si>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</si>
  <si>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</si>
  <si>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</si>
  <si>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</si>
  <si>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</si>
  <si>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PASIVO /ACTIVOS</t>
  </si>
  <si>
    <t>PATRIMONIO/ACTIVOS</t>
  </si>
  <si>
    <t>IMPTO</t>
  </si>
  <si>
    <t>COSTO DEUDA</t>
  </si>
  <si>
    <t>TASA M R EMPRENDEDORES</t>
  </si>
  <si>
    <t>TASA DE EVALUACIÓN DEL PROYECTO</t>
  </si>
  <si>
    <t xml:space="preserve">Plan Basico </t>
  </si>
  <si>
    <t xml:space="preserve">Plan  Estandar </t>
  </si>
  <si>
    <t>Plan Premium</t>
  </si>
  <si>
    <t>HOSTING Y DOMINIO</t>
  </si>
  <si>
    <t>INFRAESTRUCTURA PHP (VPS)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</si>
</sst>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4">
    <font>
      <sz val="11"/>
      <color theme="1"/>
      <name val="Calibri"/>
      <family val="2"/>
      <scheme val="minor"/>
    </font>
    <font>
      <sz val="11"/>
      <color theme="1"/>
      <name val="Calibri"/>
      <family val="2"/>
      <scheme val="minor"/>
    </font>
    <font>
      <b/>
      <sz val="11"/>
      <color theme="1"/>
      <name val="Calibri"/>
      <family val="2"/>
      <scheme val="minor"/>
    </font>
    <font>
      <b/>
      <sz val="11"/>
      <color theme="1"/>
      <name val="Aharoni"/>
    </font>
    <font>
      <sz val="11"/>
      <color theme="1"/>
      <name val="Aharoni"/>
    </font>
    <font>
      <b/>
      <sz val="8"/>
      <color theme="1"/>
      <name val="Antique Olive"/>
      <family val="2"/>
    </font>
    <font>
      <sz val="11"/>
      <color theme="1"/>
      <name val="Arial"/>
      <family val="2"/>
    </font>
    <font>
      <b/>
      <sz val="11"/>
      <color theme="1"/>
      <name val="Arial"/>
      <family val="2"/>
    </font>
    <font>
      <sz val="18"/>
      <color theme="1"/>
      <name val="Aharoni"/>
    </font>
    <font>
      <sz val="20"/>
      <color theme="1"/>
      <name val="Aharoni"/>
    </font>
    <font>
      <b/>
      <sz val="10"/>
      <color theme="1"/>
      <name val="Aharoni"/>
    </font>
    <font>
      <b/>
      <sz val="12"/>
      <color theme="1"/>
      <name val="Aharoni"/>
    </font>
    <font>
      <b/>
      <sz val="14"/>
      <color theme="1"/>
      <name val="Aharoni"/>
    </font>
    <font>
      <b/>
      <sz val="18"/>
      <color theme="1"/>
      <name val="Aharoni"/>
    </font>
    <font>
      <sz val="9"/>
      <color indexed="81"/>
      <name val="Tahoma"/>
      <family val="2"/>
    </font>
    <font>
      <b/>
      <sz val="9"/>
      <color indexed="81"/>
      <name val="Tahoma"/>
      <family val="2"/>
    </font>
    <font>
      <sz val="10"/>
      <color theme="1"/>
      <name val="Aharoni"/>
    </font>
    <font>
      <sz val="9"/>
      <color theme="1"/>
      <name val="Arial"/>
      <family val="2"/>
    </font>
    <font>
      <sz val="11"/>
      <color theme="0"/>
      <name val="Calibri"/>
      <family val="2"/>
      <scheme val="minor"/>
    </font>
    <font>
      <b/>
      <sz val="9"/>
      <color theme="1"/>
      <name val="Aharoni"/>
    </font>
    <font>
      <sz val="10"/>
      <name val="Arial"/>
      <family val="2"/>
    </font>
    <font>
      <b/>
      <sz val="12"/>
      <color theme="1"/>
      <name val="Calibri"/>
      <family val="2"/>
      <scheme val="minor"/>
    </font>
    <font>
      <b/>
      <sz val="14"/>
      <color theme="1"/>
      <name val="Calibri"/>
      <family val="2"/>
      <scheme val="minor"/>
    </font>
    <font>
      <sz val="14"/>
      <color theme="1"/>
      <name val="Aharoni"/>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font>
    <font>
      <sz val="12"/>
      <color theme="0"/>
      <name val="Aharoni"/>
    </font>
    <font>
      <sz val="12"/>
      <color theme="1"/>
      <name val="Aharoni"/>
    </font>
    <font>
      <b/>
      <sz val="12"/>
      <color rgb="FFFF0000"/>
      <name val="Calibri"/>
      <family val="2"/>
      <scheme val="minor"/>
    </font>
    <font>
      <sz val="9"/>
      <color theme="1"/>
      <name val="Aharoni"/>
    </font>
    <font>
      <b/>
      <sz val="20"/>
      <color theme="1"/>
      <name val="Aharoni"/>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font>
    <font>
      <b/>
      <sz val="12"/>
      <color theme="1"/>
      <name val="Aharoni"/>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font>
    <font>
      <b/>
      <sz val="9"/>
      <color theme="1"/>
      <name val="Aharoni"/>
    </font>
    <font>
      <sz val="10"/>
      <color theme="1"/>
      <name val="Aharoni"/>
    </font>
    <font>
      <b/>
      <sz val="16"/>
      <color theme="1"/>
      <name val="Arial"/>
      <family val="2"/>
    </font>
    <font>
      <b/>
      <sz val="8"/>
      <color theme="1"/>
      <name val="Aharoni"/>
    </font>
    <font>
      <sz val="11"/>
      <color rgb="FFFF0000"/>
      <name val="Calibri"/>
      <family val="2"/>
      <scheme val="minor"/>
    </font>
    <font>
      <b/>
      <sz val="11"/>
      <color theme="0"/>
      <name val="Calibri"/>
      <family val="2"/>
      <scheme val="minor"/>
    </font>
    <font>
      <b/>
      <sz val="11"/>
      <color theme="0"/>
      <name val="Aharoni"/>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0" fontId="36" fillId="0" borderId="0" applyNumberFormat="0" applyFill="0" applyBorder="0" applyAlignment="0" applyProtection="0"/>
    <xf numFmtId="0" fontId="20" fillId="0" borderId="0"/>
  </cellStyleXfs>
  <cellXfs count="174">
    <xf numFmtId="0" fontId="0" fillId="0" borderId="0" xfId="0"/>
    <xf numFmtId="0" fontId="25" fillId="0" borderId="0" xfId="0" applyFont="1" applyFill="1" applyBorder="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6" fillId="0" borderId="0" xfId="0" applyFont="1" applyFill="1" applyBorder="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Fill="1"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Fill="1" applyBorder="1" applyProtection="1">
      <protection hidden="1"/>
    </xf>
    <xf numFmtId="0" fontId="29" fillId="4" borderId="0" xfId="0" applyFont="1" applyFill="1" applyProtection="1">
      <protection locked="0"/>
    </xf>
    <xf numFmtId="166" fontId="29" fillId="4" borderId="0" xfId="1" applyFont="1" applyFill="1" applyProtection="1">
      <protection locked="0"/>
    </xf>
    <xf numFmtId="0" fontId="0" fillId="0" borderId="0" xfId="0" applyProtection="1">
      <protection hidden="1"/>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Fill="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Fill="1" applyBorder="1" applyProtection="1">
      <protection hidden="1"/>
    </xf>
    <xf numFmtId="0" fontId="13" fillId="0" borderId="5" xfId="0" applyFont="1" applyFill="1" applyBorder="1" applyAlignment="1" applyProtection="1">
      <alignment horizontal="center"/>
      <protection hidden="1"/>
    </xf>
    <xf numFmtId="0" fontId="13" fillId="0" borderId="6" xfId="0" applyFont="1" applyFill="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14" xfId="2" applyNumberFormat="1" applyFont="1" applyFill="1" applyBorder="1" applyProtection="1">
      <protection locked="0"/>
    </xf>
    <xf numFmtId="170" fontId="30" fillId="6" borderId="3" xfId="2" applyNumberFormat="1" applyFont="1" applyFill="1" applyBorder="1" applyProtection="1">
      <protection locked="0"/>
    </xf>
    <xf numFmtId="170" fontId="30" fillId="6" borderId="12" xfId="2" applyNumberFormat="1" applyFont="1" applyFill="1" applyBorder="1" applyProtection="1">
      <protection locked="0"/>
    </xf>
    <xf numFmtId="170" fontId="30" fillId="6" borderId="5" xfId="2" applyNumberFormat="1" applyFont="1" applyFill="1" applyBorder="1" applyProtection="1">
      <protection locked="0"/>
    </xf>
    <xf numFmtId="167" fontId="29" fillId="4" borderId="0" xfId="4" applyFont="1" applyFill="1" applyProtection="1">
      <protection locked="0"/>
    </xf>
    <xf numFmtId="177" fontId="29" fillId="4" borderId="0" xfId="4" applyNumberFormat="1" applyFont="1" applyFill="1" applyAlignment="1" applyProtection="1">
      <alignment horizontal="center"/>
      <protection locked="0"/>
    </xf>
    <xf numFmtId="166"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Border="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6" fontId="21" fillId="5" borderId="0" xfId="0" applyNumberFormat="1" applyFont="1" applyFill="1" applyProtection="1">
      <protection hidden="1"/>
    </xf>
    <xf numFmtId="166"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0" fontId="6" fillId="0" borderId="0" xfId="0" applyFont="1" applyAlignment="1" applyProtection="1">
      <protection hidden="1"/>
    </xf>
    <xf numFmtId="166" fontId="6" fillId="0" borderId="0" xfId="0" applyNumberFormat="1" applyFont="1" applyAlignment="1" applyProtection="1">
      <protection hidden="1"/>
    </xf>
    <xf numFmtId="9" fontId="6" fillId="0" borderId="0" xfId="0" applyNumberFormat="1" applyFont="1" applyProtection="1">
      <protection hidden="1"/>
    </xf>
    <xf numFmtId="166" fontId="6" fillId="0" borderId="0" xfId="0" applyNumberFormat="1" applyFont="1" applyProtection="1">
      <protection hidden="1"/>
    </xf>
    <xf numFmtId="167" fontId="6" fillId="0" borderId="0" xfId="0" applyNumberFormat="1" applyFont="1" applyProtection="1">
      <protection hidden="1"/>
    </xf>
    <xf numFmtId="167" fontId="18" fillId="0" borderId="0" xfId="0" applyNumberFormat="1" applyFont="1" applyProtection="1">
      <protection hidden="1"/>
    </xf>
    <xf numFmtId="0" fontId="6" fillId="0" borderId="0" xfId="0" applyFont="1" applyAlignment="1" applyProtection="1">
      <alignment horizontal="left"/>
      <protection hidden="1"/>
    </xf>
    <xf numFmtId="0" fontId="0" fillId="0" borderId="0" xfId="0" applyAlignment="1" applyProtection="1">
      <protection hidden="1"/>
    </xf>
    <xf numFmtId="166" fontId="0" fillId="0" borderId="0" xfId="0" applyNumberFormat="1" applyAlignment="1" applyProtection="1">
      <protection hidden="1"/>
    </xf>
    <xf numFmtId="9" fontId="0" fillId="0" borderId="0" xfId="0" applyNumberFormat="1" applyProtection="1">
      <protection hidden="1"/>
    </xf>
    <xf numFmtId="167" fontId="35" fillId="0" borderId="0" xfId="4" applyFont="1" applyProtection="1">
      <protection hidden="1"/>
    </xf>
    <xf numFmtId="166" fontId="35"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8" fontId="20" fillId="0" borderId="0" xfId="6" applyNumberFormat="1"/>
    <xf numFmtId="164" fontId="20" fillId="0" borderId="0" xfId="6" applyNumberFormat="1"/>
    <xf numFmtId="0" fontId="18" fillId="0" borderId="0" xfId="0" applyNumberFormat="1" applyFont="1" applyProtection="1">
      <protection hidden="1"/>
    </xf>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0" fontId="41" fillId="0" borderId="4" xfId="0" applyFont="1" applyBorder="1" applyProtection="1">
      <protection hidden="1"/>
    </xf>
    <xf numFmtId="179" fontId="42" fillId="0" borderId="3" xfId="0" applyNumberFormat="1" applyFont="1" applyBorder="1" applyProtection="1">
      <protection hidden="1"/>
    </xf>
    <xf numFmtId="179" fontId="42" fillId="0" borderId="12" xfId="0" applyNumberFormat="1" applyFont="1" applyBorder="1" applyProtection="1">
      <protection hidden="1"/>
    </xf>
    <xf numFmtId="0" fontId="0" fillId="0" borderId="0" xfId="0" applyNumberFormat="1" applyProtection="1">
      <protection hidden="1"/>
    </xf>
    <xf numFmtId="165"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5" fillId="0" borderId="0" xfId="0" applyFont="1" applyAlignment="1" applyProtection="1">
      <alignment wrapText="1"/>
      <protection hidden="1"/>
    </xf>
    <xf numFmtId="0" fontId="46" fillId="0" borderId="0" xfId="0" applyFont="1" applyProtection="1">
      <protection hidden="1"/>
    </xf>
    <xf numFmtId="0" fontId="47" fillId="0" borderId="0" xfId="0" applyFont="1" applyAlignment="1" applyProtection="1">
      <alignment wrapText="1"/>
      <protection hidden="1"/>
    </xf>
    <xf numFmtId="0" fontId="2" fillId="0" borderId="0" xfId="0" applyFont="1" applyAlignment="1" applyProtection="1">
      <alignment horizontal="center"/>
      <protection hidden="1"/>
    </xf>
    <xf numFmtId="0" fontId="48" fillId="0" borderId="0" xfId="0" applyFont="1" applyProtection="1">
      <protection hidden="1"/>
    </xf>
    <xf numFmtId="170" fontId="29" fillId="4" borderId="0" xfId="2" applyNumberFormat="1" applyFont="1" applyFill="1" applyProtection="1">
      <protection locked="0"/>
    </xf>
    <xf numFmtId="168" fontId="49" fillId="7" borderId="1" xfId="1" applyNumberFormat="1" applyFont="1" applyFill="1" applyBorder="1" applyProtection="1">
      <protection hidden="1"/>
    </xf>
    <xf numFmtId="0" fontId="50" fillId="0" borderId="13" xfId="0" applyFont="1" applyBorder="1" applyAlignment="1" applyProtection="1">
      <alignment wrapText="1"/>
      <protection hidden="1"/>
    </xf>
    <xf numFmtId="0" fontId="50" fillId="0" borderId="11" xfId="0" applyFont="1" applyBorder="1" applyProtection="1">
      <protection hidden="1"/>
    </xf>
    <xf numFmtId="0" fontId="0" fillId="0" borderId="8" xfId="0" applyBorder="1" applyProtection="1">
      <protection hidden="1"/>
    </xf>
    <xf numFmtId="0" fontId="26" fillId="0" borderId="15" xfId="0" applyFont="1" applyFill="1" applyBorder="1" applyAlignment="1">
      <alignment horizontal="center"/>
    </xf>
    <xf numFmtId="0" fontId="26" fillId="0" borderId="16" xfId="0" applyFont="1" applyFill="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applyBorder="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Fill="1" applyBorder="1" applyProtection="1">
      <protection hidden="1"/>
    </xf>
    <xf numFmtId="180" fontId="6" fillId="0" borderId="14" xfId="0" applyNumberFormat="1" applyFont="1" applyFill="1" applyBorder="1" applyProtection="1">
      <protection hidden="1"/>
    </xf>
    <xf numFmtId="180" fontId="6" fillId="0" borderId="3" xfId="0" applyNumberFormat="1" applyFont="1" applyFill="1" applyBorder="1" applyProtection="1">
      <protection hidden="1"/>
    </xf>
    <xf numFmtId="180" fontId="6" fillId="0" borderId="12" xfId="0" applyNumberFormat="1" applyFont="1" applyFill="1" applyBorder="1" applyProtection="1">
      <protection hidden="1"/>
    </xf>
    <xf numFmtId="0" fontId="18" fillId="4" borderId="0" xfId="0" applyFont="1" applyFill="1" applyProtection="1">
      <protection locked="0" hidden="1"/>
    </xf>
    <xf numFmtId="0" fontId="51" fillId="0" borderId="0" xfId="0" applyFont="1" applyProtection="1">
      <protection hidden="1"/>
    </xf>
    <xf numFmtId="166" fontId="18" fillId="0" borderId="0" xfId="1" applyFont="1" applyProtection="1">
      <protection hidden="1"/>
    </xf>
    <xf numFmtId="0" fontId="18" fillId="0" borderId="0" xfId="0" applyFont="1" applyAlignment="1" applyProtection="1">
      <alignment horizontal="center"/>
      <protection hidden="1"/>
    </xf>
    <xf numFmtId="166" fontId="52" fillId="0" borderId="0" xfId="1" applyFont="1" applyProtection="1">
      <protection hidden="1"/>
    </xf>
    <xf numFmtId="9" fontId="18" fillId="0" borderId="0" xfId="2" applyFont="1" applyProtection="1">
      <protection hidden="1"/>
    </xf>
    <xf numFmtId="10" fontId="43" fillId="0" borderId="0" xfId="2" applyNumberFormat="1" applyFont="1" applyFill="1" applyAlignment="1" applyProtection="1">
      <alignment horizontal="center" vertical="center"/>
      <protection locked="0"/>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Fill="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4" fillId="0" borderId="0" xfId="0" applyFont="1" applyBorder="1" applyAlignment="1" applyProtection="1">
      <alignment horizontal="center"/>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11" fillId="0" borderId="0" xfId="0" applyFont="1" applyAlignment="1" applyProtection="1">
      <alignment wrapText="1"/>
      <protection hidden="1"/>
    </xf>
    <xf numFmtId="10" fontId="43"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53"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cellXfs>
  <cellStyles count="7">
    <cellStyle name="Hipervínculo" xfId="5" builtinId="8"/>
    <cellStyle name="Millares" xfId="4" builtinId="3"/>
    <cellStyle name="Millares_Modelo Financiero ACME Final 2" xfId="3"/>
    <cellStyle name="Moneda" xfId="1" builtinId="4"/>
    <cellStyle name="Normal" xfId="0" builtinId="0"/>
    <cellStyle name="Normal 2" xfId="6"/>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spPr>
            <a:ln w="31750" cap="rnd">
              <a:solidFill>
                <a:srgbClr val="FFC000"/>
              </a:solidFill>
              <a:round/>
            </a:ln>
            <a:effectLst>
              <a:outerShdw blurRad="40000" dist="23000" dir="5400000" rotWithShape="0">
                <a:srgbClr val="000000">
                  <a:alpha val="35000"/>
                </a:srgbClr>
              </a:outerShdw>
            </a:effectLst>
          </c:spPr>
          <c:marker>
            <c:symbol val="none"/>
          </c:marker>
          <c:cat>
            <c:numRef>
              <c:f>'5'!$B$33:$B$35</c:f>
              <c:numCache>
                <c:formatCode>_(* #,##0.00_);_(* \(#,##0.00\);_(* "-"??_);_(@_)</c:formatCode>
                <c:ptCount val="3"/>
                <c:pt idx="0" formatCode="General">
                  <c:v>0</c:v>
                </c:pt>
                <c:pt idx="1">
                  <c:v>11.644561535566428</c:v>
                </c:pt>
                <c:pt idx="2">
                  <c:v>23.289123071132856</c:v>
                </c:pt>
              </c:numCache>
            </c:numRef>
          </c:cat>
          <c:val>
            <c:numRef>
              <c:f>'5'!$C$33:$C$35</c:f>
              <c:numCache>
                <c:formatCode>_("$"\ * #,##0.00_);_("$"\ * \(#,##0.00\);_("$"\ * "-"??_);_(@_)</c:formatCode>
                <c:ptCount val="3"/>
                <c:pt idx="0">
                  <c:v>162840000</c:v>
                </c:pt>
                <c:pt idx="1">
                  <c:v>162840000</c:v>
                </c:pt>
                <c:pt idx="2">
                  <c:v>162840000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spPr>
            <a:ln w="31750" cap="rnd">
              <a:solidFill>
                <a:srgbClr val="FF0000"/>
              </a:solidFill>
              <a:round/>
            </a:ln>
            <a:effectLst>
              <a:outerShdw blurRad="40000" dist="23000" dir="5400000" rotWithShape="0">
                <a:srgbClr val="000000">
                  <a:alpha val="35000"/>
                </a:srgbClr>
              </a:outerShdw>
            </a:effectLst>
          </c:spPr>
          <c:marker>
            <c:symbol val="none"/>
          </c:marker>
          <c:cat>
            <c:numRef>
              <c:f>'5'!$B$33:$B$35</c:f>
              <c:numCache>
                <c:formatCode>_(* #,##0.00_);_(* \(#,##0.00\);_(* "-"??_);_(@_)</c:formatCode>
                <c:ptCount val="3"/>
                <c:pt idx="0" formatCode="General">
                  <c:v>0</c:v>
                </c:pt>
                <c:pt idx="1">
                  <c:v>11.644561535566428</c:v>
                </c:pt>
                <c:pt idx="2">
                  <c:v>23.289123071132856</c:v>
                </c:pt>
              </c:numCache>
            </c:numRef>
          </c:cat>
          <c:val>
            <c:numRef>
              <c:f>'5'!$D$33:$D$35</c:f>
              <c:numCache>
                <c:formatCode>_("$"\ * #,##0.00_);_("$"\ * \(#,##0.00\);_("$"\ * "-"??_);_(@_)</c:formatCode>
                <c:ptCount val="3"/>
                <c:pt idx="0" formatCode="General">
                  <c:v>0</c:v>
                </c:pt>
                <c:pt idx="1">
                  <c:v>195628633.79751599</c:v>
                </c:pt>
                <c:pt idx="2">
                  <c:v>391257267.59503198</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spPr>
            <a:ln w="31750" cap="rnd">
              <a:solidFill>
                <a:srgbClr val="00B050"/>
              </a:solidFill>
              <a:round/>
            </a:ln>
            <a:effectLst>
              <a:outerShdw blurRad="40000" dist="23000" dir="5400000" rotWithShape="0">
                <a:srgbClr val="000000">
                  <a:alpha val="35000"/>
                </a:srgbClr>
              </a:outerShdw>
            </a:effectLst>
          </c:spPr>
          <c:marker>
            <c:symbol val="none"/>
          </c:marker>
          <c:cat>
            <c:numRef>
              <c:f>'5'!$B$33:$B$35</c:f>
              <c:numCache>
                <c:formatCode>_(* #,##0.00_);_(* \(#,##0.00\);_(* "-"??_);_(@_)</c:formatCode>
                <c:ptCount val="3"/>
                <c:pt idx="0" formatCode="General">
                  <c:v>0</c:v>
                </c:pt>
                <c:pt idx="1">
                  <c:v>11.644561535566428</c:v>
                </c:pt>
                <c:pt idx="2">
                  <c:v>23.289123071132856</c:v>
                </c:pt>
              </c:numCache>
            </c:numRef>
          </c:cat>
          <c:val>
            <c:numRef>
              <c:f>'5'!$F$33:$F$35</c:f>
              <c:numCache>
                <c:formatCode>_("$"\ * #,##0.00_);_("$"\ * \(#,##0.00\);_("$"\ * "-"??_);_(@_)</c:formatCode>
                <c:ptCount val="3"/>
                <c:pt idx="0">
                  <c:v>162840000</c:v>
                </c:pt>
                <c:pt idx="1">
                  <c:v>195628633.79751599</c:v>
                </c:pt>
                <c:pt idx="2">
                  <c:v>228417267.59503198</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123654528"/>
        <c:crosses val="autoZero"/>
        <c:auto val="1"/>
        <c:lblAlgn val="ctr"/>
        <c:lblOffset val="100"/>
        <c:noMultiLvlLbl val="0"/>
      </c:catAx>
      <c:valAx>
        <c:axId val="123654528"/>
        <c:scaling>
          <c:orientation val="minMax"/>
        </c:scaling>
        <c:delete val="0"/>
        <c:axPos val="l"/>
        <c:majorGridlines>
          <c:spPr>
            <a:ln w="9525" cap="flat" cmpd="sng" algn="ctr">
              <a:solidFill>
                <a:schemeClr val="accent1"/>
              </a:solidFill>
              <a:round/>
            </a:ln>
            <a:effectLst/>
          </c:spPr>
        </c:majorGridlines>
        <c:numFmt formatCode="_(&quot;$&quot;\ * #,##0.00_);_(&quot;$&quot;\ * \(#,##0.00\);_(&quot;$&quot;\ *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s-CO"/>
          </a:p>
        </c:txPr>
        <c:crossAx val="123640448"/>
        <c:crosses val="autoZero"/>
        <c:crossBetween val="midCat"/>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s-CO"/>
        </a:p>
      </c:txPr>
    </c:legend>
    <c:plotVisOnly val="1"/>
    <c:dispBlanksAs val="gap"/>
    <c:showDLblsOverMax val="0"/>
  </c:chart>
  <c:spPr>
    <a:solidFill>
      <a:schemeClr val="tx2"/>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30</xdr:col>
      <xdr:colOff>153988</xdr:colOff>
      <xdr:row>13</xdr:row>
      <xdr:rowOff>41274</xdr:rowOff>
    </xdr:from>
    <xdr:to>
      <xdr:col>31</xdr:col>
      <xdr:colOff>595312</xdr:colOff>
      <xdr:row>32</xdr:row>
      <xdr:rowOff>50800</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20235863" y="3295649"/>
          <a:ext cx="1243012" cy="38671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63501</xdr:rowOff>
    </xdr:from>
    <xdr:to>
      <xdr:col>12</xdr:col>
      <xdr:colOff>563563</xdr:colOff>
      <xdr:row>26</xdr:row>
      <xdr:rowOff>28577</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23:H23"/>
  <sheetViews>
    <sheetView view="pageBreakPreview" zoomScaleNormal="100" zoomScaleSheetLayoutView="100" workbookViewId="0"/>
  </sheetViews>
  <sheetFormatPr baseColWidth="10" defaultRowHeight="14.5"/>
  <sheetData>
    <row r="23" spans="7:8" ht="20">
      <c r="G23" s="149" t="s">
        <v>135</v>
      </c>
      <c r="H23" s="149"/>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AC35"/>
  <sheetViews>
    <sheetView showGridLines="0" topLeftCell="D12" zoomScale="80" zoomScaleNormal="80" workbookViewId="0">
      <selection activeCell="D12" sqref="A1:XFD1048576"/>
    </sheetView>
  </sheetViews>
  <sheetFormatPr baseColWidth="10" defaultColWidth="11.453125" defaultRowHeight="14.5"/>
  <cols>
    <col min="1" max="1" width="22.54296875" style="15" customWidth="1"/>
    <col min="2" max="2" width="34.54296875" style="15" bestFit="1" customWidth="1"/>
    <col min="3" max="5" width="26" style="15" bestFit="1" customWidth="1"/>
    <col min="6" max="6" width="30.7265625" style="15" customWidth="1"/>
    <col min="7" max="10" width="9.453125" style="15" bestFit="1" customWidth="1"/>
    <col min="11" max="11" width="4.26953125" style="15" customWidth="1"/>
    <col min="12" max="15" width="11.453125" style="15" hidden="1" customWidth="1"/>
    <col min="16" max="19" width="12" style="15" hidden="1" customWidth="1"/>
    <col min="20" max="24" width="15.54296875" style="15" hidden="1" customWidth="1"/>
    <col min="25" max="25" width="22.1796875" style="15" bestFit="1" customWidth="1"/>
    <col min="26" max="27" width="10.54296875" style="15" bestFit="1" customWidth="1"/>
    <col min="28" max="28" width="11.453125" style="15" bestFit="1" customWidth="1"/>
    <col min="29" max="29" width="13.453125" style="15" bestFit="1" customWidth="1"/>
    <col min="30" max="16384" width="11.453125" style="15"/>
  </cols>
  <sheetData>
    <row r="1" spans="1:29" ht="30.75" customHeight="1">
      <c r="A1" s="151" t="s">
        <v>5</v>
      </c>
      <c r="B1" s="151"/>
      <c r="C1" s="151"/>
      <c r="D1" s="151"/>
      <c r="E1" s="151"/>
      <c r="G1" s="152" t="s">
        <v>12</v>
      </c>
      <c r="H1" s="152"/>
      <c r="I1" s="152"/>
      <c r="J1" s="152"/>
      <c r="P1" s="15" t="s">
        <v>16</v>
      </c>
      <c r="Y1" s="16" t="s">
        <v>9</v>
      </c>
      <c r="Z1" s="51">
        <v>2024</v>
      </c>
      <c r="AA1" s="17"/>
    </row>
    <row r="2" spans="1:29" ht="32.25" customHeight="1" thickBot="1">
      <c r="B2" s="18" t="s">
        <v>4</v>
      </c>
      <c r="C2" s="19" t="s">
        <v>0</v>
      </c>
      <c r="D2" s="18" t="s">
        <v>7</v>
      </c>
      <c r="E2" s="19" t="s">
        <v>1</v>
      </c>
      <c r="F2" s="20" t="s">
        <v>27</v>
      </c>
      <c r="G2" s="21">
        <f>'1'!Z1+1</f>
        <v>2025</v>
      </c>
      <c r="H2" s="21">
        <f>G2+1</f>
        <v>2026</v>
      </c>
      <c r="I2" s="21">
        <f t="shared" ref="I2:J2" si="0">H2+1</f>
        <v>2027</v>
      </c>
      <c r="J2" s="21">
        <f t="shared" si="0"/>
        <v>2028</v>
      </c>
      <c r="L2" s="15">
        <f>G2</f>
        <v>2025</v>
      </c>
      <c r="M2" s="15">
        <f>H2</f>
        <v>2026</v>
      </c>
      <c r="N2" s="15">
        <f>M2+1</f>
        <v>2027</v>
      </c>
      <c r="O2" s="15">
        <f>N2+1</f>
        <v>2028</v>
      </c>
      <c r="P2" s="15" t="s">
        <v>13</v>
      </c>
      <c r="Q2" s="15" t="s">
        <v>11</v>
      </c>
      <c r="R2" s="15" t="s">
        <v>23</v>
      </c>
      <c r="S2" s="15" t="s">
        <v>24</v>
      </c>
      <c r="T2" s="15" t="s">
        <v>17</v>
      </c>
      <c r="U2" s="15" t="s">
        <v>18</v>
      </c>
      <c r="V2" s="15" t="s">
        <v>25</v>
      </c>
      <c r="W2" s="15" t="s">
        <v>26</v>
      </c>
      <c r="Y2" s="17"/>
      <c r="Z2" s="17"/>
      <c r="AA2" s="17"/>
    </row>
    <row r="3" spans="1:29" ht="23.5" thickBot="1">
      <c r="A3" s="22">
        <v>1</v>
      </c>
      <c r="B3" s="13" t="s">
        <v>158</v>
      </c>
      <c r="C3" s="57">
        <v>1</v>
      </c>
      <c r="D3" s="14">
        <f>800000*12</f>
        <v>9600000</v>
      </c>
      <c r="E3" s="23">
        <f>C3*D3</f>
        <v>9600000</v>
      </c>
      <c r="F3" s="24">
        <f>IF($E$13=0,0,E3/$E$13)</f>
        <v>0.21052631578947367</v>
      </c>
      <c r="G3" s="127">
        <v>6</v>
      </c>
      <c r="H3" s="127">
        <v>1</v>
      </c>
      <c r="I3" s="127">
        <v>0.5</v>
      </c>
      <c r="J3" s="127">
        <v>0.3</v>
      </c>
      <c r="K3" s="25"/>
      <c r="L3" s="15">
        <f t="shared" ref="L3:L12" si="1">C3*(1+G3)</f>
        <v>7</v>
      </c>
      <c r="M3" s="15">
        <f>L3*(1+H3)</f>
        <v>14</v>
      </c>
      <c r="N3" s="15">
        <f t="shared" ref="N3:O3" si="2">M3*(1+I3)</f>
        <v>21</v>
      </c>
      <c r="O3" s="15">
        <f t="shared" si="2"/>
        <v>27.3</v>
      </c>
      <c r="P3" s="26">
        <f>D3*(1+'1'!$Z$4)</f>
        <v>10272000</v>
      </c>
      <c r="Q3" s="26">
        <f>P3*(1+'1'!$AA$4)</f>
        <v>11093760</v>
      </c>
      <c r="R3" s="26">
        <f>Q3*(1+'1'!$AB$4)</f>
        <v>11981260.800000001</v>
      </c>
      <c r="S3" s="26">
        <f>R3*(1+'1'!$AC$4)</f>
        <v>12939761.664000001</v>
      </c>
      <c r="T3" s="27">
        <f>L3*P3</f>
        <v>71904000</v>
      </c>
      <c r="U3" s="27">
        <f>M3*Q3</f>
        <v>155312640</v>
      </c>
      <c r="V3" s="27">
        <f>N3*R3</f>
        <v>251606476.80000001</v>
      </c>
      <c r="W3" s="27">
        <f>O3*S3</f>
        <v>353255493.42720002</v>
      </c>
      <c r="X3" s="27"/>
      <c r="Y3" s="28" t="s">
        <v>10</v>
      </c>
      <c r="Z3" s="29">
        <f>G2</f>
        <v>2025</v>
      </c>
      <c r="AA3" s="29">
        <f>Z3+1</f>
        <v>2026</v>
      </c>
      <c r="AB3" s="29">
        <f t="shared" ref="AB3:AC3" si="3">AA3+1</f>
        <v>2027</v>
      </c>
      <c r="AC3" s="30">
        <f t="shared" si="3"/>
        <v>2028</v>
      </c>
    </row>
    <row r="4" spans="1:29" ht="22.5">
      <c r="A4" s="22">
        <f>A3+1</f>
        <v>2</v>
      </c>
      <c r="B4" s="13" t="s">
        <v>159</v>
      </c>
      <c r="C4" s="57">
        <v>1</v>
      </c>
      <c r="D4" s="14">
        <f>1200000*12</f>
        <v>14400000</v>
      </c>
      <c r="E4" s="23">
        <f t="shared" ref="E4:E12" si="4">C4*D4</f>
        <v>14400000</v>
      </c>
      <c r="F4" s="24">
        <f t="shared" ref="F4:F12" si="5">IF($E$13=0,0,E4/$E$13)</f>
        <v>0.31578947368421051</v>
      </c>
      <c r="G4" s="127">
        <v>4</v>
      </c>
      <c r="H4" s="127">
        <v>1</v>
      </c>
      <c r="I4" s="127">
        <v>0.5</v>
      </c>
      <c r="J4" s="127">
        <v>0.3</v>
      </c>
      <c r="K4" s="25"/>
      <c r="L4" s="15">
        <f t="shared" si="1"/>
        <v>5</v>
      </c>
      <c r="M4" s="15">
        <f t="shared" ref="M4:M12" si="6">L4*(1+H4)</f>
        <v>10</v>
      </c>
      <c r="N4" s="15">
        <f t="shared" ref="N4:N12" si="7">M4*(1+I4)</f>
        <v>15</v>
      </c>
      <c r="O4" s="15">
        <f t="shared" ref="O4:O12" si="8">N4*(1+J4)</f>
        <v>19.5</v>
      </c>
      <c r="P4" s="26">
        <f>D4*(1+'1'!$Z$4)</f>
        <v>15408000</v>
      </c>
      <c r="Q4" s="26">
        <f>P4*(1+'1'!$AA$4)</f>
        <v>16640640.000000002</v>
      </c>
      <c r="R4" s="26">
        <f>Q4*(1+'1'!$AB$4)</f>
        <v>17971891.200000003</v>
      </c>
      <c r="S4" s="26">
        <f>R4*(1+'1'!$AC$4)</f>
        <v>19409642.496000003</v>
      </c>
      <c r="T4" s="27">
        <f t="shared" ref="T4:T12" si="9">L4*P4</f>
        <v>77040000</v>
      </c>
      <c r="U4" s="27">
        <f t="shared" ref="U4:U12" si="10">M4*Q4</f>
        <v>166406400.00000003</v>
      </c>
      <c r="V4" s="27">
        <f t="shared" ref="V4:V12" si="11">N4*R4</f>
        <v>269578368.00000006</v>
      </c>
      <c r="W4" s="27">
        <f t="shared" ref="W4:W12" si="12">O4*S4</f>
        <v>378488028.67200005</v>
      </c>
      <c r="X4" s="27"/>
      <c r="Y4" s="129" t="s">
        <v>14</v>
      </c>
      <c r="Z4" s="52">
        <v>7.0000000000000007E-2</v>
      </c>
      <c r="AA4" s="52">
        <v>0.08</v>
      </c>
      <c r="AB4" s="52">
        <v>0.08</v>
      </c>
      <c r="AC4" s="53">
        <v>0.08</v>
      </c>
    </row>
    <row r="5" spans="1:29" ht="23" thickBot="1">
      <c r="A5" s="22">
        <f t="shared" ref="A5:A12" si="13">A4+1</f>
        <v>3</v>
      </c>
      <c r="B5" s="13" t="s">
        <v>160</v>
      </c>
      <c r="C5" s="57">
        <v>1</v>
      </c>
      <c r="D5" s="14">
        <f>1800000*12</f>
        <v>21600000</v>
      </c>
      <c r="E5" s="23">
        <f t="shared" si="4"/>
        <v>21600000</v>
      </c>
      <c r="F5" s="24">
        <f t="shared" si="5"/>
        <v>0.47368421052631576</v>
      </c>
      <c r="G5" s="50">
        <v>2</v>
      </c>
      <c r="H5" s="50">
        <v>0.6</v>
      </c>
      <c r="I5" s="50">
        <v>0.3</v>
      </c>
      <c r="J5" s="50">
        <v>0.3</v>
      </c>
      <c r="K5" s="25"/>
      <c r="L5" s="15">
        <f t="shared" si="1"/>
        <v>3</v>
      </c>
      <c r="M5" s="15">
        <f t="shared" si="6"/>
        <v>4.8000000000000007</v>
      </c>
      <c r="N5" s="15">
        <f t="shared" si="7"/>
        <v>6.2400000000000011</v>
      </c>
      <c r="O5" s="15">
        <f t="shared" si="8"/>
        <v>8.1120000000000019</v>
      </c>
      <c r="P5" s="26">
        <f>D5*(1+'1'!$Z$4)</f>
        <v>23112000</v>
      </c>
      <c r="Q5" s="26">
        <f>P5*(1+'1'!$AA$4)</f>
        <v>24960960</v>
      </c>
      <c r="R5" s="26">
        <f>Q5*(1+'1'!$AB$4)</f>
        <v>26957836.800000001</v>
      </c>
      <c r="S5" s="26">
        <f>R5*(1+'1'!$AC$4)</f>
        <v>29114463.744000003</v>
      </c>
      <c r="T5" s="27">
        <f t="shared" si="9"/>
        <v>69336000</v>
      </c>
      <c r="U5" s="27">
        <f t="shared" si="10"/>
        <v>119812608.00000001</v>
      </c>
      <c r="V5" s="27">
        <f t="shared" si="11"/>
        <v>168216901.63200003</v>
      </c>
      <c r="W5" s="27">
        <f t="shared" si="12"/>
        <v>236176529.89132807</v>
      </c>
      <c r="X5" s="27"/>
      <c r="Y5" s="130" t="s">
        <v>15</v>
      </c>
      <c r="Z5" s="54">
        <v>3.4000000000000002E-2</v>
      </c>
      <c r="AA5" s="54">
        <v>3.4000000000000002E-2</v>
      </c>
      <c r="AB5" s="54">
        <v>3.4000000000000002E-2</v>
      </c>
      <c r="AC5" s="55">
        <v>3.4000000000000002E-2</v>
      </c>
    </row>
    <row r="6" spans="1:29" ht="15" thickBot="1">
      <c r="A6" s="22">
        <f t="shared" si="13"/>
        <v>4</v>
      </c>
      <c r="B6" s="13"/>
      <c r="C6" s="57">
        <v>0</v>
      </c>
      <c r="D6" s="14">
        <v>0</v>
      </c>
      <c r="E6" s="23">
        <f t="shared" si="4"/>
        <v>0</v>
      </c>
      <c r="F6" s="24">
        <f t="shared" si="5"/>
        <v>0</v>
      </c>
      <c r="G6" s="50">
        <v>0</v>
      </c>
      <c r="H6" s="50">
        <v>0</v>
      </c>
      <c r="I6" s="50">
        <v>0</v>
      </c>
      <c r="J6" s="50">
        <v>0</v>
      </c>
      <c r="K6" s="25"/>
      <c r="L6" s="15">
        <f t="shared" si="1"/>
        <v>0</v>
      </c>
      <c r="M6" s="15">
        <f t="shared" si="6"/>
        <v>0</v>
      </c>
      <c r="N6" s="15">
        <f t="shared" si="7"/>
        <v>0</v>
      </c>
      <c r="O6" s="15">
        <f t="shared" si="8"/>
        <v>0</v>
      </c>
      <c r="P6" s="26">
        <f>D6*(1+'1'!$Z$4)</f>
        <v>0</v>
      </c>
      <c r="Q6" s="26">
        <f>P6*(1+'1'!$AA$4)</f>
        <v>0</v>
      </c>
      <c r="R6" s="26">
        <f>Q6*(1+'1'!$AB$4)</f>
        <v>0</v>
      </c>
      <c r="S6" s="26">
        <f>R6*(1+'1'!$AC$4)</f>
        <v>0</v>
      </c>
      <c r="T6" s="27">
        <f t="shared" si="9"/>
        <v>0</v>
      </c>
      <c r="U6" s="27">
        <f t="shared" si="10"/>
        <v>0</v>
      </c>
      <c r="V6" s="27">
        <f t="shared" si="11"/>
        <v>0</v>
      </c>
      <c r="W6" s="27">
        <f t="shared" si="12"/>
        <v>0</v>
      </c>
      <c r="X6" s="27"/>
    </row>
    <row r="7" spans="1:29" ht="23" thickBot="1">
      <c r="A7" s="22">
        <f t="shared" si="13"/>
        <v>5</v>
      </c>
      <c r="B7" s="13"/>
      <c r="C7" s="57">
        <v>0</v>
      </c>
      <c r="D7" s="14">
        <v>0</v>
      </c>
      <c r="E7" s="23">
        <f t="shared" si="4"/>
        <v>0</v>
      </c>
      <c r="F7" s="24">
        <f t="shared" si="5"/>
        <v>0</v>
      </c>
      <c r="G7" s="50">
        <v>0</v>
      </c>
      <c r="H7" s="50">
        <v>0</v>
      </c>
      <c r="I7" s="50">
        <v>0</v>
      </c>
      <c r="J7" s="50">
        <v>0</v>
      </c>
      <c r="K7" s="25"/>
      <c r="L7" s="15">
        <f t="shared" si="1"/>
        <v>0</v>
      </c>
      <c r="M7" s="15">
        <f t="shared" si="6"/>
        <v>0</v>
      </c>
      <c r="N7" s="15">
        <f t="shared" si="7"/>
        <v>0</v>
      </c>
      <c r="O7" s="15">
        <f t="shared" si="8"/>
        <v>0</v>
      </c>
      <c r="P7" s="26">
        <f>D7*(1+'1'!$Z$4)</f>
        <v>0</v>
      </c>
      <c r="Q7" s="26">
        <f>P7*(1+'1'!$AA$4)</f>
        <v>0</v>
      </c>
      <c r="R7" s="26">
        <f>Q7*(1+'1'!$AB$4)</f>
        <v>0</v>
      </c>
      <c r="S7" s="26">
        <f>R7*(1+'1'!$AC$4)</f>
        <v>0</v>
      </c>
      <c r="T7" s="27">
        <f t="shared" si="9"/>
        <v>0</v>
      </c>
      <c r="U7" s="27">
        <f t="shared" si="10"/>
        <v>0</v>
      </c>
      <c r="V7" s="27">
        <f t="shared" si="11"/>
        <v>0</v>
      </c>
      <c r="W7" s="27">
        <f t="shared" si="12"/>
        <v>0</v>
      </c>
      <c r="X7" s="27"/>
      <c r="Y7" s="31" t="s">
        <v>91</v>
      </c>
      <c r="Z7" s="32"/>
      <c r="AA7" s="32"/>
      <c r="AB7" s="56">
        <v>0.35</v>
      </c>
      <c r="AC7" s="33"/>
    </row>
    <row r="8" spans="1:29">
      <c r="A8" s="22">
        <f t="shared" si="13"/>
        <v>6</v>
      </c>
      <c r="B8" s="13"/>
      <c r="C8" s="57">
        <v>0</v>
      </c>
      <c r="D8" s="14">
        <v>0</v>
      </c>
      <c r="E8" s="23">
        <f t="shared" si="4"/>
        <v>0</v>
      </c>
      <c r="F8" s="24">
        <f t="shared" si="5"/>
        <v>0</v>
      </c>
      <c r="G8" s="50">
        <v>0</v>
      </c>
      <c r="H8" s="50">
        <v>0</v>
      </c>
      <c r="I8" s="50">
        <v>0</v>
      </c>
      <c r="J8" s="50">
        <v>0</v>
      </c>
      <c r="K8" s="25"/>
      <c r="L8" s="15">
        <f t="shared" si="1"/>
        <v>0</v>
      </c>
      <c r="M8" s="15">
        <f t="shared" si="6"/>
        <v>0</v>
      </c>
      <c r="N8" s="15">
        <f t="shared" si="7"/>
        <v>0</v>
      </c>
      <c r="O8" s="15">
        <f t="shared" si="8"/>
        <v>0</v>
      </c>
      <c r="P8" s="26">
        <f>D8*(1+'1'!$Z$4)</f>
        <v>0</v>
      </c>
      <c r="Q8" s="26">
        <f>P8*(1+'1'!$AA$4)</f>
        <v>0</v>
      </c>
      <c r="R8" s="26">
        <f>Q8*(1+'1'!$AB$4)</f>
        <v>0</v>
      </c>
      <c r="S8" s="26">
        <f>R8*(1+'1'!$AC$4)</f>
        <v>0</v>
      </c>
      <c r="T8" s="27">
        <f t="shared" si="9"/>
        <v>0</v>
      </c>
      <c r="U8" s="27">
        <f t="shared" si="10"/>
        <v>0</v>
      </c>
      <c r="V8" s="27">
        <f t="shared" si="11"/>
        <v>0</v>
      </c>
      <c r="W8" s="27">
        <f t="shared" si="12"/>
        <v>0</v>
      </c>
      <c r="X8" s="27"/>
    </row>
    <row r="9" spans="1:29">
      <c r="A9" s="22">
        <f t="shared" si="13"/>
        <v>7</v>
      </c>
      <c r="B9" s="13"/>
      <c r="C9" s="57">
        <v>0</v>
      </c>
      <c r="D9" s="14">
        <v>0</v>
      </c>
      <c r="E9" s="23">
        <f t="shared" si="4"/>
        <v>0</v>
      </c>
      <c r="F9" s="24">
        <f t="shared" si="5"/>
        <v>0</v>
      </c>
      <c r="G9" s="50">
        <v>0</v>
      </c>
      <c r="H9" s="50">
        <v>0</v>
      </c>
      <c r="I9" s="50">
        <v>0</v>
      </c>
      <c r="J9" s="50">
        <v>0</v>
      </c>
      <c r="K9" s="25"/>
      <c r="L9" s="15">
        <f t="shared" si="1"/>
        <v>0</v>
      </c>
      <c r="M9" s="15">
        <f t="shared" si="6"/>
        <v>0</v>
      </c>
      <c r="N9" s="15">
        <f t="shared" si="7"/>
        <v>0</v>
      </c>
      <c r="O9" s="15">
        <f t="shared" si="8"/>
        <v>0</v>
      </c>
      <c r="P9" s="26">
        <f>D9*(1+'1'!$Z$4)</f>
        <v>0</v>
      </c>
      <c r="Q9" s="26">
        <f>P9*(1+'1'!$AA$4)</f>
        <v>0</v>
      </c>
      <c r="R9" s="26">
        <f>Q9*(1+'1'!$AB$4)</f>
        <v>0</v>
      </c>
      <c r="S9" s="26">
        <f>R9*(1+'1'!$AC$4)</f>
        <v>0</v>
      </c>
      <c r="T9" s="27">
        <f t="shared" si="9"/>
        <v>0</v>
      </c>
      <c r="U9" s="27">
        <f t="shared" si="10"/>
        <v>0</v>
      </c>
      <c r="V9" s="27">
        <f t="shared" si="11"/>
        <v>0</v>
      </c>
      <c r="W9" s="27">
        <f t="shared" si="12"/>
        <v>0</v>
      </c>
      <c r="X9" s="27"/>
    </row>
    <row r="10" spans="1:29">
      <c r="A10" s="22">
        <f t="shared" si="13"/>
        <v>8</v>
      </c>
      <c r="B10" s="13"/>
      <c r="C10" s="57">
        <v>0</v>
      </c>
      <c r="D10" s="14">
        <v>0</v>
      </c>
      <c r="E10" s="23">
        <f t="shared" si="4"/>
        <v>0</v>
      </c>
      <c r="F10" s="24">
        <f t="shared" si="5"/>
        <v>0</v>
      </c>
      <c r="G10" s="50">
        <v>0</v>
      </c>
      <c r="H10" s="50">
        <v>0</v>
      </c>
      <c r="I10" s="50">
        <v>0</v>
      </c>
      <c r="J10" s="50">
        <v>0</v>
      </c>
      <c r="K10" s="25"/>
      <c r="L10" s="15">
        <f t="shared" si="1"/>
        <v>0</v>
      </c>
      <c r="M10" s="15">
        <f t="shared" si="6"/>
        <v>0</v>
      </c>
      <c r="N10" s="15">
        <f t="shared" si="7"/>
        <v>0</v>
      </c>
      <c r="O10" s="15">
        <f t="shared" si="8"/>
        <v>0</v>
      </c>
      <c r="P10" s="26">
        <f>D10*(1+'1'!$Z$4)</f>
        <v>0</v>
      </c>
      <c r="Q10" s="26">
        <f>P10*(1+'1'!$AA$4)</f>
        <v>0</v>
      </c>
      <c r="R10" s="26">
        <f>Q10*(1+'1'!$AB$4)</f>
        <v>0</v>
      </c>
      <c r="S10" s="26">
        <f>R10*(1+'1'!$AC$4)</f>
        <v>0</v>
      </c>
      <c r="T10" s="27">
        <f t="shared" si="9"/>
        <v>0</v>
      </c>
      <c r="U10" s="27">
        <f t="shared" si="10"/>
        <v>0</v>
      </c>
      <c r="V10" s="27">
        <f t="shared" si="11"/>
        <v>0</v>
      </c>
      <c r="W10" s="27">
        <f t="shared" si="12"/>
        <v>0</v>
      </c>
      <c r="X10" s="27"/>
    </row>
    <row r="11" spans="1:29">
      <c r="A11" s="22">
        <f t="shared" si="13"/>
        <v>9</v>
      </c>
      <c r="B11" s="13"/>
      <c r="C11" s="57">
        <v>0</v>
      </c>
      <c r="D11" s="14">
        <v>0</v>
      </c>
      <c r="E11" s="23">
        <f t="shared" si="4"/>
        <v>0</v>
      </c>
      <c r="F11" s="24">
        <f t="shared" si="5"/>
        <v>0</v>
      </c>
      <c r="G11" s="50">
        <v>0</v>
      </c>
      <c r="H11" s="50">
        <v>0</v>
      </c>
      <c r="I11" s="50">
        <v>0</v>
      </c>
      <c r="J11" s="50">
        <v>0</v>
      </c>
      <c r="K11" s="25"/>
      <c r="L11" s="15">
        <f t="shared" si="1"/>
        <v>0</v>
      </c>
      <c r="M11" s="15">
        <f t="shared" si="6"/>
        <v>0</v>
      </c>
      <c r="N11" s="15">
        <f t="shared" si="7"/>
        <v>0</v>
      </c>
      <c r="O11" s="15">
        <f t="shared" si="8"/>
        <v>0</v>
      </c>
      <c r="P11" s="26">
        <f>D11*(1+'1'!$Z$4)</f>
        <v>0</v>
      </c>
      <c r="Q11" s="26">
        <f>P11*(1+'1'!$AA$4)</f>
        <v>0</v>
      </c>
      <c r="R11" s="26">
        <f>Q11*(1+'1'!$AB$4)</f>
        <v>0</v>
      </c>
      <c r="S11" s="26">
        <f>R11*(1+'1'!$AC$4)</f>
        <v>0</v>
      </c>
      <c r="T11" s="27">
        <f t="shared" si="9"/>
        <v>0</v>
      </c>
      <c r="U11" s="27">
        <f t="shared" si="10"/>
        <v>0</v>
      </c>
      <c r="V11" s="27">
        <f t="shared" si="11"/>
        <v>0</v>
      </c>
      <c r="W11" s="27">
        <f t="shared" si="12"/>
        <v>0</v>
      </c>
      <c r="X11" s="27"/>
    </row>
    <row r="12" spans="1:29">
      <c r="A12" s="22">
        <f t="shared" si="13"/>
        <v>10</v>
      </c>
      <c r="B12" s="13"/>
      <c r="C12" s="57">
        <v>0</v>
      </c>
      <c r="D12" s="14">
        <v>0</v>
      </c>
      <c r="E12" s="23">
        <f t="shared" si="4"/>
        <v>0</v>
      </c>
      <c r="F12" s="24">
        <f t="shared" si="5"/>
        <v>0</v>
      </c>
      <c r="G12" s="50">
        <v>0</v>
      </c>
      <c r="H12" s="50">
        <v>0</v>
      </c>
      <c r="I12" s="50">
        <v>0</v>
      </c>
      <c r="J12" s="50">
        <v>0</v>
      </c>
      <c r="K12" s="25"/>
      <c r="L12" s="15">
        <f t="shared" si="1"/>
        <v>0</v>
      </c>
      <c r="M12" s="15">
        <f t="shared" si="6"/>
        <v>0</v>
      </c>
      <c r="N12" s="15">
        <f t="shared" si="7"/>
        <v>0</v>
      </c>
      <c r="O12" s="15">
        <f t="shared" si="8"/>
        <v>0</v>
      </c>
      <c r="P12" s="26">
        <f>D12*(1+'1'!$Z$4)</f>
        <v>0</v>
      </c>
      <c r="Q12" s="26">
        <f>P12*(1+'1'!$AA$4)</f>
        <v>0</v>
      </c>
      <c r="R12" s="26">
        <f>Q12*(1+'1'!$AB$4)</f>
        <v>0</v>
      </c>
      <c r="S12" s="26">
        <f>R12*(1+'1'!$AC$4)</f>
        <v>0</v>
      </c>
      <c r="T12" s="27">
        <f t="shared" si="9"/>
        <v>0</v>
      </c>
      <c r="U12" s="27">
        <f t="shared" si="10"/>
        <v>0</v>
      </c>
      <c r="V12" s="27">
        <f t="shared" si="11"/>
        <v>0</v>
      </c>
      <c r="W12" s="27">
        <f t="shared" si="12"/>
        <v>0</v>
      </c>
      <c r="X12" s="27"/>
    </row>
    <row r="13" spans="1:29">
      <c r="D13" s="15" t="s">
        <v>8</v>
      </c>
      <c r="E13" s="34">
        <f>SUM(E3:E12)</f>
        <v>45600000</v>
      </c>
      <c r="F13" s="35">
        <f>SUM(F3:F12)</f>
        <v>1</v>
      </c>
      <c r="T13" s="36">
        <f>SUM(T3:T12)</f>
        <v>218280000</v>
      </c>
      <c r="U13" s="36">
        <f>SUM(U3:U12)</f>
        <v>441531648</v>
      </c>
      <c r="V13" s="36">
        <f>SUM(V3:V12)</f>
        <v>689401746.43200016</v>
      </c>
      <c r="W13" s="36">
        <f>SUM(W3:W12)</f>
        <v>967920051.99052811</v>
      </c>
      <c r="X13" s="27"/>
    </row>
    <row r="15" spans="1:29" ht="23.25" customHeight="1">
      <c r="A15" s="151" t="s">
        <v>6</v>
      </c>
      <c r="B15" s="151"/>
      <c r="C15" s="151"/>
      <c r="D15" s="151"/>
      <c r="E15" s="151"/>
      <c r="G15" s="37"/>
    </row>
    <row r="16" spans="1:29" ht="25.5" customHeight="1">
      <c r="B16" s="18" t="s">
        <v>3</v>
      </c>
      <c r="C16" s="38" t="s">
        <v>0</v>
      </c>
      <c r="D16" s="122" t="s">
        <v>137</v>
      </c>
      <c r="E16" s="19" t="s">
        <v>2</v>
      </c>
      <c r="L16" s="15">
        <f>L2</f>
        <v>2025</v>
      </c>
      <c r="M16" s="15">
        <f t="shared" ref="M16:W16" si="14">M2</f>
        <v>2026</v>
      </c>
      <c r="N16" s="15">
        <f t="shared" si="14"/>
        <v>2027</v>
      </c>
      <c r="O16" s="15">
        <f t="shared" si="14"/>
        <v>2028</v>
      </c>
      <c r="P16" s="15" t="str">
        <f t="shared" si="14"/>
        <v>AÑO 2</v>
      </c>
      <c r="Q16" s="15" t="str">
        <f t="shared" si="14"/>
        <v>AÑO 3</v>
      </c>
      <c r="R16" s="15" t="str">
        <f t="shared" si="14"/>
        <v>AÑO 4</v>
      </c>
      <c r="S16" s="15" t="str">
        <f t="shared" si="14"/>
        <v>AÑO 5</v>
      </c>
      <c r="T16" s="15" t="str">
        <f t="shared" si="14"/>
        <v>año 2</v>
      </c>
      <c r="U16" s="15" t="str">
        <f t="shared" si="14"/>
        <v>año 3</v>
      </c>
      <c r="V16" s="15" t="str">
        <f t="shared" si="14"/>
        <v>año 4</v>
      </c>
      <c r="W16" s="15" t="str">
        <f t="shared" si="14"/>
        <v>año 5</v>
      </c>
    </row>
    <row r="17" spans="1:24">
      <c r="A17" s="22">
        <f>A3</f>
        <v>1</v>
      </c>
      <c r="B17" s="98" t="str">
        <f>B3</f>
        <v xml:space="preserve">Plan Basico </v>
      </c>
      <c r="C17" s="40">
        <f>C3</f>
        <v>1</v>
      </c>
      <c r="D17" s="14">
        <v>1000000</v>
      </c>
      <c r="E17" s="23">
        <f>C17*D17</f>
        <v>1000000</v>
      </c>
      <c r="F17" s="24">
        <f>IF($E$27=0,0,E17/$E$27)</f>
        <v>0.14285714285714285</v>
      </c>
      <c r="L17" s="15">
        <f t="shared" ref="L17:L26" si="15">C17*(1+G3)</f>
        <v>7</v>
      </c>
      <c r="M17" s="15">
        <f>L17*(1+H3)</f>
        <v>14</v>
      </c>
      <c r="N17" s="15">
        <f t="shared" ref="N17:O17" si="16">M17*(1+I3)</f>
        <v>21</v>
      </c>
      <c r="O17" s="15">
        <f t="shared" si="16"/>
        <v>27.3</v>
      </c>
      <c r="P17" s="41">
        <f>D17*(1+'1'!$Z$5)</f>
        <v>1034000</v>
      </c>
      <c r="Q17" s="26">
        <f>P17*(1+'1'!$AA$5)</f>
        <v>1069156</v>
      </c>
      <c r="R17" s="26">
        <f>Q17*(1+'1'!$AB$5)</f>
        <v>1105507.304</v>
      </c>
      <c r="S17" s="26">
        <f>R17*(1+'1'!$AC$5)</f>
        <v>1143094.5523360001</v>
      </c>
      <c r="T17" s="41">
        <f t="shared" ref="T17:U19" si="17">L17*P17</f>
        <v>7238000</v>
      </c>
      <c r="U17" s="27">
        <f t="shared" si="17"/>
        <v>14968184</v>
      </c>
      <c r="V17" s="27">
        <f t="shared" ref="V17:W17" si="18">N17*R17</f>
        <v>23215653.384</v>
      </c>
      <c r="W17" s="27">
        <f t="shared" si="18"/>
        <v>31206481.278772805</v>
      </c>
      <c r="X17" s="27"/>
    </row>
    <row r="18" spans="1:24">
      <c r="A18" s="22">
        <f t="shared" ref="A18:B25" si="19">A4</f>
        <v>2</v>
      </c>
      <c r="B18" s="42" t="str">
        <f t="shared" si="19"/>
        <v xml:space="preserve">Plan  Estandar </v>
      </c>
      <c r="C18" s="40">
        <f t="shared" ref="C18:C26" si="20">C4</f>
        <v>1</v>
      </c>
      <c r="D18" s="14">
        <v>1500000</v>
      </c>
      <c r="E18" s="23">
        <f t="shared" ref="E18:E26" si="21">C18*D18</f>
        <v>1500000</v>
      </c>
      <c r="F18" s="24">
        <f t="shared" ref="F18:F26" si="22">IF($E$27=0,0,E18/$E$27)</f>
        <v>0.21428571428571427</v>
      </c>
      <c r="L18" s="15">
        <f t="shared" si="15"/>
        <v>5</v>
      </c>
      <c r="M18" s="15">
        <f t="shared" ref="M18:M26" si="23">L18*(1+H4)</f>
        <v>10</v>
      </c>
      <c r="N18" s="15">
        <f t="shared" ref="N18:N26" si="24">M18*(1+I4)</f>
        <v>15</v>
      </c>
      <c r="O18" s="15">
        <f t="shared" ref="O18:O26" si="25">N18*(1+J4)</f>
        <v>19.5</v>
      </c>
      <c r="P18" s="41">
        <f>D18*(1+'1'!$Z$5)</f>
        <v>1551000</v>
      </c>
      <c r="Q18" s="26">
        <f>P18*(1+'1'!$AA$5)</f>
        <v>1603734</v>
      </c>
      <c r="R18" s="26">
        <f>Q18*(1+'1'!$AB$5)</f>
        <v>1658260.956</v>
      </c>
      <c r="S18" s="26">
        <f>R18*(1+'1'!$AC$5)</f>
        <v>1714641.8285040001</v>
      </c>
      <c r="T18" s="41">
        <f t="shared" si="17"/>
        <v>7755000</v>
      </c>
      <c r="U18" s="27">
        <f t="shared" si="17"/>
        <v>16037340</v>
      </c>
      <c r="V18" s="27">
        <f t="shared" ref="V18:V26" si="26">N18*R18</f>
        <v>24873914.34</v>
      </c>
      <c r="W18" s="27">
        <f t="shared" ref="W18:W26" si="27">O18*S18</f>
        <v>33435515.655828003</v>
      </c>
      <c r="X18" s="27"/>
    </row>
    <row r="19" spans="1:24">
      <c r="A19" s="22">
        <f t="shared" si="19"/>
        <v>3</v>
      </c>
      <c r="B19" s="42" t="str">
        <f t="shared" si="19"/>
        <v>Plan Premium</v>
      </c>
      <c r="C19" s="40">
        <f t="shared" si="20"/>
        <v>1</v>
      </c>
      <c r="D19" s="14">
        <v>4500000</v>
      </c>
      <c r="E19" s="23">
        <f t="shared" si="21"/>
        <v>4500000</v>
      </c>
      <c r="F19" s="24">
        <f t="shared" si="22"/>
        <v>0.6428571428571429</v>
      </c>
      <c r="L19" s="15">
        <f t="shared" si="15"/>
        <v>3</v>
      </c>
      <c r="M19" s="15">
        <f t="shared" si="23"/>
        <v>4.8000000000000007</v>
      </c>
      <c r="N19" s="15">
        <f t="shared" si="24"/>
        <v>6.2400000000000011</v>
      </c>
      <c r="O19" s="15">
        <f t="shared" si="25"/>
        <v>8.1120000000000019</v>
      </c>
      <c r="P19" s="41">
        <f>D19*(1+'1'!$Z$5)</f>
        <v>4653000</v>
      </c>
      <c r="Q19" s="26">
        <f>P19*(1+'1'!$AA$5)</f>
        <v>4811202</v>
      </c>
      <c r="R19" s="26">
        <f>Q19*(1+'1'!$AB$5)</f>
        <v>4974782.8679999998</v>
      </c>
      <c r="S19" s="26">
        <f>R19*(1+'1'!$AC$5)</f>
        <v>5143925.4855119996</v>
      </c>
      <c r="T19" s="41">
        <f t="shared" si="17"/>
        <v>13959000</v>
      </c>
      <c r="U19" s="27">
        <f t="shared" si="17"/>
        <v>23093769.600000005</v>
      </c>
      <c r="V19" s="27">
        <f t="shared" si="26"/>
        <v>31042645.096320003</v>
      </c>
      <c r="W19" s="27">
        <f t="shared" si="27"/>
        <v>41727523.538473353</v>
      </c>
      <c r="X19" s="27"/>
    </row>
    <row r="20" spans="1:24">
      <c r="A20" s="22">
        <f t="shared" si="19"/>
        <v>4</v>
      </c>
      <c r="B20" s="42">
        <f t="shared" si="19"/>
        <v>0</v>
      </c>
      <c r="C20" s="40">
        <f t="shared" si="20"/>
        <v>0</v>
      </c>
      <c r="D20" s="14">
        <v>0</v>
      </c>
      <c r="E20" s="23">
        <f t="shared" si="21"/>
        <v>0</v>
      </c>
      <c r="F20" s="24">
        <f t="shared" si="22"/>
        <v>0</v>
      </c>
      <c r="L20" s="15">
        <f t="shared" si="15"/>
        <v>0</v>
      </c>
      <c r="M20" s="15">
        <f t="shared" si="23"/>
        <v>0</v>
      </c>
      <c r="N20" s="15">
        <f t="shared" si="24"/>
        <v>0</v>
      </c>
      <c r="O20" s="15">
        <f t="shared" si="25"/>
        <v>0</v>
      </c>
      <c r="P20" s="41">
        <f>D20*(1+'1'!$Z$5)</f>
        <v>0</v>
      </c>
      <c r="Q20" s="26">
        <f>P20*(1+'1'!$AA$5)</f>
        <v>0</v>
      </c>
      <c r="R20" s="26">
        <f>Q20*(1+'1'!$AB$5)</f>
        <v>0</v>
      </c>
      <c r="S20" s="26">
        <f>R20*(1+'1'!$AC$5)</f>
        <v>0</v>
      </c>
      <c r="T20" s="41">
        <f t="shared" ref="T20:T26" si="28">L20*P20</f>
        <v>0</v>
      </c>
      <c r="U20" s="27">
        <f t="shared" ref="U20:U26" si="29">M20*Q20</f>
        <v>0</v>
      </c>
      <c r="V20" s="27">
        <f t="shared" si="26"/>
        <v>0</v>
      </c>
      <c r="W20" s="27">
        <f t="shared" si="27"/>
        <v>0</v>
      </c>
      <c r="X20" s="27"/>
    </row>
    <row r="21" spans="1:24">
      <c r="A21" s="22">
        <f t="shared" si="19"/>
        <v>5</v>
      </c>
      <c r="B21" s="42">
        <f t="shared" si="19"/>
        <v>0</v>
      </c>
      <c r="C21" s="40">
        <f t="shared" si="20"/>
        <v>0</v>
      </c>
      <c r="D21" s="14">
        <v>0</v>
      </c>
      <c r="E21" s="23">
        <f t="shared" si="21"/>
        <v>0</v>
      </c>
      <c r="F21" s="24">
        <f t="shared" si="22"/>
        <v>0</v>
      </c>
      <c r="L21" s="15">
        <f t="shared" si="15"/>
        <v>0</v>
      </c>
      <c r="M21" s="15">
        <f t="shared" si="23"/>
        <v>0</v>
      </c>
      <c r="N21" s="15">
        <f t="shared" si="24"/>
        <v>0</v>
      </c>
      <c r="O21" s="15">
        <f t="shared" si="25"/>
        <v>0</v>
      </c>
      <c r="P21" s="41">
        <f>D21*(1+'1'!$Z$5)</f>
        <v>0</v>
      </c>
      <c r="Q21" s="26">
        <f>P21*(1+'1'!$AA$5)</f>
        <v>0</v>
      </c>
      <c r="R21" s="26">
        <f>Q21*(1+'1'!$AB$5)</f>
        <v>0</v>
      </c>
      <c r="S21" s="26">
        <f>R21*(1+'1'!$AC$5)</f>
        <v>0</v>
      </c>
      <c r="T21" s="41">
        <f t="shared" si="28"/>
        <v>0</v>
      </c>
      <c r="U21" s="27">
        <f t="shared" si="29"/>
        <v>0</v>
      </c>
      <c r="V21" s="27">
        <f t="shared" si="26"/>
        <v>0</v>
      </c>
      <c r="W21" s="27">
        <f t="shared" si="27"/>
        <v>0</v>
      </c>
      <c r="X21" s="27"/>
    </row>
    <row r="22" spans="1:24">
      <c r="A22" s="22">
        <f t="shared" si="19"/>
        <v>6</v>
      </c>
      <c r="B22" s="42">
        <f t="shared" si="19"/>
        <v>0</v>
      </c>
      <c r="C22" s="40">
        <f t="shared" si="20"/>
        <v>0</v>
      </c>
      <c r="D22" s="14">
        <v>0</v>
      </c>
      <c r="E22" s="23">
        <f t="shared" si="21"/>
        <v>0</v>
      </c>
      <c r="F22" s="24">
        <f t="shared" si="22"/>
        <v>0</v>
      </c>
      <c r="L22" s="15">
        <f t="shared" si="15"/>
        <v>0</v>
      </c>
      <c r="M22" s="15">
        <f t="shared" si="23"/>
        <v>0</v>
      </c>
      <c r="N22" s="15">
        <f t="shared" si="24"/>
        <v>0</v>
      </c>
      <c r="O22" s="15">
        <f t="shared" si="25"/>
        <v>0</v>
      </c>
      <c r="P22" s="41">
        <f>D22*(1+'1'!$Z$5)</f>
        <v>0</v>
      </c>
      <c r="Q22" s="26">
        <f>P22*(1+'1'!$AA$5)</f>
        <v>0</v>
      </c>
      <c r="R22" s="26">
        <f>Q22*(1+'1'!$AB$5)</f>
        <v>0</v>
      </c>
      <c r="S22" s="26">
        <f>R22*(1+'1'!$AC$5)</f>
        <v>0</v>
      </c>
      <c r="T22" s="41">
        <f t="shared" si="28"/>
        <v>0</v>
      </c>
      <c r="U22" s="27">
        <f t="shared" si="29"/>
        <v>0</v>
      </c>
      <c r="V22" s="27">
        <f t="shared" si="26"/>
        <v>0</v>
      </c>
      <c r="W22" s="27">
        <f t="shared" si="27"/>
        <v>0</v>
      </c>
      <c r="X22" s="27"/>
    </row>
    <row r="23" spans="1:24">
      <c r="A23" s="22">
        <f t="shared" si="19"/>
        <v>7</v>
      </c>
      <c r="B23" s="42">
        <f t="shared" si="19"/>
        <v>0</v>
      </c>
      <c r="C23" s="40">
        <f t="shared" si="20"/>
        <v>0</v>
      </c>
      <c r="D23" s="14">
        <v>0</v>
      </c>
      <c r="E23" s="23">
        <f t="shared" si="21"/>
        <v>0</v>
      </c>
      <c r="F23" s="24">
        <f t="shared" si="22"/>
        <v>0</v>
      </c>
      <c r="L23" s="15">
        <f t="shared" si="15"/>
        <v>0</v>
      </c>
      <c r="M23" s="15">
        <f t="shared" si="23"/>
        <v>0</v>
      </c>
      <c r="N23" s="15">
        <f t="shared" si="24"/>
        <v>0</v>
      </c>
      <c r="O23" s="15">
        <f t="shared" si="25"/>
        <v>0</v>
      </c>
      <c r="P23" s="41">
        <f>D23*(1+'1'!$Z$5)</f>
        <v>0</v>
      </c>
      <c r="Q23" s="26">
        <f>P23*(1+'1'!$AA$5)</f>
        <v>0</v>
      </c>
      <c r="R23" s="26">
        <f>Q23*(1+'1'!$AB$5)</f>
        <v>0</v>
      </c>
      <c r="S23" s="26">
        <f>R23*(1+'1'!$AC$5)</f>
        <v>0</v>
      </c>
      <c r="T23" s="41">
        <f t="shared" si="28"/>
        <v>0</v>
      </c>
      <c r="U23" s="27">
        <f t="shared" si="29"/>
        <v>0</v>
      </c>
      <c r="V23" s="27">
        <f t="shared" si="26"/>
        <v>0</v>
      </c>
      <c r="W23" s="27">
        <f t="shared" si="27"/>
        <v>0</v>
      </c>
      <c r="X23" s="27"/>
    </row>
    <row r="24" spans="1:24">
      <c r="A24" s="22">
        <f t="shared" si="19"/>
        <v>8</v>
      </c>
      <c r="B24" s="42">
        <f t="shared" si="19"/>
        <v>0</v>
      </c>
      <c r="C24" s="40">
        <f t="shared" si="20"/>
        <v>0</v>
      </c>
      <c r="D24" s="14">
        <v>0</v>
      </c>
      <c r="E24" s="23">
        <f t="shared" si="21"/>
        <v>0</v>
      </c>
      <c r="F24" s="24">
        <f t="shared" si="22"/>
        <v>0</v>
      </c>
      <c r="L24" s="15">
        <f t="shared" si="15"/>
        <v>0</v>
      </c>
      <c r="M24" s="15">
        <f t="shared" si="23"/>
        <v>0</v>
      </c>
      <c r="N24" s="15">
        <f t="shared" si="24"/>
        <v>0</v>
      </c>
      <c r="O24" s="15">
        <f t="shared" si="25"/>
        <v>0</v>
      </c>
      <c r="P24" s="41">
        <f>D24*(1+'1'!$Z$5)</f>
        <v>0</v>
      </c>
      <c r="Q24" s="26">
        <f>P24*(1+'1'!$AA$5)</f>
        <v>0</v>
      </c>
      <c r="R24" s="26">
        <f>Q24*(1+'1'!$AB$5)</f>
        <v>0</v>
      </c>
      <c r="S24" s="26">
        <f>R24*(1+'1'!$AC$5)</f>
        <v>0</v>
      </c>
      <c r="T24" s="41">
        <f t="shared" si="28"/>
        <v>0</v>
      </c>
      <c r="U24" s="27">
        <f t="shared" si="29"/>
        <v>0</v>
      </c>
      <c r="V24" s="27">
        <f t="shared" si="26"/>
        <v>0</v>
      </c>
      <c r="W24" s="27">
        <f t="shared" si="27"/>
        <v>0</v>
      </c>
      <c r="X24" s="27"/>
    </row>
    <row r="25" spans="1:24">
      <c r="A25" s="22">
        <f t="shared" si="19"/>
        <v>9</v>
      </c>
      <c r="B25" s="42">
        <f t="shared" si="19"/>
        <v>0</v>
      </c>
      <c r="C25" s="40">
        <f t="shared" si="20"/>
        <v>0</v>
      </c>
      <c r="D25" s="14">
        <v>0</v>
      </c>
      <c r="E25" s="23">
        <f t="shared" si="21"/>
        <v>0</v>
      </c>
      <c r="F25" s="24">
        <f t="shared" si="22"/>
        <v>0</v>
      </c>
      <c r="L25" s="15">
        <f t="shared" si="15"/>
        <v>0</v>
      </c>
      <c r="M25" s="15">
        <f t="shared" si="23"/>
        <v>0</v>
      </c>
      <c r="N25" s="15">
        <f t="shared" si="24"/>
        <v>0</v>
      </c>
      <c r="O25" s="15">
        <f t="shared" si="25"/>
        <v>0</v>
      </c>
      <c r="P25" s="41">
        <f>D25*(1+'1'!$Z$5)</f>
        <v>0</v>
      </c>
      <c r="Q25" s="26">
        <f>P25*(1+'1'!$AA$5)</f>
        <v>0</v>
      </c>
      <c r="R25" s="26">
        <f>Q25*(1+'1'!$AB$5)</f>
        <v>0</v>
      </c>
      <c r="S25" s="26">
        <f>R25*(1+'1'!$AC$5)</f>
        <v>0</v>
      </c>
      <c r="T25" s="41">
        <f t="shared" si="28"/>
        <v>0</v>
      </c>
      <c r="U25" s="27">
        <f t="shared" si="29"/>
        <v>0</v>
      </c>
      <c r="V25" s="27">
        <f t="shared" si="26"/>
        <v>0</v>
      </c>
      <c r="W25" s="27">
        <f t="shared" si="27"/>
        <v>0</v>
      </c>
      <c r="X25" s="27"/>
    </row>
    <row r="26" spans="1:24">
      <c r="A26" s="22">
        <f>A12</f>
        <v>10</v>
      </c>
      <c r="B26" s="42">
        <f t="shared" ref="B26" si="30">B12</f>
        <v>0</v>
      </c>
      <c r="C26" s="40">
        <f t="shared" si="20"/>
        <v>0</v>
      </c>
      <c r="D26" s="14">
        <v>0</v>
      </c>
      <c r="E26" s="23">
        <f t="shared" si="21"/>
        <v>0</v>
      </c>
      <c r="F26" s="24">
        <f t="shared" si="22"/>
        <v>0</v>
      </c>
      <c r="L26" s="15">
        <f t="shared" si="15"/>
        <v>0</v>
      </c>
      <c r="M26" s="15">
        <f t="shared" si="23"/>
        <v>0</v>
      </c>
      <c r="N26" s="15">
        <f t="shared" si="24"/>
        <v>0</v>
      </c>
      <c r="O26" s="15">
        <f t="shared" si="25"/>
        <v>0</v>
      </c>
      <c r="P26" s="41">
        <f>D26*(1+'1'!$Z$5)</f>
        <v>0</v>
      </c>
      <c r="Q26" s="26">
        <f>P26*(1+'1'!$AA$5)</f>
        <v>0</v>
      </c>
      <c r="R26" s="26">
        <f>Q26*(1+'1'!$AB$5)</f>
        <v>0</v>
      </c>
      <c r="S26" s="26">
        <f>R26*(1+'1'!$AC$5)</f>
        <v>0</v>
      </c>
      <c r="T26" s="41">
        <f t="shared" si="28"/>
        <v>0</v>
      </c>
      <c r="U26" s="27">
        <f t="shared" si="29"/>
        <v>0</v>
      </c>
      <c r="V26" s="27">
        <f t="shared" si="26"/>
        <v>0</v>
      </c>
      <c r="W26" s="27">
        <f t="shared" si="27"/>
        <v>0</v>
      </c>
      <c r="X26" s="27"/>
    </row>
    <row r="27" spans="1:24">
      <c r="D27" s="15" t="str">
        <f>D13</f>
        <v>TOTAL</v>
      </c>
      <c r="E27" s="34">
        <f>SUM(E17:E26)</f>
        <v>7000000</v>
      </c>
      <c r="F27" s="35">
        <f>SUM(F17:F26)</f>
        <v>1</v>
      </c>
      <c r="T27" s="36">
        <f>SUM(T17:T26)</f>
        <v>28952000</v>
      </c>
      <c r="U27" s="36">
        <f>SUM(U17:U26)</f>
        <v>54099293.600000009</v>
      </c>
      <c r="V27" s="36">
        <f t="shared" ref="V27:W27" si="31">SUM(V17:V26)</f>
        <v>79132212.82032001</v>
      </c>
      <c r="W27" s="36">
        <f t="shared" si="31"/>
        <v>106369520.47307417</v>
      </c>
      <c r="X27" s="27"/>
    </row>
    <row r="30" spans="1:24">
      <c r="A30" s="150" t="s">
        <v>19</v>
      </c>
      <c r="B30" s="150"/>
      <c r="C30" s="150"/>
      <c r="D30" s="150"/>
      <c r="E30" s="150"/>
      <c r="F30" s="150"/>
    </row>
    <row r="31" spans="1:24" ht="25">
      <c r="A31" s="43" t="s">
        <v>10</v>
      </c>
      <c r="B31" s="44">
        <f>'1'!Z1</f>
        <v>2024</v>
      </c>
      <c r="C31" s="44">
        <f>B31+1</f>
        <v>2025</v>
      </c>
      <c r="D31" s="44">
        <f>C31+1</f>
        <v>2026</v>
      </c>
      <c r="E31" s="44">
        <f>D31+1</f>
        <v>2027</v>
      </c>
      <c r="F31" s="44">
        <f>E31+1</f>
        <v>2028</v>
      </c>
      <c r="H31" s="45"/>
      <c r="I31" s="45"/>
      <c r="J31" s="45"/>
      <c r="K31" s="45"/>
      <c r="L31" s="45"/>
      <c r="M31" s="45"/>
      <c r="N31" s="45"/>
      <c r="O31" s="45"/>
      <c r="P31" s="45"/>
      <c r="Q31" s="45"/>
      <c r="R31" s="45"/>
      <c r="S31" s="45"/>
      <c r="T31" s="45"/>
      <c r="U31" s="45"/>
      <c r="V31" s="45"/>
    </row>
    <row r="32" spans="1:24">
      <c r="A32" s="46" t="s">
        <v>20</v>
      </c>
      <c r="B32" s="47">
        <f>'1'!E13</f>
        <v>45600000</v>
      </c>
      <c r="C32" s="48">
        <f>'1'!T13</f>
        <v>218280000</v>
      </c>
      <c r="D32" s="48">
        <f>'1'!U13</f>
        <v>441531648</v>
      </c>
      <c r="E32" s="48">
        <f>'1'!V13</f>
        <v>689401746.43200016</v>
      </c>
      <c r="F32" s="48">
        <f>'1'!W13</f>
        <v>967920051.99052811</v>
      </c>
    </row>
    <row r="33" spans="1:6">
      <c r="A33" s="46" t="s">
        <v>21</v>
      </c>
      <c r="B33" s="47">
        <f>'1'!E27</f>
        <v>7000000</v>
      </c>
      <c r="C33" s="47">
        <f>'1'!T27</f>
        <v>28952000</v>
      </c>
      <c r="D33" s="47">
        <f>'1'!U27</f>
        <v>54099293.600000009</v>
      </c>
      <c r="E33" s="47">
        <f>'1'!V27</f>
        <v>79132212.82032001</v>
      </c>
      <c r="F33" s="47">
        <f>'1'!W27</f>
        <v>106369520.47307417</v>
      </c>
    </row>
    <row r="34" spans="1:6" ht="20.5" thickBot="1">
      <c r="A34" s="49" t="s">
        <v>22</v>
      </c>
      <c r="B34" s="128">
        <f>B32-B33</f>
        <v>38600000</v>
      </c>
      <c r="C34" s="128">
        <f t="shared" ref="C34:D34" si="32">C32-C33</f>
        <v>189328000</v>
      </c>
      <c r="D34" s="128">
        <f t="shared" si="32"/>
        <v>387432354.39999998</v>
      </c>
      <c r="E34" s="128">
        <f t="shared" ref="E34" si="33">E32-E33</f>
        <v>610269533.61168015</v>
      </c>
      <c r="F34" s="128">
        <f t="shared" ref="F34" si="34">F32-F33</f>
        <v>861550531.51745391</v>
      </c>
    </row>
    <row r="35" spans="1:6" ht="15" thickTop="1"/>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B1:H31"/>
  <sheetViews>
    <sheetView showGridLines="0" workbookViewId="0">
      <pane ySplit="14" topLeftCell="A27" activePane="bottomLeft" state="frozenSplit"/>
      <selection activeCell="B40" sqref="B40"/>
      <selection pane="bottomLeft" activeCell="B1" sqref="B1:H31"/>
    </sheetView>
  </sheetViews>
  <sheetFormatPr baseColWidth="10" defaultColWidth="11.453125" defaultRowHeight="14.5"/>
  <cols>
    <col min="1" max="1" width="5.453125" style="15" customWidth="1"/>
    <col min="2" max="2" width="32.6328125" style="15" customWidth="1"/>
    <col min="3" max="3" width="20.26953125" style="15" customWidth="1"/>
    <col min="4" max="4" width="11.453125" style="15"/>
    <col min="5" max="5" width="23.26953125" style="15" customWidth="1"/>
    <col min="6" max="6" width="17.7265625" style="15" bestFit="1" customWidth="1"/>
    <col min="7" max="7" width="15.54296875" style="15" bestFit="1" customWidth="1"/>
    <col min="8" max="16384" width="11.453125" style="15"/>
  </cols>
  <sheetData>
    <row r="1" spans="2:8">
      <c r="B1" s="153" t="s">
        <v>133</v>
      </c>
      <c r="C1" s="153"/>
      <c r="D1" s="153"/>
      <c r="E1" s="153"/>
      <c r="F1" s="153"/>
      <c r="G1" s="153"/>
      <c r="H1" s="153"/>
    </row>
    <row r="2" spans="2:8" ht="3.75" customHeight="1">
      <c r="B2" s="153"/>
      <c r="C2" s="153"/>
      <c r="D2" s="153"/>
      <c r="E2" s="153"/>
      <c r="F2" s="153"/>
      <c r="G2" s="153"/>
      <c r="H2" s="153"/>
    </row>
    <row r="3" spans="2:8">
      <c r="C3" s="22" t="s">
        <v>51</v>
      </c>
      <c r="F3" s="75" t="s">
        <v>92</v>
      </c>
      <c r="G3" s="75"/>
    </row>
    <row r="4" spans="2:8">
      <c r="B4" s="49" t="s">
        <v>43</v>
      </c>
      <c r="C4" s="14">
        <v>0</v>
      </c>
      <c r="F4" s="75"/>
      <c r="G4" s="75"/>
    </row>
    <row r="5" spans="2:8">
      <c r="B5" s="49" t="s">
        <v>46</v>
      </c>
      <c r="C5" s="14">
        <v>0</v>
      </c>
      <c r="F5" s="75">
        <v>10</v>
      </c>
      <c r="G5" s="76">
        <f t="shared" ref="G5:G11" si="0">C5/F5</f>
        <v>0</v>
      </c>
    </row>
    <row r="6" spans="2:8">
      <c r="B6" s="49" t="s">
        <v>44</v>
      </c>
      <c r="C6" s="14">
        <v>0</v>
      </c>
      <c r="F6" s="75">
        <v>5</v>
      </c>
      <c r="G6" s="76">
        <f t="shared" si="0"/>
        <v>0</v>
      </c>
    </row>
    <row r="7" spans="2:8">
      <c r="B7" s="49" t="s">
        <v>45</v>
      </c>
      <c r="C7" s="14">
        <v>3600000</v>
      </c>
      <c r="F7" s="75">
        <v>5</v>
      </c>
      <c r="G7" s="76">
        <f t="shared" si="0"/>
        <v>720000</v>
      </c>
    </row>
    <row r="8" spans="2:8">
      <c r="B8" s="49" t="s">
        <v>47</v>
      </c>
      <c r="C8" s="14">
        <v>0</v>
      </c>
      <c r="F8" s="75">
        <v>5</v>
      </c>
      <c r="G8" s="76">
        <f t="shared" si="0"/>
        <v>0</v>
      </c>
    </row>
    <row r="9" spans="2:8">
      <c r="B9" s="49" t="s">
        <v>48</v>
      </c>
      <c r="C9" s="14">
        <v>0</v>
      </c>
      <c r="F9" s="75">
        <v>5</v>
      </c>
      <c r="G9" s="76">
        <f t="shared" si="0"/>
        <v>0</v>
      </c>
    </row>
    <row r="10" spans="2:8">
      <c r="B10" s="126" t="s">
        <v>140</v>
      </c>
      <c r="C10" s="14">
        <v>0</v>
      </c>
      <c r="F10" s="75">
        <v>5</v>
      </c>
      <c r="G10" s="76">
        <f t="shared" si="0"/>
        <v>0</v>
      </c>
    </row>
    <row r="11" spans="2:8">
      <c r="B11" s="49" t="s">
        <v>49</v>
      </c>
      <c r="C11" s="14">
        <v>0</v>
      </c>
      <c r="F11" s="75">
        <v>5</v>
      </c>
      <c r="G11" s="76">
        <f t="shared" si="0"/>
        <v>0</v>
      </c>
    </row>
    <row r="12" spans="2:8" ht="16" thickBot="1">
      <c r="B12" s="77" t="s">
        <v>50</v>
      </c>
      <c r="C12" s="78">
        <f>SUM(C4:C11)</f>
        <v>3600000</v>
      </c>
      <c r="F12" s="75"/>
      <c r="G12" s="76">
        <f>SUM(G5:G11)</f>
        <v>720000</v>
      </c>
    </row>
    <row r="13" spans="2:8">
      <c r="B13" s="154" t="s">
        <v>42</v>
      </c>
      <c r="C13" s="155"/>
      <c r="D13" s="155"/>
      <c r="E13" s="155"/>
      <c r="F13" s="155"/>
      <c r="G13" s="155"/>
      <c r="H13" s="156"/>
    </row>
    <row r="14" spans="2:8" ht="15" thickBot="1">
      <c r="B14" s="157"/>
      <c r="C14" s="158"/>
      <c r="D14" s="158"/>
      <c r="E14" s="158"/>
      <c r="F14" s="158"/>
      <c r="G14" s="158"/>
      <c r="H14" s="159"/>
    </row>
    <row r="15" spans="2:8">
      <c r="B15" s="79"/>
      <c r="C15" s="79"/>
      <c r="D15" s="79"/>
      <c r="E15" s="79"/>
      <c r="F15" s="79"/>
      <c r="G15" s="79"/>
      <c r="H15" s="79"/>
    </row>
    <row r="16" spans="2:8">
      <c r="B16" s="77" t="s">
        <v>28</v>
      </c>
      <c r="E16" s="77" t="s">
        <v>34</v>
      </c>
      <c r="F16" s="39"/>
    </row>
    <row r="17" spans="2:6">
      <c r="C17" s="77" t="s">
        <v>30</v>
      </c>
      <c r="F17" s="77" t="str">
        <f>C17</f>
        <v>VALOR AÑO 1</v>
      </c>
    </row>
    <row r="18" spans="2:6">
      <c r="B18" s="80" t="s">
        <v>29</v>
      </c>
      <c r="C18" s="14">
        <v>0</v>
      </c>
      <c r="E18" s="124" t="s">
        <v>139</v>
      </c>
      <c r="F18" s="14">
        <v>0</v>
      </c>
    </row>
    <row r="19" spans="2:6">
      <c r="C19" s="82"/>
      <c r="E19" s="81" t="s">
        <v>35</v>
      </c>
      <c r="F19" s="14">
        <v>0</v>
      </c>
    </row>
    <row r="20" spans="2:6">
      <c r="B20" s="80" t="s">
        <v>32</v>
      </c>
      <c r="C20" s="14">
        <v>19200000</v>
      </c>
      <c r="E20" s="81" t="s">
        <v>36</v>
      </c>
      <c r="F20" s="14">
        <v>0</v>
      </c>
    </row>
    <row r="21" spans="2:6">
      <c r="C21" s="82"/>
      <c r="E21" s="81" t="s">
        <v>37</v>
      </c>
      <c r="F21" s="14">
        <v>2400000</v>
      </c>
    </row>
    <row r="22" spans="2:6">
      <c r="B22" s="123" t="s">
        <v>138</v>
      </c>
      <c r="C22" s="14">
        <v>126000000</v>
      </c>
      <c r="E22" s="81" t="s">
        <v>38</v>
      </c>
      <c r="F22" s="14">
        <v>0</v>
      </c>
    </row>
    <row r="23" spans="2:6" ht="24">
      <c r="B23" s="15" t="s">
        <v>56</v>
      </c>
      <c r="C23" s="78">
        <f>C18+C20+C22</f>
        <v>145200000</v>
      </c>
      <c r="E23" s="81" t="s">
        <v>39</v>
      </c>
      <c r="F23" s="14">
        <v>0</v>
      </c>
    </row>
    <row r="24" spans="2:6">
      <c r="E24" s="81" t="s">
        <v>40</v>
      </c>
      <c r="F24" s="14">
        <v>0</v>
      </c>
    </row>
    <row r="25" spans="2:6" ht="24">
      <c r="B25" s="81" t="s">
        <v>141</v>
      </c>
      <c r="C25" s="14">
        <v>12000000</v>
      </c>
      <c r="E25" s="106" t="s">
        <v>161</v>
      </c>
      <c r="F25" s="14">
        <v>840000</v>
      </c>
    </row>
    <row r="26" spans="2:6" ht="24">
      <c r="E26" s="106" t="s">
        <v>162</v>
      </c>
      <c r="F26" s="14">
        <v>2400000</v>
      </c>
    </row>
    <row r="27" spans="2:6">
      <c r="B27" s="104" t="s">
        <v>142</v>
      </c>
      <c r="C27" s="104"/>
      <c r="E27" s="106"/>
      <c r="F27" s="14">
        <v>0</v>
      </c>
    </row>
    <row r="28" spans="2:6">
      <c r="B28" s="125">
        <f>'1'!G2</f>
        <v>2025</v>
      </c>
      <c r="C28" s="14">
        <v>20000000</v>
      </c>
      <c r="E28" s="106"/>
      <c r="F28" s="14">
        <v>0</v>
      </c>
    </row>
    <row r="29" spans="2:6">
      <c r="B29" s="125">
        <f>'1'!H2</f>
        <v>2026</v>
      </c>
      <c r="C29" s="14">
        <v>22000000</v>
      </c>
      <c r="E29" s="106"/>
      <c r="F29" s="14">
        <v>0</v>
      </c>
    </row>
    <row r="30" spans="2:6">
      <c r="B30" s="125">
        <f>'1'!I2</f>
        <v>2027</v>
      </c>
      <c r="C30" s="14">
        <v>24000000</v>
      </c>
      <c r="E30" s="106"/>
      <c r="F30" s="14">
        <v>0</v>
      </c>
    </row>
    <row r="31" spans="2:6" ht="15.5">
      <c r="B31" s="125">
        <f>'1'!J2</f>
        <v>2028</v>
      </c>
      <c r="C31" s="14">
        <v>26000000</v>
      </c>
      <c r="E31" s="81" t="s">
        <v>41</v>
      </c>
      <c r="F31" s="78">
        <f>SUM(F18:F30)</f>
        <v>5640000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B2:L16"/>
  <sheetViews>
    <sheetView showGridLines="0" topLeftCell="D1" workbookViewId="0">
      <selection activeCell="B2" sqref="B2:J16"/>
    </sheetView>
  </sheetViews>
  <sheetFormatPr baseColWidth="10" defaultColWidth="11.453125" defaultRowHeight="14.5"/>
  <cols>
    <col min="1" max="1" width="11.453125" style="15"/>
    <col min="2" max="2" width="39" style="15" bestFit="1" customWidth="1"/>
    <col min="3" max="3" width="18.54296875" style="15" bestFit="1" customWidth="1"/>
    <col min="4" max="4" width="35" style="15" customWidth="1"/>
    <col min="5" max="5" width="12.81640625" style="15" customWidth="1"/>
    <col min="6" max="6" width="29.81640625" style="15" customWidth="1"/>
    <col min="7" max="7" width="18.81640625" style="15" customWidth="1"/>
    <col min="8" max="8" width="21.54296875" style="15" customWidth="1"/>
    <col min="9" max="9" width="17" style="15" bestFit="1" customWidth="1"/>
    <col min="10" max="10" width="20.7265625" style="15" customWidth="1"/>
    <col min="11" max="16384" width="11.453125" style="15"/>
  </cols>
  <sheetData>
    <row r="2" spans="2:12" ht="29.25" customHeight="1">
      <c r="B2" s="151" t="s">
        <v>115</v>
      </c>
      <c r="C2" s="151"/>
      <c r="D2" s="151"/>
      <c r="E2" s="151"/>
      <c r="F2" s="151"/>
      <c r="G2" s="151"/>
      <c r="H2" s="151"/>
      <c r="I2" s="151"/>
      <c r="J2" s="151"/>
    </row>
    <row r="3" spans="2:12">
      <c r="F3" s="161" t="s">
        <v>62</v>
      </c>
      <c r="G3" s="161"/>
    </row>
    <row r="4" spans="2:12" ht="15.5">
      <c r="B4" s="17" t="s">
        <v>50</v>
      </c>
      <c r="C4" s="78">
        <f>'2'!C12</f>
        <v>3600000</v>
      </c>
      <c r="F4" s="162">
        <v>0.18</v>
      </c>
      <c r="G4" s="162"/>
      <c r="I4" s="15" t="s">
        <v>148</v>
      </c>
      <c r="J4" s="142">
        <v>5</v>
      </c>
      <c r="L4" s="75">
        <v>1</v>
      </c>
    </row>
    <row r="5" spans="2:12">
      <c r="L5" s="75">
        <v>2</v>
      </c>
    </row>
    <row r="6" spans="2:12" ht="15" thickBot="1">
      <c r="B6" s="17" t="s">
        <v>52</v>
      </c>
      <c r="F6" s="160" t="s">
        <v>116</v>
      </c>
      <c r="G6" s="160"/>
      <c r="H6" s="160"/>
      <c r="I6" s="160"/>
      <c r="J6" s="160"/>
      <c r="L6" s="75">
        <v>3</v>
      </c>
    </row>
    <row r="7" spans="2:12">
      <c r="C7" s="83" t="s">
        <v>54</v>
      </c>
      <c r="D7" s="83" t="s">
        <v>55</v>
      </c>
      <c r="E7" s="131"/>
      <c r="F7" s="132" t="s">
        <v>143</v>
      </c>
      <c r="G7" s="132" t="s">
        <v>144</v>
      </c>
      <c r="H7" s="132" t="s">
        <v>145</v>
      </c>
      <c r="I7" s="132" t="s">
        <v>146</v>
      </c>
      <c r="J7" s="133" t="s">
        <v>147</v>
      </c>
      <c r="L7" s="75">
        <v>4</v>
      </c>
    </row>
    <row r="8" spans="2:12">
      <c r="B8" s="49" t="s">
        <v>53</v>
      </c>
      <c r="C8" s="58">
        <v>12</v>
      </c>
      <c r="D8" s="26">
        <f>('1'!B33/12)*C8</f>
        <v>7000000</v>
      </c>
      <c r="E8" s="134" t="s">
        <v>84</v>
      </c>
      <c r="F8" s="135"/>
      <c r="G8" s="135"/>
      <c r="H8" s="135"/>
      <c r="I8" s="135"/>
      <c r="J8" s="136">
        <f>D16</f>
        <v>93440000</v>
      </c>
      <c r="L8" s="75">
        <v>5</v>
      </c>
    </row>
    <row r="9" spans="2:12">
      <c r="B9" s="49" t="s">
        <v>57</v>
      </c>
      <c r="C9" s="58">
        <v>12</v>
      </c>
      <c r="D9" s="26">
        <f>('2'!C23/12)*C9</f>
        <v>145200000</v>
      </c>
      <c r="E9" s="134">
        <f>'1'!B31</f>
        <v>2024</v>
      </c>
      <c r="F9" s="138">
        <f t="shared" ref="F9:F13" si="0">IF(J8&gt;0,J8,0)</f>
        <v>93440000</v>
      </c>
      <c r="G9" s="138">
        <f>F9*$F$4</f>
        <v>16819200</v>
      </c>
      <c r="H9" s="138">
        <f>IF(J8&lt;1,0,(I9-G9))</f>
        <v>13060841.537304886</v>
      </c>
      <c r="I9" s="138">
        <f>PMT(F4,J4,J8)*-1</f>
        <v>29880041.537304886</v>
      </c>
      <c r="J9" s="139">
        <f>F9-H9</f>
        <v>80379158.462695122</v>
      </c>
    </row>
    <row r="10" spans="2:12">
      <c r="B10" s="49" t="s">
        <v>58</v>
      </c>
      <c r="C10" s="58">
        <v>12</v>
      </c>
      <c r="D10" s="26">
        <f>('2'!C25/12)*C10</f>
        <v>12000000</v>
      </c>
      <c r="E10" s="134">
        <f>'1'!C31</f>
        <v>2025</v>
      </c>
      <c r="F10" s="138">
        <f t="shared" si="0"/>
        <v>80379158.462695122</v>
      </c>
      <c r="G10" s="138">
        <f t="shared" ref="G10:G13" si="1">F10*$F$4</f>
        <v>14468248.523285121</v>
      </c>
      <c r="H10" s="138">
        <f t="shared" ref="H10:H13" si="2">IF(J9&lt;1,0,(I10-G10))</f>
        <v>15411793.014019765</v>
      </c>
      <c r="I10" s="138">
        <f>IF(J9&lt;1,0,(I9*(1+$K$7)))</f>
        <v>29880041.537304886</v>
      </c>
      <c r="J10" s="139">
        <f t="shared" ref="J10:J13" si="3">F10-H10</f>
        <v>64967365.448675357</v>
      </c>
    </row>
    <row r="11" spans="2:12">
      <c r="B11" s="49" t="s">
        <v>33</v>
      </c>
      <c r="C11" s="58">
        <v>12</v>
      </c>
      <c r="D11" s="26">
        <f>('2'!F31/12)*C11</f>
        <v>5640000</v>
      </c>
      <c r="E11" s="134">
        <f>'1'!D31</f>
        <v>2026</v>
      </c>
      <c r="F11" s="138">
        <f t="shared" si="0"/>
        <v>64967365.448675357</v>
      </c>
      <c r="G11" s="138">
        <f t="shared" si="1"/>
        <v>11694125.780761564</v>
      </c>
      <c r="H11" s="138">
        <f t="shared" si="2"/>
        <v>18185915.756543323</v>
      </c>
      <c r="I11" s="138">
        <f t="shared" ref="I11:I13" si="4">IF(J10&lt;1,0,(I10*(1+$K$7)))</f>
        <v>29880041.537304886</v>
      </c>
      <c r="J11" s="139">
        <f t="shared" si="3"/>
        <v>46781449.692132033</v>
      </c>
    </row>
    <row r="12" spans="2:12" ht="15.5">
      <c r="B12" s="84" t="s">
        <v>8</v>
      </c>
      <c r="C12" s="62"/>
      <c r="D12" s="85">
        <f>SUM(D8:D11)</f>
        <v>169840000</v>
      </c>
      <c r="E12" s="134">
        <f>'1'!E31</f>
        <v>2027</v>
      </c>
      <c r="F12" s="138">
        <f t="shared" si="0"/>
        <v>46781449.692132033</v>
      </c>
      <c r="G12" s="138">
        <f t="shared" si="1"/>
        <v>8420660.9445837662</v>
      </c>
      <c r="H12" s="138">
        <f t="shared" si="2"/>
        <v>21459380.59272112</v>
      </c>
      <c r="I12" s="138">
        <f t="shared" si="4"/>
        <v>29880041.537304886</v>
      </c>
      <c r="J12" s="139">
        <f t="shared" si="3"/>
        <v>25322069.099410914</v>
      </c>
    </row>
    <row r="13" spans="2:12" ht="15" thickBot="1">
      <c r="E13" s="137">
        <f>'1'!F31</f>
        <v>2028</v>
      </c>
      <c r="F13" s="140">
        <f t="shared" si="0"/>
        <v>25322069.099410914</v>
      </c>
      <c r="G13" s="140">
        <f t="shared" si="1"/>
        <v>4557972.4378939644</v>
      </c>
      <c r="H13" s="140">
        <f t="shared" si="2"/>
        <v>25322069.099410921</v>
      </c>
      <c r="I13" s="140">
        <f t="shared" si="4"/>
        <v>29880041.537304886</v>
      </c>
      <c r="J13" s="141">
        <f t="shared" si="3"/>
        <v>0</v>
      </c>
    </row>
    <row r="14" spans="2:12" ht="15.5">
      <c r="B14" s="49" t="s">
        <v>59</v>
      </c>
      <c r="D14" s="78">
        <f>C4+D12</f>
        <v>173440000</v>
      </c>
    </row>
    <row r="15" spans="2:12">
      <c r="B15" s="49" t="s">
        <v>60</v>
      </c>
      <c r="D15" s="59">
        <v>80000000</v>
      </c>
    </row>
    <row r="16" spans="2:12" ht="15.5">
      <c r="B16" s="49" t="s">
        <v>61</v>
      </c>
      <c r="D16" s="86">
        <f>D14-D15</f>
        <v>93440000</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disablePrompts="1" count="1">
    <dataValidation type="list" allowBlank="1" showInputMessage="1" showErrorMessage="1" sqref="L4 J4">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zoomScale="90" zoomScaleNormal="90" workbookViewId="0">
      <pane xSplit="7" ySplit="1" topLeftCell="H55" activePane="bottomRight" state="frozenSplit"/>
      <selection pane="topRight" activeCell="E1" sqref="E1"/>
      <selection pane="bottomLeft" activeCell="A12" sqref="A12"/>
      <selection pane="bottomRight" activeCell="A41" sqref="A41:G59"/>
    </sheetView>
  </sheetViews>
  <sheetFormatPr baseColWidth="10" defaultColWidth="11.453125" defaultRowHeight="14.5"/>
  <cols>
    <col min="1" max="1" width="26.7265625" style="15" customWidth="1"/>
    <col min="2" max="2" width="25.81640625" style="15" bestFit="1" customWidth="1"/>
    <col min="3" max="3" width="21.7265625" style="15" bestFit="1" customWidth="1"/>
    <col min="4" max="7" width="18.453125" style="15" bestFit="1" customWidth="1"/>
    <col min="8" max="16384" width="11.453125" style="15"/>
  </cols>
  <sheetData>
    <row r="1" spans="1:7" ht="34.5" customHeight="1">
      <c r="A1" s="163" t="s">
        <v>117</v>
      </c>
      <c r="B1" s="163"/>
      <c r="C1" s="163"/>
      <c r="D1" s="163"/>
      <c r="E1" s="163"/>
      <c r="F1" s="163"/>
      <c r="G1" s="163"/>
    </row>
    <row r="2" spans="1:7" ht="23">
      <c r="A2" s="164" t="s">
        <v>132</v>
      </c>
      <c r="B2" s="164"/>
      <c r="C2" s="164"/>
      <c r="D2" s="164"/>
      <c r="E2" s="164"/>
      <c r="F2" s="164"/>
      <c r="G2" s="164"/>
    </row>
    <row r="3" spans="1:7" ht="8.25" customHeight="1">
      <c r="A3" s="60"/>
      <c r="B3" s="60"/>
      <c r="C3" s="60"/>
      <c r="D3" s="60"/>
      <c r="E3" s="60"/>
      <c r="F3" s="60"/>
      <c r="G3" s="60"/>
    </row>
    <row r="4" spans="1:7" ht="15.5">
      <c r="A4" s="165" t="s">
        <v>89</v>
      </c>
      <c r="B4" s="165"/>
      <c r="C4" s="165"/>
      <c r="D4" s="165"/>
      <c r="E4" s="165"/>
      <c r="F4" s="165"/>
      <c r="G4" s="165"/>
    </row>
    <row r="5" spans="1:7" ht="22.5">
      <c r="C5" s="64">
        <f>'1'!B31</f>
        <v>2024</v>
      </c>
      <c r="D5" s="64">
        <f>'1'!C31</f>
        <v>2025</v>
      </c>
      <c r="E5" s="64">
        <f>'1'!D31</f>
        <v>2026</v>
      </c>
      <c r="F5" s="64">
        <f>'1'!E31</f>
        <v>2027</v>
      </c>
      <c r="G5" s="64">
        <f>'1'!F31</f>
        <v>2028</v>
      </c>
    </row>
    <row r="6" spans="1:7">
      <c r="B6" s="15" t="s">
        <v>31</v>
      </c>
      <c r="C6" s="65">
        <f>'1'!B32</f>
        <v>45600000</v>
      </c>
      <c r="D6" s="65">
        <f>'1'!C32</f>
        <v>218280000</v>
      </c>
      <c r="E6" s="65">
        <f>'1'!D32</f>
        <v>441531648</v>
      </c>
      <c r="F6" s="65">
        <f>'1'!E32</f>
        <v>689401746.43200016</v>
      </c>
      <c r="G6" s="65">
        <f>'1'!F32</f>
        <v>967920051.99052811</v>
      </c>
    </row>
    <row r="7" spans="1:7">
      <c r="B7" s="15" t="s">
        <v>66</v>
      </c>
      <c r="C7" s="65">
        <f>'1'!B33</f>
        <v>7000000</v>
      </c>
      <c r="D7" s="65">
        <f>'1'!C33</f>
        <v>28952000</v>
      </c>
      <c r="E7" s="65">
        <f>'1'!D33</f>
        <v>54099293.600000009</v>
      </c>
      <c r="F7" s="65">
        <f>'1'!E33</f>
        <v>79132212.82032001</v>
      </c>
      <c r="G7" s="65">
        <f>'1'!F33</f>
        <v>106369520.47307417</v>
      </c>
    </row>
    <row r="8" spans="1:7" ht="15" thickBot="1">
      <c r="B8" s="66" t="s">
        <v>67</v>
      </c>
      <c r="C8" s="67">
        <f>C6-C7</f>
        <v>38600000</v>
      </c>
      <c r="D8" s="67">
        <f t="shared" ref="D8:G8" si="0">D6-D7</f>
        <v>189328000</v>
      </c>
      <c r="E8" s="67">
        <f t="shared" si="0"/>
        <v>387432354.39999998</v>
      </c>
      <c r="F8" s="67">
        <f t="shared" si="0"/>
        <v>610269533.61168015</v>
      </c>
      <c r="G8" s="67">
        <f t="shared" si="0"/>
        <v>861550531.51745391</v>
      </c>
    </row>
    <row r="9" spans="1:7" ht="15" thickTop="1">
      <c r="B9" s="15" t="s">
        <v>68</v>
      </c>
      <c r="C9" s="65">
        <f>'2'!C23</f>
        <v>145200000</v>
      </c>
      <c r="D9" s="65">
        <f>C9*(1+'1'!Z4)</f>
        <v>155364000</v>
      </c>
      <c r="E9" s="65">
        <f>D9*(1+'1'!AA4)</f>
        <v>167793120</v>
      </c>
      <c r="F9" s="65">
        <f>E9*(1+'1'!AB4)</f>
        <v>181216569.60000002</v>
      </c>
      <c r="G9" s="65">
        <f>F9*(1+'1'!AC4)</f>
        <v>195713895.16800004</v>
      </c>
    </row>
    <row r="10" spans="1:7">
      <c r="B10" s="15" t="s">
        <v>134</v>
      </c>
      <c r="C10" s="65">
        <f>'2'!F31</f>
        <v>5640000</v>
      </c>
      <c r="D10" s="65">
        <f>C10*(1+'1'!Z4)</f>
        <v>6034800</v>
      </c>
      <c r="E10" s="65">
        <f>D10*(1+'1'!AA4)</f>
        <v>6517584</v>
      </c>
      <c r="F10" s="65">
        <f>E10*(1+'1'!AB4)</f>
        <v>7038990.7200000007</v>
      </c>
      <c r="G10" s="65">
        <f>F10*(1+'1'!AC4)</f>
        <v>7602109.9776000008</v>
      </c>
    </row>
    <row r="11" spans="1:7">
      <c r="B11" s="15" t="s">
        <v>69</v>
      </c>
      <c r="C11" s="65">
        <f>'2'!C25</f>
        <v>12000000</v>
      </c>
      <c r="D11" s="65">
        <f>'2'!C28</f>
        <v>20000000</v>
      </c>
      <c r="E11" s="65">
        <f>'2'!C29</f>
        <v>22000000</v>
      </c>
      <c r="F11" s="65">
        <f>'2'!C30</f>
        <v>24000000</v>
      </c>
      <c r="G11" s="65">
        <f>'2'!C31</f>
        <v>26000000</v>
      </c>
    </row>
    <row r="12" spans="1:7">
      <c r="B12" s="15" t="s">
        <v>86</v>
      </c>
      <c r="C12" s="65">
        <f>'2'!G12</f>
        <v>720000</v>
      </c>
      <c r="D12" s="65">
        <f>C12</f>
        <v>720000</v>
      </c>
      <c r="E12" s="65">
        <f t="shared" ref="E12:G12" si="1">D12</f>
        <v>720000</v>
      </c>
      <c r="F12" s="65">
        <f t="shared" si="1"/>
        <v>720000</v>
      </c>
      <c r="G12" s="65">
        <f t="shared" si="1"/>
        <v>720000</v>
      </c>
    </row>
    <row r="13" spans="1:7" ht="15" thickBot="1">
      <c r="B13" s="66" t="s">
        <v>70</v>
      </c>
      <c r="C13" s="68">
        <f>C8-C9-C10-C11-C12</f>
        <v>-124960000</v>
      </c>
      <c r="D13" s="68">
        <f t="shared" ref="D13:G13" si="2">D8-D9-D10-D11-D12</f>
        <v>7209200</v>
      </c>
      <c r="E13" s="68">
        <f t="shared" si="2"/>
        <v>190401650.39999998</v>
      </c>
      <c r="F13" s="68">
        <f t="shared" si="2"/>
        <v>397293973.2916801</v>
      </c>
      <c r="G13" s="68">
        <f t="shared" si="2"/>
        <v>631514526.37185395</v>
      </c>
    </row>
    <row r="14" spans="1:7" ht="15" thickTop="1">
      <c r="B14" s="15" t="s">
        <v>71</v>
      </c>
      <c r="C14" s="65">
        <f>'3'!G9</f>
        <v>16819200</v>
      </c>
      <c r="D14" s="65">
        <f>'3'!G10</f>
        <v>14468248.523285121</v>
      </c>
      <c r="E14" s="65">
        <f>'3'!G11</f>
        <v>11694125.780761564</v>
      </c>
      <c r="F14" s="65">
        <f>'3'!G12</f>
        <v>8420660.9445837662</v>
      </c>
      <c r="G14" s="65">
        <f>'3'!G13</f>
        <v>4557972.4378939644</v>
      </c>
    </row>
    <row r="15" spans="1:7" ht="15" thickBot="1">
      <c r="B15" s="66" t="s">
        <v>72</v>
      </c>
      <c r="C15" s="68">
        <f>C13-C14</f>
        <v>-141779200</v>
      </c>
      <c r="D15" s="68">
        <f t="shared" ref="D15:G15" si="3">D13-D14</f>
        <v>-7259048.5232851207</v>
      </c>
      <c r="E15" s="68">
        <f t="shared" si="3"/>
        <v>178707524.61923841</v>
      </c>
      <c r="F15" s="68">
        <f t="shared" si="3"/>
        <v>388873312.34709632</v>
      </c>
      <c r="G15" s="68">
        <f t="shared" si="3"/>
        <v>626956553.93395996</v>
      </c>
    </row>
    <row r="16" spans="1:7" ht="15" thickTop="1">
      <c r="B16" s="15" t="s">
        <v>73</v>
      </c>
      <c r="C16" s="69">
        <f>IF(C15*'1'!$AB$7&lt;0,0,C15*'1'!$AB$7)</f>
        <v>0</v>
      </c>
      <c r="D16" s="69">
        <f>IF(D15*'1'!$AB$7&lt;0,0,D15*'1'!$AB$7)</f>
        <v>0</v>
      </c>
      <c r="E16" s="69">
        <f>IF(E15*'1'!$AB$7&lt;0,0,E15*'1'!$AB$7)</f>
        <v>62547633.616733439</v>
      </c>
      <c r="F16" s="69">
        <f>IF(F15*'1'!$AB$7&lt;0,0,F15*'1'!$AB$7)</f>
        <v>136105659.3214837</v>
      </c>
      <c r="G16" s="69">
        <f>IF(G15*'1'!$AB$7&lt;0,0,G15*'1'!$AB$7)</f>
        <v>219434793.87688598</v>
      </c>
    </row>
    <row r="17" spans="1:8" ht="15" thickBot="1">
      <c r="B17" s="70" t="s">
        <v>74</v>
      </c>
      <c r="C17" s="71">
        <f>C15-C16</f>
        <v>-141779200</v>
      </c>
      <c r="D17" s="71">
        <f t="shared" ref="D17:G17" si="4">D15-D16</f>
        <v>-7259048.5232851207</v>
      </c>
      <c r="E17" s="71">
        <f t="shared" si="4"/>
        <v>116159891.00250497</v>
      </c>
      <c r="F17" s="71">
        <f t="shared" si="4"/>
        <v>252767653.02561262</v>
      </c>
      <c r="G17" s="71">
        <f t="shared" si="4"/>
        <v>407521760.05707395</v>
      </c>
    </row>
    <row r="19" spans="1:8" ht="15.5">
      <c r="A19" s="165" t="s">
        <v>64</v>
      </c>
      <c r="B19" s="165"/>
      <c r="C19" s="165"/>
      <c r="D19" s="165"/>
      <c r="E19" s="165"/>
      <c r="F19" s="165"/>
      <c r="G19" s="165"/>
    </row>
    <row r="20" spans="1:8" ht="22.5">
      <c r="B20" s="72" t="s">
        <v>84</v>
      </c>
      <c r="C20" s="64">
        <f>C5</f>
        <v>2024</v>
      </c>
      <c r="D20" s="64">
        <f>D5</f>
        <v>2025</v>
      </c>
      <c r="E20" s="64">
        <f>E5</f>
        <v>2026</v>
      </c>
      <c r="F20" s="64">
        <f>F5</f>
        <v>2027</v>
      </c>
      <c r="G20" s="64">
        <f>G5</f>
        <v>2028</v>
      </c>
    </row>
    <row r="21" spans="1:8">
      <c r="A21" s="166" t="s">
        <v>65</v>
      </c>
      <c r="B21" s="166"/>
      <c r="C21" s="166"/>
      <c r="D21" s="166"/>
      <c r="E21" s="166"/>
      <c r="F21" s="166"/>
      <c r="G21" s="166"/>
    </row>
    <row r="22" spans="1:8">
      <c r="A22" s="15" t="s">
        <v>95</v>
      </c>
      <c r="B22" s="27">
        <f>B38-B26</f>
        <v>169840000</v>
      </c>
      <c r="C22" s="27">
        <f t="shared" ref="C22:G22" si="5">C38-C26</f>
        <v>15719958.462695122</v>
      </c>
      <c r="D22" s="27">
        <f t="shared" si="5"/>
        <v>135548316.92539024</v>
      </c>
      <c r="E22" s="27">
        <f t="shared" si="5"/>
        <v>304048974.31137043</v>
      </c>
      <c r="F22" s="27">
        <f t="shared" si="5"/>
        <v>493475381.44650722</v>
      </c>
      <c r="G22" s="27">
        <f t="shared" si="5"/>
        <v>706956553.93395996</v>
      </c>
    </row>
    <row r="23" spans="1:8">
      <c r="A23" s="15" t="s">
        <v>93</v>
      </c>
      <c r="B23" s="27">
        <f>'2'!C4</f>
        <v>0</v>
      </c>
      <c r="C23" s="27">
        <f>B23</f>
        <v>0</v>
      </c>
      <c r="D23" s="27">
        <f t="shared" ref="D23:G23" si="6">C23</f>
        <v>0</v>
      </c>
      <c r="E23" s="27">
        <f t="shared" si="6"/>
        <v>0</v>
      </c>
      <c r="F23" s="27">
        <f t="shared" si="6"/>
        <v>0</v>
      </c>
      <c r="G23" s="27">
        <f t="shared" si="6"/>
        <v>0</v>
      </c>
      <c r="H23" s="27"/>
    </row>
    <row r="24" spans="1:8">
      <c r="A24" s="15" t="s">
        <v>94</v>
      </c>
      <c r="B24" s="27">
        <f>'2'!C12-'2'!C4</f>
        <v>3600000</v>
      </c>
      <c r="C24" s="27">
        <f>B24</f>
        <v>3600000</v>
      </c>
      <c r="D24" s="27">
        <f t="shared" ref="D24:G24" si="7">C24</f>
        <v>3600000</v>
      </c>
      <c r="E24" s="27">
        <f t="shared" si="7"/>
        <v>3600000</v>
      </c>
      <c r="F24" s="27">
        <f t="shared" si="7"/>
        <v>3600000</v>
      </c>
      <c r="G24" s="27">
        <f t="shared" si="7"/>
        <v>3600000</v>
      </c>
      <c r="H24" s="27"/>
    </row>
    <row r="25" spans="1:8">
      <c r="A25" s="15" t="s">
        <v>87</v>
      </c>
      <c r="B25" s="27">
        <v>0</v>
      </c>
      <c r="C25" s="27">
        <f>C12</f>
        <v>720000</v>
      </c>
      <c r="D25" s="27">
        <f>D12+C12</f>
        <v>1440000</v>
      </c>
      <c r="E25" s="27">
        <f>E12+D12+C12</f>
        <v>2160000</v>
      </c>
      <c r="F25" s="27">
        <f>F12+E12+D12+C12</f>
        <v>2880000</v>
      </c>
      <c r="G25" s="27">
        <f>F25+G12</f>
        <v>3600000</v>
      </c>
      <c r="H25" s="27"/>
    </row>
    <row r="26" spans="1:8">
      <c r="A26" s="15" t="s">
        <v>88</v>
      </c>
      <c r="B26" s="27">
        <f>B23+(B24-B25)</f>
        <v>3600000</v>
      </c>
      <c r="C26" s="27">
        <f>C23+(C24-C25)</f>
        <v>2880000</v>
      </c>
      <c r="D26" s="27">
        <f t="shared" ref="D26:G26" si="8">D23+(D24-D25)</f>
        <v>2160000</v>
      </c>
      <c r="E26" s="27">
        <f t="shared" si="8"/>
        <v>1440000</v>
      </c>
      <c r="F26" s="27">
        <f t="shared" si="8"/>
        <v>720000</v>
      </c>
      <c r="G26" s="27">
        <f t="shared" si="8"/>
        <v>0</v>
      </c>
      <c r="H26" s="27"/>
    </row>
    <row r="27" spans="1:8" ht="15" thickBot="1">
      <c r="A27" s="66" t="s">
        <v>85</v>
      </c>
      <c r="B27" s="73">
        <f>B22+B26</f>
        <v>173440000</v>
      </c>
      <c r="C27" s="73">
        <f t="shared" ref="C27:G27" si="9">C22+C26</f>
        <v>18599958.462695122</v>
      </c>
      <c r="D27" s="73">
        <f t="shared" si="9"/>
        <v>137708316.92539024</v>
      </c>
      <c r="E27" s="73">
        <f t="shared" si="9"/>
        <v>305488974.31137043</v>
      </c>
      <c r="F27" s="73">
        <f t="shared" si="9"/>
        <v>494195381.44650722</v>
      </c>
      <c r="G27" s="73">
        <f t="shared" si="9"/>
        <v>706956553.93395996</v>
      </c>
      <c r="H27" s="27"/>
    </row>
    <row r="28" spans="1:8" ht="15" thickTop="1">
      <c r="A28" s="166" t="s">
        <v>75</v>
      </c>
      <c r="B28" s="166"/>
      <c r="C28" s="166"/>
      <c r="D28" s="166"/>
      <c r="E28" s="166"/>
      <c r="F28" s="166"/>
      <c r="G28" s="166"/>
    </row>
    <row r="29" spans="1:8">
      <c r="A29" s="15" t="s">
        <v>76</v>
      </c>
      <c r="B29" s="15">
        <v>0</v>
      </c>
      <c r="C29" s="69">
        <f>C16</f>
        <v>0</v>
      </c>
      <c r="D29" s="69">
        <f>D16</f>
        <v>0</v>
      </c>
      <c r="E29" s="69">
        <f>E16</f>
        <v>62547633.616733439</v>
      </c>
      <c r="F29" s="69">
        <f>F16</f>
        <v>136105659.3214837</v>
      </c>
      <c r="G29" s="69">
        <f>G16</f>
        <v>219434793.87688598</v>
      </c>
    </row>
    <row r="30" spans="1:8">
      <c r="A30" s="15" t="s">
        <v>77</v>
      </c>
      <c r="B30" s="69">
        <f>B29</f>
        <v>0</v>
      </c>
      <c r="C30" s="69">
        <f t="shared" ref="C30:G30" si="10">C29</f>
        <v>0</v>
      </c>
      <c r="D30" s="69">
        <f t="shared" si="10"/>
        <v>0</v>
      </c>
      <c r="E30" s="69">
        <f t="shared" si="10"/>
        <v>62547633.616733439</v>
      </c>
      <c r="F30" s="69">
        <f t="shared" si="10"/>
        <v>136105659.3214837</v>
      </c>
      <c r="G30" s="69">
        <f t="shared" si="10"/>
        <v>219434793.87688598</v>
      </c>
    </row>
    <row r="31" spans="1:8">
      <c r="A31" s="15" t="s">
        <v>78</v>
      </c>
      <c r="B31" s="26">
        <f>'3'!J8</f>
        <v>93440000</v>
      </c>
      <c r="C31" s="26">
        <f>'3'!J9</f>
        <v>80379158.462695122</v>
      </c>
      <c r="D31" s="26">
        <f>'3'!J10</f>
        <v>64967365.448675357</v>
      </c>
      <c r="E31" s="26">
        <f>'3'!J11</f>
        <v>46781449.692132033</v>
      </c>
      <c r="F31" s="26">
        <f>'3'!J12</f>
        <v>25322069.099410914</v>
      </c>
      <c r="G31" s="26">
        <f>'3'!J13</f>
        <v>0</v>
      </c>
    </row>
    <row r="32" spans="1:8" ht="15" thickBot="1">
      <c r="A32" s="66" t="s">
        <v>75</v>
      </c>
      <c r="B32" s="73">
        <f>B30+B31</f>
        <v>93440000</v>
      </c>
      <c r="C32" s="73">
        <f t="shared" ref="C32:G32" si="11">C30+C31</f>
        <v>80379158.462695122</v>
      </c>
      <c r="D32" s="73">
        <f t="shared" si="11"/>
        <v>64967365.448675357</v>
      </c>
      <c r="E32" s="73">
        <f t="shared" si="11"/>
        <v>109329083.30886547</v>
      </c>
      <c r="F32" s="73">
        <f t="shared" si="11"/>
        <v>161427728.42089462</v>
      </c>
      <c r="G32" s="73">
        <f t="shared" si="11"/>
        <v>219434793.87688598</v>
      </c>
    </row>
    <row r="33" spans="1:7" ht="15" thickTop="1">
      <c r="A33" s="166" t="s">
        <v>79</v>
      </c>
      <c r="B33" s="166"/>
      <c r="C33" s="166"/>
      <c r="D33" s="166"/>
      <c r="E33" s="166"/>
      <c r="F33" s="166"/>
      <c r="G33" s="166"/>
    </row>
    <row r="34" spans="1:7">
      <c r="A34" s="15" t="s">
        <v>80</v>
      </c>
      <c r="B34" s="27">
        <f>'3'!D15</f>
        <v>80000000</v>
      </c>
      <c r="C34" s="27">
        <f>B34</f>
        <v>80000000</v>
      </c>
      <c r="D34" s="27">
        <f t="shared" ref="D34:G34" si="12">C34</f>
        <v>80000000</v>
      </c>
      <c r="E34" s="27">
        <f t="shared" si="12"/>
        <v>80000000</v>
      </c>
      <c r="F34" s="27">
        <f t="shared" si="12"/>
        <v>80000000</v>
      </c>
      <c r="G34" s="27">
        <f t="shared" si="12"/>
        <v>80000000</v>
      </c>
    </row>
    <row r="35" spans="1:7">
      <c r="A35" s="15" t="s">
        <v>81</v>
      </c>
      <c r="B35" s="15">
        <v>0</v>
      </c>
      <c r="C35" s="69">
        <f>C17</f>
        <v>-141779200</v>
      </c>
      <c r="D35" s="69">
        <f>D17</f>
        <v>-7259048.5232851207</v>
      </c>
      <c r="E35" s="69">
        <f>E17</f>
        <v>116159891.00250497</v>
      </c>
      <c r="F35" s="69">
        <f>F17</f>
        <v>252767653.02561262</v>
      </c>
      <c r="G35" s="69">
        <f>G17</f>
        <v>407521760.05707395</v>
      </c>
    </row>
    <row r="36" spans="1:7" ht="15" thickBot="1">
      <c r="A36" s="66" t="s">
        <v>82</v>
      </c>
      <c r="B36" s="73">
        <f>B34+B35</f>
        <v>80000000</v>
      </c>
      <c r="C36" s="73">
        <f t="shared" ref="C36:G36" si="13">C34+C35</f>
        <v>-61779200</v>
      </c>
      <c r="D36" s="73">
        <f t="shared" si="13"/>
        <v>72740951.476714879</v>
      </c>
      <c r="E36" s="73">
        <f t="shared" si="13"/>
        <v>196159891.00250497</v>
      </c>
      <c r="F36" s="73">
        <f t="shared" si="13"/>
        <v>332767653.02561259</v>
      </c>
      <c r="G36" s="73">
        <f t="shared" si="13"/>
        <v>487521760.05707395</v>
      </c>
    </row>
    <row r="37" spans="1:7" ht="15" thickTop="1"/>
    <row r="38" spans="1:7" ht="15" thickBot="1">
      <c r="A38" s="66" t="s">
        <v>83</v>
      </c>
      <c r="B38" s="73">
        <f>B32+B36</f>
        <v>173440000</v>
      </c>
      <c r="C38" s="73">
        <f t="shared" ref="C38:G38" si="14">C32+C36</f>
        <v>18599958.462695122</v>
      </c>
      <c r="D38" s="73">
        <f t="shared" si="14"/>
        <v>137708316.92539024</v>
      </c>
      <c r="E38" s="73">
        <f t="shared" si="14"/>
        <v>305488974.31137043</v>
      </c>
      <c r="F38" s="73">
        <f t="shared" si="14"/>
        <v>494195381.44650722</v>
      </c>
      <c r="G38" s="73">
        <f t="shared" si="14"/>
        <v>706956553.93395996</v>
      </c>
    </row>
    <row r="39" spans="1:7" ht="15" thickTop="1">
      <c r="A39" s="62" t="s">
        <v>90</v>
      </c>
      <c r="B39" s="74">
        <f>B27-B38</f>
        <v>0</v>
      </c>
      <c r="C39" s="74">
        <f t="shared" ref="C39:G39" si="15">C27-C38</f>
        <v>0</v>
      </c>
      <c r="D39" s="74">
        <f t="shared" si="15"/>
        <v>0</v>
      </c>
      <c r="E39" s="74">
        <f t="shared" si="15"/>
        <v>0</v>
      </c>
      <c r="F39" s="74">
        <f t="shared" si="15"/>
        <v>0</v>
      </c>
      <c r="G39" s="74">
        <f t="shared" si="15"/>
        <v>0</v>
      </c>
    </row>
    <row r="41" spans="1:7" ht="15.5">
      <c r="A41" s="165" t="s">
        <v>96</v>
      </c>
      <c r="B41" s="165"/>
      <c r="C41" s="165"/>
      <c r="D41" s="165"/>
      <c r="E41" s="165"/>
      <c r="F41" s="165"/>
      <c r="G41" s="165"/>
    </row>
    <row r="42" spans="1:7">
      <c r="A42" s="166" t="s">
        <v>97</v>
      </c>
      <c r="B42" s="166"/>
      <c r="C42" s="166"/>
      <c r="D42" s="166"/>
      <c r="E42" s="166"/>
      <c r="F42" s="166"/>
      <c r="G42" s="166"/>
    </row>
    <row r="43" spans="1:7" ht="22.5">
      <c r="A43" s="11"/>
      <c r="B43" s="72" t="s">
        <v>84</v>
      </c>
      <c r="C43" s="64">
        <f>C20</f>
        <v>2024</v>
      </c>
      <c r="D43" s="64">
        <f t="shared" ref="D43:G43" si="16">D20</f>
        <v>2025</v>
      </c>
      <c r="E43" s="64">
        <f t="shared" si="16"/>
        <v>2026</v>
      </c>
      <c r="F43" s="64">
        <f t="shared" si="16"/>
        <v>2027</v>
      </c>
      <c r="G43" s="64">
        <f t="shared" si="16"/>
        <v>2028</v>
      </c>
    </row>
    <row r="44" spans="1:7">
      <c r="A44" s="1" t="s">
        <v>98</v>
      </c>
      <c r="B44" s="2">
        <f>B22</f>
        <v>169840000</v>
      </c>
      <c r="C44" s="2">
        <f t="shared" ref="C44:G44" si="17">C22</f>
        <v>15719958.462695122</v>
      </c>
      <c r="D44" s="2">
        <f t="shared" si="17"/>
        <v>135548316.92539024</v>
      </c>
      <c r="E44" s="2">
        <f t="shared" si="17"/>
        <v>304048974.31137043</v>
      </c>
      <c r="F44" s="2">
        <f t="shared" si="17"/>
        <v>493475381.44650722</v>
      </c>
      <c r="G44" s="2">
        <f t="shared" si="17"/>
        <v>706956553.93395996</v>
      </c>
    </row>
    <row r="45" spans="1:7" ht="15" thickBot="1">
      <c r="A45" s="1" t="s">
        <v>99</v>
      </c>
      <c r="B45" s="3">
        <f>B29</f>
        <v>0</v>
      </c>
      <c r="C45" s="3">
        <f t="shared" ref="C45:G45" si="18">C29</f>
        <v>0</v>
      </c>
      <c r="D45" s="3">
        <f t="shared" si="18"/>
        <v>0</v>
      </c>
      <c r="E45" s="3">
        <f t="shared" si="18"/>
        <v>62547633.616733439</v>
      </c>
      <c r="F45" s="3">
        <f t="shared" si="18"/>
        <v>136105659.3214837</v>
      </c>
      <c r="G45" s="3">
        <f t="shared" si="18"/>
        <v>219434793.87688598</v>
      </c>
    </row>
    <row r="46" spans="1:7" ht="15" thickTop="1">
      <c r="A46" s="4" t="s">
        <v>100</v>
      </c>
      <c r="B46" s="5">
        <f t="shared" ref="B46:G46" si="19">B44-B45</f>
        <v>169840000</v>
      </c>
      <c r="C46" s="5">
        <f t="shared" si="19"/>
        <v>15719958.462695122</v>
      </c>
      <c r="D46" s="5">
        <f t="shared" si="19"/>
        <v>135548316.92539024</v>
      </c>
      <c r="E46" s="5">
        <f t="shared" si="19"/>
        <v>241501340.694637</v>
      </c>
      <c r="F46" s="5">
        <f t="shared" si="19"/>
        <v>357369722.12502348</v>
      </c>
      <c r="G46" s="5">
        <f t="shared" si="19"/>
        <v>487521760.05707395</v>
      </c>
    </row>
    <row r="47" spans="1:7">
      <c r="A47" s="1"/>
      <c r="B47" s="2"/>
      <c r="C47" s="2"/>
      <c r="D47" s="2"/>
      <c r="E47" s="2"/>
      <c r="F47" s="2"/>
      <c r="G47" s="2"/>
    </row>
    <row r="48" spans="1:7">
      <c r="A48" s="4" t="s">
        <v>101</v>
      </c>
      <c r="B48" s="2">
        <f>B26</f>
        <v>3600000</v>
      </c>
      <c r="C48" s="2">
        <f t="shared" ref="C48:G48" si="20">C26</f>
        <v>2880000</v>
      </c>
      <c r="D48" s="2">
        <f t="shared" si="20"/>
        <v>2160000</v>
      </c>
      <c r="E48" s="2">
        <f t="shared" si="20"/>
        <v>1440000</v>
      </c>
      <c r="F48" s="2">
        <f t="shared" si="20"/>
        <v>720000</v>
      </c>
      <c r="G48" s="2">
        <f t="shared" si="20"/>
        <v>0</v>
      </c>
    </row>
    <row r="49" spans="1:7" ht="15" thickBot="1">
      <c r="A49" s="1" t="s">
        <v>102</v>
      </c>
      <c r="B49" s="3">
        <f>B25</f>
        <v>0</v>
      </c>
      <c r="C49" s="3">
        <f t="shared" ref="C49:G49" si="21">C25</f>
        <v>720000</v>
      </c>
      <c r="D49" s="3">
        <f t="shared" si="21"/>
        <v>1440000</v>
      </c>
      <c r="E49" s="3">
        <f t="shared" si="21"/>
        <v>2160000</v>
      </c>
      <c r="F49" s="3">
        <f t="shared" si="21"/>
        <v>2880000</v>
      </c>
      <c r="G49" s="3">
        <f t="shared" si="21"/>
        <v>3600000</v>
      </c>
    </row>
    <row r="50" spans="1:7" ht="15" thickTop="1">
      <c r="A50" s="4" t="s">
        <v>103</v>
      </c>
      <c r="B50" s="5">
        <f t="shared" ref="B50:G50" si="22">B48+B49</f>
        <v>3600000</v>
      </c>
      <c r="C50" s="5">
        <f t="shared" si="22"/>
        <v>3600000</v>
      </c>
      <c r="D50" s="5">
        <f t="shared" si="22"/>
        <v>3600000</v>
      </c>
      <c r="E50" s="5">
        <f t="shared" si="22"/>
        <v>3600000</v>
      </c>
      <c r="F50" s="5">
        <f t="shared" si="22"/>
        <v>3600000</v>
      </c>
      <c r="G50" s="5">
        <f t="shared" si="22"/>
        <v>3600000</v>
      </c>
    </row>
    <row r="51" spans="1:7">
      <c r="A51" s="1"/>
      <c r="B51" s="2"/>
      <c r="C51" s="2"/>
      <c r="D51" s="2"/>
      <c r="E51" s="2"/>
      <c r="F51" s="2"/>
      <c r="G51" s="2"/>
    </row>
    <row r="52" spans="1:7" ht="15" thickBot="1">
      <c r="A52" s="12" t="s">
        <v>104</v>
      </c>
      <c r="B52" s="6">
        <f t="shared" ref="B52:G52" si="23">B46+B48</f>
        <v>173440000</v>
      </c>
      <c r="C52" s="6">
        <f t="shared" si="23"/>
        <v>18599958.462695122</v>
      </c>
      <c r="D52" s="6">
        <f t="shared" si="23"/>
        <v>137708316.92539024</v>
      </c>
      <c r="E52" s="6">
        <f t="shared" si="23"/>
        <v>242941340.694637</v>
      </c>
      <c r="F52" s="6">
        <f t="shared" si="23"/>
        <v>358089722.12502348</v>
      </c>
      <c r="G52" s="6">
        <f t="shared" si="23"/>
        <v>487521760.05707395</v>
      </c>
    </row>
    <row r="53" spans="1:7" ht="15" thickTop="1">
      <c r="A53" s="7"/>
      <c r="B53" s="2"/>
      <c r="C53" s="2"/>
      <c r="D53" s="2"/>
      <c r="E53" s="2"/>
      <c r="F53" s="2"/>
      <c r="G53" s="2"/>
    </row>
    <row r="54" spans="1:7">
      <c r="A54" s="167" t="s">
        <v>105</v>
      </c>
      <c r="B54" s="167"/>
      <c r="C54" s="167"/>
      <c r="D54" s="167"/>
      <c r="E54" s="167"/>
      <c r="F54" s="167"/>
      <c r="G54" s="167"/>
    </row>
    <row r="55" spans="1:7">
      <c r="A55" s="1" t="s">
        <v>106</v>
      </c>
      <c r="B55" s="8"/>
      <c r="C55" s="9">
        <f>C13</f>
        <v>-124960000</v>
      </c>
      <c r="D55" s="9">
        <f t="shared" ref="D55:G55" si="24">D13</f>
        <v>7209200</v>
      </c>
      <c r="E55" s="9">
        <f t="shared" si="24"/>
        <v>190401650.39999998</v>
      </c>
      <c r="F55" s="9">
        <f t="shared" si="24"/>
        <v>397293973.2916801</v>
      </c>
      <c r="G55" s="9">
        <f t="shared" si="24"/>
        <v>631514526.37185395</v>
      </c>
    </row>
    <row r="56" spans="1:7" ht="15" thickBot="1">
      <c r="A56" s="1" t="s">
        <v>107</v>
      </c>
      <c r="B56" s="8"/>
      <c r="C56" s="10">
        <f>C55*'1'!$AB$7</f>
        <v>-43736000</v>
      </c>
      <c r="D56" s="10">
        <f>D55*'1'!$AB$7</f>
        <v>2523220</v>
      </c>
      <c r="E56" s="10">
        <f>E55*'1'!$AB$7</f>
        <v>66640577.639999986</v>
      </c>
      <c r="F56" s="10">
        <f>F55*'1'!$AB$7</f>
        <v>139052890.65208802</v>
      </c>
      <c r="G56" s="10">
        <f>G55*'1'!$AB$7</f>
        <v>221030084.23014888</v>
      </c>
    </row>
    <row r="57" spans="1:7" ht="15" thickTop="1">
      <c r="A57" s="4" t="s">
        <v>108</v>
      </c>
      <c r="B57" s="8"/>
      <c r="C57" s="9">
        <f>C55-C56</f>
        <v>-81224000</v>
      </c>
      <c r="D57" s="9">
        <f>D55-D56</f>
        <v>4685980</v>
      </c>
      <c r="E57" s="9">
        <f>E55-E56</f>
        <v>123761072.75999999</v>
      </c>
      <c r="F57" s="9">
        <f>F55-F56</f>
        <v>258241082.63959208</v>
      </c>
      <c r="G57" s="9">
        <f>G55-G56</f>
        <v>410484442.14170504</v>
      </c>
    </row>
    <row r="58" spans="1:7" ht="15" thickBot="1">
      <c r="A58" s="1" t="s">
        <v>109</v>
      </c>
      <c r="B58" s="8"/>
      <c r="C58" s="10">
        <f>-(C52-B52)</f>
        <v>154840041.53730488</v>
      </c>
      <c r="D58" s="10">
        <f t="shared" ref="D58:G58" si="25">-(D52-C52)</f>
        <v>-119108358.46269512</v>
      </c>
      <c r="E58" s="10">
        <f t="shared" si="25"/>
        <v>-105233023.76924676</v>
      </c>
      <c r="F58" s="10">
        <f t="shared" si="25"/>
        <v>-115148381.43038648</v>
      </c>
      <c r="G58" s="10">
        <f t="shared" si="25"/>
        <v>-129432037.93205047</v>
      </c>
    </row>
    <row r="59" spans="1:7" ht="15.5" thickTop="1" thickBot="1">
      <c r="A59" s="61" t="s">
        <v>110</v>
      </c>
      <c r="B59" s="62"/>
      <c r="C59" s="63">
        <f>SUM(C57:C58)</f>
        <v>73616041.537304878</v>
      </c>
      <c r="D59" s="63">
        <f t="shared" ref="D59:G59" si="26">SUM(D57:D58)</f>
        <v>-114422378.46269512</v>
      </c>
      <c r="E59" s="63">
        <f t="shared" si="26"/>
        <v>18528048.990753233</v>
      </c>
      <c r="F59" s="63">
        <f t="shared" si="26"/>
        <v>143092701.2092056</v>
      </c>
      <c r="G59" s="63">
        <f t="shared" si="26"/>
        <v>281052404.20965457</v>
      </c>
    </row>
    <row r="60" spans="1:7" ht="15" thickTop="1"/>
  </sheetData>
  <sheetProtection algorithmName="SHA-512" hashValue="IQcSUX7WgA2g30pLr7tJMmGcfuMimbrrDJr6FK6q2BovQKn0/6cnsWuXbCiptrpMrL+x4GNmNQ/jXdjtPO3XfQ==" saltValue="CaVricx0vPQy+wJOqrscFw=="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P66"/>
  <sheetViews>
    <sheetView showGridLines="0" tabSelected="1" topLeftCell="A9" zoomScale="80" zoomScaleNormal="80" workbookViewId="0">
      <selection activeCell="B2" sqref="B2:M29"/>
    </sheetView>
  </sheetViews>
  <sheetFormatPr baseColWidth="10" defaultColWidth="11.453125" defaultRowHeight="14.5"/>
  <cols>
    <col min="1" max="1" width="11.453125" style="15"/>
    <col min="2" max="2" width="32.54296875" style="15" customWidth="1"/>
    <col min="3" max="3" width="24.26953125" style="15" bestFit="1" customWidth="1"/>
    <col min="4" max="4" width="36.26953125" style="15" bestFit="1" customWidth="1"/>
    <col min="5" max="5" width="47" style="15" customWidth="1"/>
    <col min="6" max="6" width="43.54296875" style="15" customWidth="1"/>
    <col min="7" max="8" width="20.7265625" style="15" bestFit="1" customWidth="1"/>
    <col min="9" max="9" width="11.453125" style="15"/>
    <col min="10" max="10" width="12" style="15" bestFit="1" customWidth="1"/>
    <col min="11" max="14" width="11.453125" style="15"/>
    <col min="15" max="15" width="15.26953125" style="15" bestFit="1" customWidth="1"/>
    <col min="16" max="16" width="21.54296875" style="15" bestFit="1" customWidth="1"/>
    <col min="17" max="16384" width="11.453125" style="15"/>
  </cols>
  <sheetData>
    <row r="2" spans="2:16" ht="38.25" customHeight="1">
      <c r="B2" s="151" t="s">
        <v>131</v>
      </c>
      <c r="C2" s="151"/>
      <c r="D2" s="151"/>
      <c r="E2" s="151"/>
      <c r="F2" s="151"/>
      <c r="G2" s="151"/>
      <c r="H2" s="151"/>
    </row>
    <row r="3" spans="2:16" ht="15.75" customHeight="1">
      <c r="B3" s="168" t="s">
        <v>157</v>
      </c>
      <c r="C3" s="168"/>
      <c r="D3" s="168"/>
      <c r="E3" s="169">
        <v>0.15</v>
      </c>
      <c r="F3" s="169"/>
    </row>
    <row r="4" spans="2:16" ht="16.5" customHeight="1">
      <c r="B4" s="168"/>
      <c r="C4" s="168"/>
      <c r="D4" s="168"/>
      <c r="E4" s="169"/>
      <c r="F4" s="169"/>
      <c r="O4" s="108"/>
    </row>
    <row r="5" spans="2:16" ht="16.5" customHeight="1">
      <c r="B5" s="172"/>
      <c r="C5" s="172"/>
      <c r="D5" s="172"/>
      <c r="E5" s="148"/>
      <c r="F5" s="148"/>
      <c r="O5" s="108"/>
    </row>
    <row r="6" spans="2:16" ht="15" thickBot="1">
      <c r="O6" s="108"/>
      <c r="P6" s="111"/>
    </row>
    <row r="7" spans="2:16" ht="22.5">
      <c r="B7" s="107" t="s">
        <v>111</v>
      </c>
      <c r="C7" s="87" t="s">
        <v>112</v>
      </c>
      <c r="D7" s="88">
        <f>'4'!C20</f>
        <v>2024</v>
      </c>
      <c r="E7" s="88">
        <f>'4'!D20</f>
        <v>2025</v>
      </c>
      <c r="F7" s="88">
        <f>'4'!E20</f>
        <v>2026</v>
      </c>
      <c r="G7" s="88">
        <f>'4'!F20</f>
        <v>2027</v>
      </c>
      <c r="H7" s="89">
        <f>'4'!G20</f>
        <v>2028</v>
      </c>
      <c r="O7" s="108"/>
      <c r="P7" s="110"/>
    </row>
    <row r="8" spans="2:16" ht="19" thickBot="1">
      <c r="B8" s="90"/>
      <c r="C8" s="117">
        <f>-'3'!D14</f>
        <v>-173440000</v>
      </c>
      <c r="D8" s="117">
        <f>'4'!C59</f>
        <v>73616041.537304878</v>
      </c>
      <c r="E8" s="117">
        <f>'4'!D59</f>
        <v>-114422378.46269512</v>
      </c>
      <c r="F8" s="117">
        <f>'4'!E59</f>
        <v>18528048.990753233</v>
      </c>
      <c r="G8" s="117">
        <f>'4'!F59</f>
        <v>143092701.2092056</v>
      </c>
      <c r="H8" s="118">
        <f>'4'!G59</f>
        <v>281052404.20965457</v>
      </c>
      <c r="O8" s="108"/>
      <c r="P8" s="110"/>
    </row>
    <row r="9" spans="2:16" ht="15" thickBot="1">
      <c r="C9" s="112">
        <f>C8/(1+$E$3)^0</f>
        <v>-173440000</v>
      </c>
      <c r="D9" s="112">
        <f>D8/(1+$E$3)^1</f>
        <v>64013949.162873812</v>
      </c>
      <c r="E9" s="112">
        <f>E8/(1+$E$3)^2</f>
        <v>-86519756.871603131</v>
      </c>
      <c r="F9" s="112">
        <f>F8/(1+$E$3)^3</f>
        <v>12182492.966715371</v>
      </c>
      <c r="G9" s="112">
        <f>G8/(1+$E$3)^4</f>
        <v>81813716.337037474</v>
      </c>
      <c r="H9" s="112">
        <f>H8/(1+$E$3)^5</f>
        <v>139732716.7726914</v>
      </c>
      <c r="I9" s="119"/>
      <c r="O9" s="108"/>
      <c r="P9" s="110"/>
    </row>
    <row r="10" spans="2:16" ht="24" thickBot="1">
      <c r="B10" s="31" t="s">
        <v>113</v>
      </c>
      <c r="C10" s="32"/>
      <c r="D10" s="120">
        <f>NPV(E3,D8:H8)+$C$8</f>
        <v>37783118.367714942</v>
      </c>
      <c r="O10" s="108"/>
      <c r="P10" s="110"/>
    </row>
    <row r="11" spans="2:16" ht="28" thickBot="1">
      <c r="B11" s="116" t="s">
        <v>114</v>
      </c>
      <c r="C11" s="32"/>
      <c r="D11" s="121">
        <f>IF(ISERROR(IRR(C8:H8)),"NO_APLICA",(IRR(C8:H8)))</f>
        <v>0.201747809705213</v>
      </c>
      <c r="F11" s="113" t="s">
        <v>136</v>
      </c>
      <c r="G11" s="32"/>
      <c r="H11" s="114">
        <f>IF(ISERROR(-C9/AVERAGE(D9:H9)),"NO_APLICA",(-C9/AVERAGE(D9:H9)))</f>
        <v>4.1056111977776286</v>
      </c>
      <c r="I11" s="115" t="s">
        <v>63</v>
      </c>
      <c r="P11" s="109"/>
    </row>
    <row r="13" spans="2:16" ht="18">
      <c r="B13" s="170" t="s">
        <v>118</v>
      </c>
      <c r="C13" s="170"/>
      <c r="D13" s="170"/>
      <c r="E13" s="170"/>
      <c r="F13" s="170"/>
      <c r="G13" s="170"/>
      <c r="H13" s="170"/>
    </row>
    <row r="14" spans="2:16" ht="24">
      <c r="B14" s="91" t="str">
        <f>'1'!B2</f>
        <v>NOMBRE DEL PRODUCTO O SERVICIO</v>
      </c>
      <c r="C14" s="91" t="s">
        <v>119</v>
      </c>
      <c r="D14" s="91" t="s">
        <v>120</v>
      </c>
      <c r="E14" s="91" t="s">
        <v>121</v>
      </c>
      <c r="F14" s="91" t="s">
        <v>123</v>
      </c>
      <c r="H14" s="75"/>
      <c r="I14" s="75"/>
      <c r="J14" s="75" t="s">
        <v>127</v>
      </c>
    </row>
    <row r="15" spans="2:16">
      <c r="B15" s="92" t="str">
        <f>'1'!B3</f>
        <v xml:space="preserve">Plan Basico </v>
      </c>
      <c r="C15" s="93">
        <f>'1'!D3-'1'!D17</f>
        <v>8600000</v>
      </c>
      <c r="D15" s="94">
        <f>'1'!F3</f>
        <v>0.21052631578947367</v>
      </c>
      <c r="E15" s="95">
        <f>C15*D15</f>
        <v>1810526.3157894735</v>
      </c>
      <c r="F15" s="96">
        <f t="shared" ref="F15:F24" si="0">$E$28*D15</f>
        <v>2.4514866390666161</v>
      </c>
      <c r="G15" s="39" t="s">
        <v>122</v>
      </c>
      <c r="H15" s="76">
        <f>'1'!D3</f>
        <v>9600000</v>
      </c>
      <c r="I15" s="97">
        <f t="shared" ref="I15:I24" si="1">$B$35*D15</f>
        <v>4.9029732781332322</v>
      </c>
      <c r="J15" s="76">
        <f>'1'!D17</f>
        <v>1000000</v>
      </c>
    </row>
    <row r="16" spans="2:16">
      <c r="B16" s="98" t="str">
        <f>'1'!B4</f>
        <v xml:space="preserve">Plan  Estandar </v>
      </c>
      <c r="C16" s="93">
        <f>'1'!D4-'1'!D18</f>
        <v>12900000</v>
      </c>
      <c r="D16" s="94">
        <f>'1'!F4</f>
        <v>0.31578947368421051</v>
      </c>
      <c r="E16" s="95">
        <f t="shared" ref="E16:E24" si="2">C16*D16</f>
        <v>4073684.2105263155</v>
      </c>
      <c r="F16" s="96">
        <f t="shared" si="0"/>
        <v>3.6772299585999244</v>
      </c>
      <c r="G16" s="39" t="str">
        <f>G15</f>
        <v>UNIDADES</v>
      </c>
      <c r="H16" s="76">
        <f>'1'!D4</f>
        <v>14400000</v>
      </c>
      <c r="I16" s="97">
        <f t="shared" si="1"/>
        <v>7.3544599171998488</v>
      </c>
      <c r="J16" s="76">
        <f>'1'!D18</f>
        <v>1500000</v>
      </c>
    </row>
    <row r="17" spans="2:10">
      <c r="B17" s="98" t="str">
        <f>'1'!B5</f>
        <v>Plan Premium</v>
      </c>
      <c r="C17" s="93">
        <f>'1'!D5-'1'!D19</f>
        <v>17100000</v>
      </c>
      <c r="D17" s="94">
        <f>'1'!F5</f>
        <v>0.47368421052631576</v>
      </c>
      <c r="E17" s="95">
        <f t="shared" si="2"/>
        <v>8100000</v>
      </c>
      <c r="F17" s="96">
        <f t="shared" si="0"/>
        <v>5.5158449378998871</v>
      </c>
      <c r="G17" s="39" t="str">
        <f t="shared" ref="G17:G24" si="3">G16</f>
        <v>UNIDADES</v>
      </c>
      <c r="H17" s="76">
        <f>'1'!D5</f>
        <v>21600000</v>
      </c>
      <c r="I17" s="97">
        <f t="shared" si="1"/>
        <v>11.031689875799774</v>
      </c>
      <c r="J17" s="76">
        <f>'1'!D19</f>
        <v>4500000</v>
      </c>
    </row>
    <row r="18" spans="2:10">
      <c r="B18" s="98">
        <f>'1'!B6</f>
        <v>0</v>
      </c>
      <c r="C18" s="93">
        <f>'1'!D6-'1'!D20</f>
        <v>0</v>
      </c>
      <c r="D18" s="94">
        <f>'1'!F6</f>
        <v>0</v>
      </c>
      <c r="E18" s="95">
        <f t="shared" si="2"/>
        <v>0</v>
      </c>
      <c r="F18" s="96">
        <f t="shared" si="0"/>
        <v>0</v>
      </c>
      <c r="G18" s="39" t="str">
        <f t="shared" si="3"/>
        <v>UNIDADES</v>
      </c>
      <c r="H18" s="76">
        <f>'1'!D6</f>
        <v>0</v>
      </c>
      <c r="I18" s="97">
        <f t="shared" si="1"/>
        <v>0</v>
      </c>
      <c r="J18" s="76">
        <f>'1'!D20</f>
        <v>0</v>
      </c>
    </row>
    <row r="19" spans="2:10">
      <c r="B19" s="98">
        <f>'1'!B7</f>
        <v>0</v>
      </c>
      <c r="C19" s="93">
        <f>'1'!D7-'1'!D21</f>
        <v>0</v>
      </c>
      <c r="D19" s="94">
        <f>'1'!F7</f>
        <v>0</v>
      </c>
      <c r="E19" s="95">
        <f t="shared" si="2"/>
        <v>0</v>
      </c>
      <c r="F19" s="96">
        <f t="shared" si="0"/>
        <v>0</v>
      </c>
      <c r="G19" s="39" t="str">
        <f t="shared" si="3"/>
        <v>UNIDADES</v>
      </c>
      <c r="H19" s="76">
        <f>'1'!D7</f>
        <v>0</v>
      </c>
      <c r="I19" s="97">
        <f t="shared" si="1"/>
        <v>0</v>
      </c>
      <c r="J19" s="76">
        <f>'1'!D21</f>
        <v>0</v>
      </c>
    </row>
    <row r="20" spans="2:10">
      <c r="B20" s="98">
        <f>'1'!B8</f>
        <v>0</v>
      </c>
      <c r="C20" s="93">
        <f>'1'!D8-'1'!D22</f>
        <v>0</v>
      </c>
      <c r="D20" s="94">
        <f>'1'!F8</f>
        <v>0</v>
      </c>
      <c r="E20" s="95">
        <f t="shared" si="2"/>
        <v>0</v>
      </c>
      <c r="F20" s="96">
        <f t="shared" si="0"/>
        <v>0</v>
      </c>
      <c r="G20" s="39" t="str">
        <f t="shared" si="3"/>
        <v>UNIDADES</v>
      </c>
      <c r="H20" s="76">
        <f>'1'!D8</f>
        <v>0</v>
      </c>
      <c r="I20" s="97">
        <f t="shared" si="1"/>
        <v>0</v>
      </c>
      <c r="J20" s="76">
        <f>'1'!D22</f>
        <v>0</v>
      </c>
    </row>
    <row r="21" spans="2:10">
      <c r="B21" s="98">
        <f>'1'!B9</f>
        <v>0</v>
      </c>
      <c r="C21" s="93">
        <f>'1'!D9-'1'!D23</f>
        <v>0</v>
      </c>
      <c r="D21" s="94">
        <f>'1'!F9</f>
        <v>0</v>
      </c>
      <c r="E21" s="95">
        <f t="shared" si="2"/>
        <v>0</v>
      </c>
      <c r="F21" s="96">
        <f t="shared" si="0"/>
        <v>0</v>
      </c>
      <c r="G21" s="39" t="str">
        <f t="shared" si="3"/>
        <v>UNIDADES</v>
      </c>
      <c r="H21" s="76">
        <f>'1'!D9</f>
        <v>0</v>
      </c>
      <c r="I21" s="97">
        <f t="shared" si="1"/>
        <v>0</v>
      </c>
      <c r="J21" s="76">
        <f>'1'!D23</f>
        <v>0</v>
      </c>
    </row>
    <row r="22" spans="2:10">
      <c r="B22" s="98">
        <f>'1'!B10</f>
        <v>0</v>
      </c>
      <c r="C22" s="93">
        <f>'1'!D10-'1'!D24</f>
        <v>0</v>
      </c>
      <c r="D22" s="94">
        <f>'1'!F10</f>
        <v>0</v>
      </c>
      <c r="E22" s="95">
        <f t="shared" si="2"/>
        <v>0</v>
      </c>
      <c r="F22" s="96">
        <f t="shared" si="0"/>
        <v>0</v>
      </c>
      <c r="G22" s="39" t="str">
        <f t="shared" si="3"/>
        <v>UNIDADES</v>
      </c>
      <c r="H22" s="76">
        <f>'1'!D10</f>
        <v>0</v>
      </c>
      <c r="I22" s="97">
        <f t="shared" si="1"/>
        <v>0</v>
      </c>
      <c r="J22" s="76">
        <f>'1'!D24</f>
        <v>0</v>
      </c>
    </row>
    <row r="23" spans="2:10">
      <c r="B23" s="98">
        <f>'1'!B11</f>
        <v>0</v>
      </c>
      <c r="C23" s="93">
        <f>'1'!D11-'1'!D25</f>
        <v>0</v>
      </c>
      <c r="D23" s="94">
        <f>'1'!F11</f>
        <v>0</v>
      </c>
      <c r="E23" s="95">
        <f t="shared" si="2"/>
        <v>0</v>
      </c>
      <c r="F23" s="96">
        <f t="shared" si="0"/>
        <v>0</v>
      </c>
      <c r="G23" s="39" t="str">
        <f t="shared" si="3"/>
        <v>UNIDADES</v>
      </c>
      <c r="H23" s="76">
        <f>'1'!D11</f>
        <v>0</v>
      </c>
      <c r="I23" s="97">
        <f t="shared" si="1"/>
        <v>0</v>
      </c>
      <c r="J23" s="76">
        <f>'1'!D25</f>
        <v>0</v>
      </c>
    </row>
    <row r="24" spans="2:10">
      <c r="B24" s="92">
        <f>'1'!B12</f>
        <v>0</v>
      </c>
      <c r="C24" s="93">
        <f>'1'!D12-'1'!D26</f>
        <v>0</v>
      </c>
      <c r="D24" s="94">
        <f>'1'!F12</f>
        <v>0</v>
      </c>
      <c r="E24" s="95">
        <f t="shared" si="2"/>
        <v>0</v>
      </c>
      <c r="F24" s="96">
        <f t="shared" si="0"/>
        <v>0</v>
      </c>
      <c r="G24" s="39" t="str">
        <f t="shared" si="3"/>
        <v>UNIDADES</v>
      </c>
      <c r="H24" s="76">
        <f>'1'!D12</f>
        <v>0</v>
      </c>
      <c r="I24" s="97">
        <f t="shared" si="1"/>
        <v>0</v>
      </c>
      <c r="J24" s="76">
        <f>'1'!D26</f>
        <v>0</v>
      </c>
    </row>
    <row r="25" spans="2:10" ht="25">
      <c r="B25" s="99"/>
      <c r="C25" s="100"/>
      <c r="D25" s="101"/>
      <c r="E25" s="27"/>
      <c r="F25" s="102">
        <f>SUM(F15:F24)</f>
        <v>11.644561535566428</v>
      </c>
      <c r="G25" s="15" t="str">
        <f>G24</f>
        <v>UNIDADES</v>
      </c>
      <c r="H25" s="76"/>
      <c r="I25" s="97"/>
      <c r="J25" s="76"/>
    </row>
    <row r="26" spans="2:10" ht="12.75" customHeight="1">
      <c r="B26" s="99"/>
      <c r="C26" s="100"/>
      <c r="D26" s="101"/>
      <c r="E26" s="27"/>
      <c r="F26" s="102"/>
      <c r="H26" s="76"/>
      <c r="I26" s="97"/>
      <c r="J26" s="76"/>
    </row>
    <row r="27" spans="2:10" ht="21" customHeight="1">
      <c r="B27" s="173" t="s">
        <v>130</v>
      </c>
      <c r="C27" s="173"/>
      <c r="D27" s="173"/>
      <c r="E27" s="103">
        <f>SUM(E15:E24)</f>
        <v>13984210.52631579</v>
      </c>
      <c r="H27" s="75"/>
      <c r="I27" s="75"/>
      <c r="J27" s="75"/>
    </row>
    <row r="28" spans="2:10" ht="19.5" customHeight="1">
      <c r="B28" s="173" t="s">
        <v>129</v>
      </c>
      <c r="C28" s="173"/>
      <c r="D28" s="173"/>
      <c r="E28" s="102">
        <f>IF(E27=0,0,('2'!C23+'2'!F31+'2'!C25)/'5'!E27)</f>
        <v>11.644561535566428</v>
      </c>
      <c r="F28" s="104" t="s">
        <v>122</v>
      </c>
      <c r="H28" s="105"/>
    </row>
    <row r="29" spans="2:10" ht="25">
      <c r="B29" s="173" t="s">
        <v>151</v>
      </c>
      <c r="C29" s="173"/>
      <c r="D29" s="173"/>
      <c r="E29" s="103">
        <f>E49</f>
        <v>195628633.79751599</v>
      </c>
    </row>
    <row r="30" spans="2:10">
      <c r="B30" s="143"/>
      <c r="C30" s="143"/>
      <c r="D30" s="143"/>
      <c r="E30" s="143"/>
      <c r="F30" s="143"/>
      <c r="G30" s="143"/>
    </row>
    <row r="31" spans="2:10" s="75" customFormat="1"/>
    <row r="32" spans="2:10" s="75" customFormat="1">
      <c r="C32" s="75" t="s">
        <v>124</v>
      </c>
      <c r="D32" s="75" t="s">
        <v>125</v>
      </c>
      <c r="E32" s="75" t="s">
        <v>128</v>
      </c>
      <c r="F32" s="75" t="s">
        <v>126</v>
      </c>
    </row>
    <row r="33" spans="2:6" s="75" customFormat="1">
      <c r="B33" s="75">
        <v>0</v>
      </c>
      <c r="C33" s="76">
        <f>'2'!C25+'2'!F31+'2'!C23</f>
        <v>162840000</v>
      </c>
      <c r="D33" s="75">
        <f>0</f>
        <v>0</v>
      </c>
      <c r="E33" s="75">
        <v>0</v>
      </c>
      <c r="F33" s="76">
        <f>C33+E33</f>
        <v>162840000</v>
      </c>
    </row>
    <row r="34" spans="2:6" s="75" customFormat="1">
      <c r="B34" s="97">
        <f>F25</f>
        <v>11.644561535566428</v>
      </c>
      <c r="C34" s="76">
        <f>C33</f>
        <v>162840000</v>
      </c>
      <c r="D34" s="144">
        <f>SUMPRODUCT(F15:F24,H15:H24)</f>
        <v>195628633.79751599</v>
      </c>
      <c r="E34" s="144">
        <f>SUMPRODUCT(F15:F24,J15:J24)</f>
        <v>32788633.797515992</v>
      </c>
      <c r="F34" s="76">
        <f t="shared" ref="F34:F35" si="4">C34+E34</f>
        <v>195628633.79751599</v>
      </c>
    </row>
    <row r="35" spans="2:6" s="75" customFormat="1">
      <c r="B35" s="97">
        <f>B34*2</f>
        <v>23.289123071132856</v>
      </c>
      <c r="C35" s="76">
        <f>C34</f>
        <v>162840000</v>
      </c>
      <c r="D35" s="144">
        <f>SUMPRODUCT(H15:H24,I15:I24)</f>
        <v>391257267.59503198</v>
      </c>
      <c r="E35" s="144">
        <f>SUMPRODUCT(I15:I24,J15:J24)</f>
        <v>65577267.595031984</v>
      </c>
      <c r="F35" s="76">
        <f t="shared" si="4"/>
        <v>228417267.59503198</v>
      </c>
    </row>
    <row r="36" spans="2:6" s="75" customFormat="1">
      <c r="C36" s="76"/>
    </row>
    <row r="37" spans="2:6" s="75" customFormat="1">
      <c r="C37" s="76"/>
    </row>
    <row r="38" spans="2:6" s="75" customFormat="1">
      <c r="C38" s="145" t="s">
        <v>149</v>
      </c>
      <c r="D38" s="75" t="s">
        <v>122</v>
      </c>
      <c r="E38" s="75" t="s">
        <v>150</v>
      </c>
    </row>
    <row r="39" spans="2:6" s="75" customFormat="1">
      <c r="B39" s="75">
        <v>1</v>
      </c>
      <c r="C39" s="76">
        <f>'1'!D3</f>
        <v>9600000</v>
      </c>
      <c r="D39" s="97">
        <f>F15</f>
        <v>2.4514866390666161</v>
      </c>
      <c r="E39" s="75">
        <f>C39*D39</f>
        <v>23534271.735039514</v>
      </c>
    </row>
    <row r="40" spans="2:6" s="75" customFormat="1">
      <c r="B40" s="75">
        <f>B39+1</f>
        <v>2</v>
      </c>
      <c r="C40" s="76">
        <f>'1'!D4</f>
        <v>14400000</v>
      </c>
      <c r="D40" s="97">
        <f t="shared" ref="D40:D48" si="5">F16</f>
        <v>3.6772299585999244</v>
      </c>
      <c r="E40" s="75">
        <f t="shared" ref="E40:E48" si="6">C40*D40</f>
        <v>52952111.40383891</v>
      </c>
    </row>
    <row r="41" spans="2:6" s="75" customFormat="1">
      <c r="B41" s="75">
        <f t="shared" ref="B41:B48" si="7">B40+1</f>
        <v>3</v>
      </c>
      <c r="C41" s="76">
        <f>'1'!D5</f>
        <v>21600000</v>
      </c>
      <c r="D41" s="97">
        <f t="shared" si="5"/>
        <v>5.5158449378998871</v>
      </c>
      <c r="E41" s="75">
        <f t="shared" si="6"/>
        <v>119142250.65863755</v>
      </c>
    </row>
    <row r="42" spans="2:6" s="75" customFormat="1">
      <c r="B42" s="75">
        <f t="shared" si="7"/>
        <v>4</v>
      </c>
      <c r="C42" s="76">
        <f>'1'!D6</f>
        <v>0</v>
      </c>
      <c r="D42" s="97">
        <f t="shared" si="5"/>
        <v>0</v>
      </c>
      <c r="E42" s="75">
        <f t="shared" si="6"/>
        <v>0</v>
      </c>
    </row>
    <row r="43" spans="2:6" s="75" customFormat="1">
      <c r="B43" s="75">
        <f t="shared" si="7"/>
        <v>5</v>
      </c>
      <c r="C43" s="76">
        <f>'1'!D7</f>
        <v>0</v>
      </c>
      <c r="D43" s="97">
        <f t="shared" si="5"/>
        <v>0</v>
      </c>
      <c r="E43" s="75">
        <f t="shared" si="6"/>
        <v>0</v>
      </c>
    </row>
    <row r="44" spans="2:6" s="75" customFormat="1">
      <c r="B44" s="75">
        <f t="shared" si="7"/>
        <v>6</v>
      </c>
      <c r="C44" s="76">
        <f>'1'!D8</f>
        <v>0</v>
      </c>
      <c r="D44" s="97">
        <f t="shared" si="5"/>
        <v>0</v>
      </c>
      <c r="E44" s="75">
        <f t="shared" si="6"/>
        <v>0</v>
      </c>
    </row>
    <row r="45" spans="2:6" s="75" customFormat="1">
      <c r="B45" s="75">
        <f t="shared" si="7"/>
        <v>7</v>
      </c>
      <c r="C45" s="76">
        <f>'1'!D9</f>
        <v>0</v>
      </c>
      <c r="D45" s="97">
        <f t="shared" si="5"/>
        <v>0</v>
      </c>
      <c r="E45" s="75">
        <f t="shared" si="6"/>
        <v>0</v>
      </c>
    </row>
    <row r="46" spans="2:6" s="75" customFormat="1">
      <c r="B46" s="75">
        <f t="shared" si="7"/>
        <v>8</v>
      </c>
      <c r="C46" s="76">
        <f>'1'!D10</f>
        <v>0</v>
      </c>
      <c r="D46" s="97">
        <f t="shared" si="5"/>
        <v>0</v>
      </c>
      <c r="E46" s="75">
        <f t="shared" si="6"/>
        <v>0</v>
      </c>
    </row>
    <row r="47" spans="2:6" s="75" customFormat="1">
      <c r="B47" s="75">
        <f t="shared" si="7"/>
        <v>9</v>
      </c>
      <c r="C47" s="76">
        <f>'1'!D11</f>
        <v>0</v>
      </c>
      <c r="D47" s="97">
        <f t="shared" si="5"/>
        <v>0</v>
      </c>
      <c r="E47" s="75">
        <f t="shared" si="6"/>
        <v>0</v>
      </c>
    </row>
    <row r="48" spans="2:6" s="75" customFormat="1">
      <c r="B48" s="75">
        <f t="shared" si="7"/>
        <v>10</v>
      </c>
      <c r="C48" s="76">
        <f>'1'!D12</f>
        <v>0</v>
      </c>
      <c r="D48" s="97">
        <f t="shared" si="5"/>
        <v>0</v>
      </c>
      <c r="E48" s="75">
        <f t="shared" si="6"/>
        <v>0</v>
      </c>
    </row>
    <row r="49" spans="2:8" s="75" customFormat="1">
      <c r="C49" s="76"/>
      <c r="E49" s="146">
        <f>SUM(E39:E48)</f>
        <v>195628633.79751599</v>
      </c>
    </row>
    <row r="50" spans="2:8" s="75" customFormat="1"/>
    <row r="51" spans="2:8" s="75" customFormat="1">
      <c r="C51" s="76"/>
    </row>
    <row r="52" spans="2:8" s="75" customFormat="1">
      <c r="B52" s="171"/>
      <c r="C52" s="171"/>
      <c r="D52" s="171"/>
      <c r="G52" s="75" t="s">
        <v>152</v>
      </c>
      <c r="H52" s="147">
        <f>'4'!B32/'4'!B27</f>
        <v>0.53874538745387457</v>
      </c>
    </row>
    <row r="53" spans="2:8" s="75" customFormat="1">
      <c r="C53" s="76"/>
      <c r="G53" s="75" t="s">
        <v>153</v>
      </c>
      <c r="H53" s="147">
        <f>'4'!B36/'4'!B27</f>
        <v>0.46125461254612549</v>
      </c>
    </row>
    <row r="54" spans="2:8" s="75" customFormat="1">
      <c r="G54" s="75" t="s">
        <v>154</v>
      </c>
      <c r="H54" s="75">
        <f>'1'!AB7</f>
        <v>0.35</v>
      </c>
    </row>
    <row r="55" spans="2:8" s="75" customFormat="1">
      <c r="G55" s="75" t="s">
        <v>155</v>
      </c>
      <c r="H55" s="147">
        <f>'3'!F4</f>
        <v>0.18</v>
      </c>
    </row>
    <row r="56" spans="2:8" s="75" customFormat="1">
      <c r="G56" s="75" t="s">
        <v>156</v>
      </c>
    </row>
    <row r="57" spans="2:8" s="75" customFormat="1"/>
    <row r="58" spans="2:8" s="75" customFormat="1"/>
    <row r="59" spans="2:8" s="75" customFormat="1"/>
    <row r="60" spans="2:8" s="75" customFormat="1"/>
    <row r="61" spans="2:8" s="75" customFormat="1"/>
    <row r="62" spans="2:8">
      <c r="B62" s="143"/>
      <c r="C62" s="143"/>
      <c r="D62" s="143"/>
      <c r="E62" s="143"/>
      <c r="F62" s="143"/>
      <c r="G62" s="143"/>
    </row>
    <row r="63" spans="2:8">
      <c r="B63" s="143"/>
      <c r="C63" s="143"/>
      <c r="D63" s="143"/>
      <c r="E63" s="143"/>
      <c r="F63" s="143"/>
      <c r="G63" s="143"/>
    </row>
    <row r="64" spans="2:8">
      <c r="B64" s="143"/>
      <c r="C64" s="143"/>
      <c r="D64" s="143"/>
      <c r="E64" s="143"/>
      <c r="F64" s="143"/>
      <c r="G64" s="143"/>
    </row>
    <row r="65" spans="2:7">
      <c r="B65" s="143"/>
      <c r="C65" s="143"/>
      <c r="D65" s="143"/>
      <c r="E65" s="143"/>
      <c r="F65" s="143"/>
      <c r="G65" s="143"/>
    </row>
    <row r="66" spans="2:7">
      <c r="B66" s="143"/>
      <c r="C66" s="143"/>
      <c r="D66" s="143"/>
      <c r="E66" s="143"/>
      <c r="F66" s="143"/>
      <c r="G66" s="143"/>
    </row>
  </sheetData>
  <sheetProtection algorithmName="SHA-512" hashValue="d8YmbEuhgH/1suTHnyk65cUm7JICPWvCYFmBmgZq8qv3j6oNX1dH6pxbsOvEemrfsUtiheOuJ37FLcWPLzLIBA==" saltValue="9SYKwqsdfai2EFAADOs7AQ=="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1">
    <cfRule type="containsText" dxfId="7" priority="2" operator="containsText" text="NO_APLICA">
      <formula>NOT(ISERROR(SEARCH("NO_APLICA",D11)))</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10">
    <cfRule type="cellIs" dxfId="2" priority="4" operator="lessThan">
      <formula>0</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712E58-D6D2-4C0F-B37A-BDAB77C8BA24}">
  <ds:schemaRefs>
    <ds:schemaRef ds:uri="http://schemas.microsoft.com/sharepoint/v3/contenttype/forms"/>
  </ds:schemaRefs>
</ds:datastoreItem>
</file>

<file path=customXml/itemProps2.xml><?xml version="1.0" encoding="utf-8"?>
<ds:datastoreItem xmlns:ds="http://schemas.openxmlformats.org/officeDocument/2006/customXml" ds:itemID="{BB641118-A753-42A3-B749-BC5DC5244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f1548-ea36-4159-a306-74aa0083697f"/>
    <ds:schemaRef ds:uri="d59ba5de-05cd-4945-add5-aa2c30c31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46126D-72FF-43C3-B754-1B03FE5D0211}">
  <ds:schemaRefs>
    <ds:schemaRef ds:uri="http://schemas.microsoft.com/office/2006/metadata/properties"/>
    <ds:schemaRef ds:uri="http://purl.org/dc/terms/"/>
    <ds:schemaRef ds:uri="http://schemas.microsoft.com/office/2006/documentManagement/types"/>
    <ds:schemaRef ds:uri="d59ba5de-05cd-4945-add5-aa2c30c31883"/>
    <ds:schemaRef ds:uri="http://www.w3.org/XML/1998/namespace"/>
    <ds:schemaRef ds:uri="http://purl.org/dc/elements/1.1/"/>
    <ds:schemaRef ds:uri="f7ff1548-ea36-4159-a306-74aa0083697f"/>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sakaki</cp:lastModifiedBy>
  <dcterms:created xsi:type="dcterms:W3CDTF">2013-07-30T17:19:59Z</dcterms:created>
  <dcterms:modified xsi:type="dcterms:W3CDTF">2024-11-10T21:16:25Z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