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C:\Users\Usuario\Downloads\PG_EDUNA_APROBADO\"/>
    </mc:Choice>
  </mc:AlternateContent>
  <bookViews>
    <workbookView xWindow="0" yWindow="0" windowWidth="20490" windowHeight="8340" tabRatio="703" activeTab="1"/>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J15" i="6" l="1"/>
  <c r="J16" i="6"/>
  <c r="J17" i="6"/>
  <c r="J18" i="6"/>
  <c r="J19" i="6"/>
  <c r="J20" i="6"/>
  <c r="J21" i="6"/>
  <c r="J22" i="6"/>
  <c r="J23" i="6"/>
  <c r="J14" i="6"/>
  <c r="H15" i="6"/>
  <c r="H16" i="6"/>
  <c r="H17" i="6"/>
  <c r="H18" i="6"/>
  <c r="H19" i="6"/>
  <c r="H20" i="6"/>
  <c r="H21" i="6"/>
  <c r="H22" i="6"/>
  <c r="H23" i="6"/>
  <c r="H14" i="6"/>
  <c r="D32" i="6"/>
  <c r="G15" i="6"/>
  <c r="G16" i="6"/>
  <c r="G17" i="6"/>
  <c r="G18" i="6"/>
  <c r="G19" i="6"/>
  <c r="G20" i="6"/>
  <c r="G21" i="6"/>
  <c r="G22" i="6"/>
  <c r="G23" i="6"/>
  <c r="G24" i="6"/>
  <c r="C15" i="6"/>
  <c r="C16" i="6"/>
  <c r="C17" i="6"/>
  <c r="C18" i="6"/>
  <c r="C19" i="6"/>
  <c r="C20" i="6"/>
  <c r="C21" i="6"/>
  <c r="C22" i="6"/>
  <c r="C23" i="6"/>
  <c r="C14" i="6"/>
  <c r="B15" i="6"/>
  <c r="B16" i="6"/>
  <c r="B17" i="6"/>
  <c r="B18" i="6"/>
  <c r="B19" i="6"/>
  <c r="B20" i="6"/>
  <c r="B21" i="6"/>
  <c r="B22" i="6"/>
  <c r="B23" i="6"/>
  <c r="B14" i="6"/>
  <c r="B13" i="6"/>
  <c r="C23" i="4"/>
  <c r="C32" i="6"/>
  <c r="C33" i="6"/>
  <c r="C34" i="6"/>
  <c r="B49" i="5"/>
  <c r="B45" i="5"/>
  <c r="B23" i="5"/>
  <c r="C23" i="5"/>
  <c r="D23" i="5"/>
  <c r="E23" i="5"/>
  <c r="G6" i="4"/>
  <c r="G7" i="4"/>
  <c r="G8" i="4"/>
  <c r="G9" i="4"/>
  <c r="G12" i="4"/>
  <c r="C12" i="5"/>
  <c r="G10" i="4"/>
  <c r="G11" i="4"/>
  <c r="G5" i="4"/>
  <c r="B34" i="5"/>
  <c r="B30" i="5"/>
  <c r="C11" i="5"/>
  <c r="D11" i="5"/>
  <c r="E11" i="5"/>
  <c r="F11" i="5"/>
  <c r="G11" i="5"/>
  <c r="D10" i="3"/>
  <c r="D9" i="3"/>
  <c r="F17" i="4"/>
  <c r="F31" i="4"/>
  <c r="D11" i="3"/>
  <c r="C10" i="5"/>
  <c r="D10" i="5"/>
  <c r="E10" i="5"/>
  <c r="F10" i="5"/>
  <c r="G10" i="5"/>
  <c r="C12" i="4"/>
  <c r="C4" i="3"/>
  <c r="C9" i="5"/>
  <c r="D9" i="5"/>
  <c r="E9" i="5"/>
  <c r="F9" i="5"/>
  <c r="G9" i="5"/>
  <c r="R16" i="1"/>
  <c r="S16" i="1"/>
  <c r="V16" i="1"/>
  <c r="W16" i="1"/>
  <c r="G2" i="1"/>
  <c r="H2" i="1"/>
  <c r="M2" i="1"/>
  <c r="M16" i="1"/>
  <c r="B31" i="1"/>
  <c r="C5" i="5"/>
  <c r="C20" i="5"/>
  <c r="D6" i="6"/>
  <c r="P18" i="1"/>
  <c r="P19" i="1"/>
  <c r="Q19" i="1"/>
  <c r="R19" i="1"/>
  <c r="S19" i="1"/>
  <c r="P20" i="1"/>
  <c r="Q20" i="1"/>
  <c r="R20" i="1"/>
  <c r="S20" i="1"/>
  <c r="P21" i="1"/>
  <c r="Q21" i="1"/>
  <c r="R21" i="1"/>
  <c r="P22" i="1"/>
  <c r="Q22" i="1"/>
  <c r="R22" i="1"/>
  <c r="S22" i="1"/>
  <c r="P23" i="1"/>
  <c r="P24" i="1"/>
  <c r="P25" i="1"/>
  <c r="Q25" i="1"/>
  <c r="R25" i="1"/>
  <c r="P26" i="1"/>
  <c r="Q26" i="1"/>
  <c r="R26" i="1"/>
  <c r="S26" i="1"/>
  <c r="P17" i="1"/>
  <c r="P16" i="1"/>
  <c r="Q16" i="1"/>
  <c r="T16" i="1"/>
  <c r="U16" i="1"/>
  <c r="P4" i="1"/>
  <c r="Q4" i="1"/>
  <c r="R4" i="1"/>
  <c r="S4" i="1"/>
  <c r="P5" i="1"/>
  <c r="Q5" i="1"/>
  <c r="R5" i="1"/>
  <c r="S5" i="1"/>
  <c r="P6" i="1"/>
  <c r="Q6" i="1"/>
  <c r="R6" i="1"/>
  <c r="S6" i="1"/>
  <c r="P7" i="1"/>
  <c r="Q7" i="1"/>
  <c r="R7" i="1"/>
  <c r="S7" i="1"/>
  <c r="P8" i="1"/>
  <c r="Q8" i="1"/>
  <c r="R8" i="1"/>
  <c r="S8" i="1"/>
  <c r="P9" i="1"/>
  <c r="Q9" i="1"/>
  <c r="R9" i="1"/>
  <c r="S9" i="1"/>
  <c r="P10" i="1"/>
  <c r="Q10" i="1"/>
  <c r="R10" i="1"/>
  <c r="S10" i="1"/>
  <c r="P11" i="1"/>
  <c r="Q11" i="1"/>
  <c r="R11" i="1"/>
  <c r="S11" i="1"/>
  <c r="P12" i="1"/>
  <c r="Q12" i="1"/>
  <c r="R12" i="1"/>
  <c r="S12" i="1"/>
  <c r="P3" i="1"/>
  <c r="Q3" i="1"/>
  <c r="R3" i="1"/>
  <c r="S3" i="1"/>
  <c r="L4" i="1"/>
  <c r="T4" i="1"/>
  <c r="L5" i="1"/>
  <c r="L6" i="1"/>
  <c r="L7" i="1"/>
  <c r="L8" i="1"/>
  <c r="M8" i="1"/>
  <c r="L9" i="1"/>
  <c r="L10" i="1"/>
  <c r="M10" i="1"/>
  <c r="N10" i="1"/>
  <c r="L11" i="1"/>
  <c r="M11" i="1"/>
  <c r="N11" i="1"/>
  <c r="O11" i="1"/>
  <c r="L12" i="1"/>
  <c r="M12" i="1"/>
  <c r="L3" i="1"/>
  <c r="M3" i="1"/>
  <c r="N3" i="1"/>
  <c r="D27" i="1"/>
  <c r="E4" i="1"/>
  <c r="E5" i="1"/>
  <c r="E6" i="1"/>
  <c r="E7" i="1"/>
  <c r="E8" i="1"/>
  <c r="E9" i="1"/>
  <c r="E10" i="1"/>
  <c r="E11" i="1"/>
  <c r="E12" i="1"/>
  <c r="E3" i="1"/>
  <c r="B18" i="1"/>
  <c r="B19" i="1"/>
  <c r="B20" i="1"/>
  <c r="B21" i="1"/>
  <c r="B22" i="1"/>
  <c r="B23" i="1"/>
  <c r="B24" i="1"/>
  <c r="B25" i="1"/>
  <c r="B26" i="1"/>
  <c r="B17" i="1"/>
  <c r="C18" i="1"/>
  <c r="E18" i="1"/>
  <c r="C19" i="1"/>
  <c r="E19" i="1"/>
  <c r="C20" i="1"/>
  <c r="L20" i="1"/>
  <c r="E20" i="1"/>
  <c r="C21" i="1"/>
  <c r="L21" i="1"/>
  <c r="T21" i="1"/>
  <c r="M21" i="1"/>
  <c r="U21" i="1"/>
  <c r="N21" i="1"/>
  <c r="C22" i="1"/>
  <c r="E22" i="1"/>
  <c r="C23" i="1"/>
  <c r="E23" i="1"/>
  <c r="C24" i="1"/>
  <c r="E24" i="1"/>
  <c r="C25" i="1"/>
  <c r="C26" i="1"/>
  <c r="E26" i="1"/>
  <c r="C17" i="1"/>
  <c r="E17" i="1"/>
  <c r="A17" i="1"/>
  <c r="A4" i="1"/>
  <c r="A18" i="1"/>
  <c r="F32" i="6"/>
  <c r="C43" i="5"/>
  <c r="W11" i="1"/>
  <c r="C31" i="1"/>
  <c r="D5" i="5"/>
  <c r="D20" i="5"/>
  <c r="E6" i="6"/>
  <c r="F9" i="3"/>
  <c r="L2" i="1"/>
  <c r="L16" i="1"/>
  <c r="S25" i="1"/>
  <c r="S21" i="1"/>
  <c r="N2" i="1"/>
  <c r="O2" i="1"/>
  <c r="V11" i="1"/>
  <c r="I2" i="1"/>
  <c r="J2" i="1"/>
  <c r="Z3" i="1"/>
  <c r="AA3" i="1"/>
  <c r="AB3" i="1"/>
  <c r="AC3" i="1"/>
  <c r="L19" i="1"/>
  <c r="M19" i="1"/>
  <c r="U19" i="1"/>
  <c r="L17" i="1"/>
  <c r="M17" i="1"/>
  <c r="N17" i="1"/>
  <c r="O17" i="1"/>
  <c r="L18" i="1"/>
  <c r="M18" i="1"/>
  <c r="L23" i="1"/>
  <c r="T23" i="1"/>
  <c r="M23" i="1"/>
  <c r="Q23" i="1"/>
  <c r="R23" i="1"/>
  <c r="S23" i="1"/>
  <c r="L22" i="1"/>
  <c r="M22" i="1"/>
  <c r="A5" i="1"/>
  <c r="A19" i="1"/>
  <c r="A6" i="1"/>
  <c r="A7" i="1"/>
  <c r="E21" i="1"/>
  <c r="Q17" i="1"/>
  <c r="R17" i="1"/>
  <c r="V17" i="1"/>
  <c r="S17" i="1"/>
  <c r="L26" i="1"/>
  <c r="M26" i="1"/>
  <c r="Q24" i="1"/>
  <c r="R24" i="1"/>
  <c r="S24" i="1"/>
  <c r="Q18" i="1"/>
  <c r="R18" i="1"/>
  <c r="S18" i="1"/>
  <c r="T9" i="1"/>
  <c r="U10" i="1"/>
  <c r="T3" i="1"/>
  <c r="T10" i="1"/>
  <c r="U11" i="1"/>
  <c r="U3" i="1"/>
  <c r="T11" i="1"/>
  <c r="M9" i="1"/>
  <c r="M4" i="1"/>
  <c r="N4" i="1"/>
  <c r="E13" i="1"/>
  <c r="F3" i="1"/>
  <c r="D14" i="6"/>
  <c r="E14" i="6"/>
  <c r="F10" i="1"/>
  <c r="D21" i="6"/>
  <c r="E21" i="6"/>
  <c r="D43" i="5"/>
  <c r="B32" i="1"/>
  <c r="C6" i="5"/>
  <c r="N9" i="1"/>
  <c r="O9" i="1"/>
  <c r="W9" i="1"/>
  <c r="U4" i="1"/>
  <c r="O16" i="1"/>
  <c r="D31" i="1"/>
  <c r="E5" i="5"/>
  <c r="E20" i="5"/>
  <c r="F6" i="6"/>
  <c r="F10" i="3"/>
  <c r="T18" i="1"/>
  <c r="U17" i="1"/>
  <c r="T17" i="1"/>
  <c r="T26" i="1"/>
  <c r="T19" i="1"/>
  <c r="E43" i="5"/>
  <c r="V9" i="1"/>
  <c r="F11" i="3"/>
  <c r="T20" i="1"/>
  <c r="M20" i="1"/>
  <c r="U12" i="1"/>
  <c r="N12" i="1"/>
  <c r="U8" i="1"/>
  <c r="N8" i="1"/>
  <c r="U26" i="1"/>
  <c r="N26" i="1"/>
  <c r="A8" i="1"/>
  <c r="A21" i="1"/>
  <c r="U22" i="1"/>
  <c r="N22" i="1"/>
  <c r="O4" i="1"/>
  <c r="W4" i="1"/>
  <c r="V4" i="1"/>
  <c r="N18" i="1"/>
  <c r="U18" i="1"/>
  <c r="O3" i="1"/>
  <c r="W3" i="1"/>
  <c r="V3" i="1"/>
  <c r="C25" i="5"/>
  <c r="C49" i="5"/>
  <c r="D12" i="5"/>
  <c r="F23" i="5"/>
  <c r="F9" i="1"/>
  <c r="D20" i="6"/>
  <c r="E20" i="6"/>
  <c r="F7" i="1"/>
  <c r="D18" i="6"/>
  <c r="E18" i="6"/>
  <c r="N23" i="1"/>
  <c r="U23" i="1"/>
  <c r="O21" i="1"/>
  <c r="W21" i="1"/>
  <c r="V21" i="1"/>
  <c r="O10" i="1"/>
  <c r="W10" i="1"/>
  <c r="V10" i="1"/>
  <c r="A20" i="1"/>
  <c r="N19" i="1"/>
  <c r="F8" i="1"/>
  <c r="D19" i="6"/>
  <c r="E19" i="6"/>
  <c r="F5" i="1"/>
  <c r="D16" i="6"/>
  <c r="E16" i="6"/>
  <c r="T8" i="1"/>
  <c r="W17" i="1"/>
  <c r="M5" i="1"/>
  <c r="T5" i="1"/>
  <c r="T13" i="1"/>
  <c r="C32" i="1"/>
  <c r="C34" i="5"/>
  <c r="B36" i="5"/>
  <c r="T22" i="1"/>
  <c r="U9" i="1"/>
  <c r="F6" i="1"/>
  <c r="D17" i="6"/>
  <c r="E17" i="6"/>
  <c r="T12" i="1"/>
  <c r="L24" i="1"/>
  <c r="E25" i="1"/>
  <c r="E27" i="1"/>
  <c r="L25" i="1"/>
  <c r="M6" i="1"/>
  <c r="T6" i="1"/>
  <c r="B24" i="5"/>
  <c r="E31" i="1"/>
  <c r="N16" i="1"/>
  <c r="F12" i="1"/>
  <c r="D23" i="6"/>
  <c r="E23" i="6"/>
  <c r="F11" i="1"/>
  <c r="D22" i="6"/>
  <c r="E22" i="6"/>
  <c r="F4" i="1"/>
  <c r="M7" i="1"/>
  <c r="T7" i="1"/>
  <c r="F24" i="1"/>
  <c r="F22" i="1"/>
  <c r="F17" i="1"/>
  <c r="B33" i="1"/>
  <c r="F26" i="1"/>
  <c r="F21" i="1"/>
  <c r="F19" i="1"/>
  <c r="F25" i="1"/>
  <c r="F23" i="1"/>
  <c r="F18" i="1"/>
  <c r="F20" i="1"/>
  <c r="D6" i="5"/>
  <c r="F5" i="5"/>
  <c r="F20" i="5"/>
  <c r="F31" i="1"/>
  <c r="F12" i="3"/>
  <c r="O22" i="1"/>
  <c r="W22" i="1"/>
  <c r="V22" i="1"/>
  <c r="A9" i="1"/>
  <c r="A22" i="1"/>
  <c r="O18" i="1"/>
  <c r="W18" i="1"/>
  <c r="V18" i="1"/>
  <c r="O12" i="1"/>
  <c r="W12" i="1"/>
  <c r="V12" i="1"/>
  <c r="M25" i="1"/>
  <c r="T25" i="1"/>
  <c r="D34" i="5"/>
  <c r="D25" i="5"/>
  <c r="D49" i="5"/>
  <c r="E12" i="5"/>
  <c r="B26" i="5"/>
  <c r="B48" i="5"/>
  <c r="B50" i="5"/>
  <c r="C24" i="5"/>
  <c r="V26" i="1"/>
  <c r="O26" i="1"/>
  <c r="W26" i="1"/>
  <c r="N7" i="1"/>
  <c r="U7" i="1"/>
  <c r="T24" i="1"/>
  <c r="T27" i="1"/>
  <c r="C33" i="1"/>
  <c r="M24" i="1"/>
  <c r="U5" i="1"/>
  <c r="N5" i="1"/>
  <c r="V23" i="1"/>
  <c r="O23" i="1"/>
  <c r="W23" i="1"/>
  <c r="D15" i="6"/>
  <c r="E15" i="6"/>
  <c r="E26" i="6"/>
  <c r="E27" i="6"/>
  <c r="F13" i="1"/>
  <c r="U6" i="1"/>
  <c r="N6" i="1"/>
  <c r="V19" i="1"/>
  <c r="O19" i="1"/>
  <c r="W19" i="1"/>
  <c r="G23" i="5"/>
  <c r="O8" i="1"/>
  <c r="W8" i="1"/>
  <c r="V8" i="1"/>
  <c r="U20" i="1"/>
  <c r="N20" i="1"/>
  <c r="D7" i="5"/>
  <c r="C34" i="1"/>
  <c r="N24" i="1"/>
  <c r="U24" i="1"/>
  <c r="F12" i="5"/>
  <c r="E25" i="5"/>
  <c r="E49" i="5"/>
  <c r="G6" i="6"/>
  <c r="F43" i="5"/>
  <c r="F27" i="1"/>
  <c r="V20" i="1"/>
  <c r="O20" i="1"/>
  <c r="W20" i="1"/>
  <c r="U25" i="1"/>
  <c r="U27" i="1"/>
  <c r="D33" i="1"/>
  <c r="E7" i="5"/>
  <c r="N25" i="1"/>
  <c r="F22" i="6"/>
  <c r="F15" i="6"/>
  <c r="F20" i="6"/>
  <c r="F23" i="6"/>
  <c r="F17" i="6"/>
  <c r="F21" i="6"/>
  <c r="F18" i="6"/>
  <c r="F14" i="6"/>
  <c r="F19" i="6"/>
  <c r="F16" i="6"/>
  <c r="D24" i="5"/>
  <c r="C26" i="5"/>
  <c r="C48" i="5"/>
  <c r="C50" i="5"/>
  <c r="O5" i="1"/>
  <c r="W5" i="1"/>
  <c r="V5" i="1"/>
  <c r="V6" i="1"/>
  <c r="O6" i="1"/>
  <c r="W6" i="1"/>
  <c r="U13" i="1"/>
  <c r="D32" i="1"/>
  <c r="V7" i="1"/>
  <c r="O7" i="1"/>
  <c r="W7" i="1"/>
  <c r="E34" i="5"/>
  <c r="A23" i="1"/>
  <c r="A10" i="1"/>
  <c r="G5" i="5"/>
  <c r="G20" i="5"/>
  <c r="F13" i="3"/>
  <c r="D8" i="5"/>
  <c r="D13" i="5"/>
  <c r="C7" i="5"/>
  <c r="C8" i="5"/>
  <c r="C13" i="5"/>
  <c r="D8" i="3"/>
  <c r="D12" i="3"/>
  <c r="D14" i="3"/>
  <c r="B34" i="1"/>
  <c r="C7" i="6"/>
  <c r="D16" i="3"/>
  <c r="J8" i="3"/>
  <c r="F34" i="5"/>
  <c r="O24" i="1"/>
  <c r="W24" i="1"/>
  <c r="V24" i="1"/>
  <c r="C55" i="5"/>
  <c r="A24" i="1"/>
  <c r="A11" i="1"/>
  <c r="D33" i="6"/>
  <c r="F24" i="6"/>
  <c r="B33" i="6"/>
  <c r="B34" i="6"/>
  <c r="E33" i="6"/>
  <c r="F33" i="6"/>
  <c r="V25" i="1"/>
  <c r="V27" i="1"/>
  <c r="E33" i="1"/>
  <c r="F7" i="5"/>
  <c r="O25" i="1"/>
  <c r="W25" i="1"/>
  <c r="W27" i="1"/>
  <c r="F33" i="1"/>
  <c r="G7" i="5"/>
  <c r="H6" i="6"/>
  <c r="G43" i="5"/>
  <c r="G12" i="5"/>
  <c r="F25" i="5"/>
  <c r="D55" i="5"/>
  <c r="V13" i="1"/>
  <c r="E32" i="1"/>
  <c r="E24" i="5"/>
  <c r="D26" i="5"/>
  <c r="D48" i="5"/>
  <c r="D50" i="5"/>
  <c r="E6" i="5"/>
  <c r="E8" i="5"/>
  <c r="E13" i="5"/>
  <c r="D34" i="1"/>
  <c r="W13" i="1"/>
  <c r="F32" i="1"/>
  <c r="G6" i="5"/>
  <c r="G8" i="5"/>
  <c r="G13" i="5"/>
  <c r="F34" i="1"/>
  <c r="F24" i="5"/>
  <c r="E26" i="5"/>
  <c r="E48" i="5"/>
  <c r="E50" i="5"/>
  <c r="F49" i="5"/>
  <c r="G25" i="5"/>
  <c r="G49" i="5"/>
  <c r="F6" i="5"/>
  <c r="F8" i="5"/>
  <c r="F13" i="5"/>
  <c r="E34" i="1"/>
  <c r="A12" i="1"/>
  <c r="A26" i="1"/>
  <c r="A25" i="1"/>
  <c r="G9" i="3"/>
  <c r="G10" i="3"/>
  <c r="G11" i="3"/>
  <c r="G12" i="3"/>
  <c r="G13" i="3"/>
  <c r="I9" i="3"/>
  <c r="B31" i="5"/>
  <c r="B32" i="5"/>
  <c r="B38" i="5"/>
  <c r="B22" i="5"/>
  <c r="C8" i="6"/>
  <c r="E55" i="5"/>
  <c r="D56" i="5"/>
  <c r="D57" i="5"/>
  <c r="I19" i="6"/>
  <c r="I14" i="6"/>
  <c r="I15" i="6"/>
  <c r="I20" i="6"/>
  <c r="I18" i="6"/>
  <c r="I16" i="6"/>
  <c r="I22" i="6"/>
  <c r="I17" i="6"/>
  <c r="I21" i="6"/>
  <c r="I23" i="6"/>
  <c r="C56" i="5"/>
  <c r="C57" i="5"/>
  <c r="G34" i="5"/>
  <c r="D34" i="6"/>
  <c r="E34" i="6"/>
  <c r="F34" i="6"/>
  <c r="B27" i="5"/>
  <c r="B39" i="5"/>
  <c r="B44" i="5"/>
  <c r="B46" i="5"/>
  <c r="B52" i="5"/>
  <c r="G55" i="5"/>
  <c r="C14" i="5"/>
  <c r="C15" i="5"/>
  <c r="H9" i="3"/>
  <c r="J9" i="3"/>
  <c r="F55" i="5"/>
  <c r="G24" i="5"/>
  <c r="G26" i="5"/>
  <c r="G48" i="5"/>
  <c r="G50" i="5"/>
  <c r="F26" i="5"/>
  <c r="F48" i="5"/>
  <c r="F50" i="5"/>
  <c r="E56" i="5"/>
  <c r="E57" i="5"/>
  <c r="I10" i="3"/>
  <c r="C31" i="5"/>
  <c r="G56" i="5"/>
  <c r="G57" i="5"/>
  <c r="F56" i="5"/>
  <c r="F57" i="5"/>
  <c r="C16" i="5"/>
  <c r="C29" i="5"/>
  <c r="C30" i="5"/>
  <c r="C32" i="5"/>
  <c r="C45" i="5"/>
  <c r="D14" i="5"/>
  <c r="D15" i="5"/>
  <c r="H10" i="3"/>
  <c r="J10" i="3"/>
  <c r="C17" i="5"/>
  <c r="C35" i="5"/>
  <c r="C36" i="5"/>
  <c r="I11" i="3"/>
  <c r="D31" i="5"/>
  <c r="C38" i="5"/>
  <c r="C22" i="5"/>
  <c r="D16" i="5"/>
  <c r="D29" i="5"/>
  <c r="E14" i="5"/>
  <c r="E15" i="5"/>
  <c r="H11" i="3"/>
  <c r="J11" i="3"/>
  <c r="C27" i="5"/>
  <c r="C39" i="5"/>
  <c r="C44" i="5"/>
  <c r="C46" i="5"/>
  <c r="C52" i="5"/>
  <c r="C58" i="5"/>
  <c r="C59" i="5"/>
  <c r="D7" i="6"/>
  <c r="D30" i="5"/>
  <c r="D32" i="5"/>
  <c r="D45" i="5"/>
  <c r="D17" i="5"/>
  <c r="D35" i="5"/>
  <c r="D36" i="5"/>
  <c r="D8" i="6"/>
  <c r="E31" i="5"/>
  <c r="I12" i="3"/>
  <c r="D38" i="5"/>
  <c r="D22" i="5"/>
  <c r="E16" i="5"/>
  <c r="E29" i="5"/>
  <c r="E45" i="5"/>
  <c r="E30" i="5"/>
  <c r="E32" i="5"/>
  <c r="E17" i="5"/>
  <c r="E35" i="5"/>
  <c r="E36" i="5"/>
  <c r="D27" i="5"/>
  <c r="D39" i="5"/>
  <c r="D44" i="5"/>
  <c r="D46" i="5"/>
  <c r="D52" i="5"/>
  <c r="D58" i="5"/>
  <c r="D59" i="5"/>
  <c r="E7" i="6"/>
  <c r="H12" i="3"/>
  <c r="J12" i="3"/>
  <c r="F14" i="5"/>
  <c r="F15" i="5"/>
  <c r="E8" i="6"/>
  <c r="F16" i="5"/>
  <c r="F29" i="5"/>
  <c r="I13" i="3"/>
  <c r="F31" i="5"/>
  <c r="E38" i="5"/>
  <c r="E22" i="5"/>
  <c r="F45" i="5"/>
  <c r="F30" i="5"/>
  <c r="F32" i="5"/>
  <c r="H13" i="3"/>
  <c r="J13" i="3"/>
  <c r="G31" i="5"/>
  <c r="G14" i="5"/>
  <c r="G15" i="5"/>
  <c r="E27" i="5"/>
  <c r="E39" i="5"/>
  <c r="E44" i="5"/>
  <c r="E46" i="5"/>
  <c r="E52" i="5"/>
  <c r="E58" i="5"/>
  <c r="E59" i="5"/>
  <c r="F7" i="6"/>
  <c r="F17" i="5"/>
  <c r="F35" i="5"/>
  <c r="F36" i="5"/>
  <c r="G16" i="5"/>
  <c r="G29" i="5"/>
  <c r="F8" i="6"/>
  <c r="F38" i="5"/>
  <c r="F22" i="5"/>
  <c r="G45" i="5"/>
  <c r="G30" i="5"/>
  <c r="G32" i="5"/>
  <c r="F27" i="5"/>
  <c r="F39" i="5"/>
  <c r="F44" i="5"/>
  <c r="F46" i="5"/>
  <c r="F52" i="5"/>
  <c r="F58" i="5"/>
  <c r="F59" i="5"/>
  <c r="G7" i="6"/>
  <c r="G17" i="5"/>
  <c r="G35" i="5"/>
  <c r="G36" i="5"/>
  <c r="G8" i="6"/>
  <c r="G38" i="5"/>
  <c r="G22" i="5"/>
  <c r="G27" i="5"/>
  <c r="G39" i="5"/>
  <c r="G44" i="5"/>
  <c r="G46" i="5"/>
  <c r="G52" i="5"/>
  <c r="G58" i="5"/>
  <c r="G59" i="5"/>
  <c r="H7" i="6"/>
  <c r="H8" i="6"/>
  <c r="H10" i="6"/>
  <c r="D10" i="6"/>
  <c r="D9" i="6"/>
</calcChain>
</file>

<file path=xl/comments1.xml><?xml version="1.0" encoding="utf-8"?>
<comments xmlns="http://schemas.openxmlformats.org/spreadsheetml/2006/main">
  <authors>
    <author>DARIO MAURICIO REYES GIRALDO</author>
  </authors>
  <commentList>
    <comment ref="Z1" authorId="0" shapeId="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4" authorId="0" shapeId="0">
      <text>
        <r>
          <rPr>
            <b/>
            <sz val="9"/>
            <color indexed="81"/>
            <rFont val="Tahoma"/>
            <family val="2"/>
          </rPr>
          <t>DARIO MAURICIO REYES GIRALDO:</t>
        </r>
        <r>
          <rPr>
            <sz val="9"/>
            <color indexed="81"/>
            <rFont val="Tahoma"/>
            <family val="2"/>
          </rPr>
          <t xml:space="preserve">
Digita el nombre de cada línea de producto o servicio a vender</t>
        </r>
      </text>
    </comment>
    <comment ref="Y4" authorId="0" shape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B5" authorId="0" shapeId="0">
      <text>
        <r>
          <rPr>
            <b/>
            <sz val="9"/>
            <color indexed="81"/>
            <rFont val="Tahoma"/>
            <family val="2"/>
          </rPr>
          <t>DARIO MAURICIO REYES GIRALDO:</t>
        </r>
        <r>
          <rPr>
            <sz val="9"/>
            <color indexed="81"/>
            <rFont val="Tahoma"/>
            <family val="2"/>
          </rPr>
          <t xml:space="preserve">
Digita el nombre de cada línea de producto o servicio a vender</t>
        </r>
      </text>
    </comment>
    <comment ref="Y5" authorId="0" shape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text>
        <r>
          <rPr>
            <b/>
            <sz val="9"/>
            <color indexed="81"/>
            <rFont val="Tahoma"/>
            <family val="2"/>
          </rPr>
          <t>DARIO MAURICIO REYES GIRALDO:</t>
        </r>
        <r>
          <rPr>
            <sz val="9"/>
            <color indexed="81"/>
            <rFont val="Tahoma"/>
            <family val="2"/>
          </rPr>
          <t xml:space="preserve">
incluya la tasa de impuesto de Renta vigente.</t>
        </r>
      </text>
    </comment>
    <comment ref="B8" authorId="0" shapeId="0">
      <text>
        <r>
          <rPr>
            <b/>
            <sz val="9"/>
            <color indexed="81"/>
            <rFont val="Tahoma"/>
            <family val="2"/>
          </rPr>
          <t>DARIO MAURICIO REYES GIRALDO:</t>
        </r>
        <r>
          <rPr>
            <sz val="9"/>
            <color indexed="81"/>
            <rFont val="Tahoma"/>
            <family val="2"/>
          </rPr>
          <t xml:space="preserve">
Digita el nombre de cada línea de producto o servicio a vender</t>
        </r>
      </text>
    </comment>
    <comment ref="B9" authorId="0" shapeId="0">
      <text>
        <r>
          <rPr>
            <b/>
            <sz val="9"/>
            <color indexed="81"/>
            <rFont val="Tahoma"/>
            <family val="2"/>
          </rPr>
          <t>DARIO MAURICIO REYES GIRALDO:</t>
        </r>
        <r>
          <rPr>
            <sz val="9"/>
            <color indexed="81"/>
            <rFont val="Tahoma"/>
            <family val="2"/>
          </rPr>
          <t xml:space="preserve">
Digita el nombre de cada línea de producto o servicio a vender</t>
        </r>
      </text>
    </comment>
    <comment ref="B10" authorId="0" shapeId="0">
      <text>
        <r>
          <rPr>
            <b/>
            <sz val="9"/>
            <color indexed="81"/>
            <rFont val="Tahoma"/>
            <family val="2"/>
          </rPr>
          <t>DARIO MAURICIO REYES GIRALDO:</t>
        </r>
        <r>
          <rPr>
            <sz val="9"/>
            <color indexed="81"/>
            <rFont val="Tahoma"/>
            <family val="2"/>
          </rPr>
          <t xml:space="preserve">
Digita el nombre de cada línea de producto o servicio a vender</t>
        </r>
      </text>
    </comment>
    <comment ref="B11" authorId="0" shapeId="0">
      <text>
        <r>
          <rPr>
            <b/>
            <sz val="9"/>
            <color indexed="81"/>
            <rFont val="Tahoma"/>
            <family val="2"/>
          </rPr>
          <t>DARIO MAURICIO REYES GIRALDO:</t>
        </r>
        <r>
          <rPr>
            <sz val="9"/>
            <color indexed="81"/>
            <rFont val="Tahoma"/>
            <family val="2"/>
          </rPr>
          <t xml:space="preserve">
Digita el nombre de cada línea de producto o servicio a vender</t>
        </r>
      </text>
    </comment>
    <comment ref="D17" authorId="0" shapeId="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authors>
    <author>DARIO MAURICIO REYES GIRALDO</author>
  </authors>
  <commentList>
    <comment ref="C4" authorId="0" shapeId="0">
      <text>
        <r>
          <rPr>
            <b/>
            <sz val="9"/>
            <color indexed="81"/>
            <rFont val="Tahoma"/>
            <family val="2"/>
          </rPr>
          <t>DARIO MAURICIO REYES GIRALDO:</t>
        </r>
        <r>
          <rPr>
            <sz val="9"/>
            <color indexed="81"/>
            <rFont val="Tahoma"/>
            <family val="2"/>
          </rPr>
          <t xml:space="preserve">
Todos los valores deben se anuales.</t>
        </r>
      </text>
    </comment>
    <comment ref="C18"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text>
        <r>
          <rPr>
            <b/>
            <sz val="9"/>
            <color indexed="81"/>
            <rFont val="Tahoma"/>
            <family val="2"/>
          </rPr>
          <t>DARIO MAURICIO REYES GIRALDO:</t>
        </r>
        <r>
          <rPr>
            <sz val="9"/>
            <color indexed="81"/>
            <rFont val="Tahoma"/>
            <family val="2"/>
          </rPr>
          <t xml:space="preserve">
Todos los valores deben se anuales.</t>
        </r>
      </text>
    </comment>
    <comment ref="C20"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text>
        <r>
          <rPr>
            <b/>
            <sz val="9"/>
            <color indexed="81"/>
            <rFont val="Tahoma"/>
            <family val="2"/>
          </rPr>
          <t>DARIO MAURICIO REYES GIRALDO:</t>
        </r>
        <r>
          <rPr>
            <sz val="9"/>
            <color indexed="81"/>
            <rFont val="Tahoma"/>
            <family val="2"/>
          </rPr>
          <t xml:space="preserve">
Digite el nombre de los rubros adicionales.</t>
        </r>
      </text>
    </comment>
    <comment ref="E26" authorId="0" shapeId="0">
      <text>
        <r>
          <rPr>
            <b/>
            <sz val="9"/>
            <color indexed="81"/>
            <rFont val="Tahoma"/>
            <family val="2"/>
          </rPr>
          <t>DARIO MAURICIO REYES GIRALDO:</t>
        </r>
        <r>
          <rPr>
            <sz val="9"/>
            <color indexed="81"/>
            <rFont val="Tahoma"/>
            <family val="2"/>
          </rPr>
          <t xml:space="preserve">
Digite el nombre de los rubros adicionales.</t>
        </r>
      </text>
    </comment>
    <comment ref="E27" authorId="0" shapeId="0">
      <text>
        <r>
          <rPr>
            <b/>
            <sz val="9"/>
            <color indexed="81"/>
            <rFont val="Tahoma"/>
            <family val="2"/>
          </rPr>
          <t>DARIO MAURICIO REYES GIRALDO:</t>
        </r>
        <r>
          <rPr>
            <sz val="9"/>
            <color indexed="81"/>
            <rFont val="Tahoma"/>
            <family val="2"/>
          </rPr>
          <t xml:space="preserve">
Digite el nombre de los rubros adicionales.</t>
        </r>
      </text>
    </comment>
    <comment ref="E28" authorId="0" shapeId="0">
      <text>
        <r>
          <rPr>
            <b/>
            <sz val="9"/>
            <color indexed="81"/>
            <rFont val="Tahoma"/>
            <family val="2"/>
          </rPr>
          <t>DARIO MAURICIO REYES GIRALDO:</t>
        </r>
        <r>
          <rPr>
            <sz val="9"/>
            <color indexed="81"/>
            <rFont val="Tahoma"/>
            <family val="2"/>
          </rPr>
          <t xml:space="preserve">
Digite el nombre de los rubros adicionales.</t>
        </r>
      </text>
    </comment>
    <comment ref="E29" authorId="0" shapeId="0">
      <text>
        <r>
          <rPr>
            <b/>
            <sz val="9"/>
            <color indexed="81"/>
            <rFont val="Tahoma"/>
            <family val="2"/>
          </rPr>
          <t>DARIO MAURICIO REYES GIRALDO:</t>
        </r>
        <r>
          <rPr>
            <sz val="9"/>
            <color indexed="81"/>
            <rFont val="Tahoma"/>
            <family val="2"/>
          </rPr>
          <t xml:space="preserve">
Digite el nombre de los rubros adicionales.</t>
        </r>
      </text>
    </comment>
    <comment ref="E30" authorId="0" shapeId="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authors>
    <author>DARIO MAURICIO REYES GIRALDO</author>
  </authors>
  <commentList>
    <comment ref="F4" authorId="0" shapeId="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C7" authorId="0" shapeId="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authors>
    <author>DARIO MAURICIO REYES GIRALDO</author>
  </authors>
  <commentList>
    <comment ref="E3" authorId="0" shapeId="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0" authorId="0" shapeId="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<sst xmlns="http://schemas.openxmlformats.org/spreadsheetml/2006/main" count="169" uniqueCount="161">
  <si>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</si>
  <si>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</si>
  <si>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</si>
  <si>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</si>
  <si>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</si>
  <si>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</si>
  <si>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</si>
  <si>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</si>
  <si>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</si>
  <si>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</si>
  <si>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</si>
  <si>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</si>
  <si>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</si>
  <si>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</si>
  <si>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</si>
  <si>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</si>
  <si>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</si>
  <si>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</si>
  <si>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</si>
  <si>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</si>
  <si>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</si>
  <si>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</si>
  <si>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</si>
  <si>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</si>
  <si>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</si>
  <si>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</si>
  <si>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</si>
  <si>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</si>
  <si>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</si>
  <si>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</si>
  <si>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</si>
  <si>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</si>
  <si>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</si>
  <si>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PRESUPUESTO DEL MARKETING MIX</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</si>
  <si>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</si>
  <si>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</si>
  <si>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</si>
  <si>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</si>
  <si>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</si>
  <si>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</si>
  <si>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</si>
  <si>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</si>
  <si>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</si>
  <si>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</si>
  <si>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</si>
  <si>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</si>
  <si>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</si>
  <si>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</si>
  <si>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</si>
  <si>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</si>
  <si>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</si>
  <si>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</si>
  <si>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</si>
  <si>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</si>
  <si>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</si>
  <si>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</si>
  <si>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</si>
  <si>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</si>
  <si>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</si>
  <si>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</si>
  <si>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</si>
  <si>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</si>
  <si>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</si>
  <si>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</si>
  <si>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</si>
  <si>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CUOTA A PAGAR</t>
  </si>
  <si>
    <t>ABONO A CAPITAL</t>
  </si>
  <si>
    <t>INTERESES</t>
  </si>
  <si>
    <t>SALDO DE LA DEUDA</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</si>
  <si>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</si>
  <si>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</si>
  <si>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</si>
  <si>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</si>
  <si>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</si>
  <si>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</si>
  <si>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</si>
  <si>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</si>
  <si>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</si>
  <si>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</si>
  <si>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</si>
  <si>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</si>
  <si>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</si>
  <si>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</si>
  <si>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</si>
  <si>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</si>
  <si>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</si>
  <si>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</si>
  <si>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</si>
  <si>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</si>
  <si>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</si>
  <si>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</si>
  <si>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</si>
  <si>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</si>
  <si>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</si>
  <si>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</si>
  <si>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</si>
  <si>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</si>
  <si>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</si>
  <si>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</si>
  <si>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</si>
  <si>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</si>
  <si>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</si>
  <si>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</si>
  <si>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</si>
  <si>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</si>
  <si>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</si>
  <si>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</si>
  <si>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</si>
  <si>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</si>
  <si>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</si>
  <si>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</si>
  <si>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</si>
  <si>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</si>
  <si>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</si>
  <si>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</si>
  <si>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</si>
  <si>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 xml:space="preserve">Tasa mínima de rentabilidad esperada por los emprendedores (TMR):  </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</si>
  <si>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</si>
  <si>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</si>
  <si>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</si>
  <si>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</si>
  <si>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</si>
  <si>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</si>
  <si>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</si>
  <si>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</si>
  <si>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</si>
  <si>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</si>
  <si>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</si>
  <si>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</si>
  <si>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</si>
  <si>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</si>
  <si>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</si>
  <si>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</si>
  <si>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</si>
  <si>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</si>
  <si>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</si>
  <si>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</si>
  <si>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</si>
  <si>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</si>
  <si>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</si>
  <si>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</si>
  <si>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</si>
  <si>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</si>
  <si>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</si>
  <si>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</si>
  <si>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</si>
  <si>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PATENTES /INV en INTANGIBLES</t>
  </si>
  <si>
    <t>Contenido anuncio publicitario menor a 0,06 Mpx</t>
  </si>
  <si>
    <t>Contenido anuncio publicitario mayor a 0,06 Mpx</t>
  </si>
  <si>
    <t>Pauta publicitaria en el home</t>
  </si>
  <si>
    <t>Pauta publicitaria en secciones</t>
  </si>
  <si>
    <t xml:space="preserve">  </t>
  </si>
  <si>
    <t>Contenido digital informativo y noticioso</t>
  </si>
  <si>
    <t>PÓLIZAS DE SEGUROS:</t>
  </si>
  <si>
    <t>SERVICIOS EN LA NUBE:</t>
  </si>
  <si>
    <t>Otros ingresos por concepto de donaciones</t>
  </si>
  <si>
    <t>SUSCRIPCIONES:</t>
  </si>
  <si>
    <t>PROGRAMAS TH:</t>
  </si>
  <si>
    <t>Formación nivel premium explotación de datos</t>
  </si>
  <si>
    <t>Formación y sensibilización en explotación de datos</t>
  </si>
  <si>
    <t>Pauta publicitaria en boletín electrónico</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</si>
</sst>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s>
  <fonts count="53">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10"/>
      <color rgb="FFFF0000"/>
      <name val="Arial"/>
      <family val="2"/>
    </font>
    <font>
      <b/>
      <sz val="20"/>
      <color theme="1"/>
      <name val="Aharoni"/>
      <charset val="177"/>
    </font>
    <font>
      <b/>
      <sz val="10"/>
      <color indexed="8"/>
      <name val="Arial"/>
      <family val="2"/>
    </font>
    <font>
      <sz val="10"/>
      <color indexed="8"/>
      <name val="Arial"/>
      <family val="2"/>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u/>
      <sz val="11"/>
      <color theme="1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right/>
      <top style="thin">
        <color auto="1"/>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double">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right/>
      <top/>
      <bottom style="thin">
        <color auto="1"/>
      </bottom>
      <diagonal/>
    </border>
  </borders>
  <cellStyleXfs count="49">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9" fillId="0" borderId="0" applyNumberFormat="0" applyFill="0" applyBorder="0" applyAlignment="0" applyProtection="0"/>
    <xf numFmtId="0" fontId="20" fillId="0" borderId="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cellStyleXfs>
  <cellXfs count="161">
    <xf numFmtId="0" fontId="0" fillId="0" borderId="0" xfId="0"/>
    <xf numFmtId="0" fontId="25" fillId="0" borderId="0" xfId="0" applyFont="1" applyFill="1" applyBorder="1" applyProtection="1">
      <protection hidden="1"/>
    </xf>
    <xf numFmtId="173" fontId="0" fillId="0" borderId="0" xfId="1" applyNumberFormat="1" applyFont="1" applyFill="1" applyProtection="1">
      <protection hidden="1"/>
    </xf>
    <xf numFmtId="173" fontId="0" fillId="0" borderId="8" xfId="1" applyNumberFormat="1" applyFont="1" applyFill="1" applyBorder="1" applyProtection="1">
      <protection hidden="1"/>
    </xf>
    <xf numFmtId="0" fontId="26" fillId="0" borderId="0" xfId="0" applyFont="1" applyFill="1" applyBorder="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Fill="1" applyProtection="1">
      <protection hidden="1"/>
    </xf>
    <xf numFmtId="176" fontId="0" fillId="0" borderId="0" xfId="1" applyNumberFormat="1" applyFont="1" applyFill="1" applyProtection="1">
      <protection hidden="1"/>
    </xf>
    <xf numFmtId="176" fontId="0" fillId="0" borderId="8"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Fill="1" applyBorder="1" applyProtection="1">
      <protection hidden="1"/>
    </xf>
    <xf numFmtId="166" fontId="29" fillId="4" borderId="0" xfId="1" applyFont="1" applyFill="1" applyProtection="1">
      <protection locked="0"/>
    </xf>
    <xf numFmtId="0" fontId="0" fillId="0" borderId="0" xfId="0" applyProtection="1">
      <protection hidden="1"/>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5" xfId="0" applyFont="1" applyFill="1" applyBorder="1" applyProtection="1">
      <protection hidden="1"/>
    </xf>
    <xf numFmtId="0" fontId="13" fillId="0" borderId="6" xfId="0" applyFont="1" applyFill="1" applyBorder="1" applyAlignment="1" applyProtection="1">
      <alignment horizontal="center"/>
      <protection hidden="1"/>
    </xf>
    <xf numFmtId="0" fontId="13" fillId="0" borderId="7" xfId="0" applyFont="1" applyFill="1" applyBorder="1" applyAlignment="1" applyProtection="1">
      <alignment horizontal="center"/>
      <protection hidden="1"/>
    </xf>
    <xf numFmtId="0" fontId="3" fillId="0" borderId="14" xfId="0" applyFont="1" applyBorder="1" applyAlignment="1" applyProtection="1">
      <alignment wrapText="1"/>
      <protection hidden="1"/>
    </xf>
    <xf numFmtId="0" fontId="3" fillId="0" borderId="12" xfId="0" applyFont="1" applyBorder="1" applyProtection="1">
      <protection hidden="1"/>
    </xf>
    <xf numFmtId="0" fontId="3" fillId="0" borderId="5" xfId="0" applyFont="1" applyBorder="1" applyProtection="1">
      <protection hidden="1"/>
    </xf>
    <xf numFmtId="0" fontId="0" fillId="0" borderId="6" xfId="0" applyBorder="1" applyProtection="1">
      <protection hidden="1"/>
    </xf>
    <xf numFmtId="0" fontId="0" fillId="0" borderId="7"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5" xfId="2" applyNumberFormat="1" applyFont="1" applyFill="1" applyBorder="1" applyProtection="1">
      <protection locked="0"/>
    </xf>
    <xf numFmtId="170" fontId="30" fillId="6" borderId="4" xfId="2" applyNumberFormat="1" applyFont="1" applyFill="1" applyBorder="1" applyProtection="1">
      <protection locked="0"/>
    </xf>
    <xf numFmtId="170" fontId="30" fillId="6" borderId="13" xfId="2" applyNumberFormat="1" applyFont="1" applyFill="1" applyBorder="1" applyProtection="1">
      <protection locked="0"/>
    </xf>
    <xf numFmtId="170" fontId="30" fillId="6" borderId="6" xfId="2" applyNumberFormat="1" applyFont="1" applyFill="1" applyBorder="1" applyProtection="1">
      <protection locked="0"/>
    </xf>
    <xf numFmtId="168" fontId="7" fillId="5" borderId="1" xfId="1" applyNumberFormat="1" applyFont="1" applyFill="1" applyBorder="1" applyProtection="1">
      <protection hidden="1"/>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Border="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3" xfId="0" applyFont="1" applyBorder="1" applyProtection="1">
      <protection hidden="1"/>
    </xf>
    <xf numFmtId="174" fontId="2" fillId="0" borderId="3"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16" fillId="0" borderId="2" xfId="0" applyFont="1" applyFill="1" applyBorder="1" applyAlignment="1" applyProtection="1">
      <alignment horizontal="center" vertical="center" wrapText="1"/>
      <protection hidden="1"/>
    </xf>
    <xf numFmtId="0" fontId="37" fillId="0" borderId="2" xfId="0" applyFont="1" applyFill="1" applyBorder="1" applyAlignment="1" applyProtection="1">
      <alignment horizontal="center"/>
      <protection hidden="1"/>
    </xf>
    <xf numFmtId="173" fontId="20" fillId="0" borderId="2" xfId="1" applyNumberFormat="1" applyFont="1" applyFill="1" applyBorder="1" applyProtection="1">
      <protection hidden="1"/>
    </xf>
    <xf numFmtId="173" fontId="38" fillId="0" borderId="2" xfId="1" applyNumberFormat="1" applyFont="1" applyFill="1" applyBorder="1" applyProtection="1">
      <protection hidden="1"/>
    </xf>
    <xf numFmtId="173" fontId="35" fillId="0" borderId="2" xfId="1" applyNumberFormat="1" applyFont="1" applyFill="1" applyBorder="1" applyProtection="1">
      <protection hidden="1"/>
    </xf>
    <xf numFmtId="173" fontId="37" fillId="0" borderId="2" xfId="1" applyNumberFormat="1" applyFont="1" applyFill="1" applyBorder="1" applyProtection="1">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10"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8" fillId="0" borderId="11" xfId="0" applyFont="1" applyBorder="1" applyAlignment="1" applyProtection="1">
      <alignment horizontal="center" vertical="center"/>
      <protection hidden="1"/>
    </xf>
    <xf numFmtId="0" fontId="0" fillId="0" borderId="12" xfId="0" applyBorder="1" applyProtection="1">
      <protection hidden="1"/>
    </xf>
    <xf numFmtId="0" fontId="34" fillId="0" borderId="0" xfId="0" applyFont="1" applyAlignment="1" applyProtection="1">
      <alignment wrapText="1"/>
      <protection hidden="1"/>
    </xf>
    <xf numFmtId="0" fontId="6" fillId="0" borderId="0" xfId="0" applyFont="1" applyAlignment="1" applyProtection="1">
      <protection hidden="1"/>
    </xf>
    <xf numFmtId="166" fontId="6" fillId="0" borderId="0" xfId="0" applyNumberFormat="1" applyFont="1" applyAlignme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6" fontId="0" fillId="0" borderId="0" xfId="0" applyNumberFormat="1" applyAlignment="1" applyProtection="1">
      <protection hidden="1"/>
    </xf>
    <xf numFmtId="9" fontId="0" fillId="0" borderId="0" xfId="0" applyNumberFormat="1" applyProtection="1">
      <protection hidden="1"/>
    </xf>
    <xf numFmtId="167" fontId="36" fillId="0" borderId="0" xfId="4" applyFont="1" applyProtection="1">
      <protection hidden="1"/>
    </xf>
    <xf numFmtId="166" fontId="36" fillId="0" borderId="0" xfId="1" applyFont="1" applyProtection="1">
      <protection hidden="1"/>
    </xf>
    <xf numFmtId="0" fontId="2" fillId="0" borderId="0" xfId="0" applyFont="1" applyProtection="1">
      <protection hidden="1"/>
    </xf>
    <xf numFmtId="167" fontId="2" fillId="0" borderId="0" xfId="4" applyFont="1" applyProtection="1">
      <protection hidden="1"/>
    </xf>
    <xf numFmtId="166" fontId="18" fillId="0" borderId="0" xfId="1" applyFont="1" applyProtection="1">
      <protection hidden="1"/>
    </xf>
    <xf numFmtId="0" fontId="19" fillId="0" borderId="0" xfId="0" applyFont="1" applyAlignment="1" applyProtection="1">
      <alignment wrapText="1"/>
      <protection locked="0"/>
    </xf>
    <xf numFmtId="0" fontId="21" fillId="0" borderId="9"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18" fillId="0" borderId="0" xfId="0" applyNumberFormat="1" applyFont="1" applyProtection="1">
      <protection hidden="1"/>
    </xf>
    <xf numFmtId="0" fontId="22" fillId="0" borderId="5" xfId="0" applyFont="1" applyBorder="1" applyProtection="1">
      <protection hidden="1"/>
    </xf>
    <xf numFmtId="2" fontId="42" fillId="7" borderId="6" xfId="0" applyNumberFormat="1" applyFont="1" applyFill="1" applyBorder="1" applyProtection="1">
      <protection hidden="1"/>
    </xf>
    <xf numFmtId="0" fontId="41" fillId="0" borderId="7" xfId="0" applyFont="1" applyBorder="1" applyProtection="1">
      <protection hidden="1"/>
    </xf>
    <xf numFmtId="0" fontId="44" fillId="0" borderId="5" xfId="0" applyFont="1" applyBorder="1" applyProtection="1">
      <protection hidden="1"/>
    </xf>
    <xf numFmtId="179" fontId="45" fillId="0" borderId="4" xfId="0" applyNumberFormat="1" applyFont="1" applyBorder="1" applyProtection="1">
      <protection hidden="1"/>
    </xf>
    <xf numFmtId="179" fontId="45" fillId="0" borderId="13" xfId="0" applyNumberFormat="1" applyFont="1" applyBorder="1" applyProtection="1">
      <protection hidden="1"/>
    </xf>
    <xf numFmtId="0" fontId="0" fillId="0" borderId="0" xfId="0" applyNumberFormat="1" applyProtection="1">
      <protection hidden="1"/>
    </xf>
    <xf numFmtId="165" fontId="42" fillId="5" borderId="7" xfId="0" applyNumberFormat="1" applyFont="1" applyFill="1" applyBorder="1" applyProtection="1">
      <protection hidden="1"/>
    </xf>
    <xf numFmtId="10" fontId="43" fillId="0" borderId="7" xfId="2" applyNumberFormat="1" applyFont="1" applyBorder="1" applyAlignment="1" applyProtection="1">
      <alignment horizontal="center" vertical="center"/>
      <protection hidden="1"/>
    </xf>
    <xf numFmtId="0" fontId="48" fillId="0" borderId="0" xfId="0" applyFont="1" applyAlignment="1" applyProtection="1">
      <alignment wrapText="1"/>
      <protection hidden="1"/>
    </xf>
    <xf numFmtId="0" fontId="49" fillId="0" borderId="0" xfId="0" applyFont="1" applyProtection="1">
      <protection hidden="1"/>
    </xf>
    <xf numFmtId="0" fontId="50" fillId="0" borderId="0" xfId="0" applyFont="1" applyAlignment="1" applyProtection="1">
      <alignment wrapText="1"/>
      <protection hidden="1"/>
    </xf>
    <xf numFmtId="0" fontId="51" fillId="0" borderId="0" xfId="0" applyFont="1" applyProtection="1">
      <protection hidden="1"/>
    </xf>
    <xf numFmtId="0" fontId="29" fillId="4" borderId="0" xfId="0" applyFont="1" applyFill="1" applyAlignment="1" applyProtection="1">
      <alignment wrapText="1"/>
      <protection locked="0"/>
    </xf>
    <xf numFmtId="0" fontId="40"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3" fillId="2" borderId="4" xfId="0" applyFont="1" applyFill="1" applyBorder="1" applyAlignment="1" applyProtection="1">
      <alignment horizontal="left" wrapText="1"/>
      <protection hidden="1"/>
    </xf>
    <xf numFmtId="0" fontId="3" fillId="2" borderId="13" xfId="0" applyFont="1" applyFill="1" applyBorder="1" applyAlignment="1" applyProtection="1">
      <alignment horizontal="left" wrapText="1"/>
      <protection hidden="1"/>
    </xf>
    <xf numFmtId="0" fontId="4" fillId="0" borderId="16" xfId="0" applyFont="1" applyBorder="1" applyAlignment="1" applyProtection="1">
      <alignment horizontal="center"/>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6"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29" fillId="4" borderId="0" xfId="0" applyFont="1" applyFill="1" applyAlignment="1" applyProtection="1">
      <alignment horizontal="left"/>
      <protection locked="0"/>
    </xf>
    <xf numFmtId="0" fontId="29" fillId="4" borderId="0" xfId="0" applyFont="1" applyFill="1" applyAlignment="1" applyProtection="1">
      <protection locked="0"/>
    </xf>
  </cellXfs>
  <cellStyles count="49">
    <cellStyle name="Hipervínculo" xfId="5" builtinId="8"/>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Millares" xfId="4" builtinId="3"/>
    <cellStyle name="Millares_Modelo Financiero ACME Final 2" xfId="3"/>
    <cellStyle name="Moneda" xfId="1" builtinId="4"/>
    <cellStyle name="Normal" xfId="0" builtinId="0"/>
    <cellStyle name="Normal 2" xfId="6"/>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99"/>
          <c:y val="4.2355815040486799E-2"/>
          <c:w val="0.70800194207522704"/>
          <c:h val="0.80141434497983799"/>
        </c:manualLayout>
      </c:layout>
      <c:lineChart>
        <c:grouping val="standard"/>
        <c:varyColors val="0"/>
        <c:ser>
          <c:idx val="0"/>
          <c:order val="0"/>
          <c:tx>
            <c:strRef>
              <c:f>'5'!$C$31</c:f>
              <c:strCache>
                <c:ptCount val="1"/>
                <c:pt idx="0">
                  <c:v>COSTOS FIJO</c:v>
                </c:pt>
              </c:strCache>
            </c:strRef>
          </c:tx>
          <c:marker>
            <c:symbol val="none"/>
          </c:marker>
          <c:cat>
            <c:numRef>
              <c:f>'5'!$B$32:$B$34</c:f>
              <c:numCache>
                <c:formatCode>_(* #,##0.00_);_(* \(#,##0.00\);_(* "-"??_);_(@_)</c:formatCode>
                <c:ptCount val="3"/>
                <c:pt idx="0" formatCode="General">
                  <c:v>0</c:v>
                </c:pt>
                <c:pt idx="1">
                  <c:v>214.19223010994705</c:v>
                </c:pt>
                <c:pt idx="2">
                  <c:v>428.38446021989409</c:v>
                </c:pt>
              </c:numCache>
            </c:numRef>
          </c:cat>
          <c:val>
            <c:numRef>
              <c:f>'5'!$C$32:$C$34</c:f>
              <c:numCache>
                <c:formatCode>_("$"\ * #,##0.00_);_("$"\ * \(#,##0.00\);_("$"\ * "-"??_);_(@_)</c:formatCode>
                <c:ptCount val="3"/>
                <c:pt idx="0">
                  <c:v>380926000</c:v>
                </c:pt>
                <c:pt idx="1">
                  <c:v>380926000</c:v>
                </c:pt>
                <c:pt idx="2">
                  <c:v>380926000</c:v>
                </c:pt>
              </c:numCache>
            </c:numRef>
          </c:val>
          <c:smooth val="0"/>
        </c:ser>
        <c:ser>
          <c:idx val="1"/>
          <c:order val="1"/>
          <c:tx>
            <c:strRef>
              <c:f>'5'!$D$31</c:f>
              <c:strCache>
                <c:ptCount val="1"/>
                <c:pt idx="0">
                  <c:v>INGRESOS</c:v>
                </c:pt>
              </c:strCache>
            </c:strRef>
          </c:tx>
          <c:marker>
            <c:symbol val="none"/>
          </c:marker>
          <c:cat>
            <c:numRef>
              <c:f>'5'!$B$32:$B$34</c:f>
              <c:numCache>
                <c:formatCode>_(* #,##0.00_);_(* \(#,##0.00\);_(* "-"??_);_(@_)</c:formatCode>
                <c:ptCount val="3"/>
                <c:pt idx="0" formatCode="General">
                  <c:v>0</c:v>
                </c:pt>
                <c:pt idx="1">
                  <c:v>214.19223010994705</c:v>
                </c:pt>
                <c:pt idx="2">
                  <c:v>428.38446021989409</c:v>
                </c:pt>
              </c:numCache>
            </c:numRef>
          </c:cat>
          <c:val>
            <c:numRef>
              <c:f>'5'!$D$32:$D$34</c:f>
              <c:numCache>
                <c:formatCode>_("$"\ * #,##0.00_);_("$"\ * \(#,##0.00\);_("$"\ * "-"??_);_(@_)</c:formatCode>
                <c:ptCount val="3"/>
                <c:pt idx="0" formatCode="General">
                  <c:v>0</c:v>
                </c:pt>
                <c:pt idx="1">
                  <c:v>381965197.54773772</c:v>
                </c:pt>
                <c:pt idx="2">
                  <c:v>763930395.09547544</c:v>
                </c:pt>
              </c:numCache>
            </c:numRef>
          </c:val>
          <c:smooth val="0"/>
        </c:ser>
        <c:ser>
          <c:idx val="2"/>
          <c:order val="2"/>
          <c:tx>
            <c:strRef>
              <c:f>'5'!$F$31</c:f>
              <c:strCache>
                <c:ptCount val="1"/>
                <c:pt idx="0">
                  <c:v>COSTO TOTAL</c:v>
                </c:pt>
              </c:strCache>
            </c:strRef>
          </c:tx>
          <c:marker>
            <c:symbol val="none"/>
          </c:marker>
          <c:cat>
            <c:numRef>
              <c:f>'5'!$B$32:$B$34</c:f>
              <c:numCache>
                <c:formatCode>_(* #,##0.00_);_(* \(#,##0.00\);_(* "-"??_);_(@_)</c:formatCode>
                <c:ptCount val="3"/>
                <c:pt idx="0" formatCode="General">
                  <c:v>0</c:v>
                </c:pt>
                <c:pt idx="1">
                  <c:v>214.19223010994705</c:v>
                </c:pt>
                <c:pt idx="2">
                  <c:v>428.38446021989409</c:v>
                </c:pt>
              </c:numCache>
            </c:numRef>
          </c:cat>
          <c:val>
            <c:numRef>
              <c:f>'5'!$F$32:$F$34</c:f>
              <c:numCache>
                <c:formatCode>_("$"\ * #,##0.00_);_("$"\ * \(#,##0.00\);_("$"\ * "-"??_);_(@_)</c:formatCode>
                <c:ptCount val="3"/>
                <c:pt idx="0">
                  <c:v>380926000</c:v>
                </c:pt>
                <c:pt idx="1">
                  <c:v>381965197.54773766</c:v>
                </c:pt>
                <c:pt idx="2">
                  <c:v>383004395.09547538</c:v>
                </c:pt>
              </c:numCache>
            </c:numRef>
          </c:val>
          <c:smooth val="0"/>
        </c:ser>
        <c:dLbls>
          <c:showLegendKey val="0"/>
          <c:showVal val="0"/>
          <c:showCatName val="0"/>
          <c:showSerName val="0"/>
          <c:showPercent val="0"/>
          <c:showBubbleSize val="0"/>
        </c:dLbls>
        <c:smooth val="0"/>
        <c:axId val="347689472"/>
        <c:axId val="347684768"/>
      </c:lineChart>
      <c:catAx>
        <c:axId val="347689472"/>
        <c:scaling>
          <c:orientation val="minMax"/>
        </c:scaling>
        <c:delete val="0"/>
        <c:axPos val="b"/>
        <c:numFmt formatCode="General" sourceLinked="1"/>
        <c:majorTickMark val="out"/>
        <c:minorTickMark val="none"/>
        <c:tickLblPos val="nextTo"/>
        <c:crossAx val="347684768"/>
        <c:crosses val="autoZero"/>
        <c:auto val="1"/>
        <c:lblAlgn val="ctr"/>
        <c:lblOffset val="100"/>
        <c:noMultiLvlLbl val="0"/>
      </c:catAx>
      <c:valAx>
        <c:axId val="34768476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347689472"/>
        <c:crosses val="autoZero"/>
        <c:crossBetween val="midCat"/>
      </c:valAx>
    </c:plotArea>
    <c:legend>
      <c:legendPos val="r"/>
      <c:layout>
        <c:manualLayout>
          <c:xMode val="edge"/>
          <c:yMode val="edge"/>
          <c:x val="2.2698594538394699E-2"/>
          <c:y val="0.93824729917921001"/>
          <c:w val="0.95884696821386695"/>
          <c:h val="5.8173535020252402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mailto:dmreyes@ean.edu.co" TargetMode="External"/><Relationship Id="rId3" Type="http://schemas.openxmlformats.org/officeDocument/2006/relationships/hyperlink" Target="#'3'!A1"/><Relationship Id="rId7" Type="http://schemas.openxmlformats.org/officeDocument/2006/relationships/image" Target="../media/image2.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image" Target="../media/image1.jpeg"/><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editAs="oneCell">
    <xdr:from>
      <xdr:col>8</xdr:col>
      <xdr:colOff>666750</xdr:colOff>
      <xdr:row>1</xdr:row>
      <xdr:rowOff>47625</xdr:rowOff>
    </xdr:from>
    <xdr:to>
      <xdr:col>9</xdr:col>
      <xdr:colOff>742950</xdr:colOff>
      <xdr:row>5</xdr:row>
      <xdr:rowOff>123825</xdr:rowOff>
    </xdr:to>
    <xdr:pic>
      <xdr:nvPicPr>
        <xdr:cNvPr id="10" name="9 Imagen"/>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000750" y="47625"/>
          <a:ext cx="838200" cy="838200"/>
        </a:xfrm>
        <a:prstGeom prst="rect">
          <a:avLst/>
        </a:prstGeom>
      </xdr:spPr>
    </xdr:pic>
    <xdr:clientData/>
  </xdr:twoCellAnchor>
  <xdr:twoCellAnchor editAs="oneCell">
    <xdr:from>
      <xdr:col>8</xdr:col>
      <xdr:colOff>476250</xdr:colOff>
      <xdr:row>18</xdr:row>
      <xdr:rowOff>171450</xdr:rowOff>
    </xdr:from>
    <xdr:to>
      <xdr:col>9</xdr:col>
      <xdr:colOff>733425</xdr:colOff>
      <xdr:row>23</xdr:row>
      <xdr:rowOff>95250</xdr:rowOff>
    </xdr:to>
    <xdr:pic>
      <xdr:nvPicPr>
        <xdr:cNvPr id="11" name="10 Imagen"/>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810250" y="3409950"/>
          <a:ext cx="1019175" cy="94297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xdr:from>
      <xdr:col>1</xdr:col>
      <xdr:colOff>28575</xdr:colOff>
      <xdr:row>20</xdr:row>
      <xdr:rowOff>38100</xdr:rowOff>
    </xdr:from>
    <xdr:to>
      <xdr:col>5</xdr:col>
      <xdr:colOff>19050</xdr:colOff>
      <xdr:row>23</xdr:row>
      <xdr:rowOff>174625</xdr:rowOff>
    </xdr:to>
    <xdr:sp macro="" textlink="">
      <xdr:nvSpPr>
        <xdr:cNvPr id="13" name="12 CuadroTexto">
          <a:hlinkClick xmlns:r="http://schemas.openxmlformats.org/officeDocument/2006/relationships" r:id="rId8"/>
        </xdr:cNvPr>
        <xdr:cNvSpPr txBox="1"/>
      </xdr:nvSpPr>
      <xdr:spPr>
        <a:xfrm>
          <a:off x="790575" y="38481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12</xdr:row>
      <xdr:rowOff>128589</xdr:rowOff>
    </xdr:from>
    <xdr:to>
      <xdr:col>12</xdr:col>
      <xdr:colOff>190498</xdr:colOff>
      <xdr:row>25</xdr:row>
      <xdr:rowOff>28576</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25</xdr:row>
      <xdr:rowOff>161925</xdr:rowOff>
    </xdr:from>
    <xdr:to>
      <xdr:col>9</xdr:col>
      <xdr:colOff>219076</xdr:colOff>
      <xdr:row>27</xdr:row>
      <xdr:rowOff>9525</xdr:rowOff>
    </xdr:to>
    <xdr:sp macro="" textlink="">
      <xdr:nvSpPr>
        <xdr:cNvPr id="4" name="3 CuadroTexto">
          <a:hlinkClick xmlns:r="http://schemas.openxmlformats.org/officeDocument/2006/relationships" r:id="rId2"/>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29</xdr:row>
      <xdr:rowOff>154781</xdr:rowOff>
    </xdr:from>
    <xdr:to>
      <xdr:col>12</xdr:col>
      <xdr:colOff>14288</xdr:colOff>
      <xdr:row>33</xdr:row>
      <xdr:rowOff>100806</xdr:rowOff>
    </xdr:to>
    <xdr:sp macro="" textlink="">
      <xdr:nvSpPr>
        <xdr:cNvPr id="6" name="12 CuadroTexto">
          <a:hlinkClick xmlns:r="http://schemas.openxmlformats.org/officeDocument/2006/relationships" r:id="rId3"/>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23:H23"/>
  <sheetViews>
    <sheetView showGridLines="0" showRowColHeaders="0" view="pageBreakPreview" zoomScaleSheetLayoutView="100" workbookViewId="0"/>
  </sheetViews>
  <sheetFormatPr baseColWidth="10" defaultRowHeight="15"/>
  <sheetData>
    <row r="23" spans="7:8" ht="20.25">
      <c r="G23" s="136" t="s">
        <v>141</v>
      </c>
      <c r="H23" s="136"/>
    </row>
  </sheetData>
  <sheetProtection algorithmName="SHA-512" hashValue="w7o8B0vDoULacAT6Rz/HbImcUGMOf7RSirm2RUdrsBQIMz1K5MNXoDhp0Uj9KZq+Cddi/1PrV9/mPlTX0Qb5oQ==" saltValue="v95PXxlUZ7BcDNRqIygo5A==" spinCount="100000" sheet="1" objects="1" scenarios="1"/>
  <mergeCells count="1">
    <mergeCell ref="G23:H23"/>
  </mergeCells>
  <hyperlinks>
    <hyperlink ref="G23" r:id="rId1"/>
  </hyperlinks>
  <pageMargins left="0.7" right="0.7" top="0.75" bottom="0.75" header="0.3" footer="0.3"/>
  <pageSetup orientation="portrait" horizontalDpi="4294967295" verticalDpi="4294967295" r:id="rId2"/>
  <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C35"/>
  <sheetViews>
    <sheetView showGridLines="0" tabSelected="1" zoomScale="90" zoomScaleNormal="90" zoomScalePageLayoutView="90" workbookViewId="0">
      <pane xSplit="6" ySplit="2" topLeftCell="G3" activePane="bottomRight" state="frozenSplit"/>
      <selection activeCell="B40" sqref="B40"/>
      <selection pane="topRight" activeCell="B40" sqref="B40"/>
      <selection pane="bottomLeft" activeCell="B40" sqref="B40"/>
      <selection pane="bottomRight" activeCell="A15" sqref="A15:E15"/>
    </sheetView>
  </sheetViews>
  <sheetFormatPr baseColWidth="10" defaultColWidth="10.85546875" defaultRowHeight="15"/>
  <cols>
    <col min="1" max="1" width="22.42578125" style="14" customWidth="1"/>
    <col min="2" max="2" width="44.7109375" style="14" customWidth="1"/>
    <col min="3" max="3" width="17.42578125" style="14" bestFit="1" customWidth="1"/>
    <col min="4" max="4" width="21" style="14" customWidth="1"/>
    <col min="5" max="6" width="17.42578125" style="14" bestFit="1" customWidth="1"/>
    <col min="7" max="10" width="9.85546875" style="14" bestFit="1" customWidth="1"/>
    <col min="11" max="11" width="4.28515625" style="14" customWidth="1"/>
    <col min="12" max="15" width="11.42578125" style="14" hidden="1" customWidth="1"/>
    <col min="16" max="19" width="12" style="14" hidden="1" customWidth="1"/>
    <col min="20" max="24" width="15.42578125" style="14" hidden="1" customWidth="1"/>
    <col min="25" max="25" width="12.42578125" style="14" bestFit="1" customWidth="1"/>
    <col min="26" max="27" width="9.85546875" style="14" bestFit="1" customWidth="1"/>
    <col min="28" max="28" width="11.42578125" style="14" bestFit="1" customWidth="1"/>
    <col min="29" max="29" width="9.85546875" style="14" bestFit="1" customWidth="1"/>
    <col min="30" max="16384" width="10.85546875" style="14"/>
  </cols>
  <sheetData>
    <row r="1" spans="1:29" ht="30.75" customHeight="1">
      <c r="A1" s="138" t="s">
        <v>5</v>
      </c>
      <c r="B1" s="138"/>
      <c r="C1" s="138"/>
      <c r="D1" s="138"/>
      <c r="E1" s="138"/>
      <c r="G1" s="139" t="s">
        <v>12</v>
      </c>
      <c r="H1" s="139"/>
      <c r="I1" s="139"/>
      <c r="J1" s="139"/>
      <c r="P1" s="14" t="s">
        <v>16</v>
      </c>
      <c r="Y1" s="15" t="s">
        <v>9</v>
      </c>
      <c r="Z1" s="52">
        <v>2019</v>
      </c>
      <c r="AA1" s="16"/>
    </row>
    <row r="2" spans="1:29" ht="32.25" customHeight="1" thickBot="1">
      <c r="B2" s="17" t="s">
        <v>4</v>
      </c>
      <c r="C2" s="18" t="s">
        <v>0</v>
      </c>
      <c r="D2" s="17" t="s">
        <v>7</v>
      </c>
      <c r="E2" s="18" t="s">
        <v>1</v>
      </c>
      <c r="F2" s="19" t="s">
        <v>27</v>
      </c>
      <c r="G2" s="20">
        <f>'1'!Z1+1</f>
        <v>2020</v>
      </c>
      <c r="H2" s="20">
        <f>G2+1</f>
        <v>2021</v>
      </c>
      <c r="I2" s="20">
        <f t="shared" ref="I2:J2" si="0">H2+1</f>
        <v>2022</v>
      </c>
      <c r="J2" s="20">
        <f t="shared" si="0"/>
        <v>2023</v>
      </c>
      <c r="L2" s="14">
        <f>G2</f>
        <v>2020</v>
      </c>
      <c r="M2" s="14">
        <f>H2</f>
        <v>2021</v>
      </c>
      <c r="N2" s="14">
        <f>M2+1</f>
        <v>2022</v>
      </c>
      <c r="O2" s="14">
        <f>N2+1</f>
        <v>2023</v>
      </c>
      <c r="P2" s="14" t="s">
        <v>13</v>
      </c>
      <c r="Q2" s="14" t="s">
        <v>11</v>
      </c>
      <c r="R2" s="14" t="s">
        <v>23</v>
      </c>
      <c r="S2" s="14" t="s">
        <v>24</v>
      </c>
      <c r="T2" s="14" t="s">
        <v>17</v>
      </c>
      <c r="U2" s="14" t="s">
        <v>18</v>
      </c>
      <c r="V2" s="14" t="s">
        <v>25</v>
      </c>
      <c r="W2" s="14" t="s">
        <v>26</v>
      </c>
      <c r="Y2" s="16"/>
      <c r="Z2" s="16"/>
      <c r="AA2" s="16"/>
    </row>
    <row r="3" spans="1:29" ht="20.100000000000001" customHeight="1" thickBot="1">
      <c r="A3" s="21">
        <v>1</v>
      </c>
      <c r="B3" s="135" t="s">
        <v>149</v>
      </c>
      <c r="C3" s="59">
        <v>96</v>
      </c>
      <c r="D3" s="13">
        <v>2350000</v>
      </c>
      <c r="E3" s="22">
        <f>C3*D3</f>
        <v>225600000</v>
      </c>
      <c r="F3" s="23">
        <f>IF($E$13=0,0,E3/$E$13)</f>
        <v>0.47027432641608274</v>
      </c>
      <c r="G3" s="51">
        <v>0.05</v>
      </c>
      <c r="H3" s="51">
        <v>7.0000000000000007E-2</v>
      </c>
      <c r="I3" s="51">
        <v>7.0000000000000007E-2</v>
      </c>
      <c r="J3" s="51">
        <v>0.08</v>
      </c>
      <c r="K3" s="24"/>
      <c r="L3" s="14">
        <f t="shared" ref="L3:L12" si="1">C3*(1+G3)</f>
        <v>100.80000000000001</v>
      </c>
      <c r="M3" s="14">
        <f>L3*(1+H3)</f>
        <v>107.85600000000002</v>
      </c>
      <c r="N3" s="14">
        <f t="shared" ref="N3:O3" si="2">M3*(1+I3)</f>
        <v>115.40592000000004</v>
      </c>
      <c r="O3" s="14">
        <f t="shared" si="2"/>
        <v>124.63839360000004</v>
      </c>
      <c r="P3" s="25">
        <f>D3*(1+'1'!$Z$4)</f>
        <v>2422850</v>
      </c>
      <c r="Q3" s="25">
        <f>P3*(1+'1'!$AA$4)</f>
        <v>2499169.7750000004</v>
      </c>
      <c r="R3" s="25">
        <f>Q3*(1+'1'!$AB$4)</f>
        <v>2574144.8682500003</v>
      </c>
      <c r="S3" s="25">
        <f>R3*(1+'1'!$AC$4)</f>
        <v>2651369.2142975004</v>
      </c>
      <c r="T3" s="26">
        <f>L3*P3</f>
        <v>244223280.00000003</v>
      </c>
      <c r="U3" s="26">
        <f>M3*Q3</f>
        <v>269550455.2524001</v>
      </c>
      <c r="V3" s="26">
        <f>N3*R3</f>
        <v>297071556.73367018</v>
      </c>
      <c r="W3" s="26">
        <f>O3*S3</f>
        <v>330462399.71053475</v>
      </c>
      <c r="X3" s="26"/>
      <c r="Y3" s="27" t="s">
        <v>10</v>
      </c>
      <c r="Z3" s="28">
        <f>G2</f>
        <v>2020</v>
      </c>
      <c r="AA3" s="28">
        <f>Z3+1</f>
        <v>2021</v>
      </c>
      <c r="AB3" s="28">
        <f t="shared" ref="AB3:AC3" si="3">AA3+1</f>
        <v>2022</v>
      </c>
      <c r="AC3" s="29">
        <f t="shared" si="3"/>
        <v>2023</v>
      </c>
    </row>
    <row r="4" spans="1:29" ht="20.100000000000001" customHeight="1">
      <c r="A4" s="21">
        <f>A3+1</f>
        <v>2</v>
      </c>
      <c r="B4" s="135" t="s">
        <v>150</v>
      </c>
      <c r="C4" s="59">
        <v>60</v>
      </c>
      <c r="D4" s="13">
        <v>1700000</v>
      </c>
      <c r="E4" s="22">
        <f t="shared" ref="E4:E12" si="4">C4*D4</f>
        <v>102000000</v>
      </c>
      <c r="F4" s="23">
        <f t="shared" ref="F4:F12" si="5">IF($E$13=0,0,E4/$E$13)</f>
        <v>0.21262403056046292</v>
      </c>
      <c r="G4" s="51">
        <v>0.04</v>
      </c>
      <c r="H4" s="51">
        <v>0.06</v>
      </c>
      <c r="I4" s="51">
        <v>0.06</v>
      </c>
      <c r="J4" s="51">
        <v>7.0000000000000007E-2</v>
      </c>
      <c r="K4" s="24"/>
      <c r="L4" s="14">
        <f t="shared" si="1"/>
        <v>62.400000000000006</v>
      </c>
      <c r="M4" s="14">
        <f t="shared" ref="M4:M12" si="6">L4*(1+H4)</f>
        <v>66.144000000000005</v>
      </c>
      <c r="N4" s="14">
        <f t="shared" ref="N4:N12" si="7">M4*(1+I4)</f>
        <v>70.112640000000013</v>
      </c>
      <c r="O4" s="14">
        <f t="shared" ref="O4:O12" si="8">N4*(1+J4)</f>
        <v>75.020524800000018</v>
      </c>
      <c r="P4" s="25">
        <f>D4*(1+'1'!$Z$4)</f>
        <v>1752699.9999999998</v>
      </c>
      <c r="Q4" s="25">
        <f>P4*(1+'1'!$AA$4)</f>
        <v>1807910.0499999998</v>
      </c>
      <c r="R4" s="25">
        <f>Q4*(1+'1'!$AB$4)</f>
        <v>1862147.3514999999</v>
      </c>
      <c r="S4" s="25">
        <f>R4*(1+'1'!$AC$4)</f>
        <v>1918011.772045</v>
      </c>
      <c r="T4" s="26">
        <f t="shared" ref="T4:T12" si="9">L4*P4</f>
        <v>109368480</v>
      </c>
      <c r="U4" s="26">
        <f t="shared" ref="U4:U12" si="10">M4*Q4</f>
        <v>119582402.34719999</v>
      </c>
      <c r="V4" s="26">
        <f t="shared" ref="V4:V12" si="11">N4*R4</f>
        <v>130560066.88267298</v>
      </c>
      <c r="W4" s="26">
        <f t="shared" ref="W4:W12" si="12">O4*S4</f>
        <v>143890249.71139389</v>
      </c>
      <c r="X4" s="26"/>
      <c r="Y4" s="30" t="s">
        <v>14</v>
      </c>
      <c r="Z4" s="53">
        <v>3.1E-2</v>
      </c>
      <c r="AA4" s="53">
        <v>3.15E-2</v>
      </c>
      <c r="AB4" s="53">
        <v>0.03</v>
      </c>
      <c r="AC4" s="54">
        <v>0.03</v>
      </c>
    </row>
    <row r="5" spans="1:29" ht="20.100000000000001" customHeight="1" thickBot="1">
      <c r="A5" s="21">
        <f t="shared" ref="A5:A12" si="13">A4+1</f>
        <v>3</v>
      </c>
      <c r="B5" s="135" t="s">
        <v>160</v>
      </c>
      <c r="C5" s="59">
        <v>10</v>
      </c>
      <c r="D5" s="13">
        <v>3500000</v>
      </c>
      <c r="E5" s="22">
        <f t="shared" si="4"/>
        <v>35000000</v>
      </c>
      <c r="F5" s="23">
        <f t="shared" si="5"/>
        <v>7.2959226172707864E-2</v>
      </c>
      <c r="G5" s="51">
        <v>0.03</v>
      </c>
      <c r="H5" s="51">
        <v>0.04</v>
      </c>
      <c r="I5" s="51">
        <v>0.04</v>
      </c>
      <c r="J5" s="51">
        <v>0.05</v>
      </c>
      <c r="K5" s="24"/>
      <c r="L5" s="14">
        <f t="shared" si="1"/>
        <v>10.3</v>
      </c>
      <c r="M5" s="14">
        <f t="shared" si="6"/>
        <v>10.712000000000002</v>
      </c>
      <c r="N5" s="14">
        <f t="shared" si="7"/>
        <v>11.140480000000002</v>
      </c>
      <c r="O5" s="14">
        <f t="shared" si="8"/>
        <v>11.697504000000002</v>
      </c>
      <c r="P5" s="25">
        <f>D5*(1+'1'!$Z$4)</f>
        <v>3608499.9999999995</v>
      </c>
      <c r="Q5" s="25">
        <f>P5*(1+'1'!$AA$4)</f>
        <v>3722167.75</v>
      </c>
      <c r="R5" s="25">
        <f>Q5*(1+'1'!$AB$4)</f>
        <v>3833832.7825000002</v>
      </c>
      <c r="S5" s="25">
        <f>R5*(1+'1'!$AC$4)</f>
        <v>3948847.7659750003</v>
      </c>
      <c r="T5" s="26">
        <f t="shared" si="9"/>
        <v>37167550</v>
      </c>
      <c r="U5" s="26">
        <f t="shared" si="10"/>
        <v>39871860.938000008</v>
      </c>
      <c r="V5" s="26">
        <f t="shared" si="11"/>
        <v>42710737.436785609</v>
      </c>
      <c r="W5" s="26">
        <f t="shared" si="12"/>
        <v>46191662.537883639</v>
      </c>
      <c r="X5" s="26"/>
      <c r="Y5" s="31" t="s">
        <v>15</v>
      </c>
      <c r="Z5" s="55">
        <v>1.9199999999999998E-2</v>
      </c>
      <c r="AA5" s="55">
        <v>3.4000000000000002E-2</v>
      </c>
      <c r="AB5" s="55">
        <v>1.9E-2</v>
      </c>
      <c r="AC5" s="56">
        <v>3.4000000000000002E-2</v>
      </c>
    </row>
    <row r="6" spans="1:29" ht="20.100000000000001" customHeight="1" thickBot="1">
      <c r="A6" s="21">
        <f t="shared" si="13"/>
        <v>4</v>
      </c>
      <c r="B6" s="159" t="s">
        <v>147</v>
      </c>
      <c r="C6" s="59">
        <v>24</v>
      </c>
      <c r="D6" s="13">
        <v>220000</v>
      </c>
      <c r="E6" s="22">
        <f t="shared" si="4"/>
        <v>5280000</v>
      </c>
      <c r="F6" s="23">
        <f t="shared" si="5"/>
        <v>1.1006420405482787E-2</v>
      </c>
      <c r="G6" s="51">
        <v>0.04</v>
      </c>
      <c r="H6" s="51">
        <v>0.05</v>
      </c>
      <c r="I6" s="51">
        <v>0.05</v>
      </c>
      <c r="J6" s="51">
        <v>0.05</v>
      </c>
      <c r="K6" s="24"/>
      <c r="L6" s="14">
        <f t="shared" si="1"/>
        <v>24.96</v>
      </c>
      <c r="M6" s="14">
        <f t="shared" si="6"/>
        <v>26.208000000000002</v>
      </c>
      <c r="N6" s="14">
        <f t="shared" si="7"/>
        <v>27.518400000000003</v>
      </c>
      <c r="O6" s="14">
        <f t="shared" si="8"/>
        <v>28.894320000000004</v>
      </c>
      <c r="P6" s="25">
        <f>D6*(1+'1'!$Z$4)</f>
        <v>226819.99999999997</v>
      </c>
      <c r="Q6" s="25">
        <f>P6*(1+'1'!$AA$4)</f>
        <v>233964.83</v>
      </c>
      <c r="R6" s="25">
        <f>Q6*(1+'1'!$AB$4)</f>
        <v>240983.77489999999</v>
      </c>
      <c r="S6" s="25">
        <f>R6*(1+'1'!$AC$4)</f>
        <v>248213.28814699998</v>
      </c>
      <c r="T6" s="26">
        <f t="shared" si="9"/>
        <v>5661427.1999999993</v>
      </c>
      <c r="U6" s="26">
        <f t="shared" si="10"/>
        <v>6131750.2646399997</v>
      </c>
      <c r="V6" s="26">
        <f t="shared" si="11"/>
        <v>6631487.9112081602</v>
      </c>
      <c r="W6" s="26">
        <f t="shared" si="12"/>
        <v>7171954.1759716254</v>
      </c>
      <c r="X6" s="26"/>
    </row>
    <row r="7" spans="1:29" ht="20.100000000000001" customHeight="1" thickBot="1">
      <c r="A7" s="21">
        <f t="shared" si="13"/>
        <v>5</v>
      </c>
      <c r="B7" s="160" t="s">
        <v>148</v>
      </c>
      <c r="C7" s="59">
        <v>18</v>
      </c>
      <c r="D7" s="13">
        <v>350000</v>
      </c>
      <c r="E7" s="22">
        <f t="shared" si="4"/>
        <v>6300000</v>
      </c>
      <c r="F7" s="23">
        <f t="shared" si="5"/>
        <v>1.3132660711087416E-2</v>
      </c>
      <c r="G7" s="51">
        <v>0.03</v>
      </c>
      <c r="H7" s="51">
        <v>0.04</v>
      </c>
      <c r="I7" s="51">
        <v>0.04</v>
      </c>
      <c r="J7" s="51">
        <v>0.05</v>
      </c>
      <c r="K7" s="24"/>
      <c r="L7" s="14">
        <f t="shared" si="1"/>
        <v>18.54</v>
      </c>
      <c r="M7" s="14">
        <f t="shared" si="6"/>
        <v>19.281600000000001</v>
      </c>
      <c r="N7" s="14">
        <f t="shared" si="7"/>
        <v>20.052864000000003</v>
      </c>
      <c r="O7" s="14">
        <f t="shared" si="8"/>
        <v>21.055507200000005</v>
      </c>
      <c r="P7" s="25">
        <f>D7*(1+'1'!$Z$4)</f>
        <v>360849.99999999994</v>
      </c>
      <c r="Q7" s="25">
        <f>P7*(1+'1'!$AA$4)</f>
        <v>372216.77499999997</v>
      </c>
      <c r="R7" s="25">
        <f>Q7*(1+'1'!$AB$4)</f>
        <v>383383.27824999997</v>
      </c>
      <c r="S7" s="25">
        <f>R7*(1+'1'!$AC$4)</f>
        <v>394884.77659749996</v>
      </c>
      <c r="T7" s="26">
        <f t="shared" si="9"/>
        <v>6690158.9999999991</v>
      </c>
      <c r="U7" s="26">
        <f t="shared" si="10"/>
        <v>7176934.9688399993</v>
      </c>
      <c r="V7" s="26">
        <f t="shared" si="11"/>
        <v>7687932.7386214091</v>
      </c>
      <c r="W7" s="26">
        <f t="shared" si="12"/>
        <v>8314499.2568190536</v>
      </c>
      <c r="X7" s="26"/>
      <c r="Y7" s="32" t="s">
        <v>96</v>
      </c>
      <c r="Z7" s="33"/>
      <c r="AA7" s="33"/>
      <c r="AB7" s="57">
        <v>0.2</v>
      </c>
      <c r="AC7" s="34"/>
    </row>
    <row r="8" spans="1:29" ht="20.100000000000001" customHeight="1">
      <c r="A8" s="21">
        <f t="shared" si="13"/>
        <v>6</v>
      </c>
      <c r="B8" s="135" t="s">
        <v>152</v>
      </c>
      <c r="C8" s="59">
        <v>696</v>
      </c>
      <c r="D8" s="13">
        <v>0</v>
      </c>
      <c r="E8" s="22">
        <f t="shared" si="4"/>
        <v>0</v>
      </c>
      <c r="F8" s="23">
        <f t="shared" si="5"/>
        <v>0</v>
      </c>
      <c r="G8" s="51">
        <v>0.03</v>
      </c>
      <c r="H8" s="51">
        <v>0.04</v>
      </c>
      <c r="I8" s="51">
        <v>0.04</v>
      </c>
      <c r="J8" s="51">
        <v>0.05</v>
      </c>
      <c r="K8" s="24"/>
      <c r="L8" s="14">
        <f t="shared" si="1"/>
        <v>716.88</v>
      </c>
      <c r="M8" s="14">
        <f t="shared" si="6"/>
        <v>745.55520000000001</v>
      </c>
      <c r="N8" s="14">
        <f t="shared" si="7"/>
        <v>775.37740800000006</v>
      </c>
      <c r="O8" s="14">
        <f t="shared" si="8"/>
        <v>814.14627840000014</v>
      </c>
      <c r="P8" s="25">
        <f>D8*(1+'1'!$Z$4)</f>
        <v>0</v>
      </c>
      <c r="Q8" s="25">
        <f>P8*(1+'1'!$AA$4)</f>
        <v>0</v>
      </c>
      <c r="R8" s="25">
        <f>Q8*(1+'1'!$AB$4)</f>
        <v>0</v>
      </c>
      <c r="S8" s="25">
        <f>R8*(1+'1'!$AC$4)</f>
        <v>0</v>
      </c>
      <c r="T8" s="26">
        <f t="shared" si="9"/>
        <v>0</v>
      </c>
      <c r="U8" s="26">
        <f t="shared" si="10"/>
        <v>0</v>
      </c>
      <c r="V8" s="26">
        <f t="shared" si="11"/>
        <v>0</v>
      </c>
      <c r="W8" s="26">
        <f t="shared" si="12"/>
        <v>0</v>
      </c>
      <c r="X8" s="26"/>
    </row>
    <row r="9" spans="1:29" ht="20.100000000000001" customHeight="1">
      <c r="A9" s="21">
        <f t="shared" si="13"/>
        <v>7</v>
      </c>
      <c r="B9" s="160" t="s">
        <v>159</v>
      </c>
      <c r="C9" s="59">
        <v>400</v>
      </c>
      <c r="D9" s="13">
        <v>0</v>
      </c>
      <c r="E9" s="22">
        <f t="shared" si="4"/>
        <v>0</v>
      </c>
      <c r="F9" s="23">
        <f t="shared" si="5"/>
        <v>0</v>
      </c>
      <c r="G9" s="51">
        <v>0.03</v>
      </c>
      <c r="H9" s="51">
        <v>0.04</v>
      </c>
      <c r="I9" s="51">
        <v>0.04</v>
      </c>
      <c r="J9" s="51">
        <v>0.05</v>
      </c>
      <c r="K9" s="24"/>
      <c r="L9" s="14">
        <f t="shared" si="1"/>
        <v>412</v>
      </c>
      <c r="M9" s="14">
        <f t="shared" si="6"/>
        <v>428.48</v>
      </c>
      <c r="N9" s="14">
        <f t="shared" si="7"/>
        <v>445.61920000000003</v>
      </c>
      <c r="O9" s="14">
        <f t="shared" si="8"/>
        <v>467.90016000000003</v>
      </c>
      <c r="P9" s="25">
        <f>D9*(1+'1'!$Z$4)</f>
        <v>0</v>
      </c>
      <c r="Q9" s="25">
        <f>P9*(1+'1'!$AA$4)</f>
        <v>0</v>
      </c>
      <c r="R9" s="25">
        <f>Q9*(1+'1'!$AB$4)</f>
        <v>0</v>
      </c>
      <c r="S9" s="25">
        <f>R9*(1+'1'!$AC$4)</f>
        <v>0</v>
      </c>
      <c r="T9" s="26">
        <f t="shared" si="9"/>
        <v>0</v>
      </c>
      <c r="U9" s="26">
        <f t="shared" si="10"/>
        <v>0</v>
      </c>
      <c r="V9" s="26">
        <f t="shared" si="11"/>
        <v>0</v>
      </c>
      <c r="W9" s="26">
        <f t="shared" si="12"/>
        <v>0</v>
      </c>
      <c r="X9" s="26"/>
    </row>
    <row r="10" spans="1:29" ht="20.100000000000001" customHeight="1">
      <c r="A10" s="21">
        <f t="shared" si="13"/>
        <v>8</v>
      </c>
      <c r="B10" s="135" t="s">
        <v>158</v>
      </c>
      <c r="C10" s="59">
        <v>160</v>
      </c>
      <c r="D10" s="13">
        <v>370000</v>
      </c>
      <c r="E10" s="22">
        <f t="shared" si="4"/>
        <v>59200000</v>
      </c>
      <c r="F10" s="23">
        <f t="shared" si="5"/>
        <v>0.12340531969783732</v>
      </c>
      <c r="G10" s="51">
        <v>0.05</v>
      </c>
      <c r="H10" s="51">
        <v>0.08</v>
      </c>
      <c r="I10" s="51">
        <v>0.08</v>
      </c>
      <c r="J10" s="51">
        <v>0.09</v>
      </c>
      <c r="K10" s="24"/>
      <c r="L10" s="14">
        <f t="shared" si="1"/>
        <v>168</v>
      </c>
      <c r="M10" s="14">
        <f t="shared" si="6"/>
        <v>181.44</v>
      </c>
      <c r="N10" s="14">
        <f t="shared" si="7"/>
        <v>195.95520000000002</v>
      </c>
      <c r="O10" s="14">
        <f t="shared" si="8"/>
        <v>213.59116800000004</v>
      </c>
      <c r="P10" s="25">
        <f>D10*(1+'1'!$Z$4)</f>
        <v>381469.99999999994</v>
      </c>
      <c r="Q10" s="25">
        <f>P10*(1+'1'!$AA$4)</f>
        <v>393486.30499999999</v>
      </c>
      <c r="R10" s="25">
        <f>Q10*(1+'1'!$AB$4)</f>
        <v>405290.89415000001</v>
      </c>
      <c r="S10" s="25">
        <f>R10*(1+'1'!$AC$4)</f>
        <v>417449.62097450002</v>
      </c>
      <c r="T10" s="26">
        <f t="shared" si="9"/>
        <v>64086959.999999993</v>
      </c>
      <c r="U10" s="26">
        <f t="shared" si="10"/>
        <v>71394155.179199994</v>
      </c>
      <c r="V10" s="26">
        <f t="shared" si="11"/>
        <v>79418858.221342087</v>
      </c>
      <c r="W10" s="26">
        <f t="shared" si="12"/>
        <v>89163552.125100777</v>
      </c>
      <c r="X10" s="26"/>
    </row>
    <row r="11" spans="1:29" ht="20.100000000000001" customHeight="1">
      <c r="A11" s="21">
        <f t="shared" si="13"/>
        <v>9</v>
      </c>
      <c r="B11" s="135" t="s">
        <v>155</v>
      </c>
      <c r="C11" s="59">
        <v>518</v>
      </c>
      <c r="D11" s="13">
        <v>89459.46</v>
      </c>
      <c r="E11" s="22">
        <f t="shared" si="4"/>
        <v>46340000.280000001</v>
      </c>
      <c r="F11" s="23">
        <f t="shared" si="5"/>
        <v>9.6598016036339024E-2</v>
      </c>
      <c r="G11" s="51">
        <v>0.05</v>
      </c>
      <c r="H11" s="51">
        <v>0.06</v>
      </c>
      <c r="I11" s="51">
        <v>0.06</v>
      </c>
      <c r="J11" s="51">
        <v>7.0000000000000007E-2</v>
      </c>
      <c r="K11" s="24"/>
      <c r="L11" s="14">
        <f t="shared" si="1"/>
        <v>543.9</v>
      </c>
      <c r="M11" s="14">
        <f t="shared" si="6"/>
        <v>576.53399999999999</v>
      </c>
      <c r="N11" s="14">
        <f t="shared" si="7"/>
        <v>611.12603999999999</v>
      </c>
      <c r="O11" s="14">
        <f t="shared" si="8"/>
        <v>653.90486280000005</v>
      </c>
      <c r="P11" s="25">
        <f>D11*(1+'1'!$Z$4)</f>
        <v>92232.703259999995</v>
      </c>
      <c r="Q11" s="25">
        <f>P11*(1+'1'!$AA$4)</f>
        <v>95138.033412689998</v>
      </c>
      <c r="R11" s="25">
        <f>Q11*(1+'1'!$AB$4)</f>
        <v>97992.174415070695</v>
      </c>
      <c r="S11" s="25">
        <f>R11*(1+'1'!$AC$4)</f>
        <v>100931.93964752281</v>
      </c>
      <c r="T11" s="26">
        <f t="shared" si="9"/>
        <v>50165367.303113997</v>
      </c>
      <c r="U11" s="26">
        <f t="shared" si="10"/>
        <v>54850310.955551818</v>
      </c>
      <c r="V11" s="26">
        <f t="shared" si="11"/>
        <v>59885569.501271471</v>
      </c>
      <c r="W11" s="26">
        <f t="shared" si="12"/>
        <v>65999886.147351287</v>
      </c>
      <c r="X11" s="26"/>
    </row>
    <row r="12" spans="1:29" ht="20.100000000000001" customHeight="1">
      <c r="A12" s="21">
        <f t="shared" si="13"/>
        <v>10</v>
      </c>
      <c r="B12" s="135" t="s">
        <v>151</v>
      </c>
      <c r="C12" s="59">
        <v>0</v>
      </c>
      <c r="D12" s="13">
        <v>0</v>
      </c>
      <c r="E12" s="22">
        <f t="shared" si="4"/>
        <v>0</v>
      </c>
      <c r="F12" s="23">
        <f t="shared" si="5"/>
        <v>0</v>
      </c>
      <c r="G12" s="51">
        <v>0.04</v>
      </c>
      <c r="H12" s="51">
        <v>0.05</v>
      </c>
      <c r="I12" s="51">
        <v>0.05</v>
      </c>
      <c r="J12" s="51">
        <v>0.06</v>
      </c>
      <c r="K12" s="24"/>
      <c r="L12" s="14">
        <f t="shared" si="1"/>
        <v>0</v>
      </c>
      <c r="M12" s="14">
        <f t="shared" si="6"/>
        <v>0</v>
      </c>
      <c r="N12" s="14">
        <f t="shared" si="7"/>
        <v>0</v>
      </c>
      <c r="O12" s="14">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14" t="s">
        <v>8</v>
      </c>
      <c r="E13" s="35">
        <f>SUM(E3:E12)</f>
        <v>479720000.27999997</v>
      </c>
      <c r="F13" s="36">
        <f>SUM(F3:F12)</f>
        <v>1.0000000000000002</v>
      </c>
      <c r="T13" s="37">
        <f>SUM(T3:T12)</f>
        <v>517363223.50311399</v>
      </c>
      <c r="U13" s="37">
        <f>SUM(U3:U12)</f>
        <v>568557869.90583193</v>
      </c>
      <c r="V13" s="37">
        <f>SUM(V3:V12)</f>
        <v>623966209.42557192</v>
      </c>
      <c r="W13" s="37">
        <f>SUM(W3:W12)</f>
        <v>691194203.66505504</v>
      </c>
      <c r="X13" s="26"/>
    </row>
    <row r="15" spans="1:29" ht="23.25" customHeight="1">
      <c r="A15" s="138" t="s">
        <v>6</v>
      </c>
      <c r="B15" s="138"/>
      <c r="C15" s="138"/>
      <c r="D15" s="138"/>
      <c r="E15" s="138"/>
      <c r="G15" s="38"/>
    </row>
    <row r="16" spans="1:29" ht="25.5" customHeight="1">
      <c r="B16" s="17" t="s">
        <v>3</v>
      </c>
      <c r="C16" s="39" t="s">
        <v>0</v>
      </c>
      <c r="D16" s="131" t="s">
        <v>143</v>
      </c>
      <c r="E16" s="18" t="s">
        <v>2</v>
      </c>
      <c r="L16" s="14">
        <f>L2</f>
        <v>2020</v>
      </c>
      <c r="M16" s="14">
        <f t="shared" ref="M16:W16" si="14">M2</f>
        <v>2021</v>
      </c>
      <c r="N16" s="14">
        <f t="shared" si="14"/>
        <v>2022</v>
      </c>
      <c r="O16" s="14">
        <f t="shared" si="14"/>
        <v>2023</v>
      </c>
      <c r="P16" s="14" t="str">
        <f t="shared" si="14"/>
        <v>AÑO 2</v>
      </c>
      <c r="Q16" s="14" t="str">
        <f t="shared" si="14"/>
        <v>AÑO 3</v>
      </c>
      <c r="R16" s="14" t="str">
        <f t="shared" si="14"/>
        <v>AÑO 4</v>
      </c>
      <c r="S16" s="14" t="str">
        <f t="shared" si="14"/>
        <v>AÑO 5</v>
      </c>
      <c r="T16" s="14" t="str">
        <f t="shared" si="14"/>
        <v>año 2</v>
      </c>
      <c r="U16" s="14" t="str">
        <f t="shared" si="14"/>
        <v>año 3</v>
      </c>
      <c r="V16" s="14" t="str">
        <f t="shared" si="14"/>
        <v>año 4</v>
      </c>
      <c r="W16" s="14" t="str">
        <f t="shared" si="14"/>
        <v>año 5</v>
      </c>
    </row>
    <row r="17" spans="1:24">
      <c r="A17" s="21">
        <f>A3</f>
        <v>1</v>
      </c>
      <c r="B17" s="106" t="str">
        <f>B3</f>
        <v>Pauta publicitaria en el home</v>
      </c>
      <c r="C17" s="41">
        <f>C3</f>
        <v>96</v>
      </c>
      <c r="D17" s="13">
        <v>0</v>
      </c>
      <c r="E17" s="22">
        <f>C17*D17</f>
        <v>0</v>
      </c>
      <c r="F17" s="23">
        <f>IF($E$27=0,0,E17/$E$27)</f>
        <v>0</v>
      </c>
      <c r="L17" s="14">
        <f t="shared" ref="L17:L26" si="15">C17*(1+G3)</f>
        <v>100.80000000000001</v>
      </c>
      <c r="M17" s="14">
        <f>L17*(1+H3)</f>
        <v>107.85600000000002</v>
      </c>
      <c r="N17" s="14">
        <f t="shared" ref="N17:O17" si="16">M17*(1+I3)</f>
        <v>115.40592000000004</v>
      </c>
      <c r="O17" s="14">
        <f t="shared" si="16"/>
        <v>124.63839360000004</v>
      </c>
      <c r="P17" s="42">
        <f>D17*(1+'1'!$Z$5)</f>
        <v>0</v>
      </c>
      <c r="Q17" s="25">
        <f>P17*(1+'1'!$AA$5)</f>
        <v>0</v>
      </c>
      <c r="R17" s="25">
        <f>Q17*(1+'1'!$AB$5)</f>
        <v>0</v>
      </c>
      <c r="S17" s="25">
        <f>R17*(1+'1'!$AC$5)</f>
        <v>0</v>
      </c>
      <c r="T17" s="42">
        <f t="shared" ref="T17:U19" si="17">L17*P17</f>
        <v>0</v>
      </c>
      <c r="U17" s="26">
        <f t="shared" si="17"/>
        <v>0</v>
      </c>
      <c r="V17" s="26">
        <f t="shared" ref="V17:W17" si="18">N17*R17</f>
        <v>0</v>
      </c>
      <c r="W17" s="26">
        <f t="shared" si="18"/>
        <v>0</v>
      </c>
      <c r="X17" s="26"/>
    </row>
    <row r="18" spans="1:24">
      <c r="A18" s="21">
        <f t="shared" ref="A18:B25" si="19">A4</f>
        <v>2</v>
      </c>
      <c r="B18" s="43" t="str">
        <f t="shared" si="19"/>
        <v>Pauta publicitaria en secciones</v>
      </c>
      <c r="C18" s="41">
        <f t="shared" ref="C18:C26" si="20">C4</f>
        <v>60</v>
      </c>
      <c r="D18" s="13">
        <v>0</v>
      </c>
      <c r="E18" s="22">
        <f t="shared" ref="E18:E26" si="21">C18*D18</f>
        <v>0</v>
      </c>
      <c r="F18" s="23">
        <f t="shared" ref="F18:F26" si="22">IF($E$27=0,0,E18/$E$27)</f>
        <v>0</v>
      </c>
      <c r="L18" s="14">
        <f t="shared" si="15"/>
        <v>62.400000000000006</v>
      </c>
      <c r="M18" s="14">
        <f t="shared" ref="M18:M26" si="23">L18*(1+H4)</f>
        <v>66.144000000000005</v>
      </c>
      <c r="N18" s="14">
        <f t="shared" ref="N18:N26" si="24">M18*(1+I4)</f>
        <v>70.112640000000013</v>
      </c>
      <c r="O18" s="14">
        <f t="shared" ref="O18:O26" si="25">N18*(1+J4)</f>
        <v>75.020524800000018</v>
      </c>
      <c r="P18" s="42">
        <f>D18*(1+'1'!$Z$5)</f>
        <v>0</v>
      </c>
      <c r="Q18" s="25">
        <f>P18*(1+'1'!$AA$5)</f>
        <v>0</v>
      </c>
      <c r="R18" s="25">
        <f>Q18*(1+'1'!$AB$5)</f>
        <v>0</v>
      </c>
      <c r="S18" s="25">
        <f>R18*(1+'1'!$AC$5)</f>
        <v>0</v>
      </c>
      <c r="T18" s="42">
        <f t="shared" si="17"/>
        <v>0</v>
      </c>
      <c r="U18" s="26">
        <f t="shared" si="17"/>
        <v>0</v>
      </c>
      <c r="V18" s="26">
        <f t="shared" ref="V18:V26" si="26">N18*R18</f>
        <v>0</v>
      </c>
      <c r="W18" s="26">
        <f t="shared" ref="W18:W26" si="27">O18*S18</f>
        <v>0</v>
      </c>
      <c r="X18" s="26"/>
    </row>
    <row r="19" spans="1:24">
      <c r="A19" s="21">
        <f t="shared" si="19"/>
        <v>3</v>
      </c>
      <c r="B19" s="43" t="str">
        <f t="shared" si="19"/>
        <v>Pauta publicitaria en boletín electrónico</v>
      </c>
      <c r="C19" s="41">
        <f t="shared" si="20"/>
        <v>10</v>
      </c>
      <c r="D19" s="13">
        <v>0</v>
      </c>
      <c r="E19" s="22">
        <f t="shared" si="21"/>
        <v>0</v>
      </c>
      <c r="F19" s="23">
        <f t="shared" si="22"/>
        <v>0</v>
      </c>
      <c r="L19" s="14">
        <f t="shared" si="15"/>
        <v>10.3</v>
      </c>
      <c r="M19" s="14">
        <f t="shared" si="23"/>
        <v>10.712000000000002</v>
      </c>
      <c r="N19" s="14">
        <f t="shared" si="24"/>
        <v>11.140480000000002</v>
      </c>
      <c r="O19" s="14">
        <f t="shared" si="25"/>
        <v>11.697504000000002</v>
      </c>
      <c r="P19" s="42">
        <f>D19*(1+'1'!$Z$5)</f>
        <v>0</v>
      </c>
      <c r="Q19" s="25">
        <f>P19*(1+'1'!$AA$5)</f>
        <v>0</v>
      </c>
      <c r="R19" s="25">
        <f>Q19*(1+'1'!$AB$5)</f>
        <v>0</v>
      </c>
      <c r="S19" s="25">
        <f>R19*(1+'1'!$AC$5)</f>
        <v>0</v>
      </c>
      <c r="T19" s="42">
        <f t="shared" si="17"/>
        <v>0</v>
      </c>
      <c r="U19" s="26">
        <f t="shared" si="17"/>
        <v>0</v>
      </c>
      <c r="V19" s="26">
        <f t="shared" si="26"/>
        <v>0</v>
      </c>
      <c r="W19" s="26">
        <f t="shared" si="27"/>
        <v>0</v>
      </c>
      <c r="X19" s="26"/>
    </row>
    <row r="20" spans="1:24">
      <c r="A20" s="21">
        <f t="shared" si="19"/>
        <v>4</v>
      </c>
      <c r="B20" s="43" t="str">
        <f t="shared" si="19"/>
        <v>Contenido anuncio publicitario menor a 0,06 Mpx</v>
      </c>
      <c r="C20" s="41">
        <f t="shared" si="20"/>
        <v>24</v>
      </c>
      <c r="D20" s="13">
        <v>107000</v>
      </c>
      <c r="E20" s="22">
        <f t="shared" si="21"/>
        <v>2568000</v>
      </c>
      <c r="F20" s="23">
        <f t="shared" si="22"/>
        <v>3.7537932607132209E-2</v>
      </c>
      <c r="L20" s="14">
        <f t="shared" si="15"/>
        <v>24.96</v>
      </c>
      <c r="M20" s="14">
        <f t="shared" si="23"/>
        <v>26.208000000000002</v>
      </c>
      <c r="N20" s="14">
        <f t="shared" si="24"/>
        <v>27.518400000000003</v>
      </c>
      <c r="O20" s="14">
        <f t="shared" si="25"/>
        <v>28.894320000000004</v>
      </c>
      <c r="P20" s="42">
        <f>D20*(1+'1'!$Z$5)</f>
        <v>109054.40000000001</v>
      </c>
      <c r="Q20" s="25">
        <f>P20*(1+'1'!$AA$5)</f>
        <v>112762.24960000001</v>
      </c>
      <c r="R20" s="25">
        <f>Q20*(1+'1'!$AB$5)</f>
        <v>114904.73234240001</v>
      </c>
      <c r="S20" s="25">
        <f>R20*(1+'1'!$AC$5)</f>
        <v>118811.49324204162</v>
      </c>
      <c r="T20" s="42">
        <f t="shared" ref="T20:T26" si="28">L20*P20</f>
        <v>2721997.8240000005</v>
      </c>
      <c r="U20" s="26">
        <f t="shared" ref="U20:U26" si="29">M20*Q20</f>
        <v>2955273.0375168007</v>
      </c>
      <c r="V20" s="26">
        <f t="shared" si="26"/>
        <v>3161994.3864911008</v>
      </c>
      <c r="W20" s="26">
        <f t="shared" si="27"/>
        <v>3432977.3054133882</v>
      </c>
      <c r="X20" s="26"/>
    </row>
    <row r="21" spans="1:24">
      <c r="A21" s="21">
        <f t="shared" si="19"/>
        <v>5</v>
      </c>
      <c r="B21" s="43" t="str">
        <f t="shared" si="19"/>
        <v>Contenido anuncio publicitario mayor a 0,06 Mpx</v>
      </c>
      <c r="C21" s="41">
        <f t="shared" si="20"/>
        <v>18</v>
      </c>
      <c r="D21" s="13">
        <v>167000</v>
      </c>
      <c r="E21" s="22">
        <f t="shared" si="21"/>
        <v>3006000</v>
      </c>
      <c r="F21" s="23">
        <f t="shared" si="22"/>
        <v>4.3940430458348681E-2</v>
      </c>
      <c r="L21" s="14">
        <f t="shared" si="15"/>
        <v>18.54</v>
      </c>
      <c r="M21" s="14">
        <f t="shared" si="23"/>
        <v>19.281600000000001</v>
      </c>
      <c r="N21" s="14">
        <f t="shared" si="24"/>
        <v>20.052864000000003</v>
      </c>
      <c r="O21" s="14">
        <f t="shared" si="25"/>
        <v>21.055507200000005</v>
      </c>
      <c r="P21" s="42">
        <f>D21*(1+'1'!$Z$5)</f>
        <v>170206.40000000002</v>
      </c>
      <c r="Q21" s="25">
        <f>P21*(1+'1'!$AA$5)</f>
        <v>175993.41760000002</v>
      </c>
      <c r="R21" s="25">
        <f>Q21*(1+'1'!$AB$5)</f>
        <v>179337.29253440001</v>
      </c>
      <c r="S21" s="25">
        <f>R21*(1+'1'!$AC$5)</f>
        <v>185434.76048056962</v>
      </c>
      <c r="T21" s="42">
        <f t="shared" si="28"/>
        <v>3155626.6560000004</v>
      </c>
      <c r="U21" s="26">
        <f t="shared" si="29"/>
        <v>3393434.6807961604</v>
      </c>
      <c r="V21" s="26">
        <f t="shared" si="26"/>
        <v>3596226.3373205392</v>
      </c>
      <c r="W21" s="26">
        <f t="shared" si="27"/>
        <v>3904422.9344289098</v>
      </c>
      <c r="X21" s="26"/>
    </row>
    <row r="22" spans="1:24">
      <c r="A22" s="21">
        <f t="shared" si="19"/>
        <v>6</v>
      </c>
      <c r="B22" s="43" t="str">
        <f t="shared" si="19"/>
        <v>Contenido digital informativo y noticioso</v>
      </c>
      <c r="C22" s="41">
        <f t="shared" si="20"/>
        <v>696</v>
      </c>
      <c r="D22" s="13">
        <v>85800</v>
      </c>
      <c r="E22" s="22">
        <f t="shared" si="21"/>
        <v>59716800</v>
      </c>
      <c r="F22" s="23">
        <f t="shared" si="22"/>
        <v>0.87291480292585377</v>
      </c>
      <c r="L22" s="14">
        <f t="shared" si="15"/>
        <v>716.88</v>
      </c>
      <c r="M22" s="14">
        <f t="shared" si="23"/>
        <v>745.55520000000001</v>
      </c>
      <c r="N22" s="14">
        <f t="shared" si="24"/>
        <v>775.37740800000006</v>
      </c>
      <c r="O22" s="14">
        <f t="shared" si="25"/>
        <v>814.14627840000014</v>
      </c>
      <c r="P22" s="42">
        <f>D22*(1+'1'!$Z$5)</f>
        <v>87447.360000000015</v>
      </c>
      <c r="Q22" s="25">
        <f>P22*(1+'1'!$AA$5)</f>
        <v>90420.570240000015</v>
      </c>
      <c r="R22" s="25">
        <f>Q22*(1+'1'!$AB$5)</f>
        <v>92138.561074560013</v>
      </c>
      <c r="S22" s="25">
        <f>R22*(1+'1'!$AC$5)</f>
        <v>95271.272151095051</v>
      </c>
      <c r="T22" s="42">
        <f t="shared" si="28"/>
        <v>62689263.436800011</v>
      </c>
      <c r="U22" s="26">
        <f t="shared" si="29"/>
        <v>67413526.329397261</v>
      </c>
      <c r="V22" s="26">
        <f t="shared" si="26"/>
        <v>71442158.66284205</v>
      </c>
      <c r="W22" s="26">
        <f t="shared" si="27"/>
        <v>77564751.660247609</v>
      </c>
      <c r="X22" s="26"/>
    </row>
    <row r="23" spans="1:24">
      <c r="A23" s="21">
        <f t="shared" si="19"/>
        <v>7</v>
      </c>
      <c r="B23" s="43" t="str">
        <f t="shared" si="19"/>
        <v>Formación y sensibilización en explotación de datos</v>
      </c>
      <c r="C23" s="41">
        <f t="shared" si="20"/>
        <v>400</v>
      </c>
      <c r="D23" s="13">
        <v>3000</v>
      </c>
      <c r="E23" s="22">
        <f t="shared" si="21"/>
        <v>1200000</v>
      </c>
      <c r="F23" s="23">
        <f t="shared" si="22"/>
        <v>1.7541090003332808E-2</v>
      </c>
      <c r="L23" s="14">
        <f t="shared" si="15"/>
        <v>412</v>
      </c>
      <c r="M23" s="14">
        <f t="shared" si="23"/>
        <v>428.48</v>
      </c>
      <c r="N23" s="14">
        <f t="shared" si="24"/>
        <v>445.61920000000003</v>
      </c>
      <c r="O23" s="14">
        <f t="shared" si="25"/>
        <v>467.90016000000003</v>
      </c>
      <c r="P23" s="42">
        <f>D23*(1+'1'!$Z$5)</f>
        <v>3057.6000000000004</v>
      </c>
      <c r="Q23" s="25">
        <f>P23*(1+'1'!$AA$5)</f>
        <v>3161.5584000000003</v>
      </c>
      <c r="R23" s="25">
        <f>Q23*(1+'1'!$AB$5)</f>
        <v>3221.6280096</v>
      </c>
      <c r="S23" s="25">
        <f>R23*(1+'1'!$AC$5)</f>
        <v>3331.1633619264003</v>
      </c>
      <c r="T23" s="42">
        <f t="shared" si="28"/>
        <v>1259731.2000000002</v>
      </c>
      <c r="U23" s="26">
        <f t="shared" si="29"/>
        <v>1354664.5432320002</v>
      </c>
      <c r="V23" s="26">
        <f t="shared" si="26"/>
        <v>1435619.2963355444</v>
      </c>
      <c r="W23" s="26">
        <f t="shared" si="27"/>
        <v>1558651.8700315007</v>
      </c>
      <c r="X23" s="26"/>
    </row>
    <row r="24" spans="1:24">
      <c r="A24" s="21">
        <f t="shared" si="19"/>
        <v>8</v>
      </c>
      <c r="B24" s="43" t="str">
        <f t="shared" si="19"/>
        <v>Formación nivel premium explotación de datos</v>
      </c>
      <c r="C24" s="41">
        <f t="shared" si="20"/>
        <v>160</v>
      </c>
      <c r="D24" s="13">
        <v>12000</v>
      </c>
      <c r="E24" s="22">
        <f t="shared" si="21"/>
        <v>1920000</v>
      </c>
      <c r="F24" s="23">
        <f t="shared" si="22"/>
        <v>2.8065744005332492E-2</v>
      </c>
      <c r="L24" s="14">
        <f t="shared" si="15"/>
        <v>168</v>
      </c>
      <c r="M24" s="14">
        <f t="shared" si="23"/>
        <v>181.44</v>
      </c>
      <c r="N24" s="14">
        <f t="shared" si="24"/>
        <v>195.95520000000002</v>
      </c>
      <c r="O24" s="14">
        <f t="shared" si="25"/>
        <v>213.59116800000004</v>
      </c>
      <c r="P24" s="42">
        <f>D24*(1+'1'!$Z$5)</f>
        <v>12230.400000000001</v>
      </c>
      <c r="Q24" s="25">
        <f>P24*(1+'1'!$AA$5)</f>
        <v>12646.233600000001</v>
      </c>
      <c r="R24" s="25">
        <f>Q24*(1+'1'!$AB$5)</f>
        <v>12886.5120384</v>
      </c>
      <c r="S24" s="25">
        <f>R24*(1+'1'!$AC$5)</f>
        <v>13324.653447705601</v>
      </c>
      <c r="T24" s="42">
        <f t="shared" si="28"/>
        <v>2054707.2000000002</v>
      </c>
      <c r="U24" s="26">
        <f t="shared" si="29"/>
        <v>2294532.6243840004</v>
      </c>
      <c r="V24" s="26">
        <f t="shared" si="26"/>
        <v>2525179.0437870799</v>
      </c>
      <c r="W24" s="26">
        <f t="shared" si="27"/>
        <v>2846028.2930906666</v>
      </c>
      <c r="X24" s="26"/>
    </row>
    <row r="25" spans="1:24">
      <c r="A25" s="21">
        <f t="shared" si="19"/>
        <v>9</v>
      </c>
      <c r="B25" s="43" t="str">
        <f t="shared" si="19"/>
        <v>Otros ingresos por concepto de donaciones</v>
      </c>
      <c r="C25" s="41">
        <f t="shared" si="20"/>
        <v>518</v>
      </c>
      <c r="D25" s="13">
        <v>0</v>
      </c>
      <c r="E25" s="22">
        <f t="shared" si="21"/>
        <v>0</v>
      </c>
      <c r="F25" s="23">
        <f t="shared" si="22"/>
        <v>0</v>
      </c>
      <c r="L25" s="14">
        <f t="shared" si="15"/>
        <v>543.9</v>
      </c>
      <c r="M25" s="14">
        <f t="shared" si="23"/>
        <v>576.53399999999999</v>
      </c>
      <c r="N25" s="14">
        <f t="shared" si="24"/>
        <v>611.12603999999999</v>
      </c>
      <c r="O25" s="14">
        <f t="shared" si="25"/>
        <v>653.90486280000005</v>
      </c>
      <c r="P25" s="42">
        <f>D25*(1+'1'!$Z$5)</f>
        <v>0</v>
      </c>
      <c r="Q25" s="25">
        <f>P25*(1+'1'!$AA$5)</f>
        <v>0</v>
      </c>
      <c r="R25" s="25">
        <f>Q25*(1+'1'!$AB$5)</f>
        <v>0</v>
      </c>
      <c r="S25" s="25">
        <f>R25*(1+'1'!$AC$5)</f>
        <v>0</v>
      </c>
      <c r="T25" s="42">
        <f t="shared" si="28"/>
        <v>0</v>
      </c>
      <c r="U25" s="26">
        <f t="shared" si="29"/>
        <v>0</v>
      </c>
      <c r="V25" s="26">
        <f t="shared" si="26"/>
        <v>0</v>
      </c>
      <c r="W25" s="26">
        <f t="shared" si="27"/>
        <v>0</v>
      </c>
      <c r="X25" s="26"/>
    </row>
    <row r="26" spans="1:24">
      <c r="A26" s="21">
        <f>A12</f>
        <v>10</v>
      </c>
      <c r="B26" s="43" t="str">
        <f t="shared" ref="B26" si="30">B12</f>
        <v xml:space="preserve">  </v>
      </c>
      <c r="C26" s="41">
        <f t="shared" si="20"/>
        <v>0</v>
      </c>
      <c r="D26" s="13">
        <v>0</v>
      </c>
      <c r="E26" s="22">
        <f t="shared" si="21"/>
        <v>0</v>
      </c>
      <c r="F26" s="23">
        <f t="shared" si="22"/>
        <v>0</v>
      </c>
      <c r="L26" s="14">
        <f t="shared" si="15"/>
        <v>0</v>
      </c>
      <c r="M26" s="14">
        <f t="shared" si="23"/>
        <v>0</v>
      </c>
      <c r="N26" s="14">
        <f t="shared" si="24"/>
        <v>0</v>
      </c>
      <c r="O26" s="14">
        <f t="shared" si="25"/>
        <v>0</v>
      </c>
      <c r="P26" s="42">
        <f>D26*(1+'1'!$Z$5)</f>
        <v>0</v>
      </c>
      <c r="Q26" s="25">
        <f>P26*(1+'1'!$AA$5)</f>
        <v>0</v>
      </c>
      <c r="R26" s="25">
        <f>Q26*(1+'1'!$AB$5)</f>
        <v>0</v>
      </c>
      <c r="S26" s="25">
        <f>R26*(1+'1'!$AC$5)</f>
        <v>0</v>
      </c>
      <c r="T26" s="42">
        <f t="shared" si="28"/>
        <v>0</v>
      </c>
      <c r="U26" s="26">
        <f t="shared" si="29"/>
        <v>0</v>
      </c>
      <c r="V26" s="26">
        <f t="shared" si="26"/>
        <v>0</v>
      </c>
      <c r="W26" s="26">
        <f t="shared" si="27"/>
        <v>0</v>
      </c>
      <c r="X26" s="26"/>
    </row>
    <row r="27" spans="1:24">
      <c r="D27" s="14" t="str">
        <f>D13</f>
        <v>TOTAL</v>
      </c>
      <c r="E27" s="35">
        <f>SUM(E17:E26)</f>
        <v>68410800</v>
      </c>
      <c r="F27" s="36">
        <f>SUM(F17:F26)</f>
        <v>1</v>
      </c>
      <c r="T27" s="37">
        <f>SUM(T17:T26)</f>
        <v>71881326.316800013</v>
      </c>
      <c r="U27" s="37">
        <f>SUM(U17:U26)</f>
        <v>77411431.21532622</v>
      </c>
      <c r="V27" s="37">
        <f t="shared" ref="V27:W27" si="31">SUM(V17:V26)</f>
        <v>82161177.726776317</v>
      </c>
      <c r="W27" s="37">
        <f t="shared" si="31"/>
        <v>89306832.063212082</v>
      </c>
      <c r="X27" s="26"/>
    </row>
    <row r="30" spans="1:24">
      <c r="A30" s="137" t="s">
        <v>19</v>
      </c>
      <c r="B30" s="137"/>
      <c r="C30" s="137"/>
      <c r="D30" s="137"/>
      <c r="E30" s="137"/>
      <c r="F30" s="137"/>
    </row>
    <row r="31" spans="1:24" ht="25.5">
      <c r="A31" s="44" t="s">
        <v>10</v>
      </c>
      <c r="B31" s="45">
        <f>'1'!Z1</f>
        <v>2019</v>
      </c>
      <c r="C31" s="45">
        <f>B31+1</f>
        <v>2020</v>
      </c>
      <c r="D31" s="45">
        <f>C31+1</f>
        <v>2021</v>
      </c>
      <c r="E31" s="45">
        <f>D31+1</f>
        <v>2022</v>
      </c>
      <c r="F31" s="45">
        <f>E31+1</f>
        <v>2023</v>
      </c>
      <c r="H31" s="46"/>
      <c r="I31" s="46"/>
      <c r="J31" s="46"/>
      <c r="K31" s="46"/>
      <c r="L31" s="46"/>
      <c r="M31" s="46"/>
      <c r="N31" s="46"/>
      <c r="O31" s="46"/>
      <c r="P31" s="46"/>
      <c r="Q31" s="46"/>
      <c r="R31" s="46"/>
      <c r="S31" s="46"/>
      <c r="T31" s="46"/>
      <c r="U31" s="46"/>
      <c r="V31" s="46"/>
    </row>
    <row r="32" spans="1:24">
      <c r="A32" s="47" t="s">
        <v>20</v>
      </c>
      <c r="B32" s="48">
        <f>'1'!E13</f>
        <v>479720000.27999997</v>
      </c>
      <c r="C32" s="49">
        <f>'1'!T13</f>
        <v>517363223.50311399</v>
      </c>
      <c r="D32" s="49">
        <f>'1'!U13</f>
        <v>568557869.90583193</v>
      </c>
      <c r="E32" s="49">
        <f>'1'!V13</f>
        <v>623966209.42557192</v>
      </c>
      <c r="F32" s="49">
        <f>'1'!W13</f>
        <v>691194203.66505504</v>
      </c>
    </row>
    <row r="33" spans="1:6">
      <c r="A33" s="47" t="s">
        <v>21</v>
      </c>
      <c r="B33" s="48">
        <f>'1'!E27</f>
        <v>68410800</v>
      </c>
      <c r="C33" s="48">
        <f>'1'!T27</f>
        <v>71881326.316800013</v>
      </c>
      <c r="D33" s="48">
        <f>'1'!U27</f>
        <v>77411431.21532622</v>
      </c>
      <c r="E33" s="48">
        <f>'1'!V27</f>
        <v>82161177.726776317</v>
      </c>
      <c r="F33" s="48">
        <f>'1'!W27</f>
        <v>89306832.063212082</v>
      </c>
    </row>
    <row r="34" spans="1:6" ht="15.75" thickBot="1">
      <c r="A34" s="50" t="s">
        <v>22</v>
      </c>
      <c r="B34" s="58">
        <f>B32-B33</f>
        <v>411309200.27999997</v>
      </c>
      <c r="C34" s="58">
        <f t="shared" ref="C34:D34" si="32">C32-C33</f>
        <v>445481897.18631399</v>
      </c>
      <c r="D34" s="58">
        <f t="shared" si="32"/>
        <v>491146438.69050574</v>
      </c>
      <c r="E34" s="58">
        <f t="shared" ref="E34" si="33">E32-E33</f>
        <v>541805031.69879556</v>
      </c>
      <c r="F34" s="58">
        <f t="shared" ref="F34" si="34">F32-F33</f>
        <v>601887371.601843</v>
      </c>
    </row>
    <row r="35" spans="1:6" ht="15.75" thickTop="1"/>
  </sheetData>
  <sheetProtection algorithmName="SHA-512" hashValue="ekWzEcRx+WcVljFGq2cz7NWLvZUyRjJKrqaR7YYfeD7Fxw4bJpem4LmiH4MA8t89tTjw/a7j+8fzXvA50JkQDg==" saltValue="Q7N1yCZ5WUXw/XjxF4IKQQ==" spinCount="100000" sheet="1" objects="1" scenarios="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horizontalDpi="4294967295" verticalDpi="4294967295" r:id="rId1"/>
  <drawing r:id="rId2"/>
  <legacyDrawing r:id="rId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B1:H31"/>
  <sheetViews>
    <sheetView showGridLines="0" showRowColHeaders="0" workbookViewId="0">
      <pane ySplit="14" topLeftCell="A15" activePane="bottomLeft" state="frozenSplit"/>
      <selection activeCell="B40" sqref="B40"/>
      <selection pane="bottomLeft" activeCell="H30" sqref="H30"/>
    </sheetView>
  </sheetViews>
  <sheetFormatPr baseColWidth="10" defaultColWidth="10.85546875" defaultRowHeight="15"/>
  <cols>
    <col min="1" max="1" width="5.42578125" style="14" customWidth="1"/>
    <col min="2" max="2" width="29.42578125" style="14" bestFit="1" customWidth="1"/>
    <col min="3" max="3" width="20.28515625" style="14" customWidth="1"/>
    <col min="4" max="4" width="10.85546875" style="14"/>
    <col min="5" max="5" width="23.28515625" style="14" customWidth="1"/>
    <col min="6" max="6" width="17.7109375" style="14" bestFit="1" customWidth="1"/>
    <col min="7" max="7" width="15.42578125" style="14" bestFit="1" customWidth="1"/>
    <col min="8" max="16384" width="10.85546875" style="14"/>
  </cols>
  <sheetData>
    <row r="1" spans="2:8">
      <c r="B1" s="140" t="s">
        <v>139</v>
      </c>
      <c r="C1" s="140"/>
      <c r="D1" s="140"/>
      <c r="E1" s="140"/>
      <c r="F1" s="140"/>
      <c r="G1" s="140"/>
      <c r="H1" s="140"/>
    </row>
    <row r="2" spans="2:8" ht="3.75" customHeight="1">
      <c r="B2" s="140"/>
      <c r="C2" s="140"/>
      <c r="D2" s="140"/>
      <c r="E2" s="140"/>
      <c r="F2" s="140"/>
      <c r="G2" s="140"/>
      <c r="H2" s="140"/>
    </row>
    <row r="3" spans="2:8">
      <c r="C3" s="21" t="s">
        <v>52</v>
      </c>
      <c r="F3" s="77" t="s">
        <v>97</v>
      </c>
      <c r="G3" s="77"/>
    </row>
    <row r="4" spans="2:8">
      <c r="B4" s="50" t="s">
        <v>44</v>
      </c>
      <c r="C4" s="13">
        <v>0</v>
      </c>
      <c r="F4" s="77"/>
      <c r="G4" s="77"/>
    </row>
    <row r="5" spans="2:8">
      <c r="B5" s="50" t="s">
        <v>47</v>
      </c>
      <c r="C5" s="13">
        <v>4000000</v>
      </c>
      <c r="F5" s="77">
        <v>10</v>
      </c>
      <c r="G5" s="78">
        <f>C5/F5</f>
        <v>400000</v>
      </c>
    </row>
    <row r="6" spans="2:8">
      <c r="B6" s="50" t="s">
        <v>45</v>
      </c>
      <c r="C6" s="13">
        <v>9100000</v>
      </c>
      <c r="F6" s="77">
        <v>5</v>
      </c>
      <c r="G6" s="78">
        <f t="shared" ref="G6:G11" si="0">C6/F6</f>
        <v>1820000</v>
      </c>
    </row>
    <row r="7" spans="2:8">
      <c r="B7" s="50" t="s">
        <v>46</v>
      </c>
      <c r="C7" s="13">
        <v>12400000</v>
      </c>
      <c r="F7" s="77">
        <v>5</v>
      </c>
      <c r="G7" s="78">
        <f t="shared" si="0"/>
        <v>2480000</v>
      </c>
    </row>
    <row r="8" spans="2:8">
      <c r="B8" s="50" t="s">
        <v>48</v>
      </c>
      <c r="C8" s="13">
        <v>0</v>
      </c>
      <c r="F8" s="77">
        <v>5</v>
      </c>
      <c r="G8" s="78">
        <f t="shared" si="0"/>
        <v>0</v>
      </c>
    </row>
    <row r="9" spans="2:8">
      <c r="B9" s="50" t="s">
        <v>49</v>
      </c>
      <c r="C9" s="13">
        <v>0</v>
      </c>
      <c r="F9" s="77">
        <v>5</v>
      </c>
      <c r="G9" s="78">
        <f t="shared" si="0"/>
        <v>0</v>
      </c>
    </row>
    <row r="10" spans="2:8">
      <c r="B10" s="134" t="s">
        <v>146</v>
      </c>
      <c r="C10" s="13">
        <v>0</v>
      </c>
      <c r="F10" s="77">
        <v>5</v>
      </c>
      <c r="G10" s="78">
        <f t="shared" si="0"/>
        <v>0</v>
      </c>
    </row>
    <row r="11" spans="2:8">
      <c r="B11" s="50" t="s">
        <v>50</v>
      </c>
      <c r="C11" s="13">
        <v>5100000</v>
      </c>
      <c r="F11" s="77">
        <v>5</v>
      </c>
      <c r="G11" s="78">
        <f t="shared" si="0"/>
        <v>1020000</v>
      </c>
    </row>
    <row r="12" spans="2:8" ht="16.5" thickBot="1">
      <c r="B12" s="79" t="s">
        <v>51</v>
      </c>
      <c r="C12" s="80">
        <f>SUM(C4:C11)</f>
        <v>30600000</v>
      </c>
      <c r="F12" s="77"/>
      <c r="G12" s="78">
        <f>SUM(G5:G11)</f>
        <v>5720000</v>
      </c>
    </row>
    <row r="13" spans="2:8">
      <c r="B13" s="141" t="s">
        <v>43</v>
      </c>
      <c r="C13" s="142"/>
      <c r="D13" s="142"/>
      <c r="E13" s="142"/>
      <c r="F13" s="142"/>
      <c r="G13" s="142"/>
      <c r="H13" s="143"/>
    </row>
    <row r="14" spans="2:8" ht="15.75" thickBot="1">
      <c r="B14" s="144"/>
      <c r="C14" s="145"/>
      <c r="D14" s="145"/>
      <c r="E14" s="145"/>
      <c r="F14" s="145"/>
      <c r="G14" s="145"/>
      <c r="H14" s="146"/>
    </row>
    <row r="15" spans="2:8">
      <c r="B15" s="81"/>
      <c r="C15" s="81"/>
      <c r="D15" s="81"/>
      <c r="E15" s="81"/>
      <c r="F15" s="81"/>
      <c r="G15" s="81"/>
      <c r="H15" s="81"/>
    </row>
    <row r="16" spans="2:8">
      <c r="B16" s="79" t="s">
        <v>28</v>
      </c>
      <c r="E16" s="79" t="s">
        <v>35</v>
      </c>
      <c r="F16" s="40"/>
    </row>
    <row r="17" spans="2:6">
      <c r="C17" s="79" t="s">
        <v>30</v>
      </c>
      <c r="F17" s="79" t="str">
        <f>C17</f>
        <v>VALOR AÑO 1</v>
      </c>
    </row>
    <row r="18" spans="2:6">
      <c r="B18" s="82" t="s">
        <v>29</v>
      </c>
      <c r="C18" s="13">
        <v>280362000</v>
      </c>
      <c r="E18" s="133" t="s">
        <v>145</v>
      </c>
      <c r="F18" s="13">
        <v>12000000</v>
      </c>
    </row>
    <row r="19" spans="2:6">
      <c r="B19" s="112"/>
      <c r="C19" s="84"/>
      <c r="E19" s="83" t="s">
        <v>36</v>
      </c>
      <c r="F19" s="13">
        <v>1500000</v>
      </c>
    </row>
    <row r="20" spans="2:6">
      <c r="B20" s="82" t="s">
        <v>32</v>
      </c>
      <c r="C20" s="13">
        <v>22938000</v>
      </c>
      <c r="E20" s="83" t="s">
        <v>37</v>
      </c>
      <c r="F20" s="13">
        <v>500000</v>
      </c>
    </row>
    <row r="21" spans="2:6">
      <c r="B21" s="112"/>
      <c r="C21" s="84"/>
      <c r="E21" s="83" t="s">
        <v>38</v>
      </c>
      <c r="F21" s="13">
        <v>2544000</v>
      </c>
    </row>
    <row r="22" spans="2:6">
      <c r="B22" s="82" t="s">
        <v>144</v>
      </c>
      <c r="C22" s="13">
        <v>0</v>
      </c>
      <c r="E22" s="83" t="s">
        <v>39</v>
      </c>
      <c r="F22" s="13">
        <v>900000</v>
      </c>
    </row>
    <row r="23" spans="2:6" ht="15.75">
      <c r="B23" s="132" t="s">
        <v>57</v>
      </c>
      <c r="C23" s="80">
        <f>C18+C20+C22</f>
        <v>303300000</v>
      </c>
      <c r="E23" s="83" t="s">
        <v>40</v>
      </c>
      <c r="F23" s="13">
        <v>0</v>
      </c>
    </row>
    <row r="24" spans="2:6">
      <c r="E24" s="83" t="s">
        <v>41</v>
      </c>
      <c r="F24" s="13">
        <v>2200000</v>
      </c>
    </row>
    <row r="25" spans="2:6" ht="24.75">
      <c r="B25" s="83" t="s">
        <v>33</v>
      </c>
      <c r="C25" s="13">
        <v>10500000</v>
      </c>
      <c r="E25" s="115" t="s">
        <v>153</v>
      </c>
      <c r="F25" s="13">
        <v>1200000</v>
      </c>
    </row>
    <row r="26" spans="2:6">
      <c r="E26" s="115" t="s">
        <v>154</v>
      </c>
      <c r="F26" s="13">
        <v>38082000</v>
      </c>
    </row>
    <row r="27" spans="2:6">
      <c r="E27" s="115" t="s">
        <v>156</v>
      </c>
      <c r="F27" s="13">
        <v>4400000</v>
      </c>
    </row>
    <row r="28" spans="2:6">
      <c r="E28" s="115" t="s">
        <v>157</v>
      </c>
      <c r="F28" s="13">
        <v>3800000</v>
      </c>
    </row>
    <row r="29" spans="2:6">
      <c r="E29" s="115"/>
      <c r="F29" s="13">
        <v>0</v>
      </c>
    </row>
    <row r="30" spans="2:6">
      <c r="E30" s="115"/>
      <c r="F30" s="13">
        <v>0</v>
      </c>
    </row>
    <row r="31" spans="2:6" ht="15.75">
      <c r="E31" s="83" t="s">
        <v>42</v>
      </c>
      <c r="F31" s="80">
        <f>SUM(F18:F30)</f>
        <v>67126000</v>
      </c>
    </row>
  </sheetData>
  <sheetProtection algorithmName="SHA-512" hashValue="4HifLiloRterVjzxd3RAMYWPHTIkiQzoB19WQ6hokYhB2zd8hOS85TH+lvkBh6Y53gEElbwJgrUBpzXR1VT9+A==" saltValue="IPIGSOvu89kfMPGx4zvbEQ==" spinCount="100000" sheet="1" objects="1" scenarios="1" formatCells="0" formatColumns="0" formatRows="0"/>
  <mergeCells count="2">
    <mergeCell ref="B1:H2"/>
    <mergeCell ref="B13:H14"/>
  </mergeCells>
  <pageMargins left="0.7" right="0.7" top="0.75" bottom="0.75" header="0.3" footer="0.3"/>
  <pageSetup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B2:J16"/>
  <sheetViews>
    <sheetView showGridLines="0" workbookViewId="0">
      <selection activeCell="D8" sqref="D8"/>
    </sheetView>
  </sheetViews>
  <sheetFormatPr baseColWidth="10" defaultColWidth="10.85546875" defaultRowHeight="15"/>
  <cols>
    <col min="1" max="1" width="10.85546875" style="14"/>
    <col min="2" max="2" width="39" style="14" bestFit="1" customWidth="1"/>
    <col min="3" max="4" width="18.42578125" style="14" bestFit="1" customWidth="1"/>
    <col min="5" max="5" width="5" style="14" customWidth="1"/>
    <col min="6" max="6" width="14.7109375" style="14" bestFit="1" customWidth="1"/>
    <col min="7" max="7" width="14.42578125" style="14" bestFit="1" customWidth="1"/>
    <col min="8" max="8" width="14.42578125" style="14" customWidth="1"/>
    <col min="9" max="9" width="14" style="14" customWidth="1"/>
    <col min="10" max="10" width="15.7109375" style="14" customWidth="1"/>
    <col min="11" max="16384" width="10.85546875" style="14"/>
  </cols>
  <sheetData>
    <row r="2" spans="2:10" ht="29.25" customHeight="1">
      <c r="B2" s="138" t="s">
        <v>121</v>
      </c>
      <c r="C2" s="138"/>
      <c r="D2" s="138"/>
      <c r="E2" s="138"/>
      <c r="F2" s="138"/>
      <c r="G2" s="138"/>
      <c r="H2" s="138"/>
      <c r="I2" s="138"/>
      <c r="J2" s="138"/>
    </row>
    <row r="3" spans="2:10">
      <c r="F3" s="148" t="s">
        <v>63</v>
      </c>
      <c r="G3" s="148"/>
    </row>
    <row r="4" spans="2:10" ht="15.75">
      <c r="B4" s="16" t="s">
        <v>51</v>
      </c>
      <c r="C4" s="80">
        <f>'2'!C12</f>
        <v>30600000</v>
      </c>
      <c r="F4" s="149">
        <v>0.16</v>
      </c>
      <c r="G4" s="149"/>
    </row>
    <row r="6" spans="2:10">
      <c r="B6" s="16" t="s">
        <v>53</v>
      </c>
      <c r="F6" s="147" t="s">
        <v>122</v>
      </c>
      <c r="G6" s="147"/>
      <c r="H6" s="147"/>
      <c r="I6" s="147"/>
      <c r="J6" s="147"/>
    </row>
    <row r="7" spans="2:10" ht="25.5">
      <c r="C7" s="85" t="s">
        <v>55</v>
      </c>
      <c r="D7" s="85" t="s">
        <v>56</v>
      </c>
      <c r="F7" s="86" t="s">
        <v>64</v>
      </c>
      <c r="G7" s="86" t="s">
        <v>65</v>
      </c>
      <c r="H7" s="86" t="s">
        <v>66</v>
      </c>
      <c r="I7" s="86" t="s">
        <v>67</v>
      </c>
      <c r="J7" s="86" t="s">
        <v>68</v>
      </c>
    </row>
    <row r="8" spans="2:10">
      <c r="B8" s="50" t="s">
        <v>54</v>
      </c>
      <c r="C8" s="60">
        <v>3</v>
      </c>
      <c r="D8" s="25">
        <f>('1'!B33/12)*C8</f>
        <v>17102700</v>
      </c>
      <c r="F8" s="87">
        <v>0</v>
      </c>
      <c r="G8" s="88"/>
      <c r="H8" s="89"/>
      <c r="I8" s="89"/>
      <c r="J8" s="90">
        <f>D16</f>
        <v>132934200</v>
      </c>
    </row>
    <row r="9" spans="2:10">
      <c r="B9" s="50" t="s">
        <v>58</v>
      </c>
      <c r="C9" s="60">
        <v>3</v>
      </c>
      <c r="D9" s="25">
        <f>('2'!C23/12)*C9</f>
        <v>75825000</v>
      </c>
      <c r="F9" s="87">
        <f>'1'!B31</f>
        <v>2019</v>
      </c>
      <c r="G9" s="91">
        <f>PMT(F4,5,J8)</f>
        <v>-40599351.817866497</v>
      </c>
      <c r="H9" s="89">
        <f>I9+G9</f>
        <v>-19329879.817866497</v>
      </c>
      <c r="I9" s="89">
        <f>J8*$F$4</f>
        <v>21269472</v>
      </c>
      <c r="J9" s="91">
        <f>J8+H9</f>
        <v>113604320.1821335</v>
      </c>
    </row>
    <row r="10" spans="2:10">
      <c r="B10" s="50" t="s">
        <v>59</v>
      </c>
      <c r="C10" s="60">
        <v>3</v>
      </c>
      <c r="D10" s="25">
        <f>('2'!C25/12)*C10</f>
        <v>2625000</v>
      </c>
      <c r="F10" s="87">
        <f>'1'!C31</f>
        <v>2020</v>
      </c>
      <c r="G10" s="91">
        <f>G9</f>
        <v>-40599351.817866497</v>
      </c>
      <c r="H10" s="89">
        <f>I10+G10</f>
        <v>-22422660.588725138</v>
      </c>
      <c r="I10" s="89">
        <f t="shared" ref="I10:I13" si="0">J9*$F$4</f>
        <v>18176691.229141358</v>
      </c>
      <c r="J10" s="91">
        <f>J9+H10</f>
        <v>91181659.593408361</v>
      </c>
    </row>
    <row r="11" spans="2:10">
      <c r="B11" s="50" t="s">
        <v>34</v>
      </c>
      <c r="C11" s="60">
        <v>3</v>
      </c>
      <c r="D11" s="25">
        <f>('2'!F31/12)*C11</f>
        <v>16781500</v>
      </c>
      <c r="F11" s="87">
        <f>'1'!D31</f>
        <v>2021</v>
      </c>
      <c r="G11" s="91">
        <f>G10</f>
        <v>-40599351.817866497</v>
      </c>
      <c r="H11" s="89">
        <f>I11+G11</f>
        <v>-26010286.282921158</v>
      </c>
      <c r="I11" s="89">
        <f t="shared" si="0"/>
        <v>14589065.534945339</v>
      </c>
      <c r="J11" s="91">
        <f>J10+H11</f>
        <v>65171373.310487203</v>
      </c>
    </row>
    <row r="12" spans="2:10" ht="15.75">
      <c r="B12" s="92" t="s">
        <v>8</v>
      </c>
      <c r="C12" s="64"/>
      <c r="D12" s="93">
        <f>SUM(D8:D11)</f>
        <v>112334200</v>
      </c>
      <c r="F12" s="87">
        <f>'1'!E31</f>
        <v>2022</v>
      </c>
      <c r="G12" s="91">
        <f>G11</f>
        <v>-40599351.817866497</v>
      </c>
      <c r="H12" s="89">
        <f>I12+G12</f>
        <v>-30171932.088188544</v>
      </c>
      <c r="I12" s="89">
        <f t="shared" si="0"/>
        <v>10427419.729677953</v>
      </c>
      <c r="J12" s="91">
        <f>J11+H12</f>
        <v>34999441.222298659</v>
      </c>
    </row>
    <row r="13" spans="2:10">
      <c r="F13" s="87">
        <f>'1'!F31</f>
        <v>2023</v>
      </c>
      <c r="G13" s="91">
        <f>G12</f>
        <v>-40599351.817866497</v>
      </c>
      <c r="H13" s="89">
        <f>I13+G13</f>
        <v>-34999441.222298712</v>
      </c>
      <c r="I13" s="89">
        <f t="shared" si="0"/>
        <v>5599910.5955677852</v>
      </c>
      <c r="J13" s="91">
        <f>J12+H13</f>
        <v>0</v>
      </c>
    </row>
    <row r="14" spans="2:10" ht="15.75">
      <c r="B14" s="50" t="s">
        <v>60</v>
      </c>
      <c r="D14" s="80">
        <f>C4+D12</f>
        <v>142934200</v>
      </c>
    </row>
    <row r="15" spans="2:10">
      <c r="B15" s="50" t="s">
        <v>61</v>
      </c>
      <c r="D15" s="61">
        <v>10000000</v>
      </c>
    </row>
    <row r="16" spans="2:10" ht="15.75">
      <c r="B16" s="50" t="s">
        <v>62</v>
      </c>
      <c r="D16" s="94">
        <f>D14-D15</f>
        <v>132934200</v>
      </c>
    </row>
  </sheetData>
  <sheetProtection algorithmName="SHA-512" hashValue="luCPfoyFFUbHsy+LJlJFQjbz7S10pCBtQvs5pH4lrF3fS1A3DOgB3iFw+B8zFqnoEhdoLM0IjuKAgUnIPNp42A==" saltValue="Q+3qK+P2nRw3mYZe8SBDjg==" spinCount="100000" sheet="1" objects="1" scenarios="1" formatCells="0" formatColumns="0" formatRows="0"/>
  <mergeCells count="4">
    <mergeCell ref="F6:J6"/>
    <mergeCell ref="F3:G3"/>
    <mergeCell ref="F4:G4"/>
    <mergeCell ref="B2:J2"/>
  </mergeCells>
  <pageMargins left="0.7" right="0.7" top="0.75" bottom="0.75" header="0.3" footer="0.3"/>
  <pageSetup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zoomScale="90" zoomScaleNormal="90" zoomScalePageLayoutView="90" workbookViewId="0">
      <pane xSplit="7" ySplit="1" topLeftCell="H2" activePane="bottomRight" state="frozenSplit"/>
      <selection pane="topRight" activeCell="E1" sqref="E1"/>
      <selection pane="bottomLeft" activeCell="A12" sqref="A12"/>
      <selection pane="bottomRight" activeCell="B65" sqref="B65"/>
    </sheetView>
  </sheetViews>
  <sheetFormatPr baseColWidth="10" defaultColWidth="10.85546875" defaultRowHeight="15"/>
  <cols>
    <col min="1" max="1" width="26.7109375" style="14" customWidth="1"/>
    <col min="2" max="2" width="25.85546875" style="14" bestFit="1" customWidth="1"/>
    <col min="3" max="3" width="21.7109375" style="14" bestFit="1" customWidth="1"/>
    <col min="4" max="7" width="17.42578125" style="14" bestFit="1" customWidth="1"/>
    <col min="8" max="16384" width="10.85546875" style="14"/>
  </cols>
  <sheetData>
    <row r="1" spans="1:7" ht="34.5" customHeight="1">
      <c r="A1" s="153" t="s">
        <v>123</v>
      </c>
      <c r="B1" s="153"/>
      <c r="C1" s="153"/>
      <c r="D1" s="153"/>
      <c r="E1" s="153"/>
      <c r="F1" s="153"/>
      <c r="G1" s="153"/>
    </row>
    <row r="2" spans="1:7" ht="23.25">
      <c r="A2" s="154" t="s">
        <v>138</v>
      </c>
      <c r="B2" s="154"/>
      <c r="C2" s="154"/>
      <c r="D2" s="154"/>
      <c r="E2" s="154"/>
      <c r="F2" s="154"/>
      <c r="G2" s="154"/>
    </row>
    <row r="3" spans="1:7" ht="8.25" customHeight="1">
      <c r="A3" s="62"/>
      <c r="B3" s="62"/>
      <c r="C3" s="62"/>
      <c r="D3" s="62"/>
      <c r="E3" s="62"/>
      <c r="F3" s="62"/>
      <c r="G3" s="62"/>
    </row>
    <row r="4" spans="1:7" ht="15.75">
      <c r="A4" s="152" t="s">
        <v>94</v>
      </c>
      <c r="B4" s="152"/>
      <c r="C4" s="152"/>
      <c r="D4" s="152"/>
      <c r="E4" s="152"/>
      <c r="F4" s="152"/>
      <c r="G4" s="152"/>
    </row>
    <row r="5" spans="1:7" ht="23.25">
      <c r="C5" s="66">
        <f>'1'!B31</f>
        <v>2019</v>
      </c>
      <c r="D5" s="66">
        <f>'1'!C31</f>
        <v>2020</v>
      </c>
      <c r="E5" s="66">
        <f>'1'!D31</f>
        <v>2021</v>
      </c>
      <c r="F5" s="66">
        <f>'1'!E31</f>
        <v>2022</v>
      </c>
      <c r="G5" s="66">
        <f>'1'!F31</f>
        <v>2023</v>
      </c>
    </row>
    <row r="6" spans="1:7">
      <c r="B6" s="14" t="s">
        <v>31</v>
      </c>
      <c r="C6" s="67">
        <f>'1'!B32</f>
        <v>479720000.27999997</v>
      </c>
      <c r="D6" s="67">
        <f>'1'!C32</f>
        <v>517363223.50311399</v>
      </c>
      <c r="E6" s="67">
        <f>'1'!D32</f>
        <v>568557869.90583193</v>
      </c>
      <c r="F6" s="67">
        <f>'1'!E32</f>
        <v>623966209.42557192</v>
      </c>
      <c r="G6" s="67">
        <f>'1'!F32</f>
        <v>691194203.66505504</v>
      </c>
    </row>
    <row r="7" spans="1:7">
      <c r="B7" s="14" t="s">
        <v>71</v>
      </c>
      <c r="C7" s="67">
        <f>'1'!B33</f>
        <v>68410800</v>
      </c>
      <c r="D7" s="67">
        <f>'1'!C33</f>
        <v>71881326.316800013</v>
      </c>
      <c r="E7" s="67">
        <f>'1'!D33</f>
        <v>77411431.21532622</v>
      </c>
      <c r="F7" s="67">
        <f>'1'!E33</f>
        <v>82161177.726776317</v>
      </c>
      <c r="G7" s="67">
        <f>'1'!F33</f>
        <v>89306832.063212082</v>
      </c>
    </row>
    <row r="8" spans="1:7" ht="15.75" thickBot="1">
      <c r="B8" s="68" t="s">
        <v>72</v>
      </c>
      <c r="C8" s="69">
        <f>C6-C7</f>
        <v>411309200.27999997</v>
      </c>
      <c r="D8" s="69">
        <f t="shared" ref="D8:G8" si="0">D6-D7</f>
        <v>445481897.18631399</v>
      </c>
      <c r="E8" s="69">
        <f t="shared" si="0"/>
        <v>491146438.69050574</v>
      </c>
      <c r="F8" s="69">
        <f t="shared" si="0"/>
        <v>541805031.69879556</v>
      </c>
      <c r="G8" s="69">
        <f t="shared" si="0"/>
        <v>601887371.601843</v>
      </c>
    </row>
    <row r="9" spans="1:7" ht="15.75" thickTop="1">
      <c r="B9" s="14" t="s">
        <v>73</v>
      </c>
      <c r="C9" s="67">
        <f>'2'!C23</f>
        <v>303300000</v>
      </c>
      <c r="D9" s="67">
        <f>C9*(1+'1'!Z4)</f>
        <v>312702300</v>
      </c>
      <c r="E9" s="67">
        <f>D9*(1+'1'!AA4)</f>
        <v>322552422.45000005</v>
      </c>
      <c r="F9" s="67">
        <f>E9*(1+'1'!AB4)</f>
        <v>332228995.12350005</v>
      </c>
      <c r="G9" s="67">
        <f>F9*(1+'1'!AC4)</f>
        <v>342195864.97720504</v>
      </c>
    </row>
    <row r="10" spans="1:7">
      <c r="B10" s="14" t="s">
        <v>140</v>
      </c>
      <c r="C10" s="67">
        <f>'2'!F31</f>
        <v>67126000</v>
      </c>
      <c r="D10" s="67">
        <f>C10*(1+'1'!Z4)</f>
        <v>69206906</v>
      </c>
      <c r="E10" s="67">
        <f>D10*(1+'1'!AA4)</f>
        <v>71386923.539000005</v>
      </c>
      <c r="F10" s="67">
        <f>E10*(1+'1'!AB4)</f>
        <v>73528531.245170012</v>
      </c>
      <c r="G10" s="67">
        <f>F10*(1+'1'!AC4)</f>
        <v>75734387.182525113</v>
      </c>
    </row>
    <row r="11" spans="1:7">
      <c r="B11" s="14" t="s">
        <v>74</v>
      </c>
      <c r="C11" s="67">
        <f>'2'!C25</f>
        <v>10500000</v>
      </c>
      <c r="D11" s="67">
        <f>C11*(1+'1'!Z5)</f>
        <v>10701600.000000002</v>
      </c>
      <c r="E11" s="67">
        <f>D11*(1+'1'!AA5)</f>
        <v>11065454.400000002</v>
      </c>
      <c r="F11" s="67">
        <f>E11*(1+'1'!AB5)</f>
        <v>11275698.033600001</v>
      </c>
      <c r="G11" s="67">
        <f>F11*(1+'1'!AC5)</f>
        <v>11659071.766742401</v>
      </c>
    </row>
    <row r="12" spans="1:7">
      <c r="B12" s="14" t="s">
        <v>91</v>
      </c>
      <c r="C12" s="67">
        <f>'2'!G12</f>
        <v>5720000</v>
      </c>
      <c r="D12" s="67">
        <f>C12</f>
        <v>5720000</v>
      </c>
      <c r="E12" s="67">
        <f t="shared" ref="E12:G12" si="1">D12</f>
        <v>5720000</v>
      </c>
      <c r="F12" s="67">
        <f t="shared" si="1"/>
        <v>5720000</v>
      </c>
      <c r="G12" s="67">
        <f t="shared" si="1"/>
        <v>5720000</v>
      </c>
    </row>
    <row r="13" spans="1:7" ht="15.75" thickBot="1">
      <c r="B13" s="68" t="s">
        <v>75</v>
      </c>
      <c r="C13" s="70">
        <f>C8-C9-C10-C11-C12</f>
        <v>24663200.279999971</v>
      </c>
      <c r="D13" s="70">
        <f t="shared" ref="D13:G13" si="2">D8-D9-D10-D11-D12</f>
        <v>47151091.186313987</v>
      </c>
      <c r="E13" s="70">
        <f t="shared" si="2"/>
        <v>80421638.301505685</v>
      </c>
      <c r="F13" s="70">
        <f t="shared" si="2"/>
        <v>119051807.29652551</v>
      </c>
      <c r="G13" s="70">
        <f t="shared" si="2"/>
        <v>166578047.67537045</v>
      </c>
    </row>
    <row r="14" spans="1:7" ht="15.75" thickTop="1">
      <c r="B14" s="14" t="s">
        <v>76</v>
      </c>
      <c r="C14" s="67">
        <f>'3'!I9</f>
        <v>21269472</v>
      </c>
      <c r="D14" s="67">
        <f>'3'!I10</f>
        <v>18176691.229141358</v>
      </c>
      <c r="E14" s="67">
        <f>'3'!I11</f>
        <v>14589065.534945339</v>
      </c>
      <c r="F14" s="67">
        <f>'3'!I12</f>
        <v>10427419.729677953</v>
      </c>
      <c r="G14" s="67">
        <f>'3'!I13</f>
        <v>5599910.5955677852</v>
      </c>
    </row>
    <row r="15" spans="1:7" ht="15.75" thickBot="1">
      <c r="B15" s="68" t="s">
        <v>77</v>
      </c>
      <c r="C15" s="70">
        <f>C13-C14</f>
        <v>3393728.2799999714</v>
      </c>
      <c r="D15" s="70">
        <f t="shared" ref="D15:G15" si="3">D13-D14</f>
        <v>28974399.957172628</v>
      </c>
      <c r="E15" s="70">
        <f t="shared" si="3"/>
        <v>65832572.766560346</v>
      </c>
      <c r="F15" s="70">
        <f t="shared" si="3"/>
        <v>108624387.56684756</v>
      </c>
      <c r="G15" s="70">
        <f t="shared" si="3"/>
        <v>160978137.07980266</v>
      </c>
    </row>
    <row r="16" spans="1:7" ht="15.75" thickTop="1">
      <c r="B16" s="14" t="s">
        <v>78</v>
      </c>
      <c r="C16" s="71">
        <f>IF(C15*'1'!$AB$7&lt;0,0,C15*'1'!$AB$7)</f>
        <v>678745.65599999437</v>
      </c>
      <c r="D16" s="71">
        <f>IF(D15*'1'!$AB$7&lt;0,0,D15*'1'!$AB$7)</f>
        <v>5794879.9914345257</v>
      </c>
      <c r="E16" s="71">
        <f>IF(E15*'1'!$AB$7&lt;0,0,E15*'1'!$AB$7)</f>
        <v>13166514.553312071</v>
      </c>
      <c r="F16" s="71">
        <f>IF(F15*'1'!$AB$7&lt;0,0,F15*'1'!$AB$7)</f>
        <v>21724877.513369516</v>
      </c>
      <c r="G16" s="71">
        <f>IF(G15*'1'!$AB$7&lt;0,0,G15*'1'!$AB$7)</f>
        <v>32195627.415960535</v>
      </c>
    </row>
    <row r="17" spans="1:8" ht="15.75" thickBot="1">
      <c r="B17" s="72" t="s">
        <v>79</v>
      </c>
      <c r="C17" s="73">
        <f>C15-C16</f>
        <v>2714982.623999977</v>
      </c>
      <c r="D17" s="73">
        <f t="shared" ref="D17:G17" si="4">D15-D16</f>
        <v>23179519.965738103</v>
      </c>
      <c r="E17" s="73">
        <f t="shared" si="4"/>
        <v>52666058.213248275</v>
      </c>
      <c r="F17" s="73">
        <f t="shared" si="4"/>
        <v>86899510.053478047</v>
      </c>
      <c r="G17" s="73">
        <f t="shared" si="4"/>
        <v>128782509.66384213</v>
      </c>
    </row>
    <row r="19" spans="1:8" ht="15.75">
      <c r="A19" s="152" t="s">
        <v>69</v>
      </c>
      <c r="B19" s="152"/>
      <c r="C19" s="152"/>
      <c r="D19" s="152"/>
      <c r="E19" s="152"/>
      <c r="F19" s="152"/>
      <c r="G19" s="152"/>
    </row>
    <row r="20" spans="1:8" ht="23.25">
      <c r="B20" s="74" t="s">
        <v>89</v>
      </c>
      <c r="C20" s="66">
        <f>C5</f>
        <v>2019</v>
      </c>
      <c r="D20" s="66">
        <f>D5</f>
        <v>2020</v>
      </c>
      <c r="E20" s="66">
        <f>E5</f>
        <v>2021</v>
      </c>
      <c r="F20" s="66">
        <f>F5</f>
        <v>2022</v>
      </c>
      <c r="G20" s="66">
        <f>G5</f>
        <v>2023</v>
      </c>
    </row>
    <row r="21" spans="1:8">
      <c r="A21" s="151" t="s">
        <v>70</v>
      </c>
      <c r="B21" s="151"/>
      <c r="C21" s="151"/>
      <c r="D21" s="151"/>
      <c r="E21" s="151"/>
      <c r="F21" s="151"/>
      <c r="G21" s="151"/>
    </row>
    <row r="22" spans="1:8">
      <c r="A22" s="14" t="s">
        <v>100</v>
      </c>
      <c r="B22" s="26">
        <f>B38-B26</f>
        <v>112334200</v>
      </c>
      <c r="C22" s="26">
        <f t="shared" ref="C22:G22" si="5">C38-C26</f>
        <v>102118048.46213347</v>
      </c>
      <c r="D22" s="26">
        <f t="shared" si="5"/>
        <v>110996059.55058099</v>
      </c>
      <c r="E22" s="26">
        <f t="shared" si="5"/>
        <v>127563946.07704756</v>
      </c>
      <c r="F22" s="26">
        <f t="shared" si="5"/>
        <v>145903828.78914621</v>
      </c>
      <c r="G22" s="26">
        <f t="shared" si="5"/>
        <v>168978137.07980269</v>
      </c>
    </row>
    <row r="23" spans="1:8">
      <c r="A23" s="14" t="s">
        <v>98</v>
      </c>
      <c r="B23" s="26">
        <f>'2'!C4</f>
        <v>0</v>
      </c>
      <c r="C23" s="26">
        <f>B23</f>
        <v>0</v>
      </c>
      <c r="D23" s="26">
        <f t="shared" ref="D23:G23" si="6">C23</f>
        <v>0</v>
      </c>
      <c r="E23" s="26">
        <f t="shared" si="6"/>
        <v>0</v>
      </c>
      <c r="F23" s="26">
        <f t="shared" si="6"/>
        <v>0</v>
      </c>
      <c r="G23" s="26">
        <f t="shared" si="6"/>
        <v>0</v>
      </c>
      <c r="H23" s="26"/>
    </row>
    <row r="24" spans="1:8">
      <c r="A24" s="14" t="s">
        <v>99</v>
      </c>
      <c r="B24" s="26">
        <f>'2'!C12-'2'!C4</f>
        <v>30600000</v>
      </c>
      <c r="C24" s="26">
        <f>B24</f>
        <v>30600000</v>
      </c>
      <c r="D24" s="26">
        <f t="shared" ref="D24:G24" si="7">C24</f>
        <v>30600000</v>
      </c>
      <c r="E24" s="26">
        <f t="shared" si="7"/>
        <v>30600000</v>
      </c>
      <c r="F24" s="26">
        <f t="shared" si="7"/>
        <v>30600000</v>
      </c>
      <c r="G24" s="26">
        <f t="shared" si="7"/>
        <v>30600000</v>
      </c>
      <c r="H24" s="26"/>
    </row>
    <row r="25" spans="1:8">
      <c r="A25" s="14" t="s">
        <v>92</v>
      </c>
      <c r="B25" s="26">
        <v>0</v>
      </c>
      <c r="C25" s="26">
        <f>C12</f>
        <v>5720000</v>
      </c>
      <c r="D25" s="26">
        <f>D12+C12</f>
        <v>11440000</v>
      </c>
      <c r="E25" s="26">
        <f>E12+D12+C12</f>
        <v>17160000</v>
      </c>
      <c r="F25" s="26">
        <f>F12+E12+D12+C12</f>
        <v>22880000</v>
      </c>
      <c r="G25" s="26">
        <f>F25+G12</f>
        <v>28600000</v>
      </c>
      <c r="H25" s="26"/>
    </row>
    <row r="26" spans="1:8">
      <c r="A26" s="14" t="s">
        <v>93</v>
      </c>
      <c r="B26" s="26">
        <f>B23+(B24-B25)</f>
        <v>30600000</v>
      </c>
      <c r="C26" s="26">
        <f>C23+(C24-C25)</f>
        <v>24880000</v>
      </c>
      <c r="D26" s="26">
        <f t="shared" ref="D26:G26" si="8">D23+(D24-D25)</f>
        <v>19160000</v>
      </c>
      <c r="E26" s="26">
        <f t="shared" si="8"/>
        <v>13440000</v>
      </c>
      <c r="F26" s="26">
        <f t="shared" si="8"/>
        <v>7720000</v>
      </c>
      <c r="G26" s="26">
        <f t="shared" si="8"/>
        <v>2000000</v>
      </c>
      <c r="H26" s="26"/>
    </row>
    <row r="27" spans="1:8" ht="15.75" thickBot="1">
      <c r="A27" s="68" t="s">
        <v>90</v>
      </c>
      <c r="B27" s="75">
        <f>B22+B26</f>
        <v>142934200</v>
      </c>
      <c r="C27" s="75">
        <f t="shared" ref="C27:G27" si="9">C22+C26</f>
        <v>126998048.46213347</v>
      </c>
      <c r="D27" s="75">
        <f t="shared" si="9"/>
        <v>130156059.55058099</v>
      </c>
      <c r="E27" s="75">
        <f t="shared" si="9"/>
        <v>141003946.07704756</v>
      </c>
      <c r="F27" s="75">
        <f t="shared" si="9"/>
        <v>153623828.78914621</v>
      </c>
      <c r="G27" s="75">
        <f t="shared" si="9"/>
        <v>170978137.07980269</v>
      </c>
      <c r="H27" s="26"/>
    </row>
    <row r="28" spans="1:8" ht="15.75" thickTop="1">
      <c r="A28" s="151" t="s">
        <v>80</v>
      </c>
      <c r="B28" s="151"/>
      <c r="C28" s="151"/>
      <c r="D28" s="151"/>
      <c r="E28" s="151"/>
      <c r="F28" s="151"/>
      <c r="G28" s="151"/>
    </row>
    <row r="29" spans="1:8">
      <c r="A29" s="14" t="s">
        <v>81</v>
      </c>
      <c r="B29" s="14">
        <v>0</v>
      </c>
      <c r="C29" s="71">
        <f>C16</f>
        <v>678745.65599999437</v>
      </c>
      <c r="D29" s="71">
        <f>D16</f>
        <v>5794879.9914345257</v>
      </c>
      <c r="E29" s="71">
        <f>E16</f>
        <v>13166514.553312071</v>
      </c>
      <c r="F29" s="71">
        <f>F16</f>
        <v>21724877.513369516</v>
      </c>
      <c r="G29" s="71">
        <f>G16</f>
        <v>32195627.415960535</v>
      </c>
    </row>
    <row r="30" spans="1:8">
      <c r="A30" s="14" t="s">
        <v>82</v>
      </c>
      <c r="B30" s="71">
        <f>B29</f>
        <v>0</v>
      </c>
      <c r="C30" s="71">
        <f t="shared" ref="C30:G30" si="10">C29</f>
        <v>678745.65599999437</v>
      </c>
      <c r="D30" s="71">
        <f t="shared" si="10"/>
        <v>5794879.9914345257</v>
      </c>
      <c r="E30" s="71">
        <f t="shared" si="10"/>
        <v>13166514.553312071</v>
      </c>
      <c r="F30" s="71">
        <f t="shared" si="10"/>
        <v>21724877.513369516</v>
      </c>
      <c r="G30" s="71">
        <f t="shared" si="10"/>
        <v>32195627.415960535</v>
      </c>
    </row>
    <row r="31" spans="1:8">
      <c r="A31" s="14" t="s">
        <v>83</v>
      </c>
      <c r="B31" s="25">
        <f>'3'!J8</f>
        <v>132934200</v>
      </c>
      <c r="C31" s="25">
        <f>'3'!J9</f>
        <v>113604320.1821335</v>
      </c>
      <c r="D31" s="25">
        <f>'3'!J10</f>
        <v>91181659.593408361</v>
      </c>
      <c r="E31" s="25">
        <f>'3'!J11</f>
        <v>65171373.310487203</v>
      </c>
      <c r="F31" s="25">
        <f>'3'!J12</f>
        <v>34999441.222298659</v>
      </c>
      <c r="G31" s="25">
        <f>'3'!J13</f>
        <v>0</v>
      </c>
    </row>
    <row r="32" spans="1:8" ht="15.75" thickBot="1">
      <c r="A32" s="68" t="s">
        <v>80</v>
      </c>
      <c r="B32" s="75">
        <f>B30+B31</f>
        <v>132934200</v>
      </c>
      <c r="C32" s="75">
        <f t="shared" ref="C32:G32" si="11">C30+C31</f>
        <v>114283065.83813348</v>
      </c>
      <c r="D32" s="75">
        <f t="shared" si="11"/>
        <v>96976539.584842891</v>
      </c>
      <c r="E32" s="75">
        <f t="shared" si="11"/>
        <v>78337887.863799274</v>
      </c>
      <c r="F32" s="75">
        <f t="shared" si="11"/>
        <v>56724318.735668175</v>
      </c>
      <c r="G32" s="75">
        <f t="shared" si="11"/>
        <v>32195627.415960535</v>
      </c>
    </row>
    <row r="33" spans="1:7" ht="15.75" thickTop="1">
      <c r="A33" s="151" t="s">
        <v>84</v>
      </c>
      <c r="B33" s="151"/>
      <c r="C33" s="151"/>
      <c r="D33" s="151"/>
      <c r="E33" s="151"/>
      <c r="F33" s="151"/>
      <c r="G33" s="151"/>
    </row>
    <row r="34" spans="1:7">
      <c r="A34" s="14" t="s">
        <v>85</v>
      </c>
      <c r="B34" s="26">
        <f>'3'!D15</f>
        <v>10000000</v>
      </c>
      <c r="C34" s="26">
        <f>B34</f>
        <v>10000000</v>
      </c>
      <c r="D34" s="26">
        <f t="shared" ref="D34:G34" si="12">C34</f>
        <v>10000000</v>
      </c>
      <c r="E34" s="26">
        <f t="shared" si="12"/>
        <v>10000000</v>
      </c>
      <c r="F34" s="26">
        <f t="shared" si="12"/>
        <v>10000000</v>
      </c>
      <c r="G34" s="26">
        <f t="shared" si="12"/>
        <v>10000000</v>
      </c>
    </row>
    <row r="35" spans="1:7">
      <c r="A35" s="14" t="s">
        <v>86</v>
      </c>
      <c r="B35" s="14">
        <v>0</v>
      </c>
      <c r="C35" s="71">
        <f>C17</f>
        <v>2714982.623999977</v>
      </c>
      <c r="D35" s="71">
        <f>D17</f>
        <v>23179519.965738103</v>
      </c>
      <c r="E35" s="71">
        <f>E17</f>
        <v>52666058.213248275</v>
      </c>
      <c r="F35" s="71">
        <f>F17</f>
        <v>86899510.053478047</v>
      </c>
      <c r="G35" s="71">
        <f>G17</f>
        <v>128782509.66384213</v>
      </c>
    </row>
    <row r="36" spans="1:7" ht="15.75" thickBot="1">
      <c r="A36" s="68" t="s">
        <v>87</v>
      </c>
      <c r="B36" s="75">
        <f>B34+B35</f>
        <v>10000000</v>
      </c>
      <c r="C36" s="75">
        <f t="shared" ref="C36:G36" si="13">C34+C35</f>
        <v>12714982.623999977</v>
      </c>
      <c r="D36" s="75">
        <f t="shared" si="13"/>
        <v>33179519.965738103</v>
      </c>
      <c r="E36" s="75">
        <f t="shared" si="13"/>
        <v>62666058.213248275</v>
      </c>
      <c r="F36" s="75">
        <f t="shared" si="13"/>
        <v>96899510.053478047</v>
      </c>
      <c r="G36" s="75">
        <f t="shared" si="13"/>
        <v>138782509.66384214</v>
      </c>
    </row>
    <row r="37" spans="1:7" ht="15.75" thickTop="1"/>
    <row r="38" spans="1:7" ht="15.75" thickBot="1">
      <c r="A38" s="68" t="s">
        <v>88</v>
      </c>
      <c r="B38" s="75">
        <f>B32+B36</f>
        <v>142934200</v>
      </c>
      <c r="C38" s="75">
        <f t="shared" ref="C38:G38" si="14">C32+C36</f>
        <v>126998048.46213347</v>
      </c>
      <c r="D38" s="75">
        <f t="shared" si="14"/>
        <v>130156059.55058099</v>
      </c>
      <c r="E38" s="75">
        <f t="shared" si="14"/>
        <v>141003946.07704756</v>
      </c>
      <c r="F38" s="75">
        <f t="shared" si="14"/>
        <v>153623828.78914621</v>
      </c>
      <c r="G38" s="75">
        <f t="shared" si="14"/>
        <v>170978137.07980269</v>
      </c>
    </row>
    <row r="39" spans="1:7" ht="15.75" thickTop="1">
      <c r="A39" s="64" t="s">
        <v>95</v>
      </c>
      <c r="B39" s="76">
        <f>B27-B38</f>
        <v>0</v>
      </c>
      <c r="C39" s="76">
        <f t="shared" ref="C39:G39" si="15">C27-C38</f>
        <v>0</v>
      </c>
      <c r="D39" s="76">
        <f t="shared" si="15"/>
        <v>0</v>
      </c>
      <c r="E39" s="76">
        <f t="shared" si="15"/>
        <v>0</v>
      </c>
      <c r="F39" s="76">
        <f t="shared" si="15"/>
        <v>0</v>
      </c>
      <c r="G39" s="76">
        <f t="shared" si="15"/>
        <v>0</v>
      </c>
    </row>
    <row r="41" spans="1:7" ht="15.75">
      <c r="A41" s="152" t="s">
        <v>101</v>
      </c>
      <c r="B41" s="152"/>
      <c r="C41" s="152"/>
      <c r="D41" s="152"/>
      <c r="E41" s="152"/>
      <c r="F41" s="152"/>
      <c r="G41" s="152"/>
    </row>
    <row r="42" spans="1:7">
      <c r="A42" s="151" t="s">
        <v>102</v>
      </c>
      <c r="B42" s="151"/>
      <c r="C42" s="151"/>
      <c r="D42" s="151"/>
      <c r="E42" s="151"/>
      <c r="F42" s="151"/>
      <c r="G42" s="151"/>
    </row>
    <row r="43" spans="1:7" ht="23.25">
      <c r="A43" s="11"/>
      <c r="B43" s="74" t="s">
        <v>89</v>
      </c>
      <c r="C43" s="66">
        <f>C20</f>
        <v>2019</v>
      </c>
      <c r="D43" s="66">
        <f t="shared" ref="D43:G43" si="16">D20</f>
        <v>2020</v>
      </c>
      <c r="E43" s="66">
        <f t="shared" si="16"/>
        <v>2021</v>
      </c>
      <c r="F43" s="66">
        <f t="shared" si="16"/>
        <v>2022</v>
      </c>
      <c r="G43" s="66">
        <f t="shared" si="16"/>
        <v>2023</v>
      </c>
    </row>
    <row r="44" spans="1:7">
      <c r="A44" s="1" t="s">
        <v>103</v>
      </c>
      <c r="B44" s="2">
        <f>B22</f>
        <v>112334200</v>
      </c>
      <c r="C44" s="2">
        <f t="shared" ref="C44:G44" si="17">C22</f>
        <v>102118048.46213347</v>
      </c>
      <c r="D44" s="2">
        <f t="shared" si="17"/>
        <v>110996059.55058099</v>
      </c>
      <c r="E44" s="2">
        <f t="shared" si="17"/>
        <v>127563946.07704756</v>
      </c>
      <c r="F44" s="2">
        <f t="shared" si="17"/>
        <v>145903828.78914621</v>
      </c>
      <c r="G44" s="2">
        <f t="shared" si="17"/>
        <v>168978137.07980269</v>
      </c>
    </row>
    <row r="45" spans="1:7" ht="15.75" thickBot="1">
      <c r="A45" s="1" t="s">
        <v>104</v>
      </c>
      <c r="B45" s="3">
        <f>B29</f>
        <v>0</v>
      </c>
      <c r="C45" s="3">
        <f t="shared" ref="C45:G45" si="18">C29</f>
        <v>678745.65599999437</v>
      </c>
      <c r="D45" s="3">
        <f t="shared" si="18"/>
        <v>5794879.9914345257</v>
      </c>
      <c r="E45" s="3">
        <f t="shared" si="18"/>
        <v>13166514.553312071</v>
      </c>
      <c r="F45" s="3">
        <f t="shared" si="18"/>
        <v>21724877.513369516</v>
      </c>
      <c r="G45" s="3">
        <f t="shared" si="18"/>
        <v>32195627.415960535</v>
      </c>
    </row>
    <row r="46" spans="1:7" ht="15.75" thickTop="1">
      <c r="A46" s="4" t="s">
        <v>105</v>
      </c>
      <c r="B46" s="5">
        <f t="shared" ref="B46:G46" si="19">B44-B45</f>
        <v>112334200</v>
      </c>
      <c r="C46" s="5">
        <f t="shared" si="19"/>
        <v>101439302.80613348</v>
      </c>
      <c r="D46" s="5">
        <f t="shared" si="19"/>
        <v>105201179.55914646</v>
      </c>
      <c r="E46" s="5">
        <f t="shared" si="19"/>
        <v>114397431.52373549</v>
      </c>
      <c r="F46" s="5">
        <f t="shared" si="19"/>
        <v>124178951.2757767</v>
      </c>
      <c r="G46" s="5">
        <f t="shared" si="19"/>
        <v>136782509.66384214</v>
      </c>
    </row>
    <row r="47" spans="1:7">
      <c r="A47" s="1"/>
      <c r="B47" s="2"/>
      <c r="C47" s="2"/>
      <c r="D47" s="2"/>
      <c r="E47" s="2"/>
      <c r="F47" s="2"/>
      <c r="G47" s="2"/>
    </row>
    <row r="48" spans="1:7">
      <c r="A48" s="4" t="s">
        <v>106</v>
      </c>
      <c r="B48" s="2">
        <f>B26</f>
        <v>30600000</v>
      </c>
      <c r="C48" s="2">
        <f t="shared" ref="C48:G48" si="20">C26</f>
        <v>24880000</v>
      </c>
      <c r="D48" s="2">
        <f t="shared" si="20"/>
        <v>19160000</v>
      </c>
      <c r="E48" s="2">
        <f t="shared" si="20"/>
        <v>13440000</v>
      </c>
      <c r="F48" s="2">
        <f t="shared" si="20"/>
        <v>7720000</v>
      </c>
      <c r="G48" s="2">
        <f t="shared" si="20"/>
        <v>2000000</v>
      </c>
    </row>
    <row r="49" spans="1:7" ht="15.75" thickBot="1">
      <c r="A49" s="1" t="s">
        <v>107</v>
      </c>
      <c r="B49" s="3">
        <f>B25</f>
        <v>0</v>
      </c>
      <c r="C49" s="3">
        <f t="shared" ref="C49:G49" si="21">C25</f>
        <v>5720000</v>
      </c>
      <c r="D49" s="3">
        <f t="shared" si="21"/>
        <v>11440000</v>
      </c>
      <c r="E49" s="3">
        <f t="shared" si="21"/>
        <v>17160000</v>
      </c>
      <c r="F49" s="3">
        <f t="shared" si="21"/>
        <v>22880000</v>
      </c>
      <c r="G49" s="3">
        <f t="shared" si="21"/>
        <v>28600000</v>
      </c>
    </row>
    <row r="50" spans="1:7" ht="15.75" thickTop="1">
      <c r="A50" s="4" t="s">
        <v>108</v>
      </c>
      <c r="B50" s="5">
        <f t="shared" ref="B50:G50" si="22">B48+B49</f>
        <v>30600000</v>
      </c>
      <c r="C50" s="5">
        <f t="shared" si="22"/>
        <v>30600000</v>
      </c>
      <c r="D50" s="5">
        <f t="shared" si="22"/>
        <v>30600000</v>
      </c>
      <c r="E50" s="5">
        <f t="shared" si="22"/>
        <v>30600000</v>
      </c>
      <c r="F50" s="5">
        <f t="shared" si="22"/>
        <v>30600000</v>
      </c>
      <c r="G50" s="5">
        <f t="shared" si="22"/>
        <v>30600000</v>
      </c>
    </row>
    <row r="51" spans="1:7">
      <c r="A51" s="1"/>
      <c r="B51" s="2"/>
      <c r="C51" s="2"/>
      <c r="D51" s="2"/>
      <c r="E51" s="2"/>
      <c r="F51" s="2"/>
      <c r="G51" s="2"/>
    </row>
    <row r="52" spans="1:7" ht="15.75" thickBot="1">
      <c r="A52" s="12" t="s">
        <v>109</v>
      </c>
      <c r="B52" s="6">
        <f t="shared" ref="B52:G52" si="23">B46+B48</f>
        <v>142934200</v>
      </c>
      <c r="C52" s="6">
        <f t="shared" si="23"/>
        <v>126319302.80613348</v>
      </c>
      <c r="D52" s="6">
        <f t="shared" si="23"/>
        <v>124361179.55914646</v>
      </c>
      <c r="E52" s="6">
        <f t="shared" si="23"/>
        <v>127837431.52373549</v>
      </c>
      <c r="F52" s="6">
        <f t="shared" si="23"/>
        <v>131898951.2757767</v>
      </c>
      <c r="G52" s="6">
        <f t="shared" si="23"/>
        <v>138782509.66384214</v>
      </c>
    </row>
    <row r="53" spans="1:7" ht="15.75" thickTop="1">
      <c r="A53" s="7"/>
      <c r="B53" s="2"/>
      <c r="C53" s="2"/>
      <c r="D53" s="2"/>
      <c r="E53" s="2"/>
      <c r="F53" s="2"/>
      <c r="G53" s="2"/>
    </row>
    <row r="54" spans="1:7">
      <c r="A54" s="150" t="s">
        <v>110</v>
      </c>
      <c r="B54" s="150"/>
      <c r="C54" s="150"/>
      <c r="D54" s="150"/>
      <c r="E54" s="150"/>
      <c r="F54" s="150"/>
      <c r="G54" s="150"/>
    </row>
    <row r="55" spans="1:7">
      <c r="A55" s="1" t="s">
        <v>111</v>
      </c>
      <c r="B55" s="8"/>
      <c r="C55" s="9">
        <f>C13</f>
        <v>24663200.279999971</v>
      </c>
      <c r="D55" s="9">
        <f t="shared" ref="D55:G55" si="24">D13</f>
        <v>47151091.186313987</v>
      </c>
      <c r="E55" s="9">
        <f t="shared" si="24"/>
        <v>80421638.301505685</v>
      </c>
      <c r="F55" s="9">
        <f t="shared" si="24"/>
        <v>119051807.29652551</v>
      </c>
      <c r="G55" s="9">
        <f t="shared" si="24"/>
        <v>166578047.67537045</v>
      </c>
    </row>
    <row r="56" spans="1:7" ht="15.75" thickBot="1">
      <c r="A56" s="1" t="s">
        <v>112</v>
      </c>
      <c r="B56" s="8"/>
      <c r="C56" s="10">
        <f>C55*'1'!$AB$7</f>
        <v>4932640.0559999943</v>
      </c>
      <c r="D56" s="10">
        <f>D55*'1'!$AB$7</f>
        <v>9430218.2372627985</v>
      </c>
      <c r="E56" s="10">
        <f>E55*'1'!$AB$7</f>
        <v>16084327.660301138</v>
      </c>
      <c r="F56" s="10">
        <f>F55*'1'!$AB$7</f>
        <v>23810361.459305104</v>
      </c>
      <c r="G56" s="10">
        <f>G55*'1'!$AB$7</f>
        <v>33315609.535074092</v>
      </c>
    </row>
    <row r="57" spans="1:7" ht="15.75" thickTop="1">
      <c r="A57" s="4" t="s">
        <v>113</v>
      </c>
      <c r="B57" s="8"/>
      <c r="C57" s="9">
        <f>C55-C56</f>
        <v>19730560.223999977</v>
      </c>
      <c r="D57" s="9">
        <f>D55-D56</f>
        <v>37720872.949051186</v>
      </c>
      <c r="E57" s="9">
        <f>E55-E56</f>
        <v>64337310.641204551</v>
      </c>
      <c r="F57" s="9">
        <f>F55-F56</f>
        <v>95241445.837220401</v>
      </c>
      <c r="G57" s="9">
        <f>G55-G56</f>
        <v>133262438.14029637</v>
      </c>
    </row>
    <row r="58" spans="1:7" ht="15.75" thickBot="1">
      <c r="A58" s="1" t="s">
        <v>114</v>
      </c>
      <c r="B58" s="8"/>
      <c r="C58" s="10">
        <f>C52-B52</f>
        <v>-16614897.193866521</v>
      </c>
      <c r="D58" s="10">
        <f>D52-C52</f>
        <v>-1958123.246987015</v>
      </c>
      <c r="E58" s="10">
        <f>E52-D52</f>
        <v>3476251.9645890296</v>
      </c>
      <c r="F58" s="10">
        <f>F52-E52</f>
        <v>4061519.7520412058</v>
      </c>
      <c r="G58" s="10">
        <f>G52-F52</f>
        <v>6883558.3880654424</v>
      </c>
    </row>
    <row r="59" spans="1:7" ht="16.5" thickTop="1" thickBot="1">
      <c r="A59" s="63" t="s">
        <v>115</v>
      </c>
      <c r="B59" s="64"/>
      <c r="C59" s="65">
        <f>SUM(C57:C58)</f>
        <v>3115663.030133456</v>
      </c>
      <c r="D59" s="65">
        <f t="shared" ref="D59:G59" si="25">SUM(D57:D58)</f>
        <v>35762749.702064171</v>
      </c>
      <c r="E59" s="65">
        <f t="shared" si="25"/>
        <v>67813562.60579358</v>
      </c>
      <c r="F59" s="65">
        <f t="shared" si="25"/>
        <v>99302965.589261606</v>
      </c>
      <c r="G59" s="65">
        <f t="shared" si="25"/>
        <v>140145996.5283618</v>
      </c>
    </row>
    <row r="60" spans="1:7" ht="15.75" thickTop="1"/>
  </sheetData>
  <sheetProtection algorithmName="SHA-512" hashValue="+PxvvAWPbg7pmUR4NDP19NIjyWdkfBx9YrJ2QydaicTmENO4z4AWf6bpYlPqovl8/jLtKaUIe5gSsIFgkherwQ==" saltValue="4FdlJ1KR/iQMJTl3MmKvWQ==" spinCount="100000" sheet="1" objects="1" scenarios="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P47"/>
  <sheetViews>
    <sheetView showGridLines="0" zoomScale="80" zoomScaleNormal="80" zoomScalePageLayoutView="80" workbookViewId="0">
      <selection activeCell="C7" sqref="C7:H7"/>
    </sheetView>
  </sheetViews>
  <sheetFormatPr baseColWidth="10" defaultColWidth="10.85546875" defaultRowHeight="15"/>
  <cols>
    <col min="1" max="1" width="10.85546875" style="14"/>
    <col min="2" max="2" width="32.42578125" style="14" customWidth="1"/>
    <col min="3" max="3" width="24.28515625" style="14" bestFit="1" customWidth="1"/>
    <col min="4" max="4" width="30" style="14" bestFit="1" customWidth="1"/>
    <col min="5" max="5" width="31" style="14" bestFit="1" customWidth="1"/>
    <col min="6" max="6" width="26" style="14" customWidth="1"/>
    <col min="7" max="8" width="20.7109375" style="14" bestFit="1" customWidth="1"/>
    <col min="9" max="9" width="10.85546875" style="14"/>
    <col min="10" max="10" width="12" style="14" bestFit="1" customWidth="1"/>
    <col min="11" max="14" width="10.85546875" style="14"/>
    <col min="15" max="15" width="15.28515625" style="14" bestFit="1" customWidth="1"/>
    <col min="16" max="16" width="21.42578125" style="14" bestFit="1" customWidth="1"/>
    <col min="17" max="16384" width="10.85546875" style="14"/>
  </cols>
  <sheetData>
    <row r="2" spans="2:16" ht="38.25" customHeight="1">
      <c r="B2" s="138" t="s">
        <v>137</v>
      </c>
      <c r="C2" s="138"/>
      <c r="D2" s="138"/>
      <c r="E2" s="138"/>
      <c r="F2" s="138"/>
      <c r="G2" s="138"/>
      <c r="H2" s="138"/>
    </row>
    <row r="3" spans="2:16" ht="15.75" customHeight="1">
      <c r="B3" s="156" t="s">
        <v>116</v>
      </c>
      <c r="C3" s="156"/>
      <c r="D3" s="156"/>
      <c r="E3" s="157">
        <v>0.15</v>
      </c>
      <c r="F3" s="157"/>
    </row>
    <row r="4" spans="2:16" ht="16.5" customHeight="1">
      <c r="B4" s="156"/>
      <c r="C4" s="156"/>
      <c r="D4" s="156"/>
      <c r="E4" s="157"/>
      <c r="F4" s="157"/>
      <c r="O4" s="117"/>
    </row>
    <row r="5" spans="2:16" ht="15.75" thickBot="1">
      <c r="O5" s="117"/>
      <c r="P5" s="120"/>
    </row>
    <row r="6" spans="2:16" ht="23.25">
      <c r="B6" s="116" t="s">
        <v>117</v>
      </c>
      <c r="C6" s="95" t="s">
        <v>118</v>
      </c>
      <c r="D6" s="96">
        <f>'4'!C20</f>
        <v>2019</v>
      </c>
      <c r="E6" s="96">
        <f>'4'!D20</f>
        <v>2020</v>
      </c>
      <c r="F6" s="96">
        <f>'4'!E20</f>
        <v>2021</v>
      </c>
      <c r="G6" s="96">
        <f>'4'!F20</f>
        <v>2022</v>
      </c>
      <c r="H6" s="97">
        <f>'4'!G20</f>
        <v>2023</v>
      </c>
      <c r="O6" s="117"/>
      <c r="P6" s="119"/>
    </row>
    <row r="7" spans="2:16" ht="19.5" thickBot="1">
      <c r="B7" s="98"/>
      <c r="C7" s="126">
        <f>-'3'!D14</f>
        <v>-142934200</v>
      </c>
      <c r="D7" s="126">
        <f>'4'!C59</f>
        <v>3115663.030133456</v>
      </c>
      <c r="E7" s="126">
        <f>'4'!D59</f>
        <v>35762749.702064171</v>
      </c>
      <c r="F7" s="126">
        <f>'4'!E59</f>
        <v>67813562.60579358</v>
      </c>
      <c r="G7" s="126">
        <f>'4'!F59</f>
        <v>99302965.589261606</v>
      </c>
      <c r="H7" s="127">
        <f>'4'!G59</f>
        <v>140145996.5283618</v>
      </c>
      <c r="O7" s="117"/>
      <c r="P7" s="119"/>
    </row>
    <row r="8" spans="2:16" ht="15.75" thickBot="1">
      <c r="C8" s="121">
        <f>C7/(1+$E$3)^0</f>
        <v>-142934200</v>
      </c>
      <c r="D8" s="121">
        <f>D7/(1+$E$3)^1</f>
        <v>2709272.200116049</v>
      </c>
      <c r="E8" s="121">
        <f>E7/(1+$E$3)^2</f>
        <v>27041776.712335862</v>
      </c>
      <c r="F8" s="121">
        <f>F7/(1+$E$3)^3</f>
        <v>44588518.192352168</v>
      </c>
      <c r="G8" s="121">
        <f>G7/(1+$E$3)^4</f>
        <v>56776792.872673631</v>
      </c>
      <c r="H8" s="121">
        <f>H7/(1+$E$3)^5</f>
        <v>69677329.019096389</v>
      </c>
      <c r="I8" s="128"/>
      <c r="O8" s="117"/>
      <c r="P8" s="119"/>
    </row>
    <row r="9" spans="2:16" ht="24" thickBot="1">
      <c r="B9" s="32" t="s">
        <v>119</v>
      </c>
      <c r="C9" s="33"/>
      <c r="D9" s="129">
        <f>NPV(E3,D7:H7)+$C$7</f>
        <v>57859488.996574104</v>
      </c>
      <c r="O9" s="117"/>
      <c r="P9" s="119"/>
    </row>
    <row r="10" spans="2:16" ht="27.75" thickBot="1">
      <c r="B10" s="125" t="s">
        <v>120</v>
      </c>
      <c r="C10" s="33"/>
      <c r="D10" s="130">
        <f>IF(ISERROR(IRR(C7:H7)),"NO_APLICA",(IRR(C7:H7)))</f>
        <v>0.2587922468689825</v>
      </c>
      <c r="F10" s="122" t="s">
        <v>142</v>
      </c>
      <c r="G10" s="33"/>
      <c r="H10" s="123">
        <f>IF(ISERROR(-C8/AVERAGE(D8:H8)),"NO_APLICA",(-C8/AVERAGE(D8:H8)))</f>
        <v>3.5592303900158613</v>
      </c>
      <c r="I10" s="124" t="s">
        <v>64</v>
      </c>
      <c r="P10" s="118"/>
    </row>
    <row r="12" spans="2:16" ht="18">
      <c r="B12" s="158" t="s">
        <v>124</v>
      </c>
      <c r="C12" s="158"/>
      <c r="D12" s="158"/>
      <c r="E12" s="158"/>
      <c r="F12" s="158"/>
      <c r="G12" s="158"/>
      <c r="H12" s="158"/>
    </row>
    <row r="13" spans="2:16" ht="36.75">
      <c r="B13" s="99" t="str">
        <f>'1'!B2</f>
        <v>NOMBRE DEL PRODUCTO O SERVICIO</v>
      </c>
      <c r="C13" s="99" t="s">
        <v>125</v>
      </c>
      <c r="D13" s="99" t="s">
        <v>126</v>
      </c>
      <c r="E13" s="99" t="s">
        <v>127</v>
      </c>
      <c r="F13" s="99" t="s">
        <v>129</v>
      </c>
      <c r="H13" s="77"/>
      <c r="I13" s="77"/>
      <c r="J13" s="77" t="s">
        <v>133</v>
      </c>
    </row>
    <row r="14" spans="2:16">
      <c r="B14" s="100" t="str">
        <f>'1'!B3</f>
        <v>Pauta publicitaria en el home</v>
      </c>
      <c r="C14" s="101">
        <f>'1'!D3-'1'!D17</f>
        <v>2350000</v>
      </c>
      <c r="D14" s="102">
        <f>'1'!F3</f>
        <v>0.47027432641608274</v>
      </c>
      <c r="E14" s="103">
        <f>C14*D14</f>
        <v>1105144.6670777944</v>
      </c>
      <c r="F14" s="104">
        <f t="shared" ref="F14:F23" si="0">$E$27*D14</f>
        <v>100.72910673851393</v>
      </c>
      <c r="G14" s="40" t="s">
        <v>128</v>
      </c>
      <c r="H14" s="78">
        <f>'1'!D3</f>
        <v>2350000</v>
      </c>
      <c r="I14" s="105">
        <f t="shared" ref="I14:I23" si="1">$B$34*D14</f>
        <v>201.4582134770279</v>
      </c>
      <c r="J14" s="78">
        <f>'1'!D17</f>
        <v>0</v>
      </c>
    </row>
    <row r="15" spans="2:16">
      <c r="B15" s="106" t="str">
        <f>'1'!B4</f>
        <v>Pauta publicitaria en secciones</v>
      </c>
      <c r="C15" s="101">
        <f>'1'!D4-'1'!D18</f>
        <v>1700000</v>
      </c>
      <c r="D15" s="102">
        <f>'1'!F4</f>
        <v>0.21262403056046292</v>
      </c>
      <c r="E15" s="103">
        <f t="shared" ref="E15:E23" si="2">C15*D15</f>
        <v>361460.85195278696</v>
      </c>
      <c r="F15" s="104">
        <f t="shared" si="0"/>
        <v>45.542415280711083</v>
      </c>
      <c r="G15" s="40" t="str">
        <f>G14</f>
        <v>UNIDADES</v>
      </c>
      <c r="H15" s="78">
        <f>'1'!D4</f>
        <v>1700000</v>
      </c>
      <c r="I15" s="105">
        <f t="shared" si="1"/>
        <v>91.08483056142218</v>
      </c>
      <c r="J15" s="78">
        <f>'1'!D18</f>
        <v>0</v>
      </c>
    </row>
    <row r="16" spans="2:16">
      <c r="B16" s="106" t="str">
        <f>'1'!B5</f>
        <v>Pauta publicitaria en boletín electrónico</v>
      </c>
      <c r="C16" s="101">
        <f>'1'!D5-'1'!D19</f>
        <v>3500000</v>
      </c>
      <c r="D16" s="102">
        <f>'1'!F5</f>
        <v>7.2959226172707864E-2</v>
      </c>
      <c r="E16" s="103">
        <f t="shared" si="2"/>
        <v>255357.29160447753</v>
      </c>
      <c r="F16" s="104">
        <f t="shared" si="0"/>
        <v>15.627299361028312</v>
      </c>
      <c r="G16" s="40" t="str">
        <f t="shared" ref="G16:G23" si="3">G15</f>
        <v>UNIDADES</v>
      </c>
      <c r="H16" s="78">
        <f>'1'!D5</f>
        <v>3500000</v>
      </c>
      <c r="I16" s="105">
        <f t="shared" si="1"/>
        <v>31.254598722056627</v>
      </c>
      <c r="J16" s="78">
        <f>'1'!D19</f>
        <v>0</v>
      </c>
    </row>
    <row r="17" spans="2:10">
      <c r="B17" s="106" t="str">
        <f>'1'!B6</f>
        <v>Contenido anuncio publicitario menor a 0,06 Mpx</v>
      </c>
      <c r="C17" s="101">
        <f>'1'!D6-'1'!D20</f>
        <v>113000</v>
      </c>
      <c r="D17" s="102">
        <f>'1'!F6</f>
        <v>1.1006420405482787E-2</v>
      </c>
      <c r="E17" s="103">
        <f t="shared" si="2"/>
        <v>1243.7255058195549</v>
      </c>
      <c r="F17" s="104">
        <f t="shared" si="0"/>
        <v>2.3574897321779855</v>
      </c>
      <c r="G17" s="40" t="str">
        <f t="shared" si="3"/>
        <v>UNIDADES</v>
      </c>
      <c r="H17" s="78">
        <f>'1'!D6</f>
        <v>220000</v>
      </c>
      <c r="I17" s="105">
        <f t="shared" si="1"/>
        <v>4.7149794643559719</v>
      </c>
      <c r="J17" s="78">
        <f>'1'!D20</f>
        <v>107000</v>
      </c>
    </row>
    <row r="18" spans="2:10">
      <c r="B18" s="106" t="str">
        <f>'1'!B7</f>
        <v>Contenido anuncio publicitario mayor a 0,06 Mpx</v>
      </c>
      <c r="C18" s="101">
        <f>'1'!D7-'1'!D21</f>
        <v>183000</v>
      </c>
      <c r="D18" s="102">
        <f>'1'!F7</f>
        <v>1.3132660711087416E-2</v>
      </c>
      <c r="E18" s="103">
        <f t="shared" si="2"/>
        <v>2403.2769101289969</v>
      </c>
      <c r="F18" s="104">
        <f t="shared" si="0"/>
        <v>2.8129138849850963</v>
      </c>
      <c r="G18" s="40" t="str">
        <f t="shared" si="3"/>
        <v>UNIDADES</v>
      </c>
      <c r="H18" s="78">
        <f>'1'!D7</f>
        <v>350000</v>
      </c>
      <c r="I18" s="105">
        <f t="shared" si="1"/>
        <v>5.6258277699701926</v>
      </c>
      <c r="J18" s="78">
        <f>'1'!D21</f>
        <v>167000</v>
      </c>
    </row>
    <row r="19" spans="2:10">
      <c r="B19" s="106" t="str">
        <f>'1'!B8</f>
        <v>Contenido digital informativo y noticioso</v>
      </c>
      <c r="C19" s="101">
        <f>'1'!D8-'1'!D22</f>
        <v>-85800</v>
      </c>
      <c r="D19" s="102">
        <f>'1'!F8</f>
        <v>0</v>
      </c>
      <c r="E19" s="103">
        <f t="shared" si="2"/>
        <v>0</v>
      </c>
      <c r="F19" s="104">
        <f t="shared" si="0"/>
        <v>0</v>
      </c>
      <c r="G19" s="40" t="str">
        <f t="shared" si="3"/>
        <v>UNIDADES</v>
      </c>
      <c r="H19" s="78">
        <f>'1'!D8</f>
        <v>0</v>
      </c>
      <c r="I19" s="105">
        <f t="shared" si="1"/>
        <v>0</v>
      </c>
      <c r="J19" s="78">
        <f>'1'!D22</f>
        <v>85800</v>
      </c>
    </row>
    <row r="20" spans="2:10">
      <c r="B20" s="106" t="str">
        <f>'1'!B9</f>
        <v>Formación y sensibilización en explotación de datos</v>
      </c>
      <c r="C20" s="101">
        <f>'1'!D9-'1'!D23</f>
        <v>-3000</v>
      </c>
      <c r="D20" s="102">
        <f>'1'!F9</f>
        <v>0</v>
      </c>
      <c r="E20" s="103">
        <f t="shared" si="2"/>
        <v>0</v>
      </c>
      <c r="F20" s="104">
        <f t="shared" si="0"/>
        <v>0</v>
      </c>
      <c r="G20" s="40" t="str">
        <f t="shared" si="3"/>
        <v>UNIDADES</v>
      </c>
      <c r="H20" s="78">
        <f>'1'!D9</f>
        <v>0</v>
      </c>
      <c r="I20" s="105">
        <f t="shared" si="1"/>
        <v>0</v>
      </c>
      <c r="J20" s="78">
        <f>'1'!D23</f>
        <v>3000</v>
      </c>
    </row>
    <row r="21" spans="2:10">
      <c r="B21" s="106" t="str">
        <f>'1'!B10</f>
        <v>Formación nivel premium explotación de datos</v>
      </c>
      <c r="C21" s="101">
        <f>'1'!D10-'1'!D24</f>
        <v>358000</v>
      </c>
      <c r="D21" s="102">
        <f>'1'!F10</f>
        <v>0.12340531969783732</v>
      </c>
      <c r="E21" s="103">
        <f t="shared" si="2"/>
        <v>44179.104451825762</v>
      </c>
      <c r="F21" s="104">
        <f t="shared" si="0"/>
        <v>26.432460633510747</v>
      </c>
      <c r="G21" s="40" t="str">
        <f t="shared" si="3"/>
        <v>UNIDADES</v>
      </c>
      <c r="H21" s="78">
        <f>'1'!D10</f>
        <v>370000</v>
      </c>
      <c r="I21" s="105">
        <f t="shared" si="1"/>
        <v>52.864921267021501</v>
      </c>
      <c r="J21" s="78">
        <f>'1'!D24</f>
        <v>12000</v>
      </c>
    </row>
    <row r="22" spans="2:10">
      <c r="B22" s="106" t="str">
        <f>'1'!B11</f>
        <v>Otros ingresos por concepto de donaciones</v>
      </c>
      <c r="C22" s="101">
        <f>'1'!D11-'1'!D25</f>
        <v>89459.46</v>
      </c>
      <c r="D22" s="102">
        <f>'1'!F11</f>
        <v>9.6598016036339024E-2</v>
      </c>
      <c r="E22" s="103">
        <f t="shared" si="2"/>
        <v>8641.6063516822305</v>
      </c>
      <c r="F22" s="104">
        <f t="shared" si="0"/>
        <v>20.690544479019881</v>
      </c>
      <c r="G22" s="40" t="str">
        <f t="shared" si="3"/>
        <v>UNIDADES</v>
      </c>
      <c r="H22" s="78">
        <f>'1'!D11</f>
        <v>89459.46</v>
      </c>
      <c r="I22" s="105">
        <f t="shared" si="1"/>
        <v>41.381088958039768</v>
      </c>
      <c r="J22" s="78">
        <f>'1'!D25</f>
        <v>0</v>
      </c>
    </row>
    <row r="23" spans="2:10">
      <c r="B23" s="100" t="str">
        <f>'1'!B12</f>
        <v xml:space="preserve">  </v>
      </c>
      <c r="C23" s="101">
        <f>'1'!D12-'1'!D26</f>
        <v>0</v>
      </c>
      <c r="D23" s="102">
        <f>'1'!F12</f>
        <v>0</v>
      </c>
      <c r="E23" s="103">
        <f t="shared" si="2"/>
        <v>0</v>
      </c>
      <c r="F23" s="104">
        <f t="shared" si="0"/>
        <v>0</v>
      </c>
      <c r="G23" s="40" t="str">
        <f t="shared" si="3"/>
        <v>UNIDADES</v>
      </c>
      <c r="H23" s="78">
        <f>'1'!D12</f>
        <v>0</v>
      </c>
      <c r="I23" s="105">
        <f t="shared" si="1"/>
        <v>0</v>
      </c>
      <c r="J23" s="78">
        <f>'1'!D26</f>
        <v>0</v>
      </c>
    </row>
    <row r="24" spans="2:10" ht="26.25">
      <c r="B24" s="107"/>
      <c r="C24" s="108"/>
      <c r="D24" s="109"/>
      <c r="E24" s="26"/>
      <c r="F24" s="110">
        <f>SUM(F14:F23)</f>
        <v>214.19223010994705</v>
      </c>
      <c r="G24" s="14" t="str">
        <f>G23</f>
        <v>UNIDADES</v>
      </c>
      <c r="H24" s="78"/>
      <c r="I24" s="105"/>
      <c r="J24" s="78"/>
    </row>
    <row r="25" spans="2:10" ht="12.75" customHeight="1">
      <c r="B25" s="107"/>
      <c r="C25" s="108"/>
      <c r="D25" s="109"/>
      <c r="E25" s="26"/>
      <c r="F25" s="110"/>
      <c r="H25" s="78"/>
      <c r="I25" s="105"/>
      <c r="J25" s="78"/>
    </row>
    <row r="26" spans="2:10" ht="30" customHeight="1">
      <c r="B26" s="155" t="s">
        <v>136</v>
      </c>
      <c r="C26" s="155"/>
      <c r="D26" s="155"/>
      <c r="E26" s="111">
        <f>SUM(E14:E23)</f>
        <v>1778430.5238545155</v>
      </c>
      <c r="H26" s="77"/>
      <c r="I26" s="77"/>
      <c r="J26" s="77"/>
    </row>
    <row r="27" spans="2:10" ht="29.1" customHeight="1">
      <c r="B27" s="155" t="s">
        <v>135</v>
      </c>
      <c r="C27" s="155"/>
      <c r="D27" s="155"/>
      <c r="E27" s="110">
        <f>IF(E26=0,0,('2'!C23+'2'!F31+'2'!C25)/'5'!E26)</f>
        <v>214.19223010994702</v>
      </c>
      <c r="F27" s="112" t="s">
        <v>128</v>
      </c>
      <c r="H27" s="113"/>
    </row>
    <row r="30" spans="2:10">
      <c r="B30" s="77"/>
      <c r="C30" s="77"/>
      <c r="D30" s="77"/>
      <c r="E30" s="77"/>
      <c r="F30" s="77"/>
      <c r="G30" s="77"/>
    </row>
    <row r="31" spans="2:10">
      <c r="B31" s="77"/>
      <c r="C31" s="77" t="s">
        <v>130</v>
      </c>
      <c r="D31" s="77" t="s">
        <v>131</v>
      </c>
      <c r="E31" s="77" t="s">
        <v>134</v>
      </c>
      <c r="F31" s="77" t="s">
        <v>132</v>
      </c>
      <c r="G31" s="77"/>
    </row>
    <row r="32" spans="2:10">
      <c r="B32" s="77">
        <v>0</v>
      </c>
      <c r="C32" s="78">
        <f>'2'!C25+'2'!F31+'2'!C23</f>
        <v>380926000</v>
      </c>
      <c r="D32" s="77">
        <f>0</f>
        <v>0</v>
      </c>
      <c r="E32" s="77">
        <v>0</v>
      </c>
      <c r="F32" s="78">
        <f>C32+E32</f>
        <v>380926000</v>
      </c>
      <c r="G32" s="77"/>
    </row>
    <row r="33" spans="2:7">
      <c r="B33" s="105">
        <f>F24</f>
        <v>214.19223010994705</v>
      </c>
      <c r="C33" s="78">
        <f>C32</f>
        <v>380926000</v>
      </c>
      <c r="D33" s="114">
        <f>SUMPRODUCT(F14:F23,H14:H23)</f>
        <v>381965197.54773772</v>
      </c>
      <c r="E33" s="114">
        <f>SUMPRODUCT(F14:F23,J14:J23)</f>
        <v>1039197.5477376846</v>
      </c>
      <c r="F33" s="78">
        <f t="shared" ref="F33:F34" si="4">C33+E33</f>
        <v>381965197.54773766</v>
      </c>
      <c r="G33" s="77"/>
    </row>
    <row r="34" spans="2:7">
      <c r="B34" s="105">
        <f>B33*2</f>
        <v>428.38446021989409</v>
      </c>
      <c r="C34" s="78">
        <f>C33</f>
        <v>380926000</v>
      </c>
      <c r="D34" s="114">
        <f>SUMPRODUCT(H14:H23,I14:I23)</f>
        <v>763930395.09547544</v>
      </c>
      <c r="E34" s="114">
        <f>SUMPRODUCT(I14:I23,J14:J23)</f>
        <v>2078395.0954753691</v>
      </c>
      <c r="F34" s="78">
        <f t="shared" si="4"/>
        <v>383004395.09547538</v>
      </c>
      <c r="G34" s="77"/>
    </row>
    <row r="35" spans="2:7">
      <c r="B35" s="77"/>
      <c r="C35" s="78"/>
      <c r="D35" s="77"/>
      <c r="E35" s="77"/>
      <c r="F35" s="77"/>
      <c r="G35" s="77"/>
    </row>
    <row r="36" spans="2:7">
      <c r="C36" s="26"/>
    </row>
    <row r="37" spans="2:7">
      <c r="C37" s="26"/>
    </row>
    <row r="38" spans="2:7">
      <c r="C38" s="26"/>
    </row>
    <row r="39" spans="2:7">
      <c r="C39" s="26"/>
    </row>
    <row r="40" spans="2:7">
      <c r="C40" s="26"/>
    </row>
    <row r="41" spans="2:7">
      <c r="C41" s="26"/>
    </row>
    <row r="42" spans="2:7">
      <c r="C42" s="26"/>
    </row>
    <row r="43" spans="2:7">
      <c r="C43" s="26"/>
    </row>
    <row r="44" spans="2:7">
      <c r="C44" s="26"/>
    </row>
    <row r="45" spans="2:7">
      <c r="C45" s="26"/>
    </row>
    <row r="46" spans="2:7">
      <c r="C46" s="26"/>
    </row>
    <row r="47" spans="2:7">
      <c r="C47" s="26"/>
    </row>
  </sheetData>
  <sheetProtection algorithmName="SHA-512" hashValue="ovnUAQDEhTwug5BxS7mT45tX8wWe9Ip6CambdpTbxrYxDOCkpFt1peHMwRg2EEfdwX49ecz/FyQrospDinPcHA==" saltValue="EfkJBoO6qpL2+sReXla+kg==" spinCount="100000" sheet="1" objects="1" scenarios="1" formatCells="0" formatColumns="0" formatRows="0"/>
  <mergeCells count="7">
    <mergeCell ref="B26:D26"/>
    <mergeCell ref="B27:D27"/>
    <mergeCell ref="B2:F2"/>
    <mergeCell ref="G2:H2"/>
    <mergeCell ref="B3:D4"/>
    <mergeCell ref="E3:F4"/>
    <mergeCell ref="B12:H12"/>
  </mergeCells>
  <conditionalFormatting sqref="D10">
    <cfRule type="containsText" dxfId="7" priority="2" operator="containsText" text="NO_APLICA">
      <formula>NOT(ISERROR(SEARCH("NO_APLICA",D10)))</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9">
    <cfRule type="cellIs" dxfId="2" priority="4" operator="lessThan">
      <formula>0</formula>
    </cfRule>
  </conditionalFormatting>
  <conditionalFormatting sqref="H10">
    <cfRule type="containsText" dxfId="1" priority="1" operator="containsText" text="NO_APLICA">
      <formula>NOT(ISERROR(SEARCH("NO_APLICA",H10)))</formula>
    </cfRule>
    <cfRule type="cellIs" dxfId="0" priority="3" operator="lessThan">
      <formula>0</formula>
    </cfRule>
  </conditionalFormatting>
  <pageMargins left="0.7" right="0.7" top="0.75" bottom="0.75" header="0.3" footer="0.3"/>
  <pageSetup orientation="portrait" horizontalDpi="4294967292" verticalDpi="4294967292"/>
  <drawing r:id="rId1"/>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Usuario</cp:lastModifiedBy>
  <dcterms:created xsi:type="dcterms:W3CDTF">2013-07-30T17:19:59Z</dcterms:created>
  <dcterms:modified xsi:type="dcterms:W3CDTF">2018-10-13T19:51:52Z</dcterms:modified>
</cp:coreProperties>
</file>