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USER\Documents\EAN\"/>
    </mc:Choice>
  </mc:AlternateContent>
  <xr:revisionPtr revIDLastSave="0" documentId="8_{BA597156-25BA-4FA6-95B9-CAA3AFD7DFD3}" xr6:coauthVersionLast="47" xr6:coauthVersionMax="47" xr10:uidLastSave="{00000000-0000-0000-0000-000000000000}"/>
  <bookViews>
    <workbookView xWindow="-120" yWindow="-120" windowWidth="20730" windowHeight="11160" tabRatio="703" activeTab="1" xr2:uid="{00000000-000D-0000-FFFF-FFFF00000000}"/>
  </bookViews>
  <sheets>
    <sheet name="Menú" sheetId="7" r:id="rId1"/>
    <sheet name="1" sheetId="1" r:id="rId2"/>
    <sheet name="2" sheetId="4" r:id="rId3"/>
    <sheet name="3" sheetId="3" r:id="rId4"/>
    <sheet name="4" sheetId="5" r:id="rId5"/>
    <sheet name="5" sheetId="6" r:id="rId6"/>
    <sheet name="PREMISAS" sheetId="8" r:id="rId7"/>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4" l="1"/>
  <c r="F24" i="4"/>
  <c r="F22" i="4"/>
  <c r="F19" i="4"/>
  <c r="B73" i="8" l="1"/>
  <c r="C28" i="4"/>
  <c r="C29" i="4" s="1"/>
  <c r="C30" i="4" s="1"/>
  <c r="C31" i="4" s="1"/>
  <c r="F25" i="4"/>
  <c r="F18" i="4"/>
  <c r="F20" i="4"/>
  <c r="K34" i="8"/>
  <c r="K37" i="8" s="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3" i="6" s="1"/>
  <c r="C17" i="5"/>
  <c r="C35" i="5" s="1"/>
  <c r="C36" i="5" s="1"/>
  <c r="H9" i="3"/>
  <c r="J9" i="3" s="1"/>
  <c r="I10" i="3" s="1"/>
  <c r="E35" i="6"/>
  <c r="F35" i="6" s="1"/>
  <c r="D35" i="6"/>
  <c r="C30" i="5"/>
  <c r="C45" i="5"/>
  <c r="B39" i="5" l="1"/>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F31" i="5" l="1"/>
  <c r="I13" i="3"/>
  <c r="H13" i="3" s="1"/>
  <c r="J13" i="3" s="1"/>
  <c r="G31" i="5" s="1"/>
  <c r="G29" i="5"/>
  <c r="G30" i="5" s="1"/>
  <c r="F30" i="5"/>
  <c r="E46" i="5"/>
  <c r="E52" i="5" s="1"/>
  <c r="E58" i="5" s="1"/>
  <c r="E59" i="5" s="1"/>
  <c r="F8" i="6" s="1"/>
  <c r="G35" i="5"/>
  <c r="G36" i="5" s="1"/>
  <c r="F32" i="5" l="1"/>
  <c r="F38" i="5" s="1"/>
  <c r="F22" i="5" s="1"/>
  <c r="F44" i="5" s="1"/>
  <c r="F46" i="5" s="1"/>
  <c r="F52" i="5" s="1"/>
  <c r="F58" i="5" s="1"/>
  <c r="F59" i="5" s="1"/>
  <c r="G8" i="6" s="1"/>
  <c r="G32" i="5"/>
  <c r="G38" i="5" s="1"/>
  <c r="G22" i="5"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37AFD6A8-E18B-4F59-ADDF-A18B178AB24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BCF85640-D9C6-4D69-9475-5515F5F6439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26ABCE8E-144C-470F-8E53-23C2350D1B38}">
      <text>
        <r>
          <rPr>
            <b/>
            <sz val="9"/>
            <color indexed="81"/>
            <rFont val="Tahoma"/>
            <family val="2"/>
          </rPr>
          <t>DARIO MAURICIO REYES GIRALDO:</t>
        </r>
        <r>
          <rPr>
            <sz val="9"/>
            <color indexed="81"/>
            <rFont val="Tahoma"/>
            <family val="2"/>
          </rPr>
          <t xml:space="preserve">
Digita el nombre de cada línea de producto o servicio a vender</t>
        </r>
      </text>
    </comment>
    <comment ref="G4" authorId="0" shapeId="0" xr:uid="{27309244-90BC-419D-9127-7E43AEDBDE9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C1A38A37-7F73-4C6F-BA87-5A7C60FC8FA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FD5C618B-BE2C-441F-91FE-984A819B91A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27BDCC81-0EF2-4123-9F36-060E3AB5F2B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5" authorId="0" shapeId="0" xr:uid="{1622F1EE-2247-46B2-8D3E-5DEBD32223E5}">
      <text>
        <r>
          <rPr>
            <b/>
            <sz val="9"/>
            <color indexed="81"/>
            <rFont val="Tahoma"/>
            <family val="2"/>
          </rPr>
          <t>DARIO MAURICIO REYES GIRALDO:</t>
        </r>
        <r>
          <rPr>
            <sz val="9"/>
            <color indexed="81"/>
            <rFont val="Tahoma"/>
            <family val="2"/>
          </rPr>
          <t xml:space="preserve">
Digita el nombre de cada línea de producto o servicio a vender</t>
        </r>
      </text>
    </comment>
    <comment ref="G5" authorId="0" shapeId="0" xr:uid="{AF299AB0-0F19-44B2-8F3F-30CAE77E3A9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BD083104-2D84-4D50-8C9D-EF43CB1186F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954D80F7-3CB1-4923-9F6B-0008C85CB26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9B1190D2-23A6-48BC-9FCB-5AA41AFF6F6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6" authorId="0" shapeId="0" xr:uid="{EF151F82-DB2B-4078-AACC-51B1D175558D}">
      <text>
        <r>
          <rPr>
            <b/>
            <sz val="9"/>
            <color indexed="81"/>
            <rFont val="Tahoma"/>
            <family val="2"/>
          </rPr>
          <t>DARIO MAURICIO REYES GIRALDO:</t>
        </r>
        <r>
          <rPr>
            <sz val="9"/>
            <color indexed="81"/>
            <rFont val="Tahoma"/>
            <family val="2"/>
          </rPr>
          <t xml:space="preserve">
Digita el nombre de cada línea de producto o servicio a vender</t>
        </r>
      </text>
    </comment>
    <comment ref="G6" authorId="0" shapeId="0" xr:uid="{9F3DAE31-E6A7-4F65-93DF-FC74A968727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4AE861E7-0171-4861-BE16-85C01D7A56B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2292B51D-BF14-4A56-AB84-25361A868C0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BD809933-B44D-4FB9-BBF5-F0EBC99DE76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7" authorId="0" shapeId="0" xr:uid="{3E7FB915-399C-4337-8218-CDBF1248AA1A}">
      <text>
        <r>
          <rPr>
            <b/>
            <sz val="9"/>
            <color indexed="81"/>
            <rFont val="Tahoma"/>
            <family val="2"/>
          </rPr>
          <t>DARIO MAURICIO REYES GIRALDO:</t>
        </r>
        <r>
          <rPr>
            <sz val="9"/>
            <color indexed="81"/>
            <rFont val="Tahoma"/>
            <family val="2"/>
          </rPr>
          <t xml:space="preserve">
Digita el nombre de cada línea de producto o servicio a vender</t>
        </r>
      </text>
    </comment>
    <comment ref="G7" authorId="0" shapeId="0" xr:uid="{93119C5F-CC5F-4A80-BF3E-F6C47EB0BC6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81667868-0751-4807-B0AF-F6F20768FB6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CF557921-2FF6-41E2-919A-FD77FADA92E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E4AAFDCD-6049-4431-AE61-862A82D14FF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4D653671-CE8B-483F-A74C-7888D6C07F8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8" authorId="0" shapeId="0" xr:uid="{A1DEA51E-1382-4B66-9840-C738850ED20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49EFE149-BCAA-4AA5-BE28-EC5E2BCBD73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33703A7E-BA89-4562-9AF5-F376539B188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9" authorId="0" shapeId="0" xr:uid="{A968E261-3C5F-4E6D-B3B6-E382AECF8A8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9" authorId="0" shapeId="0" xr:uid="{D38ACD71-317B-4C22-A477-4B8D19616FD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9" authorId="0" shapeId="0" xr:uid="{87A46937-E1F5-400D-8ADD-682E6BBDBE2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1E2830EE-F411-4276-A297-406157B47B3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<sst xmlns="http://schemas.openxmlformats.org/spreadsheetml/2006/main" count="226" uniqueCount="216">
  <si>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</si>
  <si>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</si>
  <si>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</si>
  <si>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</si>
  <si>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</si>
  <si>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</si>
  <si>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</si>
  <si>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</si>
  <si>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</si>
  <si>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</si>
  <si>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</si>
  <si>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</si>
  <si>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</si>
  <si>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</si>
  <si>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</si>
  <si>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</si>
  <si>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</si>
  <si>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</si>
  <si>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Hora de Servicios por Asesoria Financiera</t>
  </si>
  <si>
    <t>AÑO</t>
  </si>
  <si>
    <t>Hora de Servicios por Asesoria Legal</t>
  </si>
  <si>
    <t>INFLACIÓN</t>
  </si>
  <si>
    <t>Hora de Servicios por Asesoria Laboral</t>
  </si>
  <si>
    <t>IPP</t>
  </si>
  <si>
    <t>Hora de Servicios por Asesoria de Proyectos</t>
  </si>
  <si>
    <t>Hora de Servicios por Asesoria Tributaria</t>
  </si>
  <si>
    <t>TASA IMPTO RENTA</t>
  </si>
  <si>
    <t>Capacitaciones</t>
  </si>
  <si>
    <t>Otros servicios especializados</t>
  </si>
  <si>
    <t>Bolsa de servicios</t>
  </si>
  <si>
    <t>Paquete completo</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</si>
  <si>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</si>
  <si>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</si>
  <si>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</si>
  <si>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</si>
  <si>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</si>
  <si>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</si>
  <si>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</si>
  <si>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</si>
  <si>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</si>
  <si>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</si>
  <si>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</si>
  <si>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</si>
  <si>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</si>
  <si>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</si>
  <si>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</si>
  <si>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</si>
  <si>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</si>
  <si>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</si>
  <si>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</si>
  <si>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</si>
  <si>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</si>
  <si>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</si>
  <si>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</si>
  <si>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</si>
  <si>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</si>
  <si>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</si>
  <si>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</si>
  <si>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</si>
  <si>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</si>
  <si>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</si>
  <si>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</si>
  <si>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</si>
  <si>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</si>
  <si>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</si>
  <si>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</si>
  <si>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</si>
  <si>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</si>
  <si>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Seguros</t>
  </si>
  <si>
    <t>Imprevistos</t>
  </si>
  <si>
    <t>GASTO PUBLICITARIO AÑOS SIGUIENTES</t>
  </si>
  <si>
    <t>Registro</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</si>
  <si>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</si>
  <si>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</si>
  <si>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</si>
  <si>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</si>
  <si>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</si>
  <si>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</si>
  <si>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</si>
  <si>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</si>
  <si>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</si>
  <si>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</si>
  <si>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</si>
  <si>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</si>
  <si>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</si>
  <si>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</si>
  <si>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</si>
  <si>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</si>
  <si>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</si>
  <si>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</si>
  <si>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</si>
  <si>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</si>
  <si>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</si>
  <si>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</si>
  <si>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</si>
  <si>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</si>
  <si>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</si>
  <si>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</si>
  <si>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</si>
  <si>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</si>
  <si>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</si>
  <si>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</si>
  <si>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</si>
  <si>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</si>
  <si>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</si>
  <si>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</si>
  <si>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</si>
  <si>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</si>
  <si>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</si>
  <si>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</si>
  <si>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</si>
  <si>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</si>
  <si>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</si>
  <si>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</si>
  <si>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</si>
  <si>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</si>
  <si>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</si>
  <si>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</si>
  <si>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</si>
  <si>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</si>
  <si>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</si>
  <si>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</si>
  <si>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</si>
  <si>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</si>
  <si>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</si>
  <si>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</si>
  <si>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</si>
  <si>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</si>
  <si>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</si>
  <si>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</si>
  <si>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</si>
  <si>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</si>
  <si>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</si>
  <si>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</si>
  <si>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</si>
  <si>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</si>
  <si>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</si>
  <si>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</si>
  <si>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</si>
  <si>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</si>
  <si>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</si>
  <si>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</si>
  <si>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</si>
  <si>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</si>
  <si>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</si>
  <si>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</si>
  <si>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</si>
  <si>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</si>
  <si>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</si>
  <si>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</si>
  <si>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</si>
  <si>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</si>
  <si>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</si>
  <si>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</si>
  <si>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</si>
  <si>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</si>
  <si>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</si>
  <si>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</si>
  <si>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</si>
  <si>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</si>
  <si>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</si>
  <si>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</si>
  <si>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</si>
  <si>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</si>
  <si>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</si>
  <si>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</si>
  <si>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</si>
  <si>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</si>
  <si>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</si>
  <si>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</si>
  <si>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https://www.statista.com/statistics/369121/inflation-rate-in-colombia/</t>
  </si>
  <si>
    <t>IPP NO APLICA PARA EMPRESA DE SERVICIOS</t>
  </si>
  <si>
    <t>Concepto</t>
  </si>
  <si>
    <t>Valor</t>
  </si>
  <si>
    <t>Ten en cuenta</t>
  </si>
  <si>
    <t>Constitución de sociedad comercial</t>
  </si>
  <si>
    <t>Se genera una sola vez, cuando radicas los documentos en la Cámara.</t>
  </si>
  <si>
    <t>https://virtuales.camaramedellin.com.co/Matriculainscripcionvirtual/preliquidador/#/home</t>
  </si>
  <si>
    <t>Matrícula comerciante</t>
  </si>
  <si>
    <t>Esta tarifa aplica según la información diligenciada en 'Datos para el simulador' y sólo corresponde a una aproximación del costo. Recuerda que los valores para la renovación se actualizan cada año de acuerdo al incremento del Salario mínimo mensual legal vigente en Colombia.</t>
  </si>
  <si>
    <t>Este pago puede estar exento por la ley de pequeña empresa joven. Para más información haga clic aquí.</t>
  </si>
  <si>
    <t>Designación, remoción para constituciones</t>
  </si>
  <si>
    <t>Inscripción comerciante</t>
  </si>
  <si>
    <t>Matricula</t>
  </si>
  <si>
    <t>capital social</t>
  </si>
  <si>
    <t>Matrículas establecimiento(s)</t>
  </si>
  <si>
    <t>Imto de registro</t>
  </si>
  <si>
    <t>Inscripción establecimiento(s)</t>
  </si>
  <si>
    <t>Se paga dependiendo del valor de los activos que hacen parte del negocio.</t>
  </si>
  <si>
    <t>Derechos de Inscripción</t>
  </si>
  <si>
    <t>Impuesto de registro sin cuantía</t>
  </si>
  <si>
    <t>Se genera por cada órgano de administración nombrado. Se cobra mínimo un impuesto de registro por representante legal y máximo tres, cuando la sociedad tiene junta directiva y revisor fiscal. La fecha del documento debe ser igual o inferior a dos meses.</t>
  </si>
  <si>
    <t>Formulario RUES</t>
  </si>
  <si>
    <t>Impuesto de registro con cuantía</t>
  </si>
  <si>
    <t>Es el 7,50 por cada mil sobre el capital social para sociedades de personas y sobre el capital suscrito para las sociedades por acciones como la S.A.S. La fecha del documento debe ser igual o inferior a dos meses.</t>
  </si>
  <si>
    <t>Formulario de inscripción</t>
  </si>
  <si>
    <r>
      <t>Se diligencia virtualmente a través de nuestra página web, haz clic </t>
    </r>
    <r>
      <rPr>
        <u/>
        <sz val="12"/>
        <color rgb="FF878787"/>
        <rFont val="Lucida Sans Unicode"/>
        <family val="2"/>
      </rPr>
      <t>aquí.</t>
    </r>
    <r>
      <rPr>
        <sz val="12"/>
        <color rgb="FF878787"/>
        <rFont val="Lucida Sans Unicode"/>
        <family val="2"/>
      </rPr>
      <t> Si requieres orientación para que te acompañen en el proceso, agenda tu cita </t>
    </r>
    <r>
      <rPr>
        <u/>
        <sz val="12"/>
        <color rgb="FF878787"/>
        <rFont val="Lucida Sans Unicode"/>
        <family val="2"/>
      </rPr>
      <t>aquí.</t>
    </r>
  </si>
  <si>
    <t>Impuesto de estampilla prodesarrollo Antioquia</t>
  </si>
  <si>
    <t>Situación control</t>
  </si>
  <si>
    <t>Solicitud de libros</t>
  </si>
  <si>
    <t>Servicio de libros</t>
  </si>
  <si>
    <t>Certificado de registro mercantil</t>
  </si>
  <si>
    <t>Los certificados de Matrícula Mercantil, como su nombre lo indica, acreditan el cumplimiento de este requisito legal respecto del comerciante (persona natural o jurídica) y de sus establecimientos de comercio e informan, entre otros aspectos, el nombre y número de matrícula de los establecimientos de comercio que una persona natural o jurídica tenga registrados, siempre que se encuentren ubicados dentro del territorio que integra la jurisdicción de la cámara de comercio que los expide.</t>
  </si>
  <si>
    <t>Certificado de existencia y representación legal</t>
  </si>
  <si>
    <t>Certificado de Existencia y representación legal, es aquel que acredita la inscripción del contrato social, las reformas y los nombramientos de administradores y representantes legales, en la cámara de comercio con jurisdicción en el domicilio de la respectiva sociedad. Este tipo de certificación tiene un valor eminentemente probatorio y está encaminado a demostrar la existencia y representación de las personas jurídicas.</t>
  </si>
  <si>
    <t>Total</t>
  </si>
  <si>
    <t>COSTOS HORA DE CONSULTORIA COMPETIDORES</t>
  </si>
  <si>
    <t>KPMG</t>
  </si>
  <si>
    <t>HINCAPIE ASOCIADOS LTDA</t>
  </si>
  <si>
    <t>BOLSA DE SERVICIOS $3.000.000 MES</t>
  </si>
  <si>
    <t>Alcance Financiero, legal, tributario y comercial</t>
  </si>
  <si>
    <t>O P C RIVEROS SAS</t>
  </si>
  <si>
    <t>BOLSA DE SERVICIOS $1.400.000 MES</t>
  </si>
  <si>
    <t>Alcance tributario y comercial</t>
  </si>
  <si>
    <t>HORAS LABORALES EN COLOMBIA</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</si>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</sst>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Red]\(&quot;$&quot;#,##0.00\)"/>
    <numFmt numFmtId="165" formatCode="_(* #,##0.00_);_(* \(#,##0.00\);_(* &quot;-&quot;??_);_(@_)"/>
    <numFmt numFmtId="166" formatCode="&quot;$&quot;#,##0.00;[Red]\-&quot;$&quot;#,##0.00"/>
    <numFmt numFmtId="167" formatCode="&quot;$&quot;\ #,##0.00_);[Red]\(&quot;$&quot;\ #,##0.00\)"/>
    <numFmt numFmtId="168" formatCode="_(&quot;$&quot;\ * #,##0.00_);_(&quot;$&quot;\ * \(#,##0.00\);_(&quot;$&quot;\ * &quot;-&quot;??_);_(@_)"/>
    <numFmt numFmtId="169" formatCode="_(&quot;$&quot;\ * #,##0.0_);_(&quot;$&quot;\ * \(#,##0.0\);_(&quot;$&quot;\ * &quot;-&quot;??_);_(@_)"/>
    <numFmt numFmtId="170" formatCode="_(&quot;$&quot;\ * #,##0_);_(&quot;$&quot;\ * \(#,##0\);_(&quot;$&quot;\ * &quot;-&quot;??_);_(@_)"/>
    <numFmt numFmtId="171" formatCode="0.0%"/>
    <numFmt numFmtId="172" formatCode="_([$$-240A]\ * #,##0.00_);_([$$-240A]\ * \(#,##0.00\);_([$$-240A]\ * &quot;-&quot;??_);_(@_)"/>
    <numFmt numFmtId="173" formatCode="_(&quot;$&quot;\ * #,##0.00000_);_(&quot;$&quot;\ * \(#,##0.00000\);_(&quot;$&quot;\ * &quot;-&quot;??_);_(@_)"/>
    <numFmt numFmtId="174" formatCode="_ &quot;$&quot;\ * #,##0_ ;_ &quot;$&quot;\ * \-#,##0_ ;_ &quot;$&quot;\ * &quot;-&quot;??_ ;_ @_ "/>
    <numFmt numFmtId="175" formatCode="_(&quot;$&quot;\ * #,##0.0_);_(&quot;$&quot;\ * \(#,##0.0\);_(&quot;$&quot;\ * &quot;-&quot;?_);_(@_)"/>
    <numFmt numFmtId="176" formatCode="_(* #,##0_);_(* \(#,##0\);_(* &quot;-&quot;??_);_(@_)"/>
    <numFmt numFmtId="177" formatCode="_ &quot;$&quot;\ * #,##0.0_ ;_ &quot;$&quot;\ * \-#,##0.0_ ;_ &quot;$&quot;\ * &quot;-&quot;??_ ;_ @_ "/>
    <numFmt numFmtId="178" formatCode="_(* #,##0.0_);_(* \(#,##0.0\);_(* &quot;-&quot;??_);_(@_)"/>
    <numFmt numFmtId="179" formatCode="_ * #,##0.00_ ;_ * \-#,##0.00_ ;_ * &quot;-&quot;??_ ;_ @_ "/>
    <numFmt numFmtId="180" formatCode="&quot;$&quot;#,##0.00"/>
    <numFmt numFmtId="181" formatCode="_-&quot;$&quot;* #,##0.0_-;\-&quot;$&quot;* #,##0.0_-;_-&quot;$&quot;* &quot;-&quot;??_-;_-@_-"/>
    <numFmt numFmtId="182" formatCode="0.0"/>
  </numFmts>
  <fonts count="55"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b/>
      <sz val="12"/>
      <color rgb="FFFFFFFF"/>
      <name val="Lucida Sans Unicode"/>
      <family val="2"/>
    </font>
    <font>
      <sz val="12"/>
      <color theme="1"/>
      <name val="Lucida Sans Unicode"/>
      <family val="2"/>
    </font>
    <font>
      <sz val="12"/>
      <color rgb="FF878787"/>
      <name val="Lucida Sans Unicode"/>
      <family val="2"/>
    </font>
    <font>
      <u/>
      <sz val="12"/>
      <color rgb="FF878787"/>
      <name val="Lucida Sans Unicode"/>
      <family val="2"/>
    </font>
    <font>
      <b/>
      <sz val="12"/>
      <color theme="1"/>
      <name val="Lucida Sans Unicode"/>
      <family val="2"/>
    </font>
  </fonts>
  <fills count="10">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EFEFEF"/>
        <bgColor indexed="64"/>
      </patternFill>
    </fill>
    <fill>
      <patternFill patternType="solid">
        <fgColor rgb="FF0099CC"/>
        <bgColor indexed="64"/>
      </patternFill>
    </fill>
  </fills>
  <borders count="20">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rgb="FF017091"/>
      </bottom>
      <diagonal/>
    </border>
    <border>
      <left/>
      <right/>
      <top/>
      <bottom style="medium">
        <color rgb="FF000000"/>
      </bottom>
      <diagonal/>
    </border>
    <border>
      <left/>
      <right/>
      <top style="medium">
        <color rgb="FF000000"/>
      </top>
      <bottom/>
      <diagonal/>
    </border>
  </borders>
  <cellStyleXfs count="7">
    <xf numFmtId="0" fontId="0" fillId="0" borderId="0"/>
    <xf numFmtId="168" fontId="1" fillId="0" borderId="0" applyFont="0" applyFill="0" applyBorder="0" applyAlignment="0" applyProtection="0"/>
    <xf numFmtId="9"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0" fontId="36" fillId="0" borderId="0" applyNumberFormat="0" applyFill="0" applyBorder="0" applyAlignment="0" applyProtection="0"/>
    <xf numFmtId="0" fontId="20" fillId="0" borderId="0"/>
  </cellStyleXfs>
  <cellXfs count="180">
    <xf numFmtId="0" fontId="0" fillId="0" borderId="0" xfId="0"/>
    <xf numFmtId="0" fontId="25" fillId="0" borderId="0" xfId="0" applyFont="1" applyProtection="1">
      <protection hidden="1"/>
    </xf>
    <xf numFmtId="174" fontId="0" fillId="0" borderId="0" xfId="1" applyNumberFormat="1" applyFont="1" applyFill="1" applyProtection="1">
      <protection hidden="1"/>
    </xf>
    <xf numFmtId="174" fontId="0" fillId="0" borderId="7" xfId="1" applyNumberFormat="1" applyFont="1" applyFill="1" applyBorder="1" applyProtection="1">
      <protection hidden="1"/>
    </xf>
    <xf numFmtId="0" fontId="26" fillId="0" borderId="0" xfId="0" applyFont="1" applyProtection="1">
      <protection hidden="1"/>
    </xf>
    <xf numFmtId="174" fontId="24" fillId="0" borderId="0" xfId="1" applyNumberFormat="1" applyFont="1" applyFill="1" applyProtection="1">
      <protection hidden="1"/>
    </xf>
    <xf numFmtId="174" fontId="24" fillId="0" borderId="1" xfId="1" applyNumberFormat="1" applyFont="1" applyFill="1" applyBorder="1" applyProtection="1">
      <protection hidden="1"/>
    </xf>
    <xf numFmtId="176" fontId="20" fillId="0" borderId="0" xfId="3" applyNumberFormat="1" applyFont="1" applyFill="1" applyProtection="1">
      <protection hidden="1"/>
    </xf>
    <xf numFmtId="0" fontId="0" fillId="0" borderId="0" xfId="0" applyProtection="1">
      <protection hidden="1"/>
    </xf>
    <xf numFmtId="177" fontId="0" fillId="0" borderId="0" xfId="1" applyNumberFormat="1" applyFont="1" applyFill="1" applyProtection="1">
      <protection hidden="1"/>
    </xf>
    <xf numFmtId="177" fontId="0" fillId="0" borderId="7" xfId="1" applyNumberFormat="1" applyFont="1" applyFill="1" applyBorder="1" applyProtection="1">
      <protection hidden="1"/>
    </xf>
    <xf numFmtId="176"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8"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70" fontId="6" fillId="0" borderId="0" xfId="1" applyNumberFormat="1" applyFont="1" applyProtection="1">
      <protection hidden="1"/>
    </xf>
    <xf numFmtId="9" fontId="0" fillId="0" borderId="0" xfId="2" applyFont="1" applyAlignment="1" applyProtection="1">
      <alignment horizontal="center"/>
      <protection hidden="1"/>
    </xf>
    <xf numFmtId="170" fontId="0" fillId="0" borderId="0" xfId="1" applyNumberFormat="1" applyFont="1" applyProtection="1">
      <protection hidden="1"/>
    </xf>
    <xf numFmtId="168" fontId="0" fillId="0" borderId="0" xfId="1" applyFont="1" applyProtection="1">
      <protection hidden="1"/>
    </xf>
    <xf numFmtId="168"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70" fontId="7" fillId="5" borderId="0" xfId="0" applyNumberFormat="1" applyFont="1" applyFill="1" applyProtection="1">
      <protection hidden="1"/>
    </xf>
    <xf numFmtId="9" fontId="7" fillId="5" borderId="0" xfId="2" applyFont="1" applyFill="1" applyAlignment="1" applyProtection="1">
      <alignment horizontal="center"/>
      <protection hidden="1"/>
    </xf>
    <xf numFmtId="168" fontId="2" fillId="0" borderId="0" xfId="0" applyNumberFormat="1" applyFont="1" applyProtection="1">
      <protection hidden="1"/>
    </xf>
    <xf numFmtId="170"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2"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9" fontId="6" fillId="0" borderId="0" xfId="1" applyNumberFormat="1" applyFont="1" applyProtection="1">
      <protection hidden="1"/>
    </xf>
    <xf numFmtId="169"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1" fontId="30" fillId="6" borderId="3" xfId="2" applyNumberFormat="1" applyFont="1" applyFill="1" applyBorder="1" applyProtection="1">
      <protection locked="0"/>
    </xf>
    <xf numFmtId="171" fontId="30" fillId="6" borderId="12" xfId="2" applyNumberFormat="1" applyFont="1" applyFill="1" applyBorder="1" applyProtection="1">
      <protection locked="0"/>
    </xf>
    <xf numFmtId="171" fontId="30" fillId="6" borderId="5" xfId="2" applyNumberFormat="1" applyFont="1" applyFill="1" applyBorder="1" applyProtection="1">
      <protection locked="0"/>
    </xf>
    <xf numFmtId="165" fontId="29" fillId="4" borderId="0" xfId="4" applyFont="1" applyFill="1" applyProtection="1">
      <protection locked="0"/>
    </xf>
    <xf numFmtId="178" fontId="29" fillId="4" borderId="0" xfId="4" applyNumberFormat="1" applyFont="1" applyFill="1" applyAlignment="1" applyProtection="1">
      <alignment horizontal="center"/>
      <protection locked="0"/>
    </xf>
    <xf numFmtId="168"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4"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9" fontId="0" fillId="0" borderId="0" xfId="1" applyNumberFormat="1" applyFont="1" applyProtection="1">
      <protection hidden="1"/>
    </xf>
    <xf numFmtId="0" fontId="2" fillId="0" borderId="1" xfId="0" applyFont="1" applyBorder="1" applyProtection="1">
      <protection hidden="1"/>
    </xf>
    <xf numFmtId="169" fontId="0" fillId="0" borderId="1" xfId="0" applyNumberFormat="1" applyBorder="1" applyProtection="1">
      <protection hidden="1"/>
    </xf>
    <xf numFmtId="175" fontId="0" fillId="0" borderId="1" xfId="0" applyNumberFormat="1" applyBorder="1" applyProtection="1">
      <protection hidden="1"/>
    </xf>
    <xf numFmtId="175" fontId="0" fillId="0" borderId="0" xfId="0" applyNumberFormat="1" applyProtection="1">
      <protection hidden="1"/>
    </xf>
    <xf numFmtId="0" fontId="2" fillId="0" borderId="2" xfId="0" applyFont="1" applyBorder="1" applyProtection="1">
      <protection hidden="1"/>
    </xf>
    <xf numFmtId="175"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8" fontId="2" fillId="0" borderId="1" xfId="0" applyNumberFormat="1" applyFont="1" applyBorder="1" applyProtection="1">
      <protection hidden="1"/>
    </xf>
    <xf numFmtId="168" fontId="0" fillId="5" borderId="0" xfId="0" applyNumberFormat="1" applyFill="1" applyProtection="1">
      <protection hidden="1"/>
    </xf>
    <xf numFmtId="0" fontId="18" fillId="0" borderId="0" xfId="0" applyFont="1" applyProtection="1">
      <protection hidden="1"/>
    </xf>
    <xf numFmtId="168" fontId="18" fillId="0" borderId="0" xfId="0" applyNumberFormat="1" applyFont="1" applyProtection="1">
      <protection hidden="1"/>
    </xf>
    <xf numFmtId="0" fontId="7" fillId="0" borderId="0" xfId="0" applyFont="1" applyProtection="1">
      <protection hidden="1"/>
    </xf>
    <xf numFmtId="168"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3"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8" fontId="21" fillId="5" borderId="0" xfId="0" applyNumberFormat="1" applyFont="1" applyFill="1" applyProtection="1">
      <protection hidden="1"/>
    </xf>
    <xf numFmtId="168"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8" fontId="6" fillId="0" borderId="0" xfId="0" applyNumberFormat="1" applyFo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5"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5" fontId="35" fillId="0" borderId="0" xfId="4" applyFont="1" applyProtection="1">
      <protection hidden="1"/>
    </xf>
    <xf numFmtId="168" fontId="35" fillId="0" borderId="0" xfId="1" applyFont="1" applyProtection="1">
      <protection hidden="1"/>
    </xf>
    <xf numFmtId="0" fontId="2" fillId="0" borderId="0" xfId="0" applyFont="1" applyProtection="1">
      <protection hidden="1"/>
    </xf>
    <xf numFmtId="165"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6" fontId="0" fillId="0" borderId="0" xfId="0" applyNumberFormat="1" applyProtection="1">
      <protection hidden="1"/>
    </xf>
    <xf numFmtId="0" fontId="20" fillId="0" borderId="0" xfId="6"/>
    <xf numFmtId="179" fontId="20" fillId="0" borderId="0" xfId="6" applyNumberFormat="1"/>
    <xf numFmtId="166" fontId="20" fillId="0" borderId="0" xfId="6" applyNumberFormat="1"/>
    <xf numFmtId="0" fontId="22" fillId="0" borderId="4" xfId="0" applyFont="1" applyBorder="1" applyProtection="1">
      <protection hidden="1"/>
    </xf>
    <xf numFmtId="0" fontId="38" fillId="0" borderId="6" xfId="0" applyFont="1" applyBorder="1" applyProtection="1">
      <protection hidden="1"/>
    </xf>
    <xf numFmtId="180" fontId="41" fillId="0" borderId="3" xfId="0" applyNumberFormat="1" applyFont="1" applyBorder="1" applyProtection="1">
      <protection hidden="1"/>
    </xf>
    <xf numFmtId="180" fontId="41" fillId="0" borderId="12" xfId="0" applyNumberFormat="1" applyFont="1" applyBorder="1" applyProtection="1">
      <protection hidden="1"/>
    </xf>
    <xf numFmtId="167"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1" fontId="29" fillId="4" borderId="0" xfId="2" applyNumberFormat="1" applyFont="1" applyFill="1" applyProtection="1">
      <protection locked="0"/>
    </xf>
    <xf numFmtId="169"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1" fontId="6" fillId="0" borderId="0" xfId="0" applyNumberFormat="1" applyFont="1"/>
    <xf numFmtId="181" fontId="6" fillId="0" borderId="14" xfId="0" applyNumberFormat="1" applyFont="1" applyBorder="1"/>
    <xf numFmtId="0" fontId="2" fillId="0" borderId="11" xfId="0" applyFont="1" applyBorder="1" applyAlignment="1" applyProtection="1">
      <alignment horizontal="center"/>
      <protection hidden="1"/>
    </xf>
    <xf numFmtId="181" fontId="6" fillId="0" borderId="0" xfId="0" applyNumberFormat="1" applyFont="1" applyProtection="1">
      <protection hidden="1"/>
    </xf>
    <xf numFmtId="181" fontId="6" fillId="0" borderId="14" xfId="0" applyNumberFormat="1" applyFont="1" applyBorder="1" applyProtection="1">
      <protection hidden="1"/>
    </xf>
    <xf numFmtId="181" fontId="6" fillId="0" borderId="3" xfId="0" applyNumberFormat="1" applyFont="1" applyBorder="1" applyProtection="1">
      <protection hidden="1"/>
    </xf>
    <xf numFmtId="181"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8" fontId="18" fillId="0" borderId="0" xfId="1" applyFont="1" applyProtection="1">
      <protection hidden="1"/>
    </xf>
    <xf numFmtId="0" fontId="18" fillId="0" borderId="0" xfId="0" applyFont="1" applyAlignment="1" applyProtection="1">
      <alignment horizontal="center"/>
      <protection hidden="1"/>
    </xf>
    <xf numFmtId="168"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0" fillId="7" borderId="0" xfId="0" applyFill="1"/>
    <xf numFmtId="168" fontId="0" fillId="0" borderId="0" xfId="1" applyFont="1"/>
    <xf numFmtId="170" fontId="0" fillId="0" borderId="0" xfId="1" applyNumberFormat="1" applyFont="1"/>
    <xf numFmtId="0" fontId="0" fillId="8" borderId="0" xfId="0" applyFill="1"/>
    <xf numFmtId="0" fontId="50" fillId="9" borderId="17" xfId="0" applyFont="1" applyFill="1" applyBorder="1" applyAlignment="1">
      <alignment horizontal="center" vertical="center" wrapText="1"/>
    </xf>
    <xf numFmtId="0" fontId="51" fillId="8" borderId="18" xfId="0" applyFont="1" applyFill="1" applyBorder="1" applyAlignment="1">
      <alignment horizontal="left" vertical="center" wrapText="1" indent="1"/>
    </xf>
    <xf numFmtId="164" fontId="51" fillId="8" borderId="18" xfId="0" applyNumberFormat="1" applyFont="1" applyFill="1" applyBorder="1" applyAlignment="1">
      <alignment horizontal="left" vertical="center" wrapText="1" indent="1"/>
    </xf>
    <xf numFmtId="0" fontId="52" fillId="8" borderId="18" xfId="0" applyFont="1" applyFill="1" applyBorder="1" applyAlignment="1">
      <alignment horizontal="left" vertical="center" wrapText="1" indent="1"/>
    </xf>
    <xf numFmtId="0" fontId="52" fillId="8" borderId="0" xfId="0" applyFont="1" applyFill="1" applyAlignment="1">
      <alignment horizontal="left" vertical="center" wrapText="1" indent="1"/>
    </xf>
    <xf numFmtId="0" fontId="36" fillId="8" borderId="18" xfId="5" applyFill="1" applyBorder="1" applyAlignment="1">
      <alignment horizontal="left" vertical="center" wrapText="1" indent="1"/>
    </xf>
    <xf numFmtId="0" fontId="54" fillId="8" borderId="18" xfId="0" applyFont="1" applyFill="1" applyBorder="1" applyAlignment="1">
      <alignment horizontal="left" vertical="center" wrapText="1" indent="1"/>
    </xf>
    <xf numFmtId="164" fontId="54" fillId="8" borderId="18" xfId="0" applyNumberFormat="1" applyFont="1" applyFill="1" applyBorder="1" applyAlignment="1">
      <alignment horizontal="left" vertical="center" wrapText="1" indent="1"/>
    </xf>
    <xf numFmtId="0" fontId="18" fillId="2" borderId="0" xfId="0" applyFont="1" applyFill="1"/>
    <xf numFmtId="182" fontId="39" fillId="7" borderId="5" xfId="0" applyNumberFormat="1" applyFont="1" applyFill="1" applyBorder="1" applyProtection="1">
      <protection hidden="1"/>
    </xf>
    <xf numFmtId="10" fontId="30" fillId="6" borderId="0" xfId="2" applyNumberFormat="1" applyFont="1" applyFill="1" applyBorder="1" applyProtection="1">
      <protection locked="0"/>
    </xf>
    <xf numFmtId="10" fontId="30" fillId="6" borderId="14" xfId="2" applyNumberFormat="1" applyFont="1" applyFill="1" applyBorder="1" applyProtection="1">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1" fillId="8" borderId="19" xfId="0" applyFont="1" applyFill="1" applyBorder="1" applyAlignment="1">
      <alignment horizontal="left" vertical="center" wrapText="1" indent="1"/>
    </xf>
    <xf numFmtId="0" fontId="51" fillId="8" borderId="18" xfId="0" applyFont="1" applyFill="1" applyBorder="1" applyAlignment="1">
      <alignment horizontal="left" vertical="center" wrapText="1" indent="1"/>
    </xf>
    <xf numFmtId="164" fontId="51" fillId="8" borderId="19" xfId="0" applyNumberFormat="1" applyFont="1" applyFill="1" applyBorder="1" applyAlignment="1">
      <alignment horizontal="left" vertical="center" wrapText="1" indent="1"/>
    </xf>
    <xf numFmtId="164" fontId="51" fillId="8" borderId="18" xfId="0" applyNumberFormat="1" applyFont="1" applyFill="1" applyBorder="1" applyAlignment="1">
      <alignment horizontal="left" vertical="center" wrapText="1" indent="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131.66850928163728</c:v>
                </c:pt>
                <c:pt idx="2">
                  <c:v>263.33701856327457</c:v>
                </c:pt>
              </c:numCache>
            </c:numRef>
          </c:cat>
          <c:val>
            <c:numRef>
              <c:f>'5'!$C$33:$C$35</c:f>
              <c:numCache>
                <c:formatCode>_("$"\ * #,##0.00_);_("$"\ * \(#,##0.00\);_("$"\ * "-"??_);_(@_)</c:formatCode>
                <c:ptCount val="3"/>
                <c:pt idx="0">
                  <c:v>52795000</c:v>
                </c:pt>
                <c:pt idx="1">
                  <c:v>52795000</c:v>
                </c:pt>
                <c:pt idx="2">
                  <c:v>52795000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131.66850928163728</c:v>
                </c:pt>
                <c:pt idx="2">
                  <c:v>263.33701856327457</c:v>
                </c:pt>
              </c:numCache>
            </c:numRef>
          </c:cat>
          <c:val>
            <c:numRef>
              <c:f>'5'!$D$33:$D$35</c:f>
              <c:numCache>
                <c:formatCode>_("$"\ * #,##0.00_);_("$"\ * \(#,##0.00\);_("$"\ * "-"??_);_(@_)</c:formatCode>
                <c:ptCount val="3"/>
                <c:pt idx="0" formatCode="General">
                  <c:v>0</c:v>
                </c:pt>
                <c:pt idx="1">
                  <c:v>105891344.42330438</c:v>
                </c:pt>
                <c:pt idx="2">
                  <c:v>211782688.84660876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131.66850928163728</c:v>
                </c:pt>
                <c:pt idx="2">
                  <c:v>263.33701856327457</c:v>
                </c:pt>
              </c:numCache>
            </c:numRef>
          </c:cat>
          <c:val>
            <c:numRef>
              <c:f>'5'!$F$33:$F$35</c:f>
              <c:numCache>
                <c:formatCode>_("$"\ * #,##0.00_);_("$"\ * \(#,##0.00\);_("$"\ * "-"??_);_(@_)</c:formatCode>
                <c:ptCount val="3"/>
                <c:pt idx="0">
                  <c:v>52795000</c:v>
                </c:pt>
                <c:pt idx="1">
                  <c:v>105891344.42330438</c:v>
                </c:pt>
                <c:pt idx="2">
                  <c:v>158987688.84660876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442384</xdr:colOff>
      <xdr:row>13</xdr:row>
      <xdr:rowOff>120649</xdr:rowOff>
    </xdr:from>
    <xdr:to>
      <xdr:col>9</xdr:col>
      <xdr:colOff>222250</xdr:colOff>
      <xdr:row>32</xdr:row>
      <xdr:rowOff>130175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756217" y="3486149"/>
          <a:ext cx="404283" cy="40206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1</xdr:col>
      <xdr:colOff>1363143</xdr:colOff>
      <xdr:row>25</xdr:row>
      <xdr:rowOff>81538</xdr:rowOff>
    </xdr:to>
    <xdr:pic>
      <xdr:nvPicPr>
        <xdr:cNvPr id="2" name="Picture 1">
          <a:extLst>
            <a:ext uri="{FF2B5EF4-FFF2-40B4-BE49-F238E27FC236}">
              <a16:creationId xmlns:a16="http://schemas.microsoft.com/office/drawing/2014/main" id="{2F3160F5-5047-AA6A-43C2-9A841153170F}"/>
            </a:ext>
          </a:extLst>
        </xdr:cNvPr>
        <xdr:cNvPicPr>
          <a:picLocks noChangeAspect="1"/>
        </xdr:cNvPicPr>
      </xdr:nvPicPr>
      <xdr:blipFill>
        <a:blip xmlns:r="http://schemas.openxmlformats.org/officeDocument/2006/relationships" r:embed="rId1"/>
        <a:stretch>
          <a:fillRect/>
        </a:stretch>
      </xdr:blipFill>
      <xdr:spPr>
        <a:xfrm>
          <a:off x="66675" y="0"/>
          <a:ext cx="5249343" cy="4844038"/>
        </a:xfrm>
        <a:prstGeom prst="rect">
          <a:avLst/>
        </a:prstGeom>
      </xdr:spPr>
    </xdr:pic>
    <xdr:clientData/>
  </xdr:twoCellAnchor>
  <xdr:twoCellAnchor editAs="oneCell">
    <xdr:from>
      <xdr:col>0</xdr:col>
      <xdr:colOff>76200</xdr:colOff>
      <xdr:row>50</xdr:row>
      <xdr:rowOff>142875</xdr:rowOff>
    </xdr:from>
    <xdr:to>
      <xdr:col>1</xdr:col>
      <xdr:colOff>1743859</xdr:colOff>
      <xdr:row>54</xdr:row>
      <xdr:rowOff>152508</xdr:rowOff>
    </xdr:to>
    <xdr:pic>
      <xdr:nvPicPr>
        <xdr:cNvPr id="3" name="Picture 2">
          <a:extLst>
            <a:ext uri="{FF2B5EF4-FFF2-40B4-BE49-F238E27FC236}">
              <a16:creationId xmlns:a16="http://schemas.microsoft.com/office/drawing/2014/main" id="{F5A5CE78-01B9-42BD-BCA8-B86641D4CDE9}"/>
            </a:ext>
          </a:extLst>
        </xdr:cNvPr>
        <xdr:cNvPicPr>
          <a:picLocks noChangeAspect="1"/>
        </xdr:cNvPicPr>
      </xdr:nvPicPr>
      <xdr:blipFill>
        <a:blip xmlns:r="http://schemas.openxmlformats.org/officeDocument/2006/relationships" r:embed="rId2"/>
        <a:stretch>
          <a:fillRect/>
        </a:stretch>
      </xdr:blipFill>
      <xdr:spPr>
        <a:xfrm>
          <a:off x="76200" y="1095375"/>
          <a:ext cx="5620534" cy="771633"/>
        </a:xfrm>
        <a:prstGeom prst="rect">
          <a:avLst/>
        </a:prstGeom>
      </xdr:spPr>
    </xdr:pic>
    <xdr:clientData/>
  </xdr:twoCellAnchor>
  <xdr:twoCellAnchor editAs="oneCell">
    <xdr:from>
      <xdr:col>2</xdr:col>
      <xdr:colOff>285750</xdr:colOff>
      <xdr:row>59</xdr:row>
      <xdr:rowOff>184589</xdr:rowOff>
    </xdr:from>
    <xdr:to>
      <xdr:col>4</xdr:col>
      <xdr:colOff>124967</xdr:colOff>
      <xdr:row>80</xdr:row>
      <xdr:rowOff>172320</xdr:rowOff>
    </xdr:to>
    <xdr:pic>
      <xdr:nvPicPr>
        <xdr:cNvPr id="4" name="Picture 3">
          <a:extLst>
            <a:ext uri="{FF2B5EF4-FFF2-40B4-BE49-F238E27FC236}">
              <a16:creationId xmlns:a16="http://schemas.microsoft.com/office/drawing/2014/main" id="{9476AAFB-09E7-0DEA-CB8D-F746AF7BBDC5}"/>
            </a:ext>
          </a:extLst>
        </xdr:cNvPr>
        <xdr:cNvPicPr>
          <a:picLocks noChangeAspect="1"/>
        </xdr:cNvPicPr>
      </xdr:nvPicPr>
      <xdr:blipFill>
        <a:blip xmlns:r="http://schemas.openxmlformats.org/officeDocument/2006/relationships" r:embed="rId3"/>
        <a:stretch>
          <a:fillRect/>
        </a:stretch>
      </xdr:blipFill>
      <xdr:spPr>
        <a:xfrm>
          <a:off x="6172200" y="18596414"/>
          <a:ext cx="5230367" cy="3988231"/>
        </a:xfrm>
        <a:prstGeom prst="rect">
          <a:avLst/>
        </a:prstGeom>
      </xdr:spPr>
    </xdr:pic>
    <xdr:clientData/>
  </xdr:twoCellAnchor>
  <xdr:twoCellAnchor editAs="oneCell">
    <xdr:from>
      <xdr:col>0</xdr:col>
      <xdr:colOff>771525</xdr:colOff>
      <xdr:row>83</xdr:row>
      <xdr:rowOff>28575</xdr:rowOff>
    </xdr:from>
    <xdr:to>
      <xdr:col>2</xdr:col>
      <xdr:colOff>362714</xdr:colOff>
      <xdr:row>107</xdr:row>
      <xdr:rowOff>48266</xdr:rowOff>
    </xdr:to>
    <xdr:pic>
      <xdr:nvPicPr>
        <xdr:cNvPr id="5" name="Picture 4">
          <a:extLst>
            <a:ext uri="{FF2B5EF4-FFF2-40B4-BE49-F238E27FC236}">
              <a16:creationId xmlns:a16="http://schemas.microsoft.com/office/drawing/2014/main" id="{0E968D1D-8B62-F379-0A0D-BB047F1DB816}"/>
            </a:ext>
          </a:extLst>
        </xdr:cNvPr>
        <xdr:cNvPicPr>
          <a:picLocks noChangeAspect="1"/>
        </xdr:cNvPicPr>
      </xdr:nvPicPr>
      <xdr:blipFill>
        <a:blip xmlns:r="http://schemas.openxmlformats.org/officeDocument/2006/relationships" r:embed="rId4"/>
        <a:stretch>
          <a:fillRect/>
        </a:stretch>
      </xdr:blipFill>
      <xdr:spPr>
        <a:xfrm>
          <a:off x="771525" y="23012400"/>
          <a:ext cx="5477639" cy="459169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amaramedellin.com.co/necesito-registro/renovacion/beneficios-de-la-ley-1780-de-20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2578125" defaultRowHeight="15" x14ac:dyDescent="0.25"/>
  <sheetData>
    <row r="23" spans="7:8" ht="20.25" x14ac:dyDescent="0.3">
      <c r="G23" s="152" t="s">
        <v>0</v>
      </c>
      <c r="H23" s="152"/>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70" zoomScaleNormal="70" workbookViewId="0">
      <selection activeCell="C25" sqref="C25"/>
    </sheetView>
  </sheetViews>
  <sheetFormatPr baseColWidth="10" defaultColWidth="11.42578125" defaultRowHeight="15" x14ac:dyDescent="0.25"/>
  <cols>
    <col min="1" max="1" width="22.5703125" style="8" customWidth="1"/>
    <col min="2" max="2" width="54.28515625" style="8"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x14ac:dyDescent="0.35">
      <c r="A1" s="154" t="s">
        <v>1</v>
      </c>
      <c r="B1" s="154"/>
      <c r="C1" s="154"/>
      <c r="D1" s="154"/>
      <c r="E1" s="154"/>
      <c r="G1" s="155" t="s">
        <v>2</v>
      </c>
      <c r="H1" s="155"/>
      <c r="I1" s="155"/>
      <c r="J1" s="155"/>
      <c r="P1" s="8" t="s">
        <v>3</v>
      </c>
      <c r="Y1" s="15" t="s">
        <v>4</v>
      </c>
      <c r="Z1" s="50">
        <v>2025</v>
      </c>
      <c r="AA1" s="16"/>
    </row>
    <row r="2" spans="1:29" ht="32.25" customHeight="1" thickBot="1" x14ac:dyDescent="0.4">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x14ac:dyDescent="0.4">
      <c r="A3" s="21">
        <v>1</v>
      </c>
      <c r="B3" s="13" t="s">
        <v>18</v>
      </c>
      <c r="C3" s="54">
        <v>200</v>
      </c>
      <c r="D3" s="14">
        <v>200000</v>
      </c>
      <c r="E3" s="22">
        <f>C3*D3</f>
        <v>40000000</v>
      </c>
      <c r="F3" s="23">
        <f>IF($E$13=0,0,E3/$E$13)</f>
        <v>0.16494845360824742</v>
      </c>
      <c r="G3" s="113">
        <v>2.5000000000000001E-2</v>
      </c>
      <c r="H3" s="113">
        <v>0.03</v>
      </c>
      <c r="I3" s="113">
        <v>3.5000000000000003E-2</v>
      </c>
      <c r="J3" s="113">
        <v>3.5000000000000003E-2</v>
      </c>
      <c r="K3" s="24"/>
      <c r="L3" s="8">
        <f t="shared" ref="L3:L12" si="1">C3*(1+G3)</f>
        <v>204.99999999999997</v>
      </c>
      <c r="M3" s="8">
        <f>L3*(1+H3)</f>
        <v>211.14999999999998</v>
      </c>
      <c r="N3" s="8">
        <f t="shared" ref="N3:O3" si="2">M3*(1+I3)</f>
        <v>218.54024999999996</v>
      </c>
      <c r="O3" s="8">
        <f t="shared" si="2"/>
        <v>226.18915874999993</v>
      </c>
      <c r="P3" s="25">
        <f>D3*(1+'1'!$Z$4)</f>
        <v>206080</v>
      </c>
      <c r="Q3" s="25">
        <f>P3*(1+'1'!$AA$4)</f>
        <v>212179.96800000002</v>
      </c>
      <c r="R3" s="25">
        <f>Q3*(1+'1'!$AB$4)</f>
        <v>218545.36704000004</v>
      </c>
      <c r="S3" s="25">
        <f>R3*(1+'1'!$AC$4)</f>
        <v>225101.72805120004</v>
      </c>
      <c r="T3" s="26">
        <f>L3*P3</f>
        <v>42246399.999999993</v>
      </c>
      <c r="U3" s="26">
        <f>M3*Q3</f>
        <v>44801800.243199997</v>
      </c>
      <c r="V3" s="26">
        <f>N3*R3</f>
        <v>47760959.14926336</v>
      </c>
      <c r="W3" s="26">
        <f>O3*S3</f>
        <v>50915570.501072198</v>
      </c>
      <c r="X3" s="26"/>
      <c r="Y3" s="27" t="s">
        <v>19</v>
      </c>
      <c r="Z3" s="28">
        <f>G2</f>
        <v>2026</v>
      </c>
      <c r="AA3" s="28">
        <f>Z3+1</f>
        <v>2027</v>
      </c>
      <c r="AB3" s="28">
        <f t="shared" ref="AB3:AC3" si="3">AA3+1</f>
        <v>2028</v>
      </c>
      <c r="AC3" s="29">
        <f t="shared" si="3"/>
        <v>2029</v>
      </c>
    </row>
    <row r="4" spans="1:29" ht="23.25" x14ac:dyDescent="0.35">
      <c r="A4" s="21">
        <f>A3+1</f>
        <v>2</v>
      </c>
      <c r="B4" s="13" t="s">
        <v>20</v>
      </c>
      <c r="C4" s="54">
        <v>200</v>
      </c>
      <c r="D4" s="14">
        <v>200000</v>
      </c>
      <c r="E4" s="22">
        <f t="shared" ref="E4:E12" si="4">C4*D4</f>
        <v>40000000</v>
      </c>
      <c r="F4" s="23">
        <f t="shared" ref="F4:F12" si="5">IF($E$13=0,0,E4/$E$13)</f>
        <v>0.16494845360824742</v>
      </c>
      <c r="G4" s="113">
        <v>0.03</v>
      </c>
      <c r="H4" s="113">
        <v>0.03</v>
      </c>
      <c r="I4" s="113">
        <v>3.5000000000000003E-2</v>
      </c>
      <c r="J4" s="113">
        <v>3.5000000000000003E-2</v>
      </c>
      <c r="K4" s="24"/>
      <c r="L4" s="8">
        <f t="shared" si="1"/>
        <v>206</v>
      </c>
      <c r="M4" s="8">
        <f t="shared" ref="M4:M12" si="6">L4*(1+H4)</f>
        <v>212.18</v>
      </c>
      <c r="N4" s="8">
        <f t="shared" ref="N4:N12" si="7">M4*(1+I4)</f>
        <v>219.60629999999998</v>
      </c>
      <c r="O4" s="8">
        <f t="shared" ref="O4:O12" si="8">N4*(1+J4)</f>
        <v>227.29252049999997</v>
      </c>
      <c r="P4" s="25">
        <f>D4*(1+'1'!$Z$4)</f>
        <v>206080</v>
      </c>
      <c r="Q4" s="25">
        <f>P4*(1+'1'!$AA$4)</f>
        <v>212179.96800000002</v>
      </c>
      <c r="R4" s="25">
        <f>Q4*(1+'1'!$AB$4)</f>
        <v>218545.36704000004</v>
      </c>
      <c r="S4" s="25">
        <f>R4*(1+'1'!$AC$4)</f>
        <v>225101.72805120004</v>
      </c>
      <c r="T4" s="26">
        <f t="shared" ref="T4:T12" si="9">L4*P4</f>
        <v>42452480</v>
      </c>
      <c r="U4" s="26">
        <f t="shared" ref="U4:U12" si="10">M4*Q4</f>
        <v>45020345.610240005</v>
      </c>
      <c r="V4" s="26">
        <f t="shared" ref="V4:V12" si="11">N4*R4</f>
        <v>47993939.437796354</v>
      </c>
      <c r="W4" s="26">
        <f t="shared" ref="W4:W12" si="12">O4*S4</f>
        <v>51163939.137662806</v>
      </c>
      <c r="X4" s="26"/>
      <c r="Y4" s="115" t="s">
        <v>21</v>
      </c>
      <c r="Z4" s="149">
        <v>3.04E-2</v>
      </c>
      <c r="AA4" s="149">
        <v>2.9600000000000001E-2</v>
      </c>
      <c r="AB4" s="150">
        <v>0.03</v>
      </c>
      <c r="AC4" s="150">
        <v>0.03</v>
      </c>
    </row>
    <row r="5" spans="1:29" ht="24" thickBot="1" x14ac:dyDescent="0.4">
      <c r="A5" s="21">
        <f t="shared" ref="A5:A12" si="13">A4+1</f>
        <v>3</v>
      </c>
      <c r="B5" s="13" t="s">
        <v>22</v>
      </c>
      <c r="C5" s="54">
        <v>200</v>
      </c>
      <c r="D5" s="14">
        <v>200000</v>
      </c>
      <c r="E5" s="22">
        <f t="shared" si="4"/>
        <v>40000000</v>
      </c>
      <c r="F5" s="23">
        <f t="shared" si="5"/>
        <v>0.16494845360824742</v>
      </c>
      <c r="G5" s="113">
        <v>5.5E-2</v>
      </c>
      <c r="H5" s="113">
        <v>0.06</v>
      </c>
      <c r="I5" s="113">
        <v>7.0000000000000007E-2</v>
      </c>
      <c r="J5" s="113">
        <v>7.0000000000000007E-2</v>
      </c>
      <c r="K5" s="24"/>
      <c r="L5" s="8">
        <f t="shared" si="1"/>
        <v>211</v>
      </c>
      <c r="M5" s="8">
        <f t="shared" si="6"/>
        <v>223.66000000000003</v>
      </c>
      <c r="N5" s="8">
        <f t="shared" si="7"/>
        <v>239.31620000000004</v>
      </c>
      <c r="O5" s="8">
        <f t="shared" si="8"/>
        <v>256.06833400000005</v>
      </c>
      <c r="P5" s="25">
        <f>D5*(1+'1'!$Z$4)</f>
        <v>206080</v>
      </c>
      <c r="Q5" s="25">
        <f>P5*(1+'1'!$AA$4)</f>
        <v>212179.96800000002</v>
      </c>
      <c r="R5" s="25">
        <f>Q5*(1+'1'!$AB$4)</f>
        <v>218545.36704000004</v>
      </c>
      <c r="S5" s="25">
        <f>R5*(1+'1'!$AC$4)</f>
        <v>225101.72805120004</v>
      </c>
      <c r="T5" s="26">
        <f t="shared" si="9"/>
        <v>43482880</v>
      </c>
      <c r="U5" s="26">
        <f t="shared" si="10"/>
        <v>47456171.642880008</v>
      </c>
      <c r="V5" s="26">
        <f t="shared" si="11"/>
        <v>52301446.767618068</v>
      </c>
      <c r="W5" s="26">
        <f t="shared" si="12"/>
        <v>57641424.482591875</v>
      </c>
      <c r="X5" s="26"/>
      <c r="Y5" s="116" t="s">
        <v>23</v>
      </c>
      <c r="Z5" s="51">
        <v>0</v>
      </c>
      <c r="AA5" s="51">
        <v>0</v>
      </c>
      <c r="AB5" s="51">
        <v>0</v>
      </c>
      <c r="AC5" s="52">
        <v>0</v>
      </c>
    </row>
    <row r="6" spans="1:29" ht="15.75" thickBot="1" x14ac:dyDescent="0.3">
      <c r="A6" s="21">
        <f t="shared" si="13"/>
        <v>4</v>
      </c>
      <c r="B6" s="13" t="s">
        <v>24</v>
      </c>
      <c r="C6" s="54">
        <v>50</v>
      </c>
      <c r="D6" s="14">
        <v>150000</v>
      </c>
      <c r="E6" s="22">
        <f t="shared" si="4"/>
        <v>7500000</v>
      </c>
      <c r="F6" s="23">
        <f t="shared" si="5"/>
        <v>3.0927835051546393E-2</v>
      </c>
      <c r="G6" s="113">
        <v>1.4999999999999999E-2</v>
      </c>
      <c r="H6" s="113">
        <v>1.4999999999999999E-2</v>
      </c>
      <c r="I6" s="113">
        <v>0.02</v>
      </c>
      <c r="J6" s="113">
        <v>0.02</v>
      </c>
      <c r="K6" s="24"/>
      <c r="L6" s="8">
        <f t="shared" si="1"/>
        <v>50.749999999999993</v>
      </c>
      <c r="M6" s="8">
        <f t="shared" si="6"/>
        <v>51.51124999999999</v>
      </c>
      <c r="N6" s="8">
        <f t="shared" si="7"/>
        <v>52.541474999999991</v>
      </c>
      <c r="O6" s="8">
        <f t="shared" si="8"/>
        <v>53.59230449999999</v>
      </c>
      <c r="P6" s="25">
        <f>D6*(1+'1'!$Z$4)</f>
        <v>154560</v>
      </c>
      <c r="Q6" s="25">
        <f>P6*(1+'1'!$AA$4)</f>
        <v>159134.97600000002</v>
      </c>
      <c r="R6" s="25">
        <f>Q6*(1+'1'!$AB$4)</f>
        <v>163909.02528000003</v>
      </c>
      <c r="S6" s="25">
        <f>R6*(1+'1'!$AC$4)</f>
        <v>168826.29603840003</v>
      </c>
      <c r="T6" s="26">
        <f t="shared" si="9"/>
        <v>7843919.9999999991</v>
      </c>
      <c r="U6" s="26">
        <f t="shared" si="10"/>
        <v>8197241.5324799996</v>
      </c>
      <c r="V6" s="26">
        <f t="shared" si="11"/>
        <v>8612021.9540234879</v>
      </c>
      <c r="W6" s="26">
        <f t="shared" si="12"/>
        <v>9047790.2648970764</v>
      </c>
      <c r="X6" s="26"/>
    </row>
    <row r="7" spans="1:29" ht="24" thickBot="1" x14ac:dyDescent="0.4">
      <c r="A7" s="21">
        <f t="shared" si="13"/>
        <v>5</v>
      </c>
      <c r="B7" s="13" t="s">
        <v>25</v>
      </c>
      <c r="C7" s="54">
        <v>150</v>
      </c>
      <c r="D7" s="14">
        <v>200000</v>
      </c>
      <c r="E7" s="22">
        <f t="shared" si="4"/>
        <v>30000000</v>
      </c>
      <c r="F7" s="23">
        <f t="shared" si="5"/>
        <v>0.12371134020618557</v>
      </c>
      <c r="G7" s="113">
        <v>0.05</v>
      </c>
      <c r="H7" s="113">
        <v>5.5E-2</v>
      </c>
      <c r="I7" s="113">
        <v>0.06</v>
      </c>
      <c r="J7" s="113">
        <v>6.5000000000000002E-2</v>
      </c>
      <c r="K7" s="24"/>
      <c r="L7" s="8">
        <f t="shared" si="1"/>
        <v>157.5</v>
      </c>
      <c r="M7" s="8">
        <f t="shared" si="6"/>
        <v>166.16249999999999</v>
      </c>
      <c r="N7" s="8">
        <f t="shared" si="7"/>
        <v>176.13225</v>
      </c>
      <c r="O7" s="8">
        <f t="shared" si="8"/>
        <v>187.58084624999998</v>
      </c>
      <c r="P7" s="25">
        <f>D7*(1+'1'!$Z$4)</f>
        <v>206080</v>
      </c>
      <c r="Q7" s="25">
        <f>P7*(1+'1'!$AA$4)</f>
        <v>212179.96800000002</v>
      </c>
      <c r="R7" s="25">
        <f>Q7*(1+'1'!$AB$4)</f>
        <v>218545.36704000004</v>
      </c>
      <c r="S7" s="25">
        <f>R7*(1+'1'!$AC$4)</f>
        <v>225101.72805120004</v>
      </c>
      <c r="T7" s="26">
        <f t="shared" si="9"/>
        <v>32457600</v>
      </c>
      <c r="U7" s="26">
        <f t="shared" si="10"/>
        <v>35256353.932800002</v>
      </c>
      <c r="V7" s="26">
        <f t="shared" si="11"/>
        <v>38492887.22383105</v>
      </c>
      <c r="W7" s="26">
        <f t="shared" si="12"/>
        <v>42224772.640181459</v>
      </c>
      <c r="X7" s="26"/>
      <c r="Y7" s="30" t="s">
        <v>26</v>
      </c>
      <c r="Z7" s="31"/>
      <c r="AA7" s="31"/>
      <c r="AB7" s="53">
        <v>0.35</v>
      </c>
      <c r="AC7" s="32"/>
    </row>
    <row r="8" spans="1:29" x14ac:dyDescent="0.25">
      <c r="A8" s="21">
        <f t="shared" si="13"/>
        <v>6</v>
      </c>
      <c r="B8" s="13" t="s">
        <v>27</v>
      </c>
      <c r="C8" s="54">
        <v>80</v>
      </c>
      <c r="D8" s="14">
        <v>150000</v>
      </c>
      <c r="E8" s="22">
        <f t="shared" si="4"/>
        <v>12000000</v>
      </c>
      <c r="F8" s="23">
        <f t="shared" si="5"/>
        <v>4.9484536082474224E-2</v>
      </c>
      <c r="G8" s="113">
        <v>0.05</v>
      </c>
      <c r="H8" s="113">
        <v>0.06</v>
      </c>
      <c r="I8" s="113">
        <v>7.0000000000000007E-2</v>
      </c>
      <c r="J8" s="113">
        <v>0.08</v>
      </c>
      <c r="K8" s="24"/>
      <c r="L8" s="8">
        <f t="shared" si="1"/>
        <v>84</v>
      </c>
      <c r="M8" s="8">
        <f t="shared" si="6"/>
        <v>89.04</v>
      </c>
      <c r="N8" s="8">
        <f t="shared" si="7"/>
        <v>95.272800000000018</v>
      </c>
      <c r="O8" s="8">
        <f t="shared" si="8"/>
        <v>102.89462400000002</v>
      </c>
      <c r="P8" s="25">
        <f>D8*(1+'1'!$Z$4)</f>
        <v>154560</v>
      </c>
      <c r="Q8" s="25">
        <f>P8*(1+'1'!$AA$4)</f>
        <v>159134.97600000002</v>
      </c>
      <c r="R8" s="25">
        <f>Q8*(1+'1'!$AB$4)</f>
        <v>163909.02528000003</v>
      </c>
      <c r="S8" s="25">
        <f>R8*(1+'1'!$AC$4)</f>
        <v>168826.29603840003</v>
      </c>
      <c r="T8" s="26">
        <f t="shared" si="9"/>
        <v>12983040</v>
      </c>
      <c r="U8" s="26">
        <f t="shared" si="10"/>
        <v>14169378.263040002</v>
      </c>
      <c r="V8" s="26">
        <f t="shared" si="11"/>
        <v>15616071.783696391</v>
      </c>
      <c r="W8" s="26">
        <f t="shared" si="12"/>
        <v>17371318.252183866</v>
      </c>
      <c r="X8" s="26"/>
    </row>
    <row r="9" spans="1:29" x14ac:dyDescent="0.25">
      <c r="A9" s="21">
        <f t="shared" si="13"/>
        <v>7</v>
      </c>
      <c r="B9" s="13" t="s">
        <v>28</v>
      </c>
      <c r="C9" s="54">
        <v>10</v>
      </c>
      <c r="D9" s="14">
        <v>100000</v>
      </c>
      <c r="E9" s="22">
        <f t="shared" si="4"/>
        <v>1000000</v>
      </c>
      <c r="F9" s="23">
        <f t="shared" si="5"/>
        <v>4.1237113402061857E-3</v>
      </c>
      <c r="G9" s="113">
        <v>0.05</v>
      </c>
      <c r="H9" s="113">
        <v>0.05</v>
      </c>
      <c r="I9" s="113">
        <v>0.06</v>
      </c>
      <c r="J9" s="113">
        <v>0.06</v>
      </c>
      <c r="K9" s="24"/>
      <c r="L9" s="8">
        <f t="shared" si="1"/>
        <v>10.5</v>
      </c>
      <c r="M9" s="8">
        <f t="shared" si="6"/>
        <v>11.025</v>
      </c>
      <c r="N9" s="8">
        <f t="shared" si="7"/>
        <v>11.686500000000001</v>
      </c>
      <c r="O9" s="8">
        <f t="shared" si="8"/>
        <v>12.387690000000001</v>
      </c>
      <c r="P9" s="25">
        <f>D9*(1+'1'!$Z$4)</f>
        <v>103040</v>
      </c>
      <c r="Q9" s="25">
        <f>P9*(1+'1'!$AA$4)</f>
        <v>106089.98400000001</v>
      </c>
      <c r="R9" s="25">
        <f>Q9*(1+'1'!$AB$4)</f>
        <v>109272.68352000002</v>
      </c>
      <c r="S9" s="25">
        <f>R9*(1+'1'!$AC$4)</f>
        <v>112550.86402560002</v>
      </c>
      <c r="T9" s="26">
        <f t="shared" si="9"/>
        <v>1081920</v>
      </c>
      <c r="U9" s="26">
        <f t="shared" si="10"/>
        <v>1169642.0736000002</v>
      </c>
      <c r="V9" s="26">
        <f t="shared" si="11"/>
        <v>1277015.2159564802</v>
      </c>
      <c r="W9" s="26">
        <f t="shared" si="12"/>
        <v>1394245.2127812852</v>
      </c>
      <c r="X9" s="26"/>
    </row>
    <row r="10" spans="1:29" x14ac:dyDescent="0.25">
      <c r="A10" s="21">
        <f t="shared" si="13"/>
        <v>8</v>
      </c>
      <c r="B10" s="13" t="s">
        <v>29</v>
      </c>
      <c r="C10" s="54">
        <v>12</v>
      </c>
      <c r="D10" s="14">
        <v>1000000</v>
      </c>
      <c r="E10" s="22">
        <f t="shared" si="4"/>
        <v>12000000</v>
      </c>
      <c r="F10" s="23">
        <f t="shared" si="5"/>
        <v>4.9484536082474224E-2</v>
      </c>
      <c r="G10" s="49">
        <v>0</v>
      </c>
      <c r="H10" s="49">
        <v>0</v>
      </c>
      <c r="I10" s="49">
        <v>0</v>
      </c>
      <c r="J10" s="49">
        <v>0</v>
      </c>
      <c r="K10" s="24"/>
      <c r="L10" s="8">
        <f t="shared" si="1"/>
        <v>12</v>
      </c>
      <c r="M10" s="8">
        <f t="shared" si="6"/>
        <v>12</v>
      </c>
      <c r="N10" s="8">
        <f t="shared" si="7"/>
        <v>12</v>
      </c>
      <c r="O10" s="8">
        <f t="shared" si="8"/>
        <v>12</v>
      </c>
      <c r="P10" s="25">
        <f>D10*(1+'1'!$Z$4)</f>
        <v>1030400</v>
      </c>
      <c r="Q10" s="25">
        <f>P10*(1+'1'!$AA$4)</f>
        <v>1060899.8400000001</v>
      </c>
      <c r="R10" s="25">
        <f>Q10*(1+'1'!$AB$4)</f>
        <v>1092726.8352000001</v>
      </c>
      <c r="S10" s="25">
        <f>R10*(1+'1'!$AC$4)</f>
        <v>1125508.6402560002</v>
      </c>
      <c r="T10" s="26">
        <f t="shared" si="9"/>
        <v>12364800</v>
      </c>
      <c r="U10" s="26">
        <f t="shared" si="10"/>
        <v>12730798.080000002</v>
      </c>
      <c r="V10" s="26">
        <f t="shared" si="11"/>
        <v>13112722.022400001</v>
      </c>
      <c r="W10" s="26">
        <f t="shared" si="12"/>
        <v>13506103.683072003</v>
      </c>
      <c r="X10" s="26"/>
    </row>
    <row r="11" spans="1:29" x14ac:dyDescent="0.25">
      <c r="A11" s="21">
        <f t="shared" si="13"/>
        <v>9</v>
      </c>
      <c r="B11" s="13" t="s">
        <v>30</v>
      </c>
      <c r="C11" s="54">
        <v>24</v>
      </c>
      <c r="D11" s="14">
        <v>2500000</v>
      </c>
      <c r="E11" s="22">
        <f t="shared" si="4"/>
        <v>60000000</v>
      </c>
      <c r="F11" s="23">
        <f t="shared" si="5"/>
        <v>0.24742268041237114</v>
      </c>
      <c r="G11" s="49">
        <v>0</v>
      </c>
      <c r="H11" s="49">
        <v>0</v>
      </c>
      <c r="I11" s="49">
        <v>0</v>
      </c>
      <c r="J11" s="49">
        <v>0</v>
      </c>
      <c r="K11" s="24"/>
      <c r="L11" s="8">
        <f t="shared" si="1"/>
        <v>24</v>
      </c>
      <c r="M11" s="8">
        <f t="shared" si="6"/>
        <v>24</v>
      </c>
      <c r="N11" s="8">
        <f t="shared" si="7"/>
        <v>24</v>
      </c>
      <c r="O11" s="8">
        <f t="shared" si="8"/>
        <v>24</v>
      </c>
      <c r="P11" s="25">
        <f>D11*(1+'1'!$Z$4)</f>
        <v>2576000</v>
      </c>
      <c r="Q11" s="25">
        <f>P11*(1+'1'!$AA$4)</f>
        <v>2652249.6</v>
      </c>
      <c r="R11" s="25">
        <f>Q11*(1+'1'!$AB$4)</f>
        <v>2731817.088</v>
      </c>
      <c r="S11" s="25">
        <f>R11*(1+'1'!$AC$4)</f>
        <v>2813771.6006399998</v>
      </c>
      <c r="T11" s="26">
        <f t="shared" si="9"/>
        <v>61824000</v>
      </c>
      <c r="U11" s="26">
        <f t="shared" si="10"/>
        <v>63653990.400000006</v>
      </c>
      <c r="V11" s="26">
        <f t="shared" si="11"/>
        <v>65563610.112000003</v>
      </c>
      <c r="W11" s="26">
        <f t="shared" si="12"/>
        <v>67530518.415360004</v>
      </c>
      <c r="X11" s="26"/>
    </row>
    <row r="12" spans="1:29" x14ac:dyDescent="0.25">
      <c r="A12" s="21">
        <f t="shared" si="13"/>
        <v>10</v>
      </c>
      <c r="B12" s="13"/>
      <c r="C12" s="54">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31</v>
      </c>
      <c r="E13" s="33">
        <f>SUM(E3:E12)</f>
        <v>242500000</v>
      </c>
      <c r="F13" s="34">
        <f>SUM(F3:F12)</f>
        <v>1</v>
      </c>
      <c r="T13" s="35">
        <f>SUM(T3:T12)</f>
        <v>256737040</v>
      </c>
      <c r="U13" s="35">
        <f>SUM(U3:U12)</f>
        <v>272455721.77824003</v>
      </c>
      <c r="V13" s="35">
        <f>SUM(V3:V12)</f>
        <v>290730673.66658515</v>
      </c>
      <c r="W13" s="35">
        <f>SUM(W3:W12)</f>
        <v>310795682.5898025</v>
      </c>
      <c r="X13" s="26"/>
    </row>
    <row r="15" spans="1:29" ht="23.25" customHeight="1" x14ac:dyDescent="0.25">
      <c r="A15" s="154" t="s">
        <v>32</v>
      </c>
      <c r="B15" s="154"/>
      <c r="C15" s="154"/>
      <c r="D15" s="154"/>
      <c r="E15" s="154"/>
      <c r="G15" s="36"/>
    </row>
    <row r="16" spans="1:29" ht="25.5" customHeight="1" x14ac:dyDescent="0.25">
      <c r="B16" s="17" t="s">
        <v>33</v>
      </c>
      <c r="C16" s="37" t="s">
        <v>6</v>
      </c>
      <c r="D16" s="111" t="s">
        <v>34</v>
      </c>
      <c r="E16" s="18" t="s">
        <v>35</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3" t="str">
        <f>B3</f>
        <v>Hora de Servicios por Asesoria Financiera</v>
      </c>
      <c r="C17" s="39">
        <f>C3</f>
        <v>200</v>
      </c>
      <c r="D17" s="14">
        <v>100000</v>
      </c>
      <c r="E17" s="22">
        <f>C17*D17</f>
        <v>20000000</v>
      </c>
      <c r="F17" s="23">
        <f>IF($E$27=0,0,E17/$E$27)</f>
        <v>0.16233766233766234</v>
      </c>
      <c r="L17" s="8">
        <f t="shared" ref="L17:L26" si="15">C17*(1+G3)</f>
        <v>204.99999999999997</v>
      </c>
      <c r="M17" s="8">
        <f>L17*(1+H3)</f>
        <v>211.14999999999998</v>
      </c>
      <c r="N17" s="8">
        <f t="shared" ref="N17:O17" si="16">M17*(1+I3)</f>
        <v>218.54024999999996</v>
      </c>
      <c r="O17" s="8">
        <f t="shared" si="16"/>
        <v>226.18915874999993</v>
      </c>
      <c r="P17" s="40">
        <f>D17*(1+'1'!$Z$5)</f>
        <v>100000</v>
      </c>
      <c r="Q17" s="25">
        <f>P17*(1+'1'!$AA$5)</f>
        <v>100000</v>
      </c>
      <c r="R17" s="25">
        <f>Q17*(1+'1'!$AB$5)</f>
        <v>100000</v>
      </c>
      <c r="S17" s="25">
        <f>R17*(1+'1'!$AC$5)</f>
        <v>100000</v>
      </c>
      <c r="T17" s="40">
        <f t="shared" ref="T17:U19" si="17">L17*P17</f>
        <v>20499999.999999996</v>
      </c>
      <c r="U17" s="26">
        <f t="shared" si="17"/>
        <v>21114999.999999996</v>
      </c>
      <c r="V17" s="26">
        <f t="shared" ref="V17:W17" si="18">N17*R17</f>
        <v>21854024.999999996</v>
      </c>
      <c r="W17" s="26">
        <f t="shared" si="18"/>
        <v>22618915.874999993</v>
      </c>
      <c r="X17" s="26"/>
    </row>
    <row r="18" spans="1:24" x14ac:dyDescent="0.25">
      <c r="A18" s="21">
        <f t="shared" ref="A18:B25" si="19">A4</f>
        <v>2</v>
      </c>
      <c r="B18" s="41" t="str">
        <f t="shared" si="19"/>
        <v>Hora de Servicios por Asesoria Legal</v>
      </c>
      <c r="C18" s="39">
        <f t="shared" ref="C18:C26" si="20">C4</f>
        <v>200</v>
      </c>
      <c r="D18" s="14">
        <v>100000</v>
      </c>
      <c r="E18" s="22">
        <f t="shared" ref="E18:E26" si="21">C18*D18</f>
        <v>20000000</v>
      </c>
      <c r="F18" s="23">
        <f t="shared" ref="F18:F26" si="22">IF($E$27=0,0,E18/$E$27)</f>
        <v>0.16233766233766234</v>
      </c>
      <c r="L18" s="8">
        <f t="shared" si="15"/>
        <v>206</v>
      </c>
      <c r="M18" s="8">
        <f t="shared" ref="M18:M26" si="23">L18*(1+H4)</f>
        <v>212.18</v>
      </c>
      <c r="N18" s="8">
        <f t="shared" ref="N18:N26" si="24">M18*(1+I4)</f>
        <v>219.60629999999998</v>
      </c>
      <c r="O18" s="8">
        <f t="shared" ref="O18:O26" si="25">N18*(1+J4)</f>
        <v>227.29252049999997</v>
      </c>
      <c r="P18" s="40">
        <f>D18*(1+'1'!$Z$5)</f>
        <v>100000</v>
      </c>
      <c r="Q18" s="25">
        <f>P18*(1+'1'!$AA$5)</f>
        <v>100000</v>
      </c>
      <c r="R18" s="25">
        <f>Q18*(1+'1'!$AB$5)</f>
        <v>100000</v>
      </c>
      <c r="S18" s="25">
        <f>R18*(1+'1'!$AC$5)</f>
        <v>100000</v>
      </c>
      <c r="T18" s="40">
        <f t="shared" si="17"/>
        <v>20600000</v>
      </c>
      <c r="U18" s="26">
        <f t="shared" si="17"/>
        <v>21218000</v>
      </c>
      <c r="V18" s="26">
        <f t="shared" ref="V18:V26" si="26">N18*R18</f>
        <v>21960629.999999996</v>
      </c>
      <c r="W18" s="26">
        <f t="shared" ref="W18:W26" si="27">O18*S18</f>
        <v>22729252.049999997</v>
      </c>
      <c r="X18" s="26"/>
    </row>
    <row r="19" spans="1:24" x14ac:dyDescent="0.25">
      <c r="A19" s="21">
        <f t="shared" si="19"/>
        <v>3</v>
      </c>
      <c r="B19" s="41" t="str">
        <f t="shared" si="19"/>
        <v>Hora de Servicios por Asesoria Laboral</v>
      </c>
      <c r="C19" s="39">
        <f t="shared" si="20"/>
        <v>200</v>
      </c>
      <c r="D19" s="14">
        <v>100000</v>
      </c>
      <c r="E19" s="22">
        <f t="shared" si="21"/>
        <v>20000000</v>
      </c>
      <c r="F19" s="23">
        <f t="shared" si="22"/>
        <v>0.16233766233766234</v>
      </c>
      <c r="L19" s="8">
        <f t="shared" si="15"/>
        <v>211</v>
      </c>
      <c r="M19" s="8">
        <f t="shared" si="23"/>
        <v>223.66000000000003</v>
      </c>
      <c r="N19" s="8">
        <f t="shared" si="24"/>
        <v>239.31620000000004</v>
      </c>
      <c r="O19" s="8">
        <f t="shared" si="25"/>
        <v>256.06833400000005</v>
      </c>
      <c r="P19" s="40">
        <f>D19*(1+'1'!$Z$5)</f>
        <v>100000</v>
      </c>
      <c r="Q19" s="25">
        <f>P19*(1+'1'!$AA$5)</f>
        <v>100000</v>
      </c>
      <c r="R19" s="25">
        <f>Q19*(1+'1'!$AB$5)</f>
        <v>100000</v>
      </c>
      <c r="S19" s="25">
        <f>R19*(1+'1'!$AC$5)</f>
        <v>100000</v>
      </c>
      <c r="T19" s="40">
        <f t="shared" si="17"/>
        <v>21100000</v>
      </c>
      <c r="U19" s="26">
        <f t="shared" si="17"/>
        <v>22366000.000000004</v>
      </c>
      <c r="V19" s="26">
        <f t="shared" si="26"/>
        <v>23931620.000000004</v>
      </c>
      <c r="W19" s="26">
        <f t="shared" si="27"/>
        <v>25606833.400000006</v>
      </c>
      <c r="X19" s="26"/>
    </row>
    <row r="20" spans="1:24" x14ac:dyDescent="0.25">
      <c r="A20" s="21">
        <f t="shared" si="19"/>
        <v>4</v>
      </c>
      <c r="B20" s="41" t="str">
        <f t="shared" si="19"/>
        <v>Hora de Servicios por Asesoria de Proyectos</v>
      </c>
      <c r="C20" s="39">
        <f t="shared" si="20"/>
        <v>50</v>
      </c>
      <c r="D20" s="14">
        <v>100000</v>
      </c>
      <c r="E20" s="22">
        <f t="shared" si="21"/>
        <v>5000000</v>
      </c>
      <c r="F20" s="23">
        <f t="shared" si="22"/>
        <v>4.0584415584415584E-2</v>
      </c>
      <c r="L20" s="8">
        <f t="shared" si="15"/>
        <v>50.749999999999993</v>
      </c>
      <c r="M20" s="8">
        <f t="shared" si="23"/>
        <v>51.51124999999999</v>
      </c>
      <c r="N20" s="8">
        <f t="shared" si="24"/>
        <v>52.541474999999991</v>
      </c>
      <c r="O20" s="8">
        <f t="shared" si="25"/>
        <v>53.59230449999999</v>
      </c>
      <c r="P20" s="40">
        <f>D20*(1+'1'!$Z$5)</f>
        <v>100000</v>
      </c>
      <c r="Q20" s="25">
        <f>P20*(1+'1'!$AA$5)</f>
        <v>100000</v>
      </c>
      <c r="R20" s="25">
        <f>Q20*(1+'1'!$AB$5)</f>
        <v>100000</v>
      </c>
      <c r="S20" s="25">
        <f>R20*(1+'1'!$AC$5)</f>
        <v>100000</v>
      </c>
      <c r="T20" s="40">
        <f t="shared" ref="T20:T26" si="28">L20*P20</f>
        <v>5074999.9999999991</v>
      </c>
      <c r="U20" s="26">
        <f t="shared" ref="U20:U26" si="29">M20*Q20</f>
        <v>5151124.9999999991</v>
      </c>
      <c r="V20" s="26">
        <f t="shared" si="26"/>
        <v>5254147.4999999991</v>
      </c>
      <c r="W20" s="26">
        <f t="shared" si="27"/>
        <v>5359230.4499999993</v>
      </c>
      <c r="X20" s="26"/>
    </row>
    <row r="21" spans="1:24" x14ac:dyDescent="0.25">
      <c r="A21" s="21">
        <f t="shared" si="19"/>
        <v>5</v>
      </c>
      <c r="B21" s="41" t="str">
        <f t="shared" si="19"/>
        <v>Hora de Servicios por Asesoria Tributaria</v>
      </c>
      <c r="C21" s="39">
        <f t="shared" si="20"/>
        <v>150</v>
      </c>
      <c r="D21" s="14">
        <v>100000</v>
      </c>
      <c r="E21" s="22">
        <f t="shared" si="21"/>
        <v>15000000</v>
      </c>
      <c r="F21" s="23">
        <f t="shared" si="22"/>
        <v>0.12175324675324675</v>
      </c>
      <c r="L21" s="8">
        <f t="shared" si="15"/>
        <v>157.5</v>
      </c>
      <c r="M21" s="8">
        <f t="shared" si="23"/>
        <v>166.16249999999999</v>
      </c>
      <c r="N21" s="8">
        <f t="shared" si="24"/>
        <v>176.13225</v>
      </c>
      <c r="O21" s="8">
        <f t="shared" si="25"/>
        <v>187.58084624999998</v>
      </c>
      <c r="P21" s="40">
        <f>D21*(1+'1'!$Z$5)</f>
        <v>100000</v>
      </c>
      <c r="Q21" s="25">
        <f>P21*(1+'1'!$AA$5)</f>
        <v>100000</v>
      </c>
      <c r="R21" s="25">
        <f>Q21*(1+'1'!$AB$5)</f>
        <v>100000</v>
      </c>
      <c r="S21" s="25">
        <f>R21*(1+'1'!$AC$5)</f>
        <v>100000</v>
      </c>
      <c r="T21" s="40">
        <f t="shared" si="28"/>
        <v>15750000</v>
      </c>
      <c r="U21" s="26">
        <f t="shared" si="29"/>
        <v>16616250</v>
      </c>
      <c r="V21" s="26">
        <f t="shared" si="26"/>
        <v>17613225</v>
      </c>
      <c r="W21" s="26">
        <f t="shared" si="27"/>
        <v>18758084.624999996</v>
      </c>
      <c r="X21" s="26"/>
    </row>
    <row r="22" spans="1:24" x14ac:dyDescent="0.25">
      <c r="A22" s="21">
        <f t="shared" si="19"/>
        <v>6</v>
      </c>
      <c r="B22" s="41" t="str">
        <f t="shared" si="19"/>
        <v>Capacitaciones</v>
      </c>
      <c r="C22" s="39">
        <f t="shared" si="20"/>
        <v>80</v>
      </c>
      <c r="D22" s="14">
        <v>80000</v>
      </c>
      <c r="E22" s="22">
        <f t="shared" si="21"/>
        <v>6400000</v>
      </c>
      <c r="F22" s="23">
        <f t="shared" si="22"/>
        <v>5.1948051948051951E-2</v>
      </c>
      <c r="L22" s="8">
        <f t="shared" si="15"/>
        <v>84</v>
      </c>
      <c r="M22" s="8">
        <f t="shared" si="23"/>
        <v>89.04</v>
      </c>
      <c r="N22" s="8">
        <f t="shared" si="24"/>
        <v>95.272800000000018</v>
      </c>
      <c r="O22" s="8">
        <f t="shared" si="25"/>
        <v>102.89462400000002</v>
      </c>
      <c r="P22" s="40">
        <f>D22*(1+'1'!$Z$5)</f>
        <v>80000</v>
      </c>
      <c r="Q22" s="25">
        <f>P22*(1+'1'!$AA$5)</f>
        <v>80000</v>
      </c>
      <c r="R22" s="25">
        <f>Q22*(1+'1'!$AB$5)</f>
        <v>80000</v>
      </c>
      <c r="S22" s="25">
        <f>R22*(1+'1'!$AC$5)</f>
        <v>80000</v>
      </c>
      <c r="T22" s="40">
        <f t="shared" si="28"/>
        <v>6720000</v>
      </c>
      <c r="U22" s="26">
        <f t="shared" si="29"/>
        <v>7123200.0000000009</v>
      </c>
      <c r="V22" s="26">
        <f t="shared" si="26"/>
        <v>7621824.0000000019</v>
      </c>
      <c r="W22" s="26">
        <f t="shared" si="27"/>
        <v>8231569.9200000018</v>
      </c>
      <c r="X22" s="26"/>
    </row>
    <row r="23" spans="1:24" x14ac:dyDescent="0.25">
      <c r="A23" s="21">
        <f t="shared" si="19"/>
        <v>7</v>
      </c>
      <c r="B23" s="41" t="str">
        <f t="shared" si="19"/>
        <v>Otros servicios especializados</v>
      </c>
      <c r="C23" s="39">
        <f t="shared" si="20"/>
        <v>10</v>
      </c>
      <c r="D23" s="14">
        <v>80000</v>
      </c>
      <c r="E23" s="22">
        <f t="shared" si="21"/>
        <v>800000</v>
      </c>
      <c r="F23" s="23">
        <f t="shared" si="22"/>
        <v>6.4935064935064939E-3</v>
      </c>
      <c r="L23" s="8">
        <f t="shared" si="15"/>
        <v>10.5</v>
      </c>
      <c r="M23" s="8">
        <f t="shared" si="23"/>
        <v>11.025</v>
      </c>
      <c r="N23" s="8">
        <f t="shared" si="24"/>
        <v>11.686500000000001</v>
      </c>
      <c r="O23" s="8">
        <f t="shared" si="25"/>
        <v>12.387690000000001</v>
      </c>
      <c r="P23" s="40">
        <f>D23*(1+'1'!$Z$5)</f>
        <v>80000</v>
      </c>
      <c r="Q23" s="25">
        <f>P23*(1+'1'!$AA$5)</f>
        <v>80000</v>
      </c>
      <c r="R23" s="25">
        <f>Q23*(1+'1'!$AB$5)</f>
        <v>80000</v>
      </c>
      <c r="S23" s="25">
        <f>R23*(1+'1'!$AC$5)</f>
        <v>80000</v>
      </c>
      <c r="T23" s="40">
        <f t="shared" si="28"/>
        <v>840000</v>
      </c>
      <c r="U23" s="26">
        <f t="shared" si="29"/>
        <v>882000</v>
      </c>
      <c r="V23" s="26">
        <f t="shared" si="26"/>
        <v>934920</v>
      </c>
      <c r="W23" s="26">
        <f t="shared" si="27"/>
        <v>991015.20000000007</v>
      </c>
      <c r="X23" s="26"/>
    </row>
    <row r="24" spans="1:24" x14ac:dyDescent="0.25">
      <c r="A24" s="21">
        <f t="shared" si="19"/>
        <v>8</v>
      </c>
      <c r="B24" s="41" t="str">
        <f t="shared" si="19"/>
        <v>Bolsa de servicios</v>
      </c>
      <c r="C24" s="39">
        <f t="shared" si="20"/>
        <v>12</v>
      </c>
      <c r="D24" s="14">
        <v>500000</v>
      </c>
      <c r="E24" s="22">
        <f t="shared" si="21"/>
        <v>6000000</v>
      </c>
      <c r="F24" s="23">
        <f t="shared" si="22"/>
        <v>4.8701298701298704E-2</v>
      </c>
      <c r="L24" s="8">
        <f t="shared" si="15"/>
        <v>12</v>
      </c>
      <c r="M24" s="8">
        <f t="shared" si="23"/>
        <v>12</v>
      </c>
      <c r="N24" s="8">
        <f t="shared" si="24"/>
        <v>12</v>
      </c>
      <c r="O24" s="8">
        <f t="shared" si="25"/>
        <v>12</v>
      </c>
      <c r="P24" s="40">
        <f>D24*(1+'1'!$Z$5)</f>
        <v>500000</v>
      </c>
      <c r="Q24" s="25">
        <f>P24*(1+'1'!$AA$5)</f>
        <v>500000</v>
      </c>
      <c r="R24" s="25">
        <f>Q24*(1+'1'!$AB$5)</f>
        <v>500000</v>
      </c>
      <c r="S24" s="25">
        <f>R24*(1+'1'!$AC$5)</f>
        <v>500000</v>
      </c>
      <c r="T24" s="40">
        <f t="shared" si="28"/>
        <v>6000000</v>
      </c>
      <c r="U24" s="26">
        <f t="shared" si="29"/>
        <v>6000000</v>
      </c>
      <c r="V24" s="26">
        <f t="shared" si="26"/>
        <v>6000000</v>
      </c>
      <c r="W24" s="26">
        <f t="shared" si="27"/>
        <v>6000000</v>
      </c>
      <c r="X24" s="26"/>
    </row>
    <row r="25" spans="1:24" x14ac:dyDescent="0.25">
      <c r="A25" s="21">
        <f t="shared" si="19"/>
        <v>9</v>
      </c>
      <c r="B25" s="41" t="str">
        <f t="shared" si="19"/>
        <v>Paquete completo</v>
      </c>
      <c r="C25" s="39">
        <f t="shared" si="20"/>
        <v>24</v>
      </c>
      <c r="D25" s="14">
        <v>1250000</v>
      </c>
      <c r="E25" s="22">
        <f t="shared" si="21"/>
        <v>30000000</v>
      </c>
      <c r="F25" s="23">
        <f t="shared" si="22"/>
        <v>0.2435064935064935</v>
      </c>
      <c r="L25" s="8">
        <f t="shared" si="15"/>
        <v>24</v>
      </c>
      <c r="M25" s="8">
        <f t="shared" si="23"/>
        <v>24</v>
      </c>
      <c r="N25" s="8">
        <f t="shared" si="24"/>
        <v>24</v>
      </c>
      <c r="O25" s="8">
        <f t="shared" si="25"/>
        <v>24</v>
      </c>
      <c r="P25" s="40">
        <f>D25*(1+'1'!$Z$5)</f>
        <v>1250000</v>
      </c>
      <c r="Q25" s="25">
        <f>P25*(1+'1'!$AA$5)</f>
        <v>1250000</v>
      </c>
      <c r="R25" s="25">
        <f>Q25*(1+'1'!$AB$5)</f>
        <v>1250000</v>
      </c>
      <c r="S25" s="25">
        <f>R25*(1+'1'!$AC$5)</f>
        <v>1250000</v>
      </c>
      <c r="T25" s="40">
        <f t="shared" si="28"/>
        <v>30000000</v>
      </c>
      <c r="U25" s="26">
        <f t="shared" si="29"/>
        <v>30000000</v>
      </c>
      <c r="V25" s="26">
        <f t="shared" si="26"/>
        <v>30000000</v>
      </c>
      <c r="W25" s="26">
        <f t="shared" si="27"/>
        <v>30000000</v>
      </c>
      <c r="X25" s="26"/>
    </row>
    <row r="26" spans="1:24" x14ac:dyDescent="0.25">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D27" s="8" t="str">
        <f>D13</f>
        <v>TOTAL</v>
      </c>
      <c r="E27" s="33">
        <f>SUM(E17:E26)</f>
        <v>123200000</v>
      </c>
      <c r="F27" s="34">
        <f>SUM(F17:F26)</f>
        <v>1</v>
      </c>
      <c r="T27" s="35">
        <f>SUM(T17:T26)</f>
        <v>126585000</v>
      </c>
      <c r="U27" s="35">
        <f>SUM(U17:U26)</f>
        <v>130471575</v>
      </c>
      <c r="V27" s="35">
        <f t="shared" ref="V27:W27" si="31">SUM(V17:V26)</f>
        <v>135170391.5</v>
      </c>
      <c r="W27" s="35">
        <f t="shared" si="31"/>
        <v>140294901.51999998</v>
      </c>
      <c r="X27" s="26"/>
    </row>
    <row r="30" spans="1:24" x14ac:dyDescent="0.25">
      <c r="A30" s="153" t="s">
        <v>36</v>
      </c>
      <c r="B30" s="153"/>
      <c r="C30" s="153"/>
      <c r="D30" s="153"/>
      <c r="E30" s="153"/>
      <c r="F30" s="153"/>
    </row>
    <row r="31" spans="1:24" ht="26.25" x14ac:dyDescent="0.4">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x14ac:dyDescent="0.25">
      <c r="A32" s="45" t="s">
        <v>37</v>
      </c>
      <c r="B32" s="46">
        <f>'1'!E13</f>
        <v>242500000</v>
      </c>
      <c r="C32" s="47">
        <f>'1'!T13</f>
        <v>256737040</v>
      </c>
      <c r="D32" s="47">
        <f>'1'!U13</f>
        <v>272455721.77824003</v>
      </c>
      <c r="E32" s="47">
        <f>'1'!V13</f>
        <v>290730673.66658515</v>
      </c>
      <c r="F32" s="47">
        <f>'1'!W13</f>
        <v>310795682.5898025</v>
      </c>
    </row>
    <row r="33" spans="1:6" x14ac:dyDescent="0.25">
      <c r="A33" s="45" t="s">
        <v>38</v>
      </c>
      <c r="B33" s="46">
        <f>'1'!E27</f>
        <v>123200000</v>
      </c>
      <c r="C33" s="46">
        <f>'1'!T27</f>
        <v>126585000</v>
      </c>
      <c r="D33" s="46">
        <f>'1'!U27</f>
        <v>130471575</v>
      </c>
      <c r="E33" s="46">
        <f>'1'!V27</f>
        <v>135170391.5</v>
      </c>
      <c r="F33" s="46">
        <f>'1'!W27</f>
        <v>140294901.51999998</v>
      </c>
    </row>
    <row r="34" spans="1:6" ht="21" thickBot="1" x14ac:dyDescent="0.35">
      <c r="A34" s="48" t="s">
        <v>39</v>
      </c>
      <c r="B34" s="114">
        <f>B32-B33</f>
        <v>119300000</v>
      </c>
      <c r="C34" s="114">
        <f t="shared" ref="C34:D34" si="32">C32-C33</f>
        <v>130152040</v>
      </c>
      <c r="D34" s="114">
        <f t="shared" si="32"/>
        <v>141984146.77824003</v>
      </c>
      <c r="E34" s="114">
        <f t="shared" ref="E34" si="33">E32-E33</f>
        <v>155560282.16658515</v>
      </c>
      <c r="F34" s="114">
        <f t="shared" ref="F34" si="34">F32-F33</f>
        <v>170500781.06980252</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22" activePane="bottomLeft" state="frozenSplit"/>
      <selection activeCell="B40" sqref="B40"/>
      <selection pane="bottomLeft" activeCell="C12" sqref="C12"/>
    </sheetView>
  </sheetViews>
  <sheetFormatPr baseColWidth="10"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x14ac:dyDescent="0.25">
      <c r="B1" s="156" t="s">
        <v>40</v>
      </c>
      <c r="C1" s="156"/>
      <c r="D1" s="156"/>
      <c r="E1" s="156"/>
      <c r="F1" s="156"/>
      <c r="G1" s="156"/>
      <c r="H1" s="156"/>
    </row>
    <row r="2" spans="2:8" ht="3.75" customHeight="1" x14ac:dyDescent="0.25">
      <c r="B2" s="156"/>
      <c r="C2" s="156"/>
      <c r="D2" s="156"/>
      <c r="E2" s="156"/>
      <c r="F2" s="156"/>
      <c r="G2" s="156"/>
      <c r="H2" s="156"/>
    </row>
    <row r="3" spans="2:8" x14ac:dyDescent="0.25">
      <c r="C3" s="21" t="s">
        <v>41</v>
      </c>
      <c r="F3" s="72" t="s">
        <v>42</v>
      </c>
      <c r="G3" s="72"/>
    </row>
    <row r="4" spans="2:8" x14ac:dyDescent="0.25">
      <c r="B4" s="48" t="s">
        <v>43</v>
      </c>
      <c r="C4" s="14">
        <v>0</v>
      </c>
      <c r="F4" s="72"/>
      <c r="G4" s="72"/>
    </row>
    <row r="5" spans="2:8" x14ac:dyDescent="0.25">
      <c r="B5" s="48" t="s">
        <v>44</v>
      </c>
      <c r="C5" s="14">
        <v>0</v>
      </c>
      <c r="F5" s="72">
        <v>10</v>
      </c>
      <c r="G5" s="73">
        <f t="shared" ref="G5:G11" si="0">C5/F5</f>
        <v>0</v>
      </c>
    </row>
    <row r="6" spans="2:8" x14ac:dyDescent="0.25">
      <c r="B6" s="48" t="s">
        <v>45</v>
      </c>
      <c r="C6" s="14">
        <v>0</v>
      </c>
      <c r="F6" s="72">
        <v>5</v>
      </c>
      <c r="G6" s="73">
        <f t="shared" si="0"/>
        <v>0</v>
      </c>
    </row>
    <row r="7" spans="2:8" x14ac:dyDescent="0.25">
      <c r="B7" s="48" t="s">
        <v>46</v>
      </c>
      <c r="C7" s="14">
        <v>0</v>
      </c>
      <c r="F7" s="72">
        <v>5</v>
      </c>
      <c r="G7" s="73">
        <f t="shared" si="0"/>
        <v>0</v>
      </c>
    </row>
    <row r="8" spans="2:8" x14ac:dyDescent="0.25">
      <c r="B8" s="48" t="s">
        <v>47</v>
      </c>
      <c r="C8" s="14">
        <v>0</v>
      </c>
      <c r="F8" s="72">
        <v>5</v>
      </c>
      <c r="G8" s="73">
        <f t="shared" si="0"/>
        <v>0</v>
      </c>
    </row>
    <row r="9" spans="2:8" x14ac:dyDescent="0.25">
      <c r="B9" s="48" t="s">
        <v>48</v>
      </c>
      <c r="C9" s="14">
        <v>0</v>
      </c>
      <c r="F9" s="72">
        <v>5</v>
      </c>
      <c r="G9" s="73">
        <f t="shared" si="0"/>
        <v>0</v>
      </c>
    </row>
    <row r="10" spans="2:8" x14ac:dyDescent="0.25">
      <c r="B10" s="48" t="s">
        <v>49</v>
      </c>
      <c r="C10" s="14">
        <v>0</v>
      </c>
      <c r="F10" s="72">
        <v>5</v>
      </c>
      <c r="G10" s="73">
        <f t="shared" si="0"/>
        <v>0</v>
      </c>
    </row>
    <row r="11" spans="2:8" x14ac:dyDescent="0.25">
      <c r="B11" s="48" t="s">
        <v>50</v>
      </c>
      <c r="C11" s="14">
        <v>6900000</v>
      </c>
      <c r="F11" s="72">
        <v>5</v>
      </c>
      <c r="G11" s="73">
        <f t="shared" si="0"/>
        <v>1380000</v>
      </c>
    </row>
    <row r="12" spans="2:8" ht="16.5" thickBot="1" x14ac:dyDescent="0.3">
      <c r="B12" s="74" t="s">
        <v>51</v>
      </c>
      <c r="C12" s="75">
        <f>SUM(C4:C11)</f>
        <v>6900000</v>
      </c>
      <c r="F12" s="72"/>
      <c r="G12" s="73">
        <f>SUM(G5:G11)</f>
        <v>1380000</v>
      </c>
    </row>
    <row r="13" spans="2:8" x14ac:dyDescent="0.25">
      <c r="B13" s="157" t="s">
        <v>52</v>
      </c>
      <c r="C13" s="158"/>
      <c r="D13" s="158"/>
      <c r="E13" s="158"/>
      <c r="F13" s="158"/>
      <c r="G13" s="158"/>
      <c r="H13" s="159"/>
    </row>
    <row r="14" spans="2:8" ht="15.75" thickBot="1" x14ac:dyDescent="0.3">
      <c r="B14" s="160"/>
      <c r="C14" s="161"/>
      <c r="D14" s="161"/>
      <c r="E14" s="161"/>
      <c r="F14" s="161"/>
      <c r="G14" s="161"/>
      <c r="H14" s="162"/>
    </row>
    <row r="15" spans="2:8" x14ac:dyDescent="0.25">
      <c r="B15" s="76"/>
      <c r="C15" s="76"/>
      <c r="D15" s="76"/>
      <c r="E15" s="76"/>
      <c r="F15" s="76"/>
      <c r="G15" s="76"/>
      <c r="H15" s="76"/>
    </row>
    <row r="16" spans="2:8" x14ac:dyDescent="0.25">
      <c r="B16" s="74" t="s">
        <v>53</v>
      </c>
      <c r="E16" s="74" t="s">
        <v>54</v>
      </c>
      <c r="F16" s="38"/>
    </row>
    <row r="17" spans="2:6" x14ac:dyDescent="0.25">
      <c r="C17" s="74" t="s">
        <v>55</v>
      </c>
      <c r="F17" s="74" t="str">
        <f>C17</f>
        <v>VALOR AÑO 1</v>
      </c>
    </row>
    <row r="18" spans="2:6" x14ac:dyDescent="0.25">
      <c r="B18" s="77" t="s">
        <v>56</v>
      </c>
      <c r="C18" s="14">
        <v>0</v>
      </c>
      <c r="E18" s="78" t="s">
        <v>57</v>
      </c>
      <c r="F18" s="14">
        <f>((350000*3)+(700000*9))/2</f>
        <v>3675000</v>
      </c>
    </row>
    <row r="19" spans="2:6" x14ac:dyDescent="0.25">
      <c r="C19" s="79"/>
      <c r="E19" s="78" t="s">
        <v>58</v>
      </c>
      <c r="F19" s="14">
        <f>50000*12</f>
        <v>600000</v>
      </c>
    </row>
    <row r="20" spans="2:6" x14ac:dyDescent="0.25">
      <c r="B20" s="77" t="s">
        <v>59</v>
      </c>
      <c r="C20" s="14">
        <v>0</v>
      </c>
      <c r="E20" s="78" t="s">
        <v>60</v>
      </c>
      <c r="F20" s="14">
        <f>180000*12</f>
        <v>2160000</v>
      </c>
    </row>
    <row r="21" spans="2:6" x14ac:dyDescent="0.25">
      <c r="C21" s="79"/>
      <c r="E21" s="78" t="s">
        <v>61</v>
      </c>
      <c r="F21" s="14">
        <v>1540000</v>
      </c>
    </row>
    <row r="22" spans="2:6" x14ac:dyDescent="0.25">
      <c r="B22" s="77" t="s">
        <v>62</v>
      </c>
      <c r="C22" s="14">
        <v>30000000</v>
      </c>
      <c r="E22" s="78" t="s">
        <v>63</v>
      </c>
      <c r="F22" s="14">
        <f>120000*12</f>
        <v>1440000</v>
      </c>
    </row>
    <row r="23" spans="2:6" ht="15.75" x14ac:dyDescent="0.25">
      <c r="B23" s="8" t="s">
        <v>64</v>
      </c>
      <c r="C23" s="75">
        <f>C18+C20+C22</f>
        <v>30000000</v>
      </c>
      <c r="E23" s="78" t="s">
        <v>65</v>
      </c>
      <c r="F23" s="14">
        <v>0</v>
      </c>
    </row>
    <row r="24" spans="2:6" x14ac:dyDescent="0.25">
      <c r="E24" s="78" t="s">
        <v>66</v>
      </c>
      <c r="F24" s="14">
        <f>(55000*48)*2</f>
        <v>5280000</v>
      </c>
    </row>
    <row r="25" spans="2:6" ht="24.75" x14ac:dyDescent="0.25">
      <c r="B25" s="78" t="s">
        <v>67</v>
      </c>
      <c r="C25" s="14">
        <v>500000</v>
      </c>
      <c r="E25" s="99" t="s">
        <v>68</v>
      </c>
      <c r="F25" s="14">
        <f>490000000*0.5%</f>
        <v>2450000</v>
      </c>
    </row>
    <row r="26" spans="2:6" x14ac:dyDescent="0.25">
      <c r="E26" s="99" t="s">
        <v>69</v>
      </c>
      <c r="F26" s="14">
        <f>350000*12</f>
        <v>4200000</v>
      </c>
    </row>
    <row r="27" spans="2:6" x14ac:dyDescent="0.25">
      <c r="B27" s="97" t="s">
        <v>70</v>
      </c>
      <c r="C27" s="97"/>
      <c r="E27" s="99" t="s">
        <v>71</v>
      </c>
      <c r="F27" s="14">
        <v>950000</v>
      </c>
    </row>
    <row r="28" spans="2:6" x14ac:dyDescent="0.25">
      <c r="B28" s="112">
        <f>'1'!G2</f>
        <v>2026</v>
      </c>
      <c r="C28" s="14">
        <f>+C25*1.3</f>
        <v>650000</v>
      </c>
      <c r="E28" s="99"/>
      <c r="F28" s="14">
        <v>0</v>
      </c>
    </row>
    <row r="29" spans="2:6" x14ac:dyDescent="0.25">
      <c r="B29" s="112">
        <f>'1'!H2</f>
        <v>2027</v>
      </c>
      <c r="C29" s="14">
        <f>+C28*1.3</f>
        <v>845000</v>
      </c>
      <c r="E29" s="99"/>
      <c r="F29" s="14">
        <v>0</v>
      </c>
    </row>
    <row r="30" spans="2:6" x14ac:dyDescent="0.25">
      <c r="B30" s="112">
        <f>'1'!I2</f>
        <v>2028</v>
      </c>
      <c r="C30" s="14">
        <f>+C29*1.3</f>
        <v>1098500</v>
      </c>
      <c r="E30" s="99"/>
      <c r="F30" s="14">
        <v>0</v>
      </c>
    </row>
    <row r="31" spans="2:6" ht="15.75" x14ac:dyDescent="0.25">
      <c r="B31" s="112">
        <f>'1'!J2</f>
        <v>2029</v>
      </c>
      <c r="C31" s="14">
        <f>+C30*1.3</f>
        <v>1428050</v>
      </c>
      <c r="E31" s="78" t="s">
        <v>72</v>
      </c>
      <c r="F31" s="75">
        <f>SUM(F18:F30)</f>
        <v>22295000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6" sqref="D16"/>
    </sheetView>
  </sheetViews>
  <sheetFormatPr baseColWidth="10" defaultColWidth="11.42578125" defaultRowHeight="15" x14ac:dyDescent="0.25"/>
  <cols>
    <col min="1" max="1" width="11.42578125" style="8"/>
    <col min="2" max="2" width="39" style="8" bestFit="1" customWidth="1"/>
    <col min="3" max="4" width="18.5703125" style="8" bestFit="1" customWidth="1"/>
    <col min="5" max="5" width="12.85546875" style="8" customWidth="1"/>
    <col min="6" max="6" width="15.5703125" style="8" bestFit="1" customWidth="1"/>
    <col min="7" max="7" width="14.42578125" style="8" bestFit="1" customWidth="1"/>
    <col min="8" max="8" width="15.7109375" style="8" bestFit="1" customWidth="1"/>
    <col min="9" max="9" width="17" style="8" bestFit="1" customWidth="1"/>
    <col min="10" max="10" width="15.7109375" style="8" customWidth="1"/>
    <col min="11" max="16384" width="11.42578125" style="8"/>
  </cols>
  <sheetData>
    <row r="2" spans="2:12" ht="29.25" customHeight="1" x14ac:dyDescent="0.25">
      <c r="B2" s="154" t="s">
        <v>73</v>
      </c>
      <c r="C2" s="154"/>
      <c r="D2" s="154"/>
      <c r="E2" s="154"/>
      <c r="F2" s="154"/>
      <c r="G2" s="154"/>
      <c r="H2" s="154"/>
      <c r="I2" s="154"/>
      <c r="J2" s="154"/>
    </row>
    <row r="3" spans="2:12" x14ac:dyDescent="0.25">
      <c r="F3" s="163" t="s">
        <v>74</v>
      </c>
      <c r="G3" s="163"/>
    </row>
    <row r="4" spans="2:12" ht="15.75" x14ac:dyDescent="0.25">
      <c r="B4" s="16" t="s">
        <v>51</v>
      </c>
      <c r="C4" s="75">
        <f>'2'!C12</f>
        <v>6900000</v>
      </c>
      <c r="F4" s="164">
        <v>0.1663</v>
      </c>
      <c r="G4" s="164"/>
      <c r="I4" s="8" t="s">
        <v>75</v>
      </c>
      <c r="J4" s="128">
        <v>1</v>
      </c>
      <c r="L4" s="72">
        <v>1</v>
      </c>
    </row>
    <row r="5" spans="2:12" x14ac:dyDescent="0.25">
      <c r="L5" s="72">
        <v>2</v>
      </c>
    </row>
    <row r="6" spans="2:12" ht="15.75" thickBot="1" x14ac:dyDescent="0.3">
      <c r="B6" s="16" t="s">
        <v>76</v>
      </c>
      <c r="F6" s="153" t="s">
        <v>77</v>
      </c>
      <c r="G6" s="153"/>
      <c r="H6" s="153"/>
      <c r="I6" s="153"/>
      <c r="J6" s="153"/>
      <c r="L6" s="72">
        <v>3</v>
      </c>
    </row>
    <row r="7" spans="2:12" x14ac:dyDescent="0.25">
      <c r="C7" s="80" t="s">
        <v>78</v>
      </c>
      <c r="D7" s="80" t="s">
        <v>79</v>
      </c>
      <c r="E7" s="117"/>
      <c r="F7" s="118" t="s">
        <v>80</v>
      </c>
      <c r="G7" s="118" t="s">
        <v>81</v>
      </c>
      <c r="H7" s="118" t="s">
        <v>82</v>
      </c>
      <c r="I7" s="118" t="s">
        <v>83</v>
      </c>
      <c r="J7" s="119" t="s">
        <v>84</v>
      </c>
      <c r="L7" s="72">
        <v>4</v>
      </c>
    </row>
    <row r="8" spans="2:12" x14ac:dyDescent="0.25">
      <c r="B8" s="48" t="s">
        <v>85</v>
      </c>
      <c r="C8" s="55">
        <v>3</v>
      </c>
      <c r="D8" s="25">
        <f>('1'!B33/12)*C8</f>
        <v>30800000</v>
      </c>
      <c r="E8" s="120" t="s">
        <v>86</v>
      </c>
      <c r="F8" s="121"/>
      <c r="G8" s="121"/>
      <c r="H8" s="121"/>
      <c r="I8" s="121"/>
      <c r="J8" s="122">
        <f>D16</f>
        <v>4898750</v>
      </c>
      <c r="L8" s="72">
        <v>5</v>
      </c>
    </row>
    <row r="9" spans="2:12" x14ac:dyDescent="0.25">
      <c r="B9" s="48" t="s">
        <v>87</v>
      </c>
      <c r="C9" s="55">
        <v>3</v>
      </c>
      <c r="D9" s="25">
        <f>('2'!C23/12)*C9</f>
        <v>7500000</v>
      </c>
      <c r="E9" s="120">
        <f>'1'!B31</f>
        <v>2025</v>
      </c>
      <c r="F9" s="124">
        <f t="shared" ref="F9:F13" si="0">IF(J8&gt;0,J8,0)</f>
        <v>4898750</v>
      </c>
      <c r="G9" s="124">
        <f>F9*$F$4</f>
        <v>814662.125</v>
      </c>
      <c r="H9" s="124">
        <f>IF(J8&lt;1,0,(I9-G9))</f>
        <v>4898750</v>
      </c>
      <c r="I9" s="124">
        <f>PMT(F4,J4,J8)*-1</f>
        <v>5713412.125</v>
      </c>
      <c r="J9" s="125">
        <f>F9-H9</f>
        <v>0</v>
      </c>
    </row>
    <row r="10" spans="2:12" x14ac:dyDescent="0.25">
      <c r="B10" s="48" t="s">
        <v>88</v>
      </c>
      <c r="C10" s="55">
        <v>3</v>
      </c>
      <c r="D10" s="25">
        <f>('2'!C25/12)*C10</f>
        <v>125000</v>
      </c>
      <c r="E10" s="120">
        <f>'1'!C31</f>
        <v>2026</v>
      </c>
      <c r="F10" s="124">
        <f t="shared" si="0"/>
        <v>0</v>
      </c>
      <c r="G10" s="124">
        <f t="shared" ref="G10:G13" si="1">F10*$F$4</f>
        <v>0</v>
      </c>
      <c r="H10" s="124">
        <f t="shared" ref="H10:H13" si="2">IF(J9&lt;1,0,(I10-G10))</f>
        <v>0</v>
      </c>
      <c r="I10" s="124">
        <f>IF(J9&lt;1,0,(I9*(1+$K$7)))</f>
        <v>0</v>
      </c>
      <c r="J10" s="125">
        <f t="shared" ref="J10:J13" si="3">F10-H10</f>
        <v>0</v>
      </c>
    </row>
    <row r="11" spans="2:12" x14ac:dyDescent="0.25">
      <c r="B11" s="48" t="s">
        <v>89</v>
      </c>
      <c r="C11" s="55">
        <v>3</v>
      </c>
      <c r="D11" s="25">
        <f>('2'!F31/12)*C11</f>
        <v>5573750</v>
      </c>
      <c r="E11" s="120">
        <f>'1'!D31</f>
        <v>2027</v>
      </c>
      <c r="F11" s="124">
        <f t="shared" si="0"/>
        <v>0</v>
      </c>
      <c r="G11" s="124">
        <f t="shared" si="1"/>
        <v>0</v>
      </c>
      <c r="H11" s="124">
        <f t="shared" si="2"/>
        <v>0</v>
      </c>
      <c r="I11" s="124">
        <f t="shared" ref="I11:I13" si="4">IF(J10&lt;1,0,(I10*(1+$K$7)))</f>
        <v>0</v>
      </c>
      <c r="J11" s="125">
        <f t="shared" si="3"/>
        <v>0</v>
      </c>
    </row>
    <row r="12" spans="2:12" ht="15.75" x14ac:dyDescent="0.25">
      <c r="B12" s="81" t="s">
        <v>31</v>
      </c>
      <c r="C12" s="59"/>
      <c r="D12" s="82">
        <f>SUM(D8:D11)</f>
        <v>43998750</v>
      </c>
      <c r="E12" s="120">
        <f>'1'!E31</f>
        <v>2028</v>
      </c>
      <c r="F12" s="124">
        <f t="shared" si="0"/>
        <v>0</v>
      </c>
      <c r="G12" s="124">
        <f t="shared" si="1"/>
        <v>0</v>
      </c>
      <c r="H12" s="124">
        <f t="shared" si="2"/>
        <v>0</v>
      </c>
      <c r="I12" s="124">
        <f t="shared" si="4"/>
        <v>0</v>
      </c>
      <c r="J12" s="125">
        <f t="shared" si="3"/>
        <v>0</v>
      </c>
    </row>
    <row r="13" spans="2:12" ht="15.75" thickBot="1" x14ac:dyDescent="0.3">
      <c r="E13" s="123">
        <f>'1'!F31</f>
        <v>2029</v>
      </c>
      <c r="F13" s="126">
        <f t="shared" si="0"/>
        <v>0</v>
      </c>
      <c r="G13" s="126">
        <f t="shared" si="1"/>
        <v>0</v>
      </c>
      <c r="H13" s="126">
        <f t="shared" si="2"/>
        <v>0</v>
      </c>
      <c r="I13" s="126">
        <f t="shared" si="4"/>
        <v>0</v>
      </c>
      <c r="J13" s="127">
        <f t="shared" si="3"/>
        <v>0</v>
      </c>
    </row>
    <row r="14" spans="2:12" ht="15.75" x14ac:dyDescent="0.25">
      <c r="B14" s="48" t="s">
        <v>90</v>
      </c>
      <c r="D14" s="75">
        <f>C4+D12</f>
        <v>50898750</v>
      </c>
    </row>
    <row r="15" spans="2:12" x14ac:dyDescent="0.25">
      <c r="B15" s="48" t="s">
        <v>91</v>
      </c>
      <c r="D15" s="56">
        <v>46000000</v>
      </c>
    </row>
    <row r="16" spans="2:12" ht="15.75" x14ac:dyDescent="0.25">
      <c r="B16" s="48" t="s">
        <v>92</v>
      </c>
      <c r="D16" s="83">
        <f>D14-D15</f>
        <v>4898750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C18" sqref="C18"/>
    </sheetView>
  </sheetViews>
  <sheetFormatPr baseColWidth="10" defaultColWidth="11.42578125" defaultRowHeight="15" x14ac:dyDescent="0.2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x14ac:dyDescent="0.25">
      <c r="A1" s="168" t="s">
        <v>93</v>
      </c>
      <c r="B1" s="168"/>
      <c r="C1" s="168"/>
      <c r="D1" s="168"/>
      <c r="E1" s="168"/>
      <c r="F1" s="168"/>
      <c r="G1" s="168"/>
    </row>
    <row r="2" spans="1:7" ht="23.25" x14ac:dyDescent="0.25">
      <c r="A2" s="169" t="s">
        <v>94</v>
      </c>
      <c r="B2" s="169"/>
      <c r="C2" s="169"/>
      <c r="D2" s="169"/>
      <c r="E2" s="169"/>
      <c r="F2" s="169"/>
      <c r="G2" s="169"/>
    </row>
    <row r="3" spans="1:7" ht="8.25" customHeight="1" x14ac:dyDescent="0.25">
      <c r="A3" s="57"/>
      <c r="B3" s="57"/>
      <c r="C3" s="57"/>
      <c r="D3" s="57"/>
      <c r="E3" s="57"/>
      <c r="F3" s="57"/>
      <c r="G3" s="57"/>
    </row>
    <row r="4" spans="1:7" ht="15.75" x14ac:dyDescent="0.25">
      <c r="A4" s="167" t="s">
        <v>95</v>
      </c>
      <c r="B4" s="167"/>
      <c r="C4" s="167"/>
      <c r="D4" s="167"/>
      <c r="E4" s="167"/>
      <c r="F4" s="167"/>
      <c r="G4" s="167"/>
    </row>
    <row r="5" spans="1:7" ht="23.25" x14ac:dyDescent="0.25">
      <c r="C5" s="61">
        <f>'1'!B31</f>
        <v>2025</v>
      </c>
      <c r="D5" s="61">
        <f>'1'!C31</f>
        <v>2026</v>
      </c>
      <c r="E5" s="61">
        <f>'1'!D31</f>
        <v>2027</v>
      </c>
      <c r="F5" s="61">
        <f>'1'!E31</f>
        <v>2028</v>
      </c>
      <c r="G5" s="61">
        <f>'1'!F31</f>
        <v>2029</v>
      </c>
    </row>
    <row r="6" spans="1:7" x14ac:dyDescent="0.25">
      <c r="B6" s="8" t="s">
        <v>96</v>
      </c>
      <c r="C6" s="62">
        <f>'1'!B32</f>
        <v>242500000</v>
      </c>
      <c r="D6" s="62">
        <f>'1'!C32</f>
        <v>256737040</v>
      </c>
      <c r="E6" s="62">
        <f>'1'!D32</f>
        <v>272455721.77824003</v>
      </c>
      <c r="F6" s="62">
        <f>'1'!E32</f>
        <v>290730673.66658515</v>
      </c>
      <c r="G6" s="62">
        <f>'1'!F32</f>
        <v>310795682.5898025</v>
      </c>
    </row>
    <row r="7" spans="1:7" x14ac:dyDescent="0.25">
      <c r="B7" s="8" t="s">
        <v>97</v>
      </c>
      <c r="C7" s="62">
        <f>'1'!B33</f>
        <v>123200000</v>
      </c>
      <c r="D7" s="62">
        <f>'1'!C33</f>
        <v>126585000</v>
      </c>
      <c r="E7" s="62">
        <f>'1'!D33</f>
        <v>130471575</v>
      </c>
      <c r="F7" s="62">
        <f>'1'!E33</f>
        <v>135170391.5</v>
      </c>
      <c r="G7" s="62">
        <f>'1'!F33</f>
        <v>140294901.51999998</v>
      </c>
    </row>
    <row r="8" spans="1:7" ht="15.75" thickBot="1" x14ac:dyDescent="0.3">
      <c r="B8" s="63" t="s">
        <v>98</v>
      </c>
      <c r="C8" s="64">
        <f>C6-C7</f>
        <v>119300000</v>
      </c>
      <c r="D8" s="64">
        <f t="shared" ref="D8:G8" si="0">D6-D7</f>
        <v>130152040</v>
      </c>
      <c r="E8" s="64">
        <f t="shared" si="0"/>
        <v>141984146.77824003</v>
      </c>
      <c r="F8" s="64">
        <f t="shared" si="0"/>
        <v>155560282.16658515</v>
      </c>
      <c r="G8" s="64">
        <f t="shared" si="0"/>
        <v>170500781.06980252</v>
      </c>
    </row>
    <row r="9" spans="1:7" ht="15.75" thickTop="1" x14ac:dyDescent="0.25">
      <c r="B9" s="8" t="s">
        <v>99</v>
      </c>
      <c r="C9" s="62">
        <f>'2'!C23</f>
        <v>30000000</v>
      </c>
      <c r="D9" s="62">
        <f>C9*(1+'1'!Z4)</f>
        <v>30912000</v>
      </c>
      <c r="E9" s="62">
        <f>D9*(1+'1'!AA4)</f>
        <v>31826995.200000003</v>
      </c>
      <c r="F9" s="62">
        <f>E9*(1+'1'!AB4)</f>
        <v>32781805.056000005</v>
      </c>
      <c r="G9" s="62">
        <f>F9*(1+'1'!AC4)</f>
        <v>33765259.207680009</v>
      </c>
    </row>
    <row r="10" spans="1:7" x14ac:dyDescent="0.25">
      <c r="B10" s="8" t="s">
        <v>100</v>
      </c>
      <c r="C10" s="62">
        <f>'2'!F31</f>
        <v>22295000</v>
      </c>
      <c r="D10" s="62">
        <f>C10*(1+'1'!Z4)</f>
        <v>22972768</v>
      </c>
      <c r="E10" s="62">
        <f>D10*(1+'1'!AA4)</f>
        <v>23652761.932800002</v>
      </c>
      <c r="F10" s="62">
        <f>E10*(1+'1'!AB4)</f>
        <v>24362344.790784001</v>
      </c>
      <c r="G10" s="62">
        <f>F10*(1+'1'!AC4)</f>
        <v>25093215.134507522</v>
      </c>
    </row>
    <row r="11" spans="1:7" x14ac:dyDescent="0.25">
      <c r="B11" s="8" t="s">
        <v>101</v>
      </c>
      <c r="C11" s="62">
        <f>'2'!C25</f>
        <v>500000</v>
      </c>
      <c r="D11" s="62">
        <f>'2'!C28</f>
        <v>650000</v>
      </c>
      <c r="E11" s="62">
        <f>'2'!C29</f>
        <v>845000</v>
      </c>
      <c r="F11" s="62">
        <f>'2'!C30</f>
        <v>1098500</v>
      </c>
      <c r="G11" s="62">
        <f>'2'!C31</f>
        <v>1428050</v>
      </c>
    </row>
    <row r="12" spans="1:7" x14ac:dyDescent="0.25">
      <c r="B12" s="8" t="s">
        <v>102</v>
      </c>
      <c r="C12" s="62">
        <f>'2'!G12</f>
        <v>1380000</v>
      </c>
      <c r="D12" s="62">
        <f>C12</f>
        <v>1380000</v>
      </c>
      <c r="E12" s="62">
        <f t="shared" ref="E12:G12" si="1">D12</f>
        <v>1380000</v>
      </c>
      <c r="F12" s="62">
        <f t="shared" si="1"/>
        <v>1380000</v>
      </c>
      <c r="G12" s="62">
        <f t="shared" si="1"/>
        <v>1380000</v>
      </c>
    </row>
    <row r="13" spans="1:7" ht="15.75" thickBot="1" x14ac:dyDescent="0.3">
      <c r="B13" s="63" t="s">
        <v>103</v>
      </c>
      <c r="C13" s="65">
        <f>C8-C9-C10-C11-C12</f>
        <v>65125000</v>
      </c>
      <c r="D13" s="65">
        <f t="shared" ref="D13:G13" si="2">D8-D9-D10-D11-D12</f>
        <v>74237272</v>
      </c>
      <c r="E13" s="65">
        <f t="shared" si="2"/>
        <v>84279389.645440012</v>
      </c>
      <c r="F13" s="65">
        <f t="shared" si="2"/>
        <v>95937632.319801137</v>
      </c>
      <c r="G13" s="65">
        <f t="shared" si="2"/>
        <v>108834256.72761498</v>
      </c>
    </row>
    <row r="14" spans="1:7" ht="15.75" thickTop="1" x14ac:dyDescent="0.25">
      <c r="B14" s="8" t="s">
        <v>104</v>
      </c>
      <c r="C14" s="62">
        <f>'3'!G9</f>
        <v>814662.125</v>
      </c>
      <c r="D14" s="62">
        <f>'3'!G10</f>
        <v>0</v>
      </c>
      <c r="E14" s="62">
        <f>'3'!G11</f>
        <v>0</v>
      </c>
      <c r="F14" s="62">
        <f>'3'!G12</f>
        <v>0</v>
      </c>
      <c r="G14" s="62">
        <f>'3'!G13</f>
        <v>0</v>
      </c>
    </row>
    <row r="15" spans="1:7" ht="15.75" thickBot="1" x14ac:dyDescent="0.3">
      <c r="B15" s="63" t="s">
        <v>105</v>
      </c>
      <c r="C15" s="65">
        <f>C13-C14</f>
        <v>64310337.875</v>
      </c>
      <c r="D15" s="65">
        <f t="shared" ref="D15:G15" si="3">D13-D14</f>
        <v>74237272</v>
      </c>
      <c r="E15" s="65">
        <f t="shared" si="3"/>
        <v>84279389.645440012</v>
      </c>
      <c r="F15" s="65">
        <f t="shared" si="3"/>
        <v>95937632.319801137</v>
      </c>
      <c r="G15" s="65">
        <f t="shared" si="3"/>
        <v>108834256.72761498</v>
      </c>
    </row>
    <row r="16" spans="1:7" ht="15.75" thickTop="1" x14ac:dyDescent="0.25">
      <c r="B16" s="8" t="s">
        <v>106</v>
      </c>
      <c r="C16" s="66">
        <f>IF(C15*'1'!$AB$7&lt;0,0,C15*'1'!$AB$7)</f>
        <v>22508618.256249998</v>
      </c>
      <c r="D16" s="66">
        <f>IF(D15*'1'!$AB$7&lt;0,0,D15*'1'!$AB$7)</f>
        <v>25983045.199999999</v>
      </c>
      <c r="E16" s="66">
        <f>IF(E15*'1'!$AB$7&lt;0,0,E15*'1'!$AB$7)</f>
        <v>29497786.375904001</v>
      </c>
      <c r="F16" s="66">
        <f>IF(F15*'1'!$AB$7&lt;0,0,F15*'1'!$AB$7)</f>
        <v>33578171.311930396</v>
      </c>
      <c r="G16" s="66">
        <f>IF(G15*'1'!$AB$7&lt;0,0,G15*'1'!$AB$7)</f>
        <v>38091989.854665242</v>
      </c>
    </row>
    <row r="17" spans="1:8" ht="15.75" thickBot="1" x14ac:dyDescent="0.3">
      <c r="B17" s="67" t="s">
        <v>107</v>
      </c>
      <c r="C17" s="68">
        <f>C15-C16</f>
        <v>41801719.618750006</v>
      </c>
      <c r="D17" s="68">
        <f t="shared" ref="D17:G17" si="4">D15-D16</f>
        <v>48254226.799999997</v>
      </c>
      <c r="E17" s="68">
        <f t="shared" si="4"/>
        <v>54781603.269536011</v>
      </c>
      <c r="F17" s="68">
        <f t="shared" si="4"/>
        <v>62359461.007870741</v>
      </c>
      <c r="G17" s="68">
        <f t="shared" si="4"/>
        <v>70742266.872949749</v>
      </c>
    </row>
    <row r="19" spans="1:8" ht="15.75" x14ac:dyDescent="0.25">
      <c r="A19" s="167" t="s">
        <v>108</v>
      </c>
      <c r="B19" s="167"/>
      <c r="C19" s="167"/>
      <c r="D19" s="167"/>
      <c r="E19" s="167"/>
      <c r="F19" s="167"/>
      <c r="G19" s="167"/>
    </row>
    <row r="20" spans="1:8" ht="23.25" x14ac:dyDescent="0.25">
      <c r="B20" s="69" t="s">
        <v>86</v>
      </c>
      <c r="C20" s="61">
        <f>C5</f>
        <v>2025</v>
      </c>
      <c r="D20" s="61">
        <f>D5</f>
        <v>2026</v>
      </c>
      <c r="E20" s="61">
        <f>E5</f>
        <v>2027</v>
      </c>
      <c r="F20" s="61">
        <f>F5</f>
        <v>2028</v>
      </c>
      <c r="G20" s="61">
        <f>G5</f>
        <v>2029</v>
      </c>
    </row>
    <row r="21" spans="1:8" x14ac:dyDescent="0.25">
      <c r="A21" s="166" t="s">
        <v>109</v>
      </c>
      <c r="B21" s="166"/>
      <c r="C21" s="166"/>
      <c r="D21" s="166"/>
      <c r="E21" s="166"/>
      <c r="F21" s="166"/>
      <c r="G21" s="166"/>
    </row>
    <row r="22" spans="1:8" x14ac:dyDescent="0.25">
      <c r="A22" s="8" t="s">
        <v>110</v>
      </c>
      <c r="B22" s="26">
        <f>B38-B26</f>
        <v>43998750</v>
      </c>
      <c r="C22" s="26">
        <f t="shared" ref="C22:G22" si="5">C38-C26</f>
        <v>104790337.875</v>
      </c>
      <c r="D22" s="26">
        <f t="shared" si="5"/>
        <v>116097272</v>
      </c>
      <c r="E22" s="26">
        <f t="shared" si="5"/>
        <v>127519389.64544001</v>
      </c>
      <c r="F22" s="26">
        <f t="shared" si="5"/>
        <v>140557632.31980112</v>
      </c>
      <c r="G22" s="26">
        <f t="shared" si="5"/>
        <v>154834256.727615</v>
      </c>
    </row>
    <row r="23" spans="1:8" x14ac:dyDescent="0.25">
      <c r="A23" s="8" t="s">
        <v>111</v>
      </c>
      <c r="B23" s="26">
        <f>'2'!C4</f>
        <v>0</v>
      </c>
      <c r="C23" s="26">
        <f>B23</f>
        <v>0</v>
      </c>
      <c r="D23" s="26">
        <f t="shared" ref="D23:G23" si="6">C23</f>
        <v>0</v>
      </c>
      <c r="E23" s="26">
        <f t="shared" si="6"/>
        <v>0</v>
      </c>
      <c r="F23" s="26">
        <f t="shared" si="6"/>
        <v>0</v>
      </c>
      <c r="G23" s="26">
        <f t="shared" si="6"/>
        <v>0</v>
      </c>
      <c r="H23" s="26"/>
    </row>
    <row r="24" spans="1:8" x14ac:dyDescent="0.25">
      <c r="A24" s="8" t="s">
        <v>112</v>
      </c>
      <c r="B24" s="26">
        <f>'2'!C12-'2'!C4</f>
        <v>6900000</v>
      </c>
      <c r="C24" s="26">
        <f>B24</f>
        <v>6900000</v>
      </c>
      <c r="D24" s="26">
        <f t="shared" ref="D24:G24" si="7">C24</f>
        <v>6900000</v>
      </c>
      <c r="E24" s="26">
        <f t="shared" si="7"/>
        <v>6900000</v>
      </c>
      <c r="F24" s="26">
        <f t="shared" si="7"/>
        <v>6900000</v>
      </c>
      <c r="G24" s="26">
        <f t="shared" si="7"/>
        <v>6900000</v>
      </c>
      <c r="H24" s="26"/>
    </row>
    <row r="25" spans="1:8" x14ac:dyDescent="0.25">
      <c r="A25" s="8" t="s">
        <v>113</v>
      </c>
      <c r="B25" s="26">
        <v>0</v>
      </c>
      <c r="C25" s="26">
        <f>C12</f>
        <v>1380000</v>
      </c>
      <c r="D25" s="26">
        <f>D12+C12</f>
        <v>2760000</v>
      </c>
      <c r="E25" s="26">
        <f>E12+D12+C12</f>
        <v>4140000</v>
      </c>
      <c r="F25" s="26">
        <f>F12+E12+D12+C12</f>
        <v>5520000</v>
      </c>
      <c r="G25" s="26">
        <f>F25+G12</f>
        <v>6900000</v>
      </c>
      <c r="H25" s="26"/>
    </row>
    <row r="26" spans="1:8" x14ac:dyDescent="0.25">
      <c r="A26" s="8" t="s">
        <v>114</v>
      </c>
      <c r="B26" s="26">
        <f>B23+(B24-B25)</f>
        <v>6900000</v>
      </c>
      <c r="C26" s="26">
        <f>C23+(C24-C25)</f>
        <v>5520000</v>
      </c>
      <c r="D26" s="26">
        <f t="shared" ref="D26:G26" si="8">D23+(D24-D25)</f>
        <v>4140000</v>
      </c>
      <c r="E26" s="26">
        <f t="shared" si="8"/>
        <v>2760000</v>
      </c>
      <c r="F26" s="26">
        <f t="shared" si="8"/>
        <v>1380000</v>
      </c>
      <c r="G26" s="26">
        <f t="shared" si="8"/>
        <v>0</v>
      </c>
      <c r="H26" s="26"/>
    </row>
    <row r="27" spans="1:8" ht="15.75" thickBot="1" x14ac:dyDescent="0.3">
      <c r="A27" s="63" t="s">
        <v>115</v>
      </c>
      <c r="B27" s="70">
        <f>B22+B26</f>
        <v>50898750</v>
      </c>
      <c r="C27" s="70">
        <f t="shared" ref="C27:G27" si="9">C22+C26</f>
        <v>110310337.875</v>
      </c>
      <c r="D27" s="70">
        <f t="shared" si="9"/>
        <v>120237272</v>
      </c>
      <c r="E27" s="70">
        <f t="shared" si="9"/>
        <v>130279389.64544001</v>
      </c>
      <c r="F27" s="70">
        <f t="shared" si="9"/>
        <v>141937632.31980112</v>
      </c>
      <c r="G27" s="70">
        <f t="shared" si="9"/>
        <v>154834256.727615</v>
      </c>
      <c r="H27" s="26"/>
    </row>
    <row r="28" spans="1:8" ht="15.75" thickTop="1" x14ac:dyDescent="0.25">
      <c r="A28" s="166" t="s">
        <v>116</v>
      </c>
      <c r="B28" s="166"/>
      <c r="C28" s="166"/>
      <c r="D28" s="166"/>
      <c r="E28" s="166"/>
      <c r="F28" s="166"/>
      <c r="G28" s="166"/>
    </row>
    <row r="29" spans="1:8" x14ac:dyDescent="0.25">
      <c r="A29" s="8" t="s">
        <v>117</v>
      </c>
      <c r="B29" s="8">
        <v>0</v>
      </c>
      <c r="C29" s="66">
        <f>C16</f>
        <v>22508618.256249998</v>
      </c>
      <c r="D29" s="66">
        <f>D16</f>
        <v>25983045.199999999</v>
      </c>
      <c r="E29" s="66">
        <f>E16</f>
        <v>29497786.375904001</v>
      </c>
      <c r="F29" s="66">
        <f>F16</f>
        <v>33578171.311930396</v>
      </c>
      <c r="G29" s="66">
        <f>G16</f>
        <v>38091989.854665242</v>
      </c>
    </row>
    <row r="30" spans="1:8" x14ac:dyDescent="0.25">
      <c r="A30" s="8" t="s">
        <v>118</v>
      </c>
      <c r="B30" s="66">
        <f>B29</f>
        <v>0</v>
      </c>
      <c r="C30" s="66">
        <f t="shared" ref="C30:G30" si="10">C29</f>
        <v>22508618.256249998</v>
      </c>
      <c r="D30" s="66">
        <f t="shared" si="10"/>
        <v>25983045.199999999</v>
      </c>
      <c r="E30" s="66">
        <f t="shared" si="10"/>
        <v>29497786.375904001</v>
      </c>
      <c r="F30" s="66">
        <f t="shared" si="10"/>
        <v>33578171.311930396</v>
      </c>
      <c r="G30" s="66">
        <f t="shared" si="10"/>
        <v>38091989.854665242</v>
      </c>
    </row>
    <row r="31" spans="1:8" x14ac:dyDescent="0.25">
      <c r="A31" s="8" t="s">
        <v>119</v>
      </c>
      <c r="B31" s="25">
        <f>'3'!J8</f>
        <v>4898750</v>
      </c>
      <c r="C31" s="25">
        <f>'3'!J9</f>
        <v>0</v>
      </c>
      <c r="D31" s="25">
        <f>'3'!J10</f>
        <v>0</v>
      </c>
      <c r="E31" s="25">
        <f>'3'!J11</f>
        <v>0</v>
      </c>
      <c r="F31" s="25">
        <f>'3'!J12</f>
        <v>0</v>
      </c>
      <c r="G31" s="25">
        <f>'3'!J13</f>
        <v>0</v>
      </c>
    </row>
    <row r="32" spans="1:8" ht="15.75" thickBot="1" x14ac:dyDescent="0.3">
      <c r="A32" s="63" t="s">
        <v>116</v>
      </c>
      <c r="B32" s="70">
        <f>B30+B31</f>
        <v>4898750</v>
      </c>
      <c r="C32" s="70">
        <f t="shared" ref="C32:G32" si="11">C30+C31</f>
        <v>22508618.256249998</v>
      </c>
      <c r="D32" s="70">
        <f t="shared" si="11"/>
        <v>25983045.199999999</v>
      </c>
      <c r="E32" s="70">
        <f t="shared" si="11"/>
        <v>29497786.375904001</v>
      </c>
      <c r="F32" s="70">
        <f t="shared" si="11"/>
        <v>33578171.311930396</v>
      </c>
      <c r="G32" s="70">
        <f t="shared" si="11"/>
        <v>38091989.854665242</v>
      </c>
    </row>
    <row r="33" spans="1:7" ht="15.75" thickTop="1" x14ac:dyDescent="0.25">
      <c r="A33" s="166" t="s">
        <v>120</v>
      </c>
      <c r="B33" s="166"/>
      <c r="C33" s="166"/>
      <c r="D33" s="166"/>
      <c r="E33" s="166"/>
      <c r="F33" s="166"/>
      <c r="G33" s="166"/>
    </row>
    <row r="34" spans="1:7" x14ac:dyDescent="0.25">
      <c r="A34" s="8" t="s">
        <v>121</v>
      </c>
      <c r="B34" s="26">
        <f>'3'!D15</f>
        <v>46000000</v>
      </c>
      <c r="C34" s="26">
        <f>B34</f>
        <v>46000000</v>
      </c>
      <c r="D34" s="26">
        <f t="shared" ref="D34:G34" si="12">C34</f>
        <v>46000000</v>
      </c>
      <c r="E34" s="26">
        <f t="shared" si="12"/>
        <v>46000000</v>
      </c>
      <c r="F34" s="26">
        <f t="shared" si="12"/>
        <v>46000000</v>
      </c>
      <c r="G34" s="26">
        <f t="shared" si="12"/>
        <v>46000000</v>
      </c>
    </row>
    <row r="35" spans="1:7" x14ac:dyDescent="0.25">
      <c r="A35" s="8" t="s">
        <v>122</v>
      </c>
      <c r="B35" s="8">
        <v>0</v>
      </c>
      <c r="C35" s="66">
        <f>C17</f>
        <v>41801719.618750006</v>
      </c>
      <c r="D35" s="66">
        <f>D17</f>
        <v>48254226.799999997</v>
      </c>
      <c r="E35" s="66">
        <f>E17</f>
        <v>54781603.269536011</v>
      </c>
      <c r="F35" s="66">
        <f>F17</f>
        <v>62359461.007870741</v>
      </c>
      <c r="G35" s="66">
        <f>G17</f>
        <v>70742266.872949749</v>
      </c>
    </row>
    <row r="36" spans="1:7" ht="15.75" thickBot="1" x14ac:dyDescent="0.3">
      <c r="A36" s="63" t="s">
        <v>123</v>
      </c>
      <c r="B36" s="70">
        <f>B34+B35</f>
        <v>46000000</v>
      </c>
      <c r="C36" s="70">
        <f t="shared" ref="C36:G36" si="13">C34+C35</f>
        <v>87801719.618750006</v>
      </c>
      <c r="D36" s="70">
        <f t="shared" si="13"/>
        <v>94254226.799999997</v>
      </c>
      <c r="E36" s="70">
        <f t="shared" si="13"/>
        <v>100781603.26953602</v>
      </c>
      <c r="F36" s="70">
        <f t="shared" si="13"/>
        <v>108359461.00787073</v>
      </c>
      <c r="G36" s="70">
        <f t="shared" si="13"/>
        <v>116742266.87294975</v>
      </c>
    </row>
    <row r="37" spans="1:7" ht="15.75" thickTop="1" x14ac:dyDescent="0.25"/>
    <row r="38" spans="1:7" ht="15.75" thickBot="1" x14ac:dyDescent="0.3">
      <c r="A38" s="63" t="s">
        <v>124</v>
      </c>
      <c r="B38" s="70">
        <f>B32+B36</f>
        <v>50898750</v>
      </c>
      <c r="C38" s="70">
        <f t="shared" ref="C38:G38" si="14">C32+C36</f>
        <v>110310337.875</v>
      </c>
      <c r="D38" s="70">
        <f t="shared" si="14"/>
        <v>120237272</v>
      </c>
      <c r="E38" s="70">
        <f t="shared" si="14"/>
        <v>130279389.64544001</v>
      </c>
      <c r="F38" s="70">
        <f t="shared" si="14"/>
        <v>141937632.31980112</v>
      </c>
      <c r="G38" s="70">
        <f t="shared" si="14"/>
        <v>154834256.727615</v>
      </c>
    </row>
    <row r="39" spans="1:7" ht="15.75" thickTop="1" x14ac:dyDescent="0.25">
      <c r="A39" s="59" t="s">
        <v>125</v>
      </c>
      <c r="B39" s="71">
        <f>B27-B38</f>
        <v>0</v>
      </c>
      <c r="C39" s="71">
        <f t="shared" ref="C39:G39" si="15">C27-C38</f>
        <v>0</v>
      </c>
      <c r="D39" s="71">
        <f t="shared" si="15"/>
        <v>0</v>
      </c>
      <c r="E39" s="71">
        <f t="shared" si="15"/>
        <v>0</v>
      </c>
      <c r="F39" s="71">
        <f t="shared" si="15"/>
        <v>0</v>
      </c>
      <c r="G39" s="71">
        <f t="shared" si="15"/>
        <v>0</v>
      </c>
    </row>
    <row r="41" spans="1:7" ht="15.75" x14ac:dyDescent="0.25">
      <c r="A41" s="167" t="s">
        <v>126</v>
      </c>
      <c r="B41" s="167"/>
      <c r="C41" s="167"/>
      <c r="D41" s="167"/>
      <c r="E41" s="167"/>
      <c r="F41" s="167"/>
      <c r="G41" s="167"/>
    </row>
    <row r="42" spans="1:7" x14ac:dyDescent="0.25">
      <c r="A42" s="166" t="s">
        <v>127</v>
      </c>
      <c r="B42" s="166"/>
      <c r="C42" s="166"/>
      <c r="D42" s="166"/>
      <c r="E42" s="166"/>
      <c r="F42" s="166"/>
      <c r="G42" s="166"/>
    </row>
    <row r="43" spans="1:7" ht="23.25" x14ac:dyDescent="0.25">
      <c r="A43" s="11"/>
      <c r="B43" s="69" t="s">
        <v>86</v>
      </c>
      <c r="C43" s="61">
        <f>C20</f>
        <v>2025</v>
      </c>
      <c r="D43" s="61">
        <f t="shared" ref="D43:G43" si="16">D20</f>
        <v>2026</v>
      </c>
      <c r="E43" s="61">
        <f t="shared" si="16"/>
        <v>2027</v>
      </c>
      <c r="F43" s="61">
        <f t="shared" si="16"/>
        <v>2028</v>
      </c>
      <c r="G43" s="61">
        <f t="shared" si="16"/>
        <v>2029</v>
      </c>
    </row>
    <row r="44" spans="1:7" x14ac:dyDescent="0.25">
      <c r="A44" s="1" t="s">
        <v>128</v>
      </c>
      <c r="B44" s="2">
        <f>B22</f>
        <v>43998750</v>
      </c>
      <c r="C44" s="2">
        <f t="shared" ref="C44:G44" si="17">C22</f>
        <v>104790337.875</v>
      </c>
      <c r="D44" s="2">
        <f t="shared" si="17"/>
        <v>116097272</v>
      </c>
      <c r="E44" s="2">
        <f t="shared" si="17"/>
        <v>127519389.64544001</v>
      </c>
      <c r="F44" s="2">
        <f t="shared" si="17"/>
        <v>140557632.31980112</v>
      </c>
      <c r="G44" s="2">
        <f t="shared" si="17"/>
        <v>154834256.727615</v>
      </c>
    </row>
    <row r="45" spans="1:7" ht="15.75" thickBot="1" x14ac:dyDescent="0.3">
      <c r="A45" s="1" t="s">
        <v>129</v>
      </c>
      <c r="B45" s="3">
        <f>B29</f>
        <v>0</v>
      </c>
      <c r="C45" s="3">
        <f t="shared" ref="C45:G45" si="18">C29</f>
        <v>22508618.256249998</v>
      </c>
      <c r="D45" s="3">
        <f t="shared" si="18"/>
        <v>25983045.199999999</v>
      </c>
      <c r="E45" s="3">
        <f t="shared" si="18"/>
        <v>29497786.375904001</v>
      </c>
      <c r="F45" s="3">
        <f t="shared" si="18"/>
        <v>33578171.311930396</v>
      </c>
      <c r="G45" s="3">
        <f t="shared" si="18"/>
        <v>38091989.854665242</v>
      </c>
    </row>
    <row r="46" spans="1:7" ht="15.75" thickTop="1" x14ac:dyDescent="0.25">
      <c r="A46" s="4" t="s">
        <v>130</v>
      </c>
      <c r="B46" s="5">
        <f t="shared" ref="B46:G46" si="19">B44-B45</f>
        <v>43998750</v>
      </c>
      <c r="C46" s="5">
        <f t="shared" si="19"/>
        <v>82281719.618750006</v>
      </c>
      <c r="D46" s="5">
        <f t="shared" si="19"/>
        <v>90114226.799999997</v>
      </c>
      <c r="E46" s="5">
        <f t="shared" si="19"/>
        <v>98021603.269536018</v>
      </c>
      <c r="F46" s="5">
        <f t="shared" si="19"/>
        <v>106979461.00787073</v>
      </c>
      <c r="G46" s="5">
        <f t="shared" si="19"/>
        <v>116742266.87294975</v>
      </c>
    </row>
    <row r="47" spans="1:7" x14ac:dyDescent="0.25">
      <c r="A47" s="1"/>
      <c r="B47" s="2"/>
      <c r="C47" s="2"/>
      <c r="D47" s="2"/>
      <c r="E47" s="2"/>
      <c r="F47" s="2"/>
      <c r="G47" s="2"/>
    </row>
    <row r="48" spans="1:7" x14ac:dyDescent="0.25">
      <c r="A48" s="4" t="s">
        <v>131</v>
      </c>
      <c r="B48" s="2">
        <f>B26</f>
        <v>6900000</v>
      </c>
      <c r="C48" s="2">
        <f t="shared" ref="C48:G48" si="20">C26</f>
        <v>5520000</v>
      </c>
      <c r="D48" s="2">
        <f t="shared" si="20"/>
        <v>4140000</v>
      </c>
      <c r="E48" s="2">
        <f t="shared" si="20"/>
        <v>2760000</v>
      </c>
      <c r="F48" s="2">
        <f t="shared" si="20"/>
        <v>1380000</v>
      </c>
      <c r="G48" s="2">
        <f t="shared" si="20"/>
        <v>0</v>
      </c>
    </row>
    <row r="49" spans="1:7" ht="15.75" thickBot="1" x14ac:dyDescent="0.3">
      <c r="A49" s="1" t="s">
        <v>132</v>
      </c>
      <c r="B49" s="3">
        <f>B25</f>
        <v>0</v>
      </c>
      <c r="C49" s="3">
        <f t="shared" ref="C49:G49" si="21">C25</f>
        <v>1380000</v>
      </c>
      <c r="D49" s="3">
        <f t="shared" si="21"/>
        <v>2760000</v>
      </c>
      <c r="E49" s="3">
        <f t="shared" si="21"/>
        <v>4140000</v>
      </c>
      <c r="F49" s="3">
        <f t="shared" si="21"/>
        <v>5520000</v>
      </c>
      <c r="G49" s="3">
        <f t="shared" si="21"/>
        <v>6900000</v>
      </c>
    </row>
    <row r="50" spans="1:7" ht="15.75" thickTop="1" x14ac:dyDescent="0.25">
      <c r="A50" s="4" t="s">
        <v>133</v>
      </c>
      <c r="B50" s="5">
        <f t="shared" ref="B50:G50" si="22">B48+B49</f>
        <v>6900000</v>
      </c>
      <c r="C50" s="5">
        <f t="shared" si="22"/>
        <v>6900000</v>
      </c>
      <c r="D50" s="5">
        <f t="shared" si="22"/>
        <v>6900000</v>
      </c>
      <c r="E50" s="5">
        <f t="shared" si="22"/>
        <v>6900000</v>
      </c>
      <c r="F50" s="5">
        <f t="shared" si="22"/>
        <v>6900000</v>
      </c>
      <c r="G50" s="5">
        <f t="shared" si="22"/>
        <v>6900000</v>
      </c>
    </row>
    <row r="51" spans="1:7" x14ac:dyDescent="0.25">
      <c r="A51" s="1"/>
      <c r="B51" s="2"/>
      <c r="C51" s="2"/>
      <c r="D51" s="2"/>
      <c r="E51" s="2"/>
      <c r="F51" s="2"/>
      <c r="G51" s="2"/>
    </row>
    <row r="52" spans="1:7" ht="15.75" thickBot="1" x14ac:dyDescent="0.3">
      <c r="A52" s="12" t="s">
        <v>134</v>
      </c>
      <c r="B52" s="6">
        <f t="shared" ref="B52:G52" si="23">B46+B48</f>
        <v>50898750</v>
      </c>
      <c r="C52" s="6">
        <f t="shared" si="23"/>
        <v>87801719.618750006</v>
      </c>
      <c r="D52" s="6">
        <f t="shared" si="23"/>
        <v>94254226.799999997</v>
      </c>
      <c r="E52" s="6">
        <f t="shared" si="23"/>
        <v>100781603.26953602</v>
      </c>
      <c r="F52" s="6">
        <f t="shared" si="23"/>
        <v>108359461.00787073</v>
      </c>
      <c r="G52" s="6">
        <f t="shared" si="23"/>
        <v>116742266.87294975</v>
      </c>
    </row>
    <row r="53" spans="1:7" ht="15.75" thickTop="1" x14ac:dyDescent="0.25">
      <c r="A53" s="7"/>
      <c r="B53" s="2"/>
      <c r="C53" s="2"/>
      <c r="D53" s="2"/>
      <c r="E53" s="2"/>
      <c r="F53" s="2"/>
      <c r="G53" s="2"/>
    </row>
    <row r="54" spans="1:7" x14ac:dyDescent="0.25">
      <c r="A54" s="165" t="s">
        <v>135</v>
      </c>
      <c r="B54" s="165"/>
      <c r="C54" s="165"/>
      <c r="D54" s="165"/>
      <c r="E54" s="165"/>
      <c r="F54" s="165"/>
      <c r="G54" s="165"/>
    </row>
    <row r="55" spans="1:7" x14ac:dyDescent="0.25">
      <c r="A55" s="1" t="s">
        <v>136</v>
      </c>
      <c r="C55" s="9">
        <f>C13</f>
        <v>65125000</v>
      </c>
      <c r="D55" s="9">
        <f t="shared" ref="D55:G55" si="24">D13</f>
        <v>74237272</v>
      </c>
      <c r="E55" s="9">
        <f t="shared" si="24"/>
        <v>84279389.645440012</v>
      </c>
      <c r="F55" s="9">
        <f t="shared" si="24"/>
        <v>95937632.319801137</v>
      </c>
      <c r="G55" s="9">
        <f t="shared" si="24"/>
        <v>108834256.72761498</v>
      </c>
    </row>
    <row r="56" spans="1:7" ht="15.75" thickBot="1" x14ac:dyDescent="0.3">
      <c r="A56" s="1" t="s">
        <v>137</v>
      </c>
      <c r="C56" s="10">
        <f>C55*'1'!$AB$7</f>
        <v>22793750</v>
      </c>
      <c r="D56" s="10">
        <f>D55*'1'!$AB$7</f>
        <v>25983045.199999999</v>
      </c>
      <c r="E56" s="10">
        <f>E55*'1'!$AB$7</f>
        <v>29497786.375904001</v>
      </c>
      <c r="F56" s="10">
        <f>F55*'1'!$AB$7</f>
        <v>33578171.311930396</v>
      </c>
      <c r="G56" s="10">
        <f>G55*'1'!$AB$7</f>
        <v>38091989.854665242</v>
      </c>
    </row>
    <row r="57" spans="1:7" ht="15.75" thickTop="1" x14ac:dyDescent="0.25">
      <c r="A57" s="4" t="s">
        <v>138</v>
      </c>
      <c r="C57" s="9">
        <f>C55-C56</f>
        <v>42331250</v>
      </c>
      <c r="D57" s="9">
        <f>D55-D56</f>
        <v>48254226.799999997</v>
      </c>
      <c r="E57" s="9">
        <f>E55-E56</f>
        <v>54781603.269536011</v>
      </c>
      <c r="F57" s="9">
        <f>F55-F56</f>
        <v>62359461.007870741</v>
      </c>
      <c r="G57" s="9">
        <f>G55-G56</f>
        <v>70742266.872949749</v>
      </c>
    </row>
    <row r="58" spans="1:7" ht="15.75" thickBot="1" x14ac:dyDescent="0.3">
      <c r="A58" s="1" t="s">
        <v>139</v>
      </c>
      <c r="C58" s="10">
        <f>-(C52-B52)</f>
        <v>-36902969.618750006</v>
      </c>
      <c r="D58" s="10">
        <f t="shared" ref="D58:G58" si="25">-(D52-C52)</f>
        <v>-6452507.1812499911</v>
      </c>
      <c r="E58" s="10">
        <f t="shared" si="25"/>
        <v>-6527376.4695360214</v>
      </c>
      <c r="F58" s="10">
        <f t="shared" si="25"/>
        <v>-7577857.7383347154</v>
      </c>
      <c r="G58" s="10">
        <f t="shared" si="25"/>
        <v>-8382805.8650790155</v>
      </c>
    </row>
    <row r="59" spans="1:7" ht="16.5" thickTop="1" thickBot="1" x14ac:dyDescent="0.3">
      <c r="A59" s="58" t="s">
        <v>140</v>
      </c>
      <c r="B59" s="59"/>
      <c r="C59" s="60">
        <f>SUM(C57:C58)</f>
        <v>5428280.381249994</v>
      </c>
      <c r="D59" s="60">
        <f t="shared" ref="D59:G59" si="26">SUM(D57:D58)</f>
        <v>41801719.618750006</v>
      </c>
      <c r="E59" s="60">
        <f t="shared" si="26"/>
        <v>48254226.79999999</v>
      </c>
      <c r="F59" s="60">
        <f t="shared" si="26"/>
        <v>54781603.269536026</v>
      </c>
      <c r="G59" s="60">
        <f t="shared" si="26"/>
        <v>62359461.007870734</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80" zoomScaleNormal="80" workbookViewId="0">
      <selection activeCell="D10" sqref="D10"/>
    </sheetView>
  </sheetViews>
  <sheetFormatPr baseColWidth="10" defaultColWidth="11.42578125" defaultRowHeight="15" x14ac:dyDescent="0.25"/>
  <cols>
    <col min="1" max="1" width="11.42578125" style="8"/>
    <col min="2" max="2" width="32.5703125" style="8" customWidth="1"/>
    <col min="3" max="3" width="24.28515625" style="8" bestFit="1" customWidth="1"/>
    <col min="4" max="4" width="36.28515625" style="8" bestFit="1" customWidth="1"/>
    <col min="5" max="5" width="25.57031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54" t="s">
        <v>141</v>
      </c>
      <c r="C2" s="154"/>
      <c r="D2" s="154"/>
      <c r="E2" s="154"/>
      <c r="F2" s="154"/>
      <c r="G2" s="154"/>
      <c r="H2" s="154"/>
    </row>
    <row r="3" spans="2:16" ht="15.75" customHeight="1" x14ac:dyDescent="0.25">
      <c r="B3" s="173" t="s">
        <v>142</v>
      </c>
      <c r="C3" s="173"/>
      <c r="D3" s="173"/>
      <c r="E3" s="174">
        <v>0.4</v>
      </c>
      <c r="F3" s="174"/>
    </row>
    <row r="4" spans="2:16" ht="16.5" customHeight="1" x14ac:dyDescent="0.25">
      <c r="B4" s="173"/>
      <c r="C4" s="173"/>
      <c r="D4" s="173"/>
      <c r="E4" s="174"/>
      <c r="F4" s="174"/>
      <c r="O4" s="101"/>
    </row>
    <row r="5" spans="2:16" ht="16.5" customHeight="1" x14ac:dyDescent="0.25">
      <c r="B5" s="171"/>
      <c r="C5" s="171"/>
      <c r="D5" s="171"/>
      <c r="E5" s="134">
        <v>0.4</v>
      </c>
      <c r="F5" s="134"/>
      <c r="O5" s="101"/>
    </row>
    <row r="6" spans="2:16" ht="15.75" thickBot="1" x14ac:dyDescent="0.3">
      <c r="O6" s="101"/>
      <c r="P6" s="104"/>
    </row>
    <row r="7" spans="2:16" ht="23.25" x14ac:dyDescent="0.25">
      <c r="B7" s="100" t="s">
        <v>143</v>
      </c>
      <c r="C7" s="84" t="s">
        <v>144</v>
      </c>
      <c r="D7" s="85">
        <f>'4'!C20</f>
        <v>2025</v>
      </c>
      <c r="E7" s="85">
        <f>'4'!D20</f>
        <v>2026</v>
      </c>
      <c r="F7" s="85">
        <f>'4'!E20</f>
        <v>2027</v>
      </c>
      <c r="G7" s="85">
        <f>'4'!F20</f>
        <v>2028</v>
      </c>
      <c r="H7" s="86">
        <f>'4'!G20</f>
        <v>2029</v>
      </c>
      <c r="O7" s="101"/>
      <c r="P7" s="103"/>
    </row>
    <row r="8" spans="2:16" ht="19.5" thickBot="1" x14ac:dyDescent="0.35">
      <c r="B8" s="87"/>
      <c r="C8" s="107">
        <f>-'3'!D14</f>
        <v>-50898750</v>
      </c>
      <c r="D8" s="107">
        <f>'4'!C59</f>
        <v>5428280.381249994</v>
      </c>
      <c r="E8" s="107">
        <f>'4'!D59</f>
        <v>41801719.618750006</v>
      </c>
      <c r="F8" s="107">
        <f>'4'!E59</f>
        <v>48254226.79999999</v>
      </c>
      <c r="G8" s="107">
        <f>'4'!F59</f>
        <v>54781603.269536026</v>
      </c>
      <c r="H8" s="108">
        <f>'4'!G59</f>
        <v>62359461.007870734</v>
      </c>
      <c r="O8" s="101"/>
      <c r="P8" s="103"/>
    </row>
    <row r="9" spans="2:16" ht="15.75" thickBot="1" x14ac:dyDescent="0.3">
      <c r="C9" s="72">
        <f>C8/(1+$E$3)^0</f>
        <v>-50898750</v>
      </c>
      <c r="D9" s="72">
        <f>D8/(1+$E$3)^1</f>
        <v>3877343.1294642817</v>
      </c>
      <c r="E9" s="72">
        <f>E8/(1+$E$3)^2</f>
        <v>21327407.968750007</v>
      </c>
      <c r="F9" s="72">
        <f>F8/(1+$E$3)^3</f>
        <v>17585359.620991252</v>
      </c>
      <c r="G9" s="72">
        <f>G8/(1+$E$3)^4</f>
        <v>14260100.809437746</v>
      </c>
      <c r="H9" s="72">
        <f>H8/(1+$E$3)^5</f>
        <v>11594770.967430007</v>
      </c>
      <c r="O9" s="101"/>
      <c r="P9" s="103"/>
    </row>
    <row r="10" spans="2:16" ht="24" thickBot="1" x14ac:dyDescent="0.4">
      <c r="B10" s="30" t="s">
        <v>145</v>
      </c>
      <c r="C10" s="31"/>
      <c r="D10" s="109">
        <f>NPV(E3,D8:H8)+$C$8</f>
        <v>17746232.496073291</v>
      </c>
      <c r="O10" s="101"/>
      <c r="P10" s="103"/>
    </row>
    <row r="11" spans="2:16" ht="28.5" thickBot="1" x14ac:dyDescent="0.4">
      <c r="B11" s="151" t="s">
        <v>146</v>
      </c>
      <c r="C11" s="31"/>
      <c r="D11" s="110">
        <f>IF(ISERROR(IRR(C8:H8)),"NO_APLICA",(IRR(C8:H8)))</f>
        <v>0.54407530828598283</v>
      </c>
      <c r="F11" s="105" t="s">
        <v>147</v>
      </c>
      <c r="G11" s="31"/>
      <c r="H11" s="148">
        <f>IF(ISERROR(-C9/AVERAGE(D9:H9)),"NO_APLICA",(-C9/AVERAGE(D9:H9)))</f>
        <v>3.7073904129053838</v>
      </c>
      <c r="I11" s="106" t="s">
        <v>148</v>
      </c>
      <c r="P11" s="102"/>
    </row>
    <row r="13" spans="2:16" ht="18.75" x14ac:dyDescent="0.3">
      <c r="B13" s="175" t="s">
        <v>149</v>
      </c>
      <c r="C13" s="175"/>
      <c r="D13" s="175"/>
      <c r="E13" s="175"/>
      <c r="F13" s="175"/>
      <c r="G13" s="175"/>
      <c r="H13" s="175"/>
    </row>
    <row r="14" spans="2:16" ht="36.75" x14ac:dyDescent="0.25">
      <c r="B14" s="88" t="str">
        <f>'1'!B2</f>
        <v>NOMBRE DEL PRODUCTO O SERVICIO</v>
      </c>
      <c r="C14" s="88" t="s">
        <v>150</v>
      </c>
      <c r="D14" s="88" t="s">
        <v>151</v>
      </c>
      <c r="E14" s="88" t="s">
        <v>152</v>
      </c>
      <c r="F14" s="88" t="s">
        <v>153</v>
      </c>
      <c r="H14" s="72"/>
      <c r="I14" s="72"/>
      <c r="J14" s="72" t="s">
        <v>154</v>
      </c>
    </row>
    <row r="15" spans="2:16" x14ac:dyDescent="0.25">
      <c r="B15" s="38" t="str">
        <f>'1'!B3</f>
        <v>Hora de Servicios por Asesoria Financiera</v>
      </c>
      <c r="C15" s="89">
        <f>'1'!D3-'1'!D17</f>
        <v>100000</v>
      </c>
      <c r="D15" s="90">
        <f>'1'!F3</f>
        <v>0.16494845360824742</v>
      </c>
      <c r="E15" s="89">
        <f>C15*D15</f>
        <v>16494.845360824744</v>
      </c>
      <c r="F15" s="91">
        <f t="shared" ref="F15:F24" si="0">$E$28*D15</f>
        <v>21.718516994909244</v>
      </c>
      <c r="G15" s="38" t="s">
        <v>155</v>
      </c>
      <c r="H15" s="73">
        <f>'1'!D3</f>
        <v>200000</v>
      </c>
      <c r="I15" s="92">
        <f t="shared" ref="I15:I24" si="1">$B$35*D15</f>
        <v>43.437033989818488</v>
      </c>
      <c r="J15" s="73">
        <f>'1'!D17</f>
        <v>100000</v>
      </c>
    </row>
    <row r="16" spans="2:16" x14ac:dyDescent="0.25">
      <c r="B16" s="93" t="str">
        <f>'1'!B4</f>
        <v>Hora de Servicios por Asesoria Legal</v>
      </c>
      <c r="C16" s="89">
        <f>'1'!D4-'1'!D18</f>
        <v>100000</v>
      </c>
      <c r="D16" s="90">
        <f>'1'!F4</f>
        <v>0.16494845360824742</v>
      </c>
      <c r="E16" s="89">
        <f t="shared" ref="E16:E24" si="2">C16*D16</f>
        <v>16494.845360824744</v>
      </c>
      <c r="F16" s="91">
        <f t="shared" si="0"/>
        <v>21.718516994909244</v>
      </c>
      <c r="G16" s="38" t="str">
        <f>G15</f>
        <v>UNIDADES</v>
      </c>
      <c r="H16" s="73">
        <f>'1'!D4</f>
        <v>200000</v>
      </c>
      <c r="I16" s="92">
        <f t="shared" si="1"/>
        <v>43.437033989818488</v>
      </c>
      <c r="J16" s="73">
        <f>'1'!D18</f>
        <v>100000</v>
      </c>
    </row>
    <row r="17" spans="2:10" x14ac:dyDescent="0.25">
      <c r="B17" s="93" t="str">
        <f>'1'!B5</f>
        <v>Hora de Servicios por Asesoria Laboral</v>
      </c>
      <c r="C17" s="89">
        <f>'1'!D5-'1'!D19</f>
        <v>100000</v>
      </c>
      <c r="D17" s="90">
        <f>'1'!F5</f>
        <v>0.16494845360824742</v>
      </c>
      <c r="E17" s="89">
        <f t="shared" si="2"/>
        <v>16494.845360824744</v>
      </c>
      <c r="F17" s="91">
        <f t="shared" si="0"/>
        <v>21.718516994909244</v>
      </c>
      <c r="G17" s="38" t="str">
        <f t="shared" ref="G17:G24" si="3">G16</f>
        <v>UNIDADES</v>
      </c>
      <c r="H17" s="73">
        <f>'1'!D5</f>
        <v>200000</v>
      </c>
      <c r="I17" s="92">
        <f t="shared" si="1"/>
        <v>43.437033989818488</v>
      </c>
      <c r="J17" s="73">
        <f>'1'!D19</f>
        <v>100000</v>
      </c>
    </row>
    <row r="18" spans="2:10" x14ac:dyDescent="0.25">
      <c r="B18" s="93" t="str">
        <f>'1'!B6</f>
        <v>Hora de Servicios por Asesoria de Proyectos</v>
      </c>
      <c r="C18" s="89">
        <f>'1'!D6-'1'!D20</f>
        <v>50000</v>
      </c>
      <c r="D18" s="90">
        <f>'1'!F6</f>
        <v>3.0927835051546393E-2</v>
      </c>
      <c r="E18" s="89">
        <f t="shared" si="2"/>
        <v>1546.3917525773197</v>
      </c>
      <c r="F18" s="91">
        <f t="shared" si="0"/>
        <v>4.0722219365454828</v>
      </c>
      <c r="G18" s="38" t="str">
        <f t="shared" si="3"/>
        <v>UNIDADES</v>
      </c>
      <c r="H18" s="73">
        <f>'1'!D6</f>
        <v>150000</v>
      </c>
      <c r="I18" s="92">
        <f t="shared" si="1"/>
        <v>8.1444438730909656</v>
      </c>
      <c r="J18" s="73">
        <f>'1'!D20</f>
        <v>100000</v>
      </c>
    </row>
    <row r="19" spans="2:10" x14ac:dyDescent="0.25">
      <c r="B19" s="93" t="str">
        <f>'1'!B7</f>
        <v>Hora de Servicios por Asesoria Tributaria</v>
      </c>
      <c r="C19" s="89">
        <f>'1'!D7-'1'!D21</f>
        <v>100000</v>
      </c>
      <c r="D19" s="90">
        <f>'1'!F7</f>
        <v>0.12371134020618557</v>
      </c>
      <c r="E19" s="89">
        <f t="shared" si="2"/>
        <v>12371.134020618558</v>
      </c>
      <c r="F19" s="91">
        <f t="shared" si="0"/>
        <v>16.288887746181931</v>
      </c>
      <c r="G19" s="38" t="str">
        <f t="shared" si="3"/>
        <v>UNIDADES</v>
      </c>
      <c r="H19" s="73">
        <f>'1'!D7</f>
        <v>200000</v>
      </c>
      <c r="I19" s="92">
        <f t="shared" si="1"/>
        <v>32.577775492363862</v>
      </c>
      <c r="J19" s="73">
        <f>'1'!D21</f>
        <v>100000</v>
      </c>
    </row>
    <row r="20" spans="2:10" x14ac:dyDescent="0.25">
      <c r="B20" s="93" t="str">
        <f>'1'!B8</f>
        <v>Capacitaciones</v>
      </c>
      <c r="C20" s="89">
        <f>'1'!D8-'1'!D22</f>
        <v>70000</v>
      </c>
      <c r="D20" s="90">
        <f>'1'!F8</f>
        <v>4.9484536082474224E-2</v>
      </c>
      <c r="E20" s="89">
        <f t="shared" si="2"/>
        <v>3463.9175257731958</v>
      </c>
      <c r="F20" s="91">
        <f t="shared" si="0"/>
        <v>6.5155550984727721</v>
      </c>
      <c r="G20" s="38" t="str">
        <f t="shared" si="3"/>
        <v>UNIDADES</v>
      </c>
      <c r="H20" s="73">
        <f>'1'!D8</f>
        <v>150000</v>
      </c>
      <c r="I20" s="92">
        <f t="shared" si="1"/>
        <v>13.031110196945544</v>
      </c>
      <c r="J20" s="73">
        <f>'1'!D22</f>
        <v>80000</v>
      </c>
    </row>
    <row r="21" spans="2:10" x14ac:dyDescent="0.25">
      <c r="B21" s="93" t="str">
        <f>'1'!B9</f>
        <v>Otros servicios especializados</v>
      </c>
      <c r="C21" s="89">
        <f>'1'!D9-'1'!D23</f>
        <v>20000</v>
      </c>
      <c r="D21" s="90">
        <f>'1'!F9</f>
        <v>4.1237113402061857E-3</v>
      </c>
      <c r="E21" s="89">
        <f t="shared" si="2"/>
        <v>82.474226804123717</v>
      </c>
      <c r="F21" s="91">
        <f t="shared" si="0"/>
        <v>0.54296292487273112</v>
      </c>
      <c r="G21" s="38" t="str">
        <f t="shared" si="3"/>
        <v>UNIDADES</v>
      </c>
      <c r="H21" s="73">
        <f>'1'!D9</f>
        <v>100000</v>
      </c>
      <c r="I21" s="92">
        <f t="shared" si="1"/>
        <v>1.0859258497454622</v>
      </c>
      <c r="J21" s="73">
        <f>'1'!D23</f>
        <v>80000</v>
      </c>
    </row>
    <row r="22" spans="2:10" x14ac:dyDescent="0.25">
      <c r="B22" s="93" t="str">
        <f>'1'!B10</f>
        <v>Bolsa de servicios</v>
      </c>
      <c r="C22" s="89">
        <f>'1'!D10-'1'!D24</f>
        <v>500000</v>
      </c>
      <c r="D22" s="90">
        <f>'1'!F10</f>
        <v>4.9484536082474224E-2</v>
      </c>
      <c r="E22" s="89">
        <f t="shared" si="2"/>
        <v>24742.268041237112</v>
      </c>
      <c r="F22" s="91">
        <f t="shared" si="0"/>
        <v>6.5155550984727721</v>
      </c>
      <c r="G22" s="38" t="str">
        <f t="shared" si="3"/>
        <v>UNIDADES</v>
      </c>
      <c r="H22" s="73">
        <f>'1'!D10</f>
        <v>1000000</v>
      </c>
      <c r="I22" s="92">
        <f t="shared" si="1"/>
        <v>13.031110196945544</v>
      </c>
      <c r="J22" s="73">
        <f>'1'!D24</f>
        <v>500000</v>
      </c>
    </row>
    <row r="23" spans="2:10" x14ac:dyDescent="0.25">
      <c r="B23" s="93" t="str">
        <f>'1'!B11</f>
        <v>Paquete completo</v>
      </c>
      <c r="C23" s="89">
        <f>'1'!D11-'1'!D25</f>
        <v>1250000</v>
      </c>
      <c r="D23" s="90">
        <f>'1'!F11</f>
        <v>0.24742268041237114</v>
      </c>
      <c r="E23" s="89">
        <f t="shared" si="2"/>
        <v>309278.35051546391</v>
      </c>
      <c r="F23" s="91">
        <f t="shared" si="0"/>
        <v>32.577775492363862</v>
      </c>
      <c r="G23" s="38" t="str">
        <f t="shared" si="3"/>
        <v>UNIDADES</v>
      </c>
      <c r="H23" s="73">
        <f>'1'!D11</f>
        <v>2500000</v>
      </c>
      <c r="I23" s="92">
        <f t="shared" si="1"/>
        <v>65.155550984727725</v>
      </c>
      <c r="J23" s="73">
        <f>'1'!D25</f>
        <v>1250000</v>
      </c>
    </row>
    <row r="24" spans="2:10" x14ac:dyDescent="0.25">
      <c r="B24" s="38">
        <f>'1'!B12</f>
        <v>0</v>
      </c>
      <c r="C24" s="89">
        <f>'1'!D12-'1'!D26</f>
        <v>0</v>
      </c>
      <c r="D24" s="90">
        <f>'1'!F12</f>
        <v>0</v>
      </c>
      <c r="E24" s="89">
        <f t="shared" si="2"/>
        <v>0</v>
      </c>
      <c r="F24" s="91">
        <f t="shared" si="0"/>
        <v>0</v>
      </c>
      <c r="G24" s="38" t="str">
        <f t="shared" si="3"/>
        <v>UNIDADES</v>
      </c>
      <c r="H24" s="73">
        <f>'1'!D12</f>
        <v>0</v>
      </c>
      <c r="I24" s="92">
        <f t="shared" si="1"/>
        <v>0</v>
      </c>
      <c r="J24" s="73">
        <f>'1'!D26</f>
        <v>0</v>
      </c>
    </row>
    <row r="25" spans="2:10" ht="26.25" x14ac:dyDescent="0.4">
      <c r="C25" s="26"/>
      <c r="D25" s="94"/>
      <c r="E25" s="26"/>
      <c r="F25" s="95">
        <f>SUM(F15:F24)</f>
        <v>131.66850928163728</v>
      </c>
      <c r="G25" s="8" t="str">
        <f>G24</f>
        <v>UNIDADES</v>
      </c>
      <c r="H25" s="73"/>
      <c r="I25" s="92"/>
      <c r="J25" s="73"/>
    </row>
    <row r="26" spans="2:10" ht="12.75" customHeight="1" x14ac:dyDescent="0.4">
      <c r="C26" s="26"/>
      <c r="D26" s="94"/>
      <c r="E26" s="26"/>
      <c r="F26" s="95"/>
      <c r="H26" s="73"/>
      <c r="I26" s="92"/>
      <c r="J26" s="73"/>
    </row>
    <row r="27" spans="2:10" ht="21" customHeight="1" x14ac:dyDescent="0.4">
      <c r="B27" s="172" t="s">
        <v>156</v>
      </c>
      <c r="C27" s="172"/>
      <c r="D27" s="172"/>
      <c r="E27" s="96">
        <f>SUM(E15:E24)</f>
        <v>400969.07216494845</v>
      </c>
      <c r="H27" s="72"/>
      <c r="I27" s="72"/>
      <c r="J27" s="72"/>
    </row>
    <row r="28" spans="2:10" ht="19.5" customHeight="1" x14ac:dyDescent="0.4">
      <c r="B28" s="172" t="s">
        <v>157</v>
      </c>
      <c r="C28" s="172"/>
      <c r="D28" s="172"/>
      <c r="E28" s="95">
        <f>IF(E27=0,0,('2'!C23+'2'!F31+'2'!C25)/'5'!E27)</f>
        <v>131.66850928163728</v>
      </c>
      <c r="F28" s="97" t="s">
        <v>155</v>
      </c>
      <c r="H28" s="98"/>
    </row>
    <row r="29" spans="2:10" ht="26.25" x14ac:dyDescent="0.4">
      <c r="B29" s="172" t="s">
        <v>158</v>
      </c>
      <c r="C29" s="172"/>
      <c r="D29" s="172"/>
      <c r="E29" s="96">
        <f>E49</f>
        <v>105891344.42330438</v>
      </c>
    </row>
    <row r="30" spans="2:10" x14ac:dyDescent="0.25">
      <c r="B30" s="129"/>
      <c r="C30" s="129"/>
      <c r="D30" s="129"/>
      <c r="E30" s="129"/>
      <c r="F30" s="129"/>
      <c r="G30" s="129"/>
    </row>
    <row r="31" spans="2:10" s="72" customFormat="1" x14ac:dyDescent="0.25"/>
    <row r="32" spans="2:10" s="72" customFormat="1" x14ac:dyDescent="0.25">
      <c r="C32" s="72" t="s">
        <v>159</v>
      </c>
      <c r="D32" s="72" t="s">
        <v>160</v>
      </c>
      <c r="E32" s="72" t="s">
        <v>161</v>
      </c>
      <c r="F32" s="72" t="s">
        <v>162</v>
      </c>
    </row>
    <row r="33" spans="2:6" s="72" customFormat="1" x14ac:dyDescent="0.25">
      <c r="B33" s="72">
        <v>0</v>
      </c>
      <c r="C33" s="73">
        <f>'2'!C25+'2'!F31+'2'!C23</f>
        <v>52795000</v>
      </c>
      <c r="D33" s="72">
        <f>0</f>
        <v>0</v>
      </c>
      <c r="E33" s="72">
        <v>0</v>
      </c>
      <c r="F33" s="73">
        <f>C33+E33</f>
        <v>52795000</v>
      </c>
    </row>
    <row r="34" spans="2:6" s="72" customFormat="1" x14ac:dyDescent="0.25">
      <c r="B34" s="92">
        <f>F25</f>
        <v>131.66850928163728</v>
      </c>
      <c r="C34" s="73">
        <f>C33</f>
        <v>52795000</v>
      </c>
      <c r="D34" s="130">
        <f>SUMPRODUCT(F15:F24,H15:H24)</f>
        <v>105891344.42330438</v>
      </c>
      <c r="E34" s="130">
        <f>SUMPRODUCT(F15:F24,J15:J24)</f>
        <v>53096344.423304372</v>
      </c>
      <c r="F34" s="73">
        <f t="shared" ref="F34:F35" si="4">C34+E34</f>
        <v>105891344.42330438</v>
      </c>
    </row>
    <row r="35" spans="2:6" s="72" customFormat="1" x14ac:dyDescent="0.25">
      <c r="B35" s="92">
        <f>B34*2</f>
        <v>263.33701856327457</v>
      </c>
      <c r="C35" s="73">
        <f>C34</f>
        <v>52795000</v>
      </c>
      <c r="D35" s="130">
        <f>SUMPRODUCT(H15:H24,I15:I24)</f>
        <v>211782688.84660876</v>
      </c>
      <c r="E35" s="130">
        <f>SUMPRODUCT(I15:I24,J15:J24)</f>
        <v>106192688.84660874</v>
      </c>
      <c r="F35" s="73">
        <f t="shared" si="4"/>
        <v>158987688.84660876</v>
      </c>
    </row>
    <row r="36" spans="2:6" s="72" customFormat="1" x14ac:dyDescent="0.25">
      <c r="C36" s="73"/>
    </row>
    <row r="37" spans="2:6" s="72" customFormat="1" x14ac:dyDescent="0.25">
      <c r="C37" s="73"/>
    </row>
    <row r="38" spans="2:6" s="72" customFormat="1" x14ac:dyDescent="0.25">
      <c r="C38" s="131" t="s">
        <v>163</v>
      </c>
      <c r="D38" s="72" t="s">
        <v>155</v>
      </c>
      <c r="E38" s="72" t="s">
        <v>164</v>
      </c>
    </row>
    <row r="39" spans="2:6" s="72" customFormat="1" x14ac:dyDescent="0.25">
      <c r="B39" s="72">
        <v>1</v>
      </c>
      <c r="C39" s="73">
        <f>'1'!D3</f>
        <v>200000</v>
      </c>
      <c r="D39" s="92">
        <f>F15</f>
        <v>21.718516994909244</v>
      </c>
      <c r="E39" s="72">
        <f>C39*D39</f>
        <v>4343703.3989818487</v>
      </c>
    </row>
    <row r="40" spans="2:6" s="72" customFormat="1" x14ac:dyDescent="0.25">
      <c r="B40" s="72">
        <f>B39+1</f>
        <v>2</v>
      </c>
      <c r="C40" s="73">
        <f>'1'!D4</f>
        <v>200000</v>
      </c>
      <c r="D40" s="92">
        <f t="shared" ref="D40:D48" si="5">F16</f>
        <v>21.718516994909244</v>
      </c>
      <c r="E40" s="72">
        <f t="shared" ref="E40:E48" si="6">C40*D40</f>
        <v>4343703.3989818487</v>
      </c>
    </row>
    <row r="41" spans="2:6" s="72" customFormat="1" x14ac:dyDescent="0.25">
      <c r="B41" s="72">
        <f t="shared" ref="B41:B48" si="7">B40+1</f>
        <v>3</v>
      </c>
      <c r="C41" s="73">
        <f>'1'!D5</f>
        <v>200000</v>
      </c>
      <c r="D41" s="92">
        <f t="shared" si="5"/>
        <v>21.718516994909244</v>
      </c>
      <c r="E41" s="72">
        <f t="shared" si="6"/>
        <v>4343703.3989818487</v>
      </c>
    </row>
    <row r="42" spans="2:6" s="72" customFormat="1" x14ac:dyDescent="0.25">
      <c r="B42" s="72">
        <f t="shared" si="7"/>
        <v>4</v>
      </c>
      <c r="C42" s="73">
        <f>'1'!D6</f>
        <v>150000</v>
      </c>
      <c r="D42" s="92">
        <f t="shared" si="5"/>
        <v>4.0722219365454828</v>
      </c>
      <c r="E42" s="72">
        <f t="shared" si="6"/>
        <v>610833.29048182245</v>
      </c>
    </row>
    <row r="43" spans="2:6" s="72" customFormat="1" x14ac:dyDescent="0.25">
      <c r="B43" s="72">
        <f t="shared" si="7"/>
        <v>5</v>
      </c>
      <c r="C43" s="73">
        <f>'1'!D7</f>
        <v>200000</v>
      </c>
      <c r="D43" s="92">
        <f t="shared" si="5"/>
        <v>16.288887746181931</v>
      </c>
      <c r="E43" s="72">
        <f t="shared" si="6"/>
        <v>3257777.5492363861</v>
      </c>
    </row>
    <row r="44" spans="2:6" s="72" customFormat="1" x14ac:dyDescent="0.25">
      <c r="B44" s="72">
        <f t="shared" si="7"/>
        <v>6</v>
      </c>
      <c r="C44" s="73">
        <f>'1'!D8</f>
        <v>150000</v>
      </c>
      <c r="D44" s="92">
        <f t="shared" si="5"/>
        <v>6.5155550984727721</v>
      </c>
      <c r="E44" s="72">
        <f t="shared" si="6"/>
        <v>977333.26477091585</v>
      </c>
    </row>
    <row r="45" spans="2:6" s="72" customFormat="1" x14ac:dyDescent="0.25">
      <c r="B45" s="72">
        <f t="shared" si="7"/>
        <v>7</v>
      </c>
      <c r="C45" s="73">
        <f>'1'!D9</f>
        <v>100000</v>
      </c>
      <c r="D45" s="92">
        <f t="shared" si="5"/>
        <v>0.54296292487273112</v>
      </c>
      <c r="E45" s="72">
        <f t="shared" si="6"/>
        <v>54296.292487273109</v>
      </c>
    </row>
    <row r="46" spans="2:6" s="72" customFormat="1" x14ac:dyDescent="0.25">
      <c r="B46" s="72">
        <f t="shared" si="7"/>
        <v>8</v>
      </c>
      <c r="C46" s="73">
        <f>'1'!D10</f>
        <v>1000000</v>
      </c>
      <c r="D46" s="92">
        <f t="shared" si="5"/>
        <v>6.5155550984727721</v>
      </c>
      <c r="E46" s="72">
        <f t="shared" si="6"/>
        <v>6515555.0984727722</v>
      </c>
    </row>
    <row r="47" spans="2:6" s="72" customFormat="1" x14ac:dyDescent="0.25">
      <c r="B47" s="72">
        <f t="shared" si="7"/>
        <v>9</v>
      </c>
      <c r="C47" s="73">
        <f>'1'!D11</f>
        <v>2500000</v>
      </c>
      <c r="D47" s="92">
        <f t="shared" si="5"/>
        <v>32.577775492363862</v>
      </c>
      <c r="E47" s="72">
        <f t="shared" si="6"/>
        <v>81444438.73090966</v>
      </c>
    </row>
    <row r="48" spans="2:6" s="72" customFormat="1" x14ac:dyDescent="0.25">
      <c r="B48" s="72">
        <f t="shared" si="7"/>
        <v>10</v>
      </c>
      <c r="C48" s="73">
        <f>'1'!D12</f>
        <v>0</v>
      </c>
      <c r="D48" s="92">
        <f t="shared" si="5"/>
        <v>0</v>
      </c>
      <c r="E48" s="72">
        <f t="shared" si="6"/>
        <v>0</v>
      </c>
    </row>
    <row r="49" spans="2:8" s="72" customFormat="1" x14ac:dyDescent="0.25">
      <c r="C49" s="73"/>
      <c r="E49" s="132">
        <f>SUM(E39:E48)</f>
        <v>105891344.42330438</v>
      </c>
    </row>
    <row r="50" spans="2:8" s="72" customFormat="1" x14ac:dyDescent="0.25"/>
    <row r="51" spans="2:8" s="72" customFormat="1" x14ac:dyDescent="0.25">
      <c r="C51" s="73"/>
    </row>
    <row r="52" spans="2:8" s="72" customFormat="1" x14ac:dyDescent="0.25">
      <c r="B52" s="170"/>
      <c r="C52" s="170"/>
      <c r="D52" s="170"/>
      <c r="G52" s="72" t="s">
        <v>165</v>
      </c>
      <c r="H52" s="133">
        <f>'4'!B32/'4'!B27</f>
        <v>9.6244996193423221E-2</v>
      </c>
    </row>
    <row r="53" spans="2:8" s="72" customFormat="1" x14ac:dyDescent="0.25">
      <c r="C53" s="73"/>
      <c r="G53" s="72" t="s">
        <v>166</v>
      </c>
      <c r="H53" s="133">
        <f>'4'!B36/'4'!B27</f>
        <v>0.90375500380657681</v>
      </c>
    </row>
    <row r="54" spans="2:8" s="72" customFormat="1" x14ac:dyDescent="0.25">
      <c r="G54" s="72" t="s">
        <v>167</v>
      </c>
      <c r="H54" s="72">
        <f>'1'!AB7</f>
        <v>0.35</v>
      </c>
    </row>
    <row r="55" spans="2:8" s="72" customFormat="1" x14ac:dyDescent="0.25">
      <c r="G55" s="72" t="s">
        <v>168</v>
      </c>
      <c r="H55" s="133">
        <f>'3'!F4</f>
        <v>0.1663</v>
      </c>
    </row>
    <row r="56" spans="2:8" s="72" customFormat="1" x14ac:dyDescent="0.25">
      <c r="G56" s="72" t="s">
        <v>169</v>
      </c>
    </row>
    <row r="57" spans="2:8" s="72" customFormat="1" x14ac:dyDescent="0.25"/>
    <row r="58" spans="2:8" s="72" customFormat="1" x14ac:dyDescent="0.25"/>
    <row r="59" spans="2:8" s="72" customFormat="1" x14ac:dyDescent="0.25"/>
    <row r="60" spans="2:8" s="72" customFormat="1" x14ac:dyDescent="0.25"/>
    <row r="61" spans="2:8" s="72" customFormat="1" x14ac:dyDescent="0.25"/>
    <row r="62" spans="2:8" x14ac:dyDescent="0.25">
      <c r="B62" s="129"/>
      <c r="C62" s="129"/>
      <c r="D62" s="129"/>
      <c r="E62" s="129"/>
      <c r="F62" s="129"/>
      <c r="G62" s="129"/>
    </row>
    <row r="63" spans="2:8" x14ac:dyDescent="0.25">
      <c r="B63" s="129"/>
      <c r="C63" s="129"/>
      <c r="D63" s="129"/>
      <c r="E63" s="129"/>
      <c r="F63" s="129"/>
      <c r="G63" s="129"/>
    </row>
    <row r="64" spans="2:8" x14ac:dyDescent="0.25">
      <c r="B64" s="129"/>
      <c r="C64" s="129"/>
      <c r="D64" s="129"/>
      <c r="E64" s="129"/>
      <c r="F64" s="129"/>
      <c r="G64" s="129"/>
    </row>
    <row r="65" spans="2:7" x14ac:dyDescent="0.25">
      <c r="B65" s="129"/>
      <c r="C65" s="129"/>
      <c r="D65" s="129"/>
      <c r="E65" s="129"/>
      <c r="F65" s="129"/>
      <c r="G65" s="129"/>
    </row>
    <row r="66" spans="2:7" x14ac:dyDescent="0.25">
      <c r="B66" s="129"/>
      <c r="C66" s="129"/>
      <c r="D66" s="129"/>
      <c r="E66" s="129"/>
      <c r="F66" s="129"/>
      <c r="G66" s="129"/>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BBECF-D02E-461B-ABE5-07546DEF2DB0}">
  <dimension ref="A3:M73"/>
  <sheetViews>
    <sheetView workbookViewId="0">
      <selection activeCell="C3" sqref="C3"/>
    </sheetView>
  </sheetViews>
  <sheetFormatPr baseColWidth="10" defaultColWidth="9.140625" defaultRowHeight="15" x14ac:dyDescent="0.25"/>
  <cols>
    <col min="1" max="1" width="59.28515625" customWidth="1"/>
    <col min="2" max="2" width="29" customWidth="1"/>
    <col min="3" max="3" width="71.7109375" customWidth="1"/>
    <col min="10" max="10" width="18.7109375" customWidth="1"/>
    <col min="11" max="11" width="13.140625" bestFit="1" customWidth="1"/>
    <col min="13" max="13" width="15.7109375" bestFit="1" customWidth="1"/>
  </cols>
  <sheetData>
    <row r="3" spans="3:10" x14ac:dyDescent="0.25">
      <c r="C3" t="s">
        <v>170</v>
      </c>
    </row>
    <row r="10" spans="3:10" x14ac:dyDescent="0.25">
      <c r="J10" s="135" t="s">
        <v>171</v>
      </c>
    </row>
    <row r="28" spans="1:5" ht="17.25" thickBot="1" x14ac:dyDescent="0.3">
      <c r="A28" s="139" t="s">
        <v>172</v>
      </c>
      <c r="B28" s="139" t="s">
        <v>173</v>
      </c>
      <c r="C28" s="139" t="s">
        <v>174</v>
      </c>
    </row>
    <row r="29" spans="1:5" ht="33.75" thickBot="1" x14ac:dyDescent="0.3">
      <c r="A29" s="140" t="s">
        <v>175</v>
      </c>
      <c r="B29" s="141">
        <v>58000</v>
      </c>
      <c r="C29" s="142" t="s">
        <v>176</v>
      </c>
      <c r="E29" t="s">
        <v>177</v>
      </c>
    </row>
    <row r="30" spans="1:5" ht="99" x14ac:dyDescent="0.25">
      <c r="A30" s="176" t="s">
        <v>178</v>
      </c>
      <c r="B30" s="178">
        <v>46000</v>
      </c>
      <c r="C30" s="143" t="s">
        <v>179</v>
      </c>
    </row>
    <row r="31" spans="1:5" ht="30.75" thickBot="1" x14ac:dyDescent="0.3">
      <c r="A31" s="177"/>
      <c r="B31" s="179"/>
      <c r="C31" s="144" t="s">
        <v>180</v>
      </c>
    </row>
    <row r="32" spans="1:5" ht="17.25" thickBot="1" x14ac:dyDescent="0.3">
      <c r="A32" s="140" t="s">
        <v>181</v>
      </c>
      <c r="B32" s="141">
        <v>0</v>
      </c>
      <c r="C32" s="142"/>
    </row>
    <row r="33" spans="1:13" ht="17.25" thickBot="1" x14ac:dyDescent="0.3">
      <c r="A33" s="140" t="s">
        <v>182</v>
      </c>
      <c r="B33" s="141">
        <v>0</v>
      </c>
      <c r="C33" s="142"/>
      <c r="J33" t="s">
        <v>183</v>
      </c>
      <c r="K33" s="137">
        <v>38000</v>
      </c>
      <c r="M33" t="s">
        <v>184</v>
      </c>
    </row>
    <row r="34" spans="1:13" ht="17.25" thickBot="1" x14ac:dyDescent="0.3">
      <c r="A34" s="140" t="s">
        <v>185</v>
      </c>
      <c r="B34" s="141">
        <v>189000</v>
      </c>
      <c r="C34" s="142"/>
      <c r="J34" t="s">
        <v>186</v>
      </c>
      <c r="K34" s="137">
        <f>+M34*0.6%</f>
        <v>120000</v>
      </c>
      <c r="M34" s="137">
        <v>20000000</v>
      </c>
    </row>
    <row r="35" spans="1:13" ht="33.75" thickBot="1" x14ac:dyDescent="0.3">
      <c r="A35" s="140" t="s">
        <v>187</v>
      </c>
      <c r="B35" s="141">
        <v>0</v>
      </c>
      <c r="C35" s="142" t="s">
        <v>188</v>
      </c>
      <c r="J35" t="s">
        <v>189</v>
      </c>
      <c r="K35" s="137">
        <v>48000</v>
      </c>
    </row>
    <row r="36" spans="1:13" ht="83.25" thickBot="1" x14ac:dyDescent="0.3">
      <c r="A36" s="140" t="s">
        <v>190</v>
      </c>
      <c r="B36" s="141">
        <v>173300</v>
      </c>
      <c r="C36" s="142" t="s">
        <v>191</v>
      </c>
      <c r="J36" t="s">
        <v>192</v>
      </c>
      <c r="K36" s="137">
        <v>6500</v>
      </c>
    </row>
    <row r="37" spans="1:13" ht="66.75" thickBot="1" x14ac:dyDescent="0.3">
      <c r="A37" s="140" t="s">
        <v>193</v>
      </c>
      <c r="B37" s="141">
        <v>140000</v>
      </c>
      <c r="C37" s="142" t="s">
        <v>194</v>
      </c>
      <c r="K37" s="137">
        <f>SUM(K33:K36)</f>
        <v>212500</v>
      </c>
    </row>
    <row r="38" spans="1:13" ht="50.25" thickBot="1" x14ac:dyDescent="0.3">
      <c r="A38" s="140" t="s">
        <v>195</v>
      </c>
      <c r="B38" s="141">
        <v>7900</v>
      </c>
      <c r="C38" s="142" t="s">
        <v>196</v>
      </c>
      <c r="K38" s="136"/>
    </row>
    <row r="39" spans="1:13" ht="17.25" thickBot="1" x14ac:dyDescent="0.3">
      <c r="A39" s="140" t="s">
        <v>197</v>
      </c>
      <c r="B39" s="141">
        <v>10000</v>
      </c>
      <c r="C39" s="142"/>
    </row>
    <row r="40" spans="1:13" ht="17.25" thickBot="1" x14ac:dyDescent="0.3">
      <c r="A40" s="140" t="s">
        <v>198</v>
      </c>
      <c r="B40" s="141">
        <v>58000</v>
      </c>
      <c r="C40" s="142"/>
    </row>
    <row r="41" spans="1:13" ht="17.25" thickBot="1" x14ac:dyDescent="0.3">
      <c r="A41" s="140" t="s">
        <v>199</v>
      </c>
      <c r="B41" s="141">
        <v>38000</v>
      </c>
      <c r="C41" s="142"/>
    </row>
    <row r="42" spans="1:13" ht="17.25" thickBot="1" x14ac:dyDescent="0.3">
      <c r="A42" s="140" t="s">
        <v>200</v>
      </c>
      <c r="B42" s="141">
        <v>6958</v>
      </c>
      <c r="C42" s="142"/>
    </row>
    <row r="43" spans="1:13" ht="149.25" thickBot="1" x14ac:dyDescent="0.3">
      <c r="A43" s="140" t="s">
        <v>201</v>
      </c>
      <c r="B43" s="141">
        <v>3700</v>
      </c>
      <c r="C43" s="142" t="s">
        <v>202</v>
      </c>
    </row>
    <row r="44" spans="1:13" ht="132.75" thickBot="1" x14ac:dyDescent="0.3">
      <c r="A44" s="140" t="s">
        <v>203</v>
      </c>
      <c r="B44" s="141">
        <v>7900</v>
      </c>
      <c r="C44" s="142" t="s">
        <v>204</v>
      </c>
    </row>
    <row r="45" spans="1:13" ht="17.25" thickBot="1" x14ac:dyDescent="0.3">
      <c r="A45" s="145" t="s">
        <v>205</v>
      </c>
      <c r="B45" s="146">
        <v>738758</v>
      </c>
      <c r="C45" s="138"/>
    </row>
    <row r="48" spans="1:13" x14ac:dyDescent="0.25">
      <c r="A48" t="s">
        <v>206</v>
      </c>
    </row>
    <row r="50" spans="1:2" x14ac:dyDescent="0.25">
      <c r="A50" s="147" t="s">
        <v>207</v>
      </c>
    </row>
    <row r="59" spans="1:2" x14ac:dyDescent="0.25">
      <c r="A59" s="147" t="s">
        <v>208</v>
      </c>
    </row>
    <row r="61" spans="1:2" x14ac:dyDescent="0.25">
      <c r="A61" t="s">
        <v>209</v>
      </c>
      <c r="B61" t="s">
        <v>210</v>
      </c>
    </row>
    <row r="64" spans="1:2" x14ac:dyDescent="0.25">
      <c r="A64" s="147" t="s">
        <v>211</v>
      </c>
    </row>
    <row r="66" spans="1:2" x14ac:dyDescent="0.25">
      <c r="A66" t="s">
        <v>212</v>
      </c>
      <c r="B66" t="s">
        <v>213</v>
      </c>
    </row>
    <row r="70" spans="1:2" x14ac:dyDescent="0.25">
      <c r="A70" t="s">
        <v>214</v>
      </c>
    </row>
    <row r="72" spans="1:2" x14ac:dyDescent="0.25">
      <c r="A72" t="s">
        <v>215</v>
      </c>
      <c r="B72">
        <v>210</v>
      </c>
    </row>
    <row r="73" spans="1:2" x14ac:dyDescent="0.25">
      <c r="A73" t="s">
        <v>19</v>
      </c>
      <c r="B73">
        <f>+B72*12</f>
        <v>2520</v>
      </c>
    </row>
  </sheetData>
  <mergeCells count="2">
    <mergeCell ref="A30:A31"/>
    <mergeCell ref="B30:B31"/>
  </mergeCells>
  <hyperlinks>
    <hyperlink ref="C31" r:id="rId1" display="https://www.camaramedellin.com.co/necesito-registro/renovacion/beneficios-de-la-ley-1780-de-2016" xr:uid="{71102E70-68DD-4A66-B6FC-8627B5A31D2A}"/>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E907C4FD2DAA44AA4536EA1CE0730DE" ma:contentTypeVersion="4" ma:contentTypeDescription="Crear nuevo documento." ma:contentTypeScope="" ma:versionID="d270d6349d43ea2f33f53772ab003a72">
  <xsd:schema xmlns:xsd="http://www.w3.org/2001/XMLSchema" xmlns:xs="http://www.w3.org/2001/XMLSchema" xmlns:p="http://schemas.microsoft.com/office/2006/metadata/properties" xmlns:ns2="3716f72b-922d-48ba-8949-244d4d9e3ea7" targetNamespace="http://schemas.microsoft.com/office/2006/metadata/properties" ma:root="true" ma:fieldsID="abbde4bf6188f385fb93fc723dec249c" ns2:_="">
    <xsd:import namespace="3716f72b-922d-48ba-8949-244d4d9e3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6f72b-922d-48ba-8949-244d4d9e3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0FE194-AAE2-40A7-9D80-58AE104256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6f72b-922d-48ba-8949-244d4d9e3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1</vt:lpstr>
      <vt:lpstr>2</vt:lpstr>
      <vt:lpstr>3</vt:lpstr>
      <vt:lpstr>4</vt:lpstr>
      <vt:lpstr>5</vt:lpstr>
      <vt:lpstr>PREMISAS</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USER</cp:lastModifiedBy>
  <cp:revision/>
  <dcterms:created xsi:type="dcterms:W3CDTF">2013-07-30T17:19:59Z</dcterms:created>
  <dcterms:modified xsi:type="dcterms:W3CDTF">2025-04-04T18:08:45Z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0x0101007E907C4FD2DAA44AA4536EA1CE0730DE</vt:lpwstr>
  </property>
</Properties>
</file>