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9"/>
  <workbookPr codeName="ThisWorkbook" defaultThemeVersion="124226"/>
  <mc:AlternateContent xmlns:mc="http://schemas.openxmlformats.org/markup-compatibility/2006">
    <mc:Choice Requires="x15">
      <x15ac:absPath xmlns:x15ac="http://schemas.microsoft.com/office/spreadsheetml/2010/11/ac" url="C:\Maestría en Ciencia de Datos\TRABAJO DE GRADO\"/>
    </mc:Choice>
  </mc:AlternateContent>
  <xr:revisionPtr revIDLastSave="0" documentId="13_ncr:1_{1E8555C1-8D43-4FE7-82A3-8EEDB6CA2411}" xr6:coauthVersionLast="47" xr6:coauthVersionMax="47" xr10:uidLastSave="{00000000-0000-0000-0000-000000000000}"/>
  <bookViews>
    <workbookView xWindow="-120" yWindow="-120" windowWidth="29040" windowHeight="15720" tabRatio="70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4" l="1"/>
  <c r="C29" i="4" s="1"/>
  <c r="C30" i="4" s="1"/>
  <c r="C31" i="4" s="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I13" i="3"/>
  <c r="H13" i="3" s="1"/>
  <c r="J13" i="3" s="1"/>
  <c r="G31" i="5" s="1"/>
  <c r="G29" i="5"/>
  <c r="G45" i="5" s="1"/>
  <c r="F30" i="5"/>
  <c r="E46" i="5"/>
  <c r="E52" i="5" s="1"/>
  <c r="E58" i="5" s="1"/>
  <c r="E59" i="5" s="1"/>
  <c r="F8" i="6" s="1"/>
  <c r="G35" i="5"/>
  <c r="G36" i="5" s="1"/>
  <c r="F32" i="5" l="1"/>
  <c r="F38" i="5" s="1"/>
  <c r="F22" i="5" s="1"/>
  <c r="F44" i="5" s="1"/>
  <c r="F46" i="5" s="1"/>
  <c r="F52" i="5" s="1"/>
  <c r="F58" i="5" s="1"/>
  <c r="F59" i="5" s="1"/>
  <c r="G8" i="6" s="1"/>
  <c r="G30" i="5"/>
  <c r="G32" i="5" s="1"/>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<sst xmlns="http://schemas.openxmlformats.org/spreadsheetml/2006/main" count="181" uniqueCount="172">
  <si>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</si>
  <si>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</si>
  <si>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</si>
  <si>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</si>
  <si>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</si>
  <si>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</si>
  <si>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</si>
  <si>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</si>
  <si>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</si>
  <si>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</si>
  <si>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</si>
  <si>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</si>
  <si>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</si>
  <si>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</si>
  <si>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</si>
  <si>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</si>
  <si>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</si>
  <si>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</si>
  <si>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Diagnóstico de madurez analítica</t>
  </si>
  <si>
    <t>AÑO</t>
  </si>
  <si>
    <t>Implementación de dashboards</t>
  </si>
  <si>
    <t>INFLACIÓN</t>
  </si>
  <si>
    <t>Modelo predictivo básico</t>
  </si>
  <si>
    <t>IPP</t>
  </si>
  <si>
    <t>Automatización de reportes</t>
  </si>
  <si>
    <t>Auditoría de calidad de datos</t>
  </si>
  <si>
    <t>TASA IMPTO RENTA</t>
  </si>
  <si>
    <t>Arquitectura de datos</t>
  </si>
  <si>
    <t>Gobierno de datos</t>
  </si>
  <si>
    <t>Curso alfabetización en datos</t>
  </si>
  <si>
    <t>Pack visualizaciones estándar</t>
  </si>
  <si>
    <t>Segmentación de clientes</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</si>
  <si>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</si>
  <si>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</si>
  <si>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</si>
  <si>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</si>
  <si>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</si>
  <si>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</si>
  <si>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</si>
  <si>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</si>
  <si>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</si>
  <si>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</si>
  <si>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</si>
  <si>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</si>
  <si>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</si>
  <si>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</si>
  <si>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</si>
  <si>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</si>
  <si>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</si>
  <si>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</si>
  <si>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</si>
  <si>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</si>
  <si>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</si>
  <si>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</si>
  <si>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</si>
  <si>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</si>
  <si>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</si>
  <si>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</si>
  <si>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</si>
  <si>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</si>
  <si>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</si>
  <si>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</si>
  <si>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</si>
  <si>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</si>
  <si>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</si>
  <si>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</si>
  <si>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</si>
  <si>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</si>
  <si>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</si>
  <si>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</si>
  <si>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</si>
  <si>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</si>
  <si>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web hosting</t>
  </si>
  <si>
    <t xml:space="preserve"> </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</si>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</sst>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quot;-&quot;??_);_(@_)"/>
    <numFmt numFmtId="165" formatCode="&quot;$&quot;#,##0.00;[Red]\-&quot;$&quot;#,##0.00"/>
    <numFmt numFmtId="166" formatCode="&quot;$&quot;\ #,##0.00_);[Red]\(&quot;$&quot;\ #,##0.00\)"/>
    <numFmt numFmtId="167" formatCode="_(&quot;$&quot;\ * #,##0.00_);_(&quot;$&quot;\ * \(#,##0.00\);_(&quot;$&quot;\ *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0">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7"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0" fontId="36" fillId="0" borderId="0" applyNumberFormat="0" applyFill="0" applyBorder="0" applyAlignment="0" applyProtection="0"/>
    <xf numFmtId="0" fontId="20" fillId="0" borderId="0"/>
  </cellStyleXfs>
  <cellXfs count="160">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7"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7" fontId="0" fillId="0" borderId="0" xfId="1" applyFont="1" applyProtection="1">
      <protection hidden="1"/>
    </xf>
    <xf numFmtId="167"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7"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5" xfId="2" applyNumberFormat="1" applyFont="1" applyFill="1" applyBorder="1" applyProtection="1">
      <protection locked="0"/>
    </xf>
    <xf numFmtId="164" fontId="29" fillId="4" borderId="0" xfId="4" applyFont="1" applyFill="1" applyProtection="1">
      <protection locked="0"/>
    </xf>
    <xf numFmtId="177" fontId="29" fillId="4" borderId="0" xfId="4" applyNumberFormat="1" applyFont="1" applyFill="1" applyAlignment="1" applyProtection="1">
      <alignment horizontal="center"/>
      <protection locked="0"/>
    </xf>
    <xf numFmtId="167"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7" fontId="2" fillId="0" borderId="1" xfId="0" applyNumberFormat="1" applyFont="1" applyBorder="1" applyProtection="1">
      <protection hidden="1"/>
    </xf>
    <xf numFmtId="167" fontId="0" fillId="5" borderId="0" xfId="0" applyNumberFormat="1" applyFill="1" applyProtection="1">
      <protection hidden="1"/>
    </xf>
    <xf numFmtId="0" fontId="18" fillId="0" borderId="0" xfId="0" applyFont="1" applyProtection="1">
      <protection hidden="1"/>
    </xf>
    <xf numFmtId="167" fontId="18" fillId="0" borderId="0" xfId="0" applyNumberFormat="1" applyFont="1" applyProtection="1">
      <protection hidden="1"/>
    </xf>
    <xf numFmtId="0" fontId="7" fillId="0" borderId="0" xfId="0" applyFont="1" applyProtection="1">
      <protection hidden="1"/>
    </xf>
    <xf numFmtId="167"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7" fontId="21" fillId="5" borderId="0" xfId="0" applyNumberFormat="1" applyFont="1" applyFill="1" applyProtection="1">
      <protection hidden="1"/>
    </xf>
    <xf numFmtId="167"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7" fontId="6" fillId="0" borderId="0" xfId="0" applyNumberFormat="1" applyFont="1" applyProtection="1">
      <protection hidden="1"/>
    </xf>
    <xf numFmtId="9" fontId="6" fillId="0" borderId="0" xfId="0" applyNumberFormat="1" applyFont="1" applyProtection="1">
      <protection hidden="1"/>
    </xf>
    <xf numFmtId="164" fontId="6" fillId="0" borderId="0" xfId="0" applyNumberFormat="1" applyFont="1" applyProtection="1">
      <protection hidden="1"/>
    </xf>
    <xf numFmtId="164"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4" fontId="35" fillId="0" borderId="0" xfId="4" applyFont="1" applyProtection="1">
      <protection hidden="1"/>
    </xf>
    <xf numFmtId="167" fontId="35" fillId="0" borderId="0" xfId="1" applyFont="1" applyProtection="1">
      <protection hidden="1"/>
    </xf>
    <xf numFmtId="0" fontId="2" fillId="0" borderId="0" xfId="0" applyFont="1" applyProtection="1">
      <protection hidden="1"/>
    </xf>
    <xf numFmtId="164"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5" fontId="0" fillId="0" borderId="0" xfId="0" applyNumberFormat="1" applyProtection="1">
      <protection hidden="1"/>
    </xf>
    <xf numFmtId="0" fontId="20" fillId="0" borderId="0" xfId="6"/>
    <xf numFmtId="178" fontId="20" fillId="0" borderId="0" xfId="6" applyNumberFormat="1"/>
    <xf numFmtId="165"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6"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7" fontId="18" fillId="0" borderId="0" xfId="1" applyFont="1" applyProtection="1">
      <protection hidden="1"/>
    </xf>
    <xf numFmtId="0" fontId="18" fillId="0" borderId="0" xfId="0" applyFont="1" applyAlignment="1" applyProtection="1">
      <alignment horizontal="center"/>
      <protection hidden="1"/>
    </xf>
    <xf numFmtId="167"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11" fillId="0" borderId="4" xfId="0" applyFont="1" applyBorder="1" applyProtection="1">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spPr>
            <a:ln w="28575" cap="rnd">
              <a:solidFill>
                <a:schemeClr val="accent1"/>
              </a:solidFill>
              <a:round/>
            </a:ln>
            <a:effectLst/>
          </c:spPr>
          <c:marker>
            <c:symbol val="none"/>
          </c:marker>
          <c:cat>
            <c:numRef>
              <c:f>'5'!$B$33:$B$35</c:f>
              <c:numCache>
                <c:formatCode>_(* #,##0.00_);_(* \(#,##0.00\);_(* "-"??_);_(@_)</c:formatCode>
                <c:ptCount val="3"/>
                <c:pt idx="0" formatCode="General">
                  <c:v>0</c:v>
                </c:pt>
                <c:pt idx="1">
                  <c:v>186.49018271910805</c:v>
                </c:pt>
                <c:pt idx="2">
                  <c:v>372.9803654382161</c:v>
                </c:pt>
              </c:numCache>
            </c:numRef>
          </c:cat>
          <c:val>
            <c:numRef>
              <c:f>'5'!$C$33:$C$35</c:f>
              <c:numCache>
                <c:formatCode>_("$"\ * #,##0.00_);_("$"\ * \(#,##0.00\);_("$"\ * "-"??_);_(@_)</c:formatCode>
                <c:ptCount val="3"/>
                <c:pt idx="0">
                  <c:v>872720000</c:v>
                </c:pt>
                <c:pt idx="1">
                  <c:v>872720000</c:v>
                </c:pt>
                <c:pt idx="2">
                  <c:v>872720000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spPr>
            <a:ln w="28575" cap="rnd">
              <a:solidFill>
                <a:schemeClr val="accent2"/>
              </a:solidFill>
              <a:round/>
            </a:ln>
            <a:effectLst/>
          </c:spPr>
          <c:marker>
            <c:symbol val="none"/>
          </c:marker>
          <c:cat>
            <c:numRef>
              <c:f>'5'!$B$33:$B$35</c:f>
              <c:numCache>
                <c:formatCode>_(* #,##0.00_);_(* \(#,##0.00\);_(* "-"??_);_(@_)</c:formatCode>
                <c:ptCount val="3"/>
                <c:pt idx="0" formatCode="General">
                  <c:v>0</c:v>
                </c:pt>
                <c:pt idx="1">
                  <c:v>186.49018271910805</c:v>
                </c:pt>
                <c:pt idx="2">
                  <c:v>372.9803654382161</c:v>
                </c:pt>
              </c:numCache>
            </c:numRef>
          </c:cat>
          <c:val>
            <c:numRef>
              <c:f>'5'!$D$33:$D$35</c:f>
              <c:numCache>
                <c:formatCode>_("$"\ * #,##0.00_);_("$"\ * \(#,##0.00\);_("$"\ * "-"??_);_(@_)</c:formatCode>
                <c:ptCount val="3"/>
                <c:pt idx="0" formatCode="General">
                  <c:v>0</c:v>
                </c:pt>
                <c:pt idx="1">
                  <c:v>1190564137.503871</c:v>
                </c:pt>
                <c:pt idx="2">
                  <c:v>2381128275.0077419</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spPr>
            <a:ln w="28575" cap="rnd">
              <a:solidFill>
                <a:schemeClr val="accent3"/>
              </a:solidFill>
              <a:round/>
            </a:ln>
            <a:effectLst/>
          </c:spPr>
          <c:marker>
            <c:symbol val="none"/>
          </c:marker>
          <c:cat>
            <c:numRef>
              <c:f>'5'!$B$33:$B$35</c:f>
              <c:numCache>
                <c:formatCode>_(* #,##0.00_);_(* \(#,##0.00\);_(* "-"??_);_(@_)</c:formatCode>
                <c:ptCount val="3"/>
                <c:pt idx="0" formatCode="General">
                  <c:v>0</c:v>
                </c:pt>
                <c:pt idx="1">
                  <c:v>186.49018271910805</c:v>
                </c:pt>
                <c:pt idx="2">
                  <c:v>372.9803654382161</c:v>
                </c:pt>
              </c:numCache>
            </c:numRef>
          </c:cat>
          <c:val>
            <c:numRef>
              <c:f>'5'!$F$33:$F$35</c:f>
              <c:numCache>
                <c:formatCode>_("$"\ * #,##0.00_);_("$"\ * \(#,##0.00\);_("$"\ * "-"??_);_(@_)</c:formatCode>
                <c:ptCount val="3"/>
                <c:pt idx="0">
                  <c:v>872720000</c:v>
                </c:pt>
                <c:pt idx="1">
                  <c:v>1190564137.5038712</c:v>
                </c:pt>
                <c:pt idx="2">
                  <c:v>1508408275.0077424</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3654528"/>
        <c:crosses val="autoZero"/>
        <c:auto val="1"/>
        <c:lblAlgn val="ctr"/>
        <c:lblOffset val="100"/>
        <c:noMultiLvlLbl val="0"/>
      </c:catAx>
      <c:valAx>
        <c:axId val="12365452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 #,##0.00_);_(&quot;$&quot;\ * \(#,##0.00\);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36404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tabSelected="1" view="pageBreakPreview" zoomScaleNormal="100" zoomScaleSheetLayoutView="100" workbookViewId="0">
      <selection activeCell="G23" sqref="G23:H23"/>
    </sheetView>
  </sheetViews>
  <sheetFormatPr defaultColWidth="11.42578125" defaultRowHeight="15"/>
  <sheetData>
    <row r="23" spans="7:8" ht="20.25">
      <c r="G23" s="135" t="s">
        <v>0</v>
      </c>
      <c r="H23" s="135"/>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Normal="100" workbookViewId="0">
      <selection activeCell="B5" sqref="B5"/>
    </sheetView>
  </sheetViews>
  <sheetFormatPr defaultColWidth="11.42578125" defaultRowHeight="15"/>
  <cols>
    <col min="1" max="1" width="22.5703125" style="8" customWidth="1"/>
    <col min="2" max="2" width="34.5703125" style="8" bestFit="1" customWidth="1"/>
    <col min="3" max="6" width="28.5703125"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37" t="s">
        <v>1</v>
      </c>
      <c r="B1" s="137"/>
      <c r="C1" s="137"/>
      <c r="D1" s="137"/>
      <c r="E1" s="137"/>
      <c r="G1" s="138" t="s">
        <v>2</v>
      </c>
      <c r="H1" s="138"/>
      <c r="I1" s="138"/>
      <c r="J1" s="138"/>
      <c r="P1" s="8" t="s">
        <v>3</v>
      </c>
      <c r="Y1" s="15" t="s">
        <v>4</v>
      </c>
      <c r="Z1" s="49">
        <v>2025</v>
      </c>
      <c r="AA1" s="16"/>
    </row>
    <row r="2" spans="1:29" ht="32.25" customHeight="1" thickBot="1">
      <c r="B2" s="17" t="s">
        <v>5</v>
      </c>
      <c r="C2" s="18" t="s">
        <v>6</v>
      </c>
      <c r="D2" s="17" t="s">
        <v>7</v>
      </c>
      <c r="E2" s="18" t="s">
        <v>8</v>
      </c>
      <c r="F2" s="19" t="s">
        <v>9</v>
      </c>
      <c r="G2" s="20">
        <f>'1'!Z1+1</f>
        <v>2026</v>
      </c>
      <c r="H2" s="20">
        <f>G2+1</f>
        <v>2027</v>
      </c>
      <c r="I2" s="20">
        <f>H2+1</f>
        <v>2028</v>
      </c>
      <c r="J2" s="20">
        <f>I2+1</f>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c r="A3" s="21">
        <v>1</v>
      </c>
      <c r="B3" s="13" t="s">
        <v>18</v>
      </c>
      <c r="C3" s="53">
        <v>36</v>
      </c>
      <c r="D3" s="14">
        <v>8000000</v>
      </c>
      <c r="E3" s="22">
        <f>C3*D3</f>
        <v>288000000</v>
      </c>
      <c r="F3" s="23">
        <f>IF($E$13=0,0,E3/$E$13)</f>
        <v>0.2318840579710145</v>
      </c>
      <c r="G3" s="113">
        <v>0.08</v>
      </c>
      <c r="H3" s="113">
        <v>0.12</v>
      </c>
      <c r="I3" s="113">
        <v>0.15</v>
      </c>
      <c r="J3" s="113">
        <v>0.18</v>
      </c>
      <c r="K3" s="24"/>
      <c r="L3" s="8">
        <f t="shared" ref="L3:L12" si="0">C3*(1+G3)</f>
        <v>38.880000000000003</v>
      </c>
      <c r="M3" s="8">
        <f>L3*(1+H3)</f>
        <v>43.545600000000007</v>
      </c>
      <c r="N3" s="8">
        <f>M3*(1+I3)</f>
        <v>50.077440000000003</v>
      </c>
      <c r="O3" s="8">
        <f>N3*(1+J3)</f>
        <v>59.091379199999999</v>
      </c>
      <c r="P3" s="25">
        <f>D3*(1+'1'!$Z$4)</f>
        <v>8352000</v>
      </c>
      <c r="Q3" s="25">
        <f>P3*(1+'1'!$AA$4)</f>
        <v>8719488</v>
      </c>
      <c r="R3" s="25">
        <f>Q3*(1+'1'!$AB$4)</f>
        <v>9103145.472000001</v>
      </c>
      <c r="S3" s="25">
        <f>R3*(1+'1'!$AC$4)</f>
        <v>9503683.8727680016</v>
      </c>
      <c r="T3" s="26">
        <f>L3*P3</f>
        <v>324725760</v>
      </c>
      <c r="U3" s="26">
        <f>M3*Q3</f>
        <v>379695336.65280008</v>
      </c>
      <c r="V3" s="26">
        <f>N3*R3</f>
        <v>455862221.18535173</v>
      </c>
      <c r="W3" s="26">
        <f>O3*S3</f>
        <v>561585787.52265847</v>
      </c>
      <c r="X3" s="26"/>
      <c r="Y3" s="27" t="s">
        <v>19</v>
      </c>
      <c r="Z3" s="28">
        <f>G2</f>
        <v>2026</v>
      </c>
      <c r="AA3" s="28">
        <f>Z3+1</f>
        <v>2027</v>
      </c>
      <c r="AB3" s="28">
        <f>AA3+1</f>
        <v>2028</v>
      </c>
      <c r="AC3" s="29">
        <f>AB3+1</f>
        <v>2029</v>
      </c>
    </row>
    <row r="4" spans="1:29" ht="23.25">
      <c r="A4" s="21">
        <f>A3+1</f>
        <v>2</v>
      </c>
      <c r="B4" s="13" t="s">
        <v>20</v>
      </c>
      <c r="C4" s="53">
        <v>24</v>
      </c>
      <c r="D4" s="14">
        <v>8000000</v>
      </c>
      <c r="E4" s="22">
        <f t="shared" ref="E4:E12" si="1">C4*D4</f>
        <v>192000000</v>
      </c>
      <c r="F4" s="23">
        <f t="shared" ref="F4:F12" si="2">IF($E$13=0,0,E4/$E$13)</f>
        <v>0.15458937198067632</v>
      </c>
      <c r="G4" s="113">
        <v>0.08</v>
      </c>
      <c r="H4" s="113">
        <v>0.12</v>
      </c>
      <c r="I4" s="113">
        <v>0.15</v>
      </c>
      <c r="J4" s="113">
        <v>0.18</v>
      </c>
      <c r="K4" s="24"/>
      <c r="L4" s="8">
        <f t="shared" si="0"/>
        <v>25.92</v>
      </c>
      <c r="M4" s="8">
        <f t="shared" ref="M4:M12" si="3">L4*(1+H4)</f>
        <v>29.030400000000004</v>
      </c>
      <c r="N4" s="8">
        <f t="shared" ref="N4:N12" si="4">M4*(1+I4)</f>
        <v>33.38496</v>
      </c>
      <c r="O4" s="8">
        <f t="shared" ref="O4:O12" si="5">N4*(1+J4)</f>
        <v>39.394252799999997</v>
      </c>
      <c r="P4" s="25">
        <f>D4*(1+'1'!$Z$4)</f>
        <v>8352000</v>
      </c>
      <c r="Q4" s="25">
        <f>P4*(1+'1'!$AA$4)</f>
        <v>8719488</v>
      </c>
      <c r="R4" s="25">
        <f>Q4*(1+'1'!$AB$4)</f>
        <v>9103145.472000001</v>
      </c>
      <c r="S4" s="25">
        <f>R4*(1+'1'!$AC$4)</f>
        <v>9503683.8727680016</v>
      </c>
      <c r="T4" s="26">
        <f t="shared" ref="T4:T12" si="6">L4*P4</f>
        <v>216483840</v>
      </c>
      <c r="U4" s="26">
        <f t="shared" ref="U4:U12" si="7">M4*Q4</f>
        <v>253130224.43520004</v>
      </c>
      <c r="V4" s="26">
        <f t="shared" ref="V4:V12" si="8">N4*R4</f>
        <v>303908147.45690113</v>
      </c>
      <c r="W4" s="26">
        <f t="shared" ref="W4:W12" si="9">O4*S4</f>
        <v>374390525.01510566</v>
      </c>
      <c r="X4" s="26"/>
      <c r="Y4" s="115" t="s">
        <v>21</v>
      </c>
      <c r="Z4" s="50">
        <v>4.3999999999999997E-2</v>
      </c>
      <c r="AA4" s="50">
        <v>4.3999999999999997E-2</v>
      </c>
      <c r="AB4" s="50">
        <v>4.3999999999999997E-2</v>
      </c>
      <c r="AC4" s="50">
        <v>4.3999999999999997E-2</v>
      </c>
    </row>
    <row r="5" spans="1:29" ht="24" thickBot="1">
      <c r="A5" s="21">
        <f t="shared" ref="A5:A12" si="10">A4+1</f>
        <v>3</v>
      </c>
      <c r="B5" s="13" t="s">
        <v>22</v>
      </c>
      <c r="C5" s="53">
        <v>6</v>
      </c>
      <c r="D5" s="14">
        <v>8000000</v>
      </c>
      <c r="E5" s="22">
        <f t="shared" si="1"/>
        <v>48000000</v>
      </c>
      <c r="F5" s="23">
        <f t="shared" si="2"/>
        <v>3.864734299516908E-2</v>
      </c>
      <c r="G5" s="113">
        <v>0.08</v>
      </c>
      <c r="H5" s="113">
        <v>0.12</v>
      </c>
      <c r="I5" s="113">
        <v>0.15</v>
      </c>
      <c r="J5" s="113">
        <v>0.18</v>
      </c>
      <c r="K5" s="24"/>
      <c r="L5" s="8">
        <f t="shared" si="0"/>
        <v>6.48</v>
      </c>
      <c r="M5" s="8">
        <f t="shared" si="3"/>
        <v>7.2576000000000009</v>
      </c>
      <c r="N5" s="8">
        <f t="shared" si="4"/>
        <v>8.3462399999999999</v>
      </c>
      <c r="O5" s="8">
        <f t="shared" si="5"/>
        <v>9.8485631999999992</v>
      </c>
      <c r="P5" s="25">
        <f>D5*(1+'1'!$Z$4)</f>
        <v>8352000</v>
      </c>
      <c r="Q5" s="25">
        <f>P5*(1+'1'!$AA$4)</f>
        <v>8719488</v>
      </c>
      <c r="R5" s="25">
        <f>Q5*(1+'1'!$AB$4)</f>
        <v>9103145.472000001</v>
      </c>
      <c r="S5" s="25">
        <f>R5*(1+'1'!$AC$4)</f>
        <v>9503683.8727680016</v>
      </c>
      <c r="T5" s="26">
        <f t="shared" si="6"/>
        <v>54120960</v>
      </c>
      <c r="U5" s="26">
        <f t="shared" si="7"/>
        <v>63282556.108800009</v>
      </c>
      <c r="V5" s="26">
        <f t="shared" si="8"/>
        <v>75977036.864225283</v>
      </c>
      <c r="W5" s="26">
        <f t="shared" si="9"/>
        <v>93597631.253776416</v>
      </c>
      <c r="X5" s="26"/>
      <c r="Y5" s="116" t="s">
        <v>23</v>
      </c>
      <c r="Z5" s="51">
        <v>3.8399999999999997E-2</v>
      </c>
      <c r="AA5" s="51">
        <v>3.8399999999999997E-2</v>
      </c>
      <c r="AB5" s="51">
        <v>3.8399999999999997E-2</v>
      </c>
      <c r="AC5" s="51">
        <v>3.8399999999999997E-2</v>
      </c>
    </row>
    <row r="6" spans="1:29" ht="15.75" thickBot="1">
      <c r="A6" s="21">
        <f t="shared" si="10"/>
        <v>4</v>
      </c>
      <c r="B6" s="13" t="s">
        <v>24</v>
      </c>
      <c r="C6" s="53">
        <v>36</v>
      </c>
      <c r="D6" s="14">
        <v>6000000</v>
      </c>
      <c r="E6" s="22">
        <f t="shared" si="1"/>
        <v>216000000</v>
      </c>
      <c r="F6" s="23">
        <f t="shared" si="2"/>
        <v>0.17391304347826086</v>
      </c>
      <c r="G6" s="113">
        <v>0.08</v>
      </c>
      <c r="H6" s="113">
        <v>0.12</v>
      </c>
      <c r="I6" s="113">
        <v>0.15</v>
      </c>
      <c r="J6" s="113">
        <v>0.18</v>
      </c>
      <c r="K6" s="24"/>
      <c r="L6" s="8">
        <f t="shared" si="0"/>
        <v>38.880000000000003</v>
      </c>
      <c r="M6" s="8">
        <f t="shared" si="3"/>
        <v>43.545600000000007</v>
      </c>
      <c r="N6" s="8">
        <f t="shared" si="4"/>
        <v>50.077440000000003</v>
      </c>
      <c r="O6" s="8">
        <f t="shared" si="5"/>
        <v>59.091379199999999</v>
      </c>
      <c r="P6" s="25">
        <f>D6*(1+'1'!$Z$4)</f>
        <v>6264000</v>
      </c>
      <c r="Q6" s="25">
        <f>P6*(1+'1'!$AA$4)</f>
        <v>6539616</v>
      </c>
      <c r="R6" s="25">
        <f>Q6*(1+'1'!$AB$4)</f>
        <v>6827359.1040000003</v>
      </c>
      <c r="S6" s="25">
        <f>R6*(1+'1'!$AC$4)</f>
        <v>7127762.9045760008</v>
      </c>
      <c r="T6" s="26">
        <f t="shared" si="6"/>
        <v>243544320.00000003</v>
      </c>
      <c r="U6" s="26">
        <f t="shared" si="7"/>
        <v>284771502.48960006</v>
      </c>
      <c r="V6" s="26">
        <f t="shared" si="8"/>
        <v>341896665.88901377</v>
      </c>
      <c r="W6" s="26">
        <f t="shared" si="9"/>
        <v>421189340.64199388</v>
      </c>
      <c r="X6" s="26"/>
    </row>
    <row r="7" spans="1:29" ht="24" thickBot="1">
      <c r="A7" s="21">
        <f t="shared" si="10"/>
        <v>5</v>
      </c>
      <c r="B7" s="13" t="s">
        <v>25</v>
      </c>
      <c r="C7" s="53">
        <v>6</v>
      </c>
      <c r="D7" s="14">
        <v>5000000</v>
      </c>
      <c r="E7" s="22">
        <f t="shared" si="1"/>
        <v>30000000</v>
      </c>
      <c r="F7" s="23">
        <f t="shared" si="2"/>
        <v>2.4154589371980676E-2</v>
      </c>
      <c r="G7" s="113">
        <v>0.08</v>
      </c>
      <c r="H7" s="113">
        <v>0.12</v>
      </c>
      <c r="I7" s="113">
        <v>0.15</v>
      </c>
      <c r="J7" s="113">
        <v>0.18</v>
      </c>
      <c r="K7" s="24"/>
      <c r="L7" s="8">
        <f t="shared" si="0"/>
        <v>6.48</v>
      </c>
      <c r="M7" s="8">
        <f t="shared" si="3"/>
        <v>7.2576000000000009</v>
      </c>
      <c r="N7" s="8">
        <f t="shared" si="4"/>
        <v>8.3462399999999999</v>
      </c>
      <c r="O7" s="8">
        <f t="shared" si="5"/>
        <v>9.8485631999999992</v>
      </c>
      <c r="P7" s="25">
        <f>D7*(1+'1'!$Z$4)</f>
        <v>5220000</v>
      </c>
      <c r="Q7" s="25">
        <f>P7*(1+'1'!$AA$4)</f>
        <v>5449680</v>
      </c>
      <c r="R7" s="25">
        <f>Q7*(1+'1'!$AB$4)</f>
        <v>5689465.9199999999</v>
      </c>
      <c r="S7" s="25">
        <f>R7*(1+'1'!$AC$4)</f>
        <v>5939802.4204799999</v>
      </c>
      <c r="T7" s="26">
        <f t="shared" si="6"/>
        <v>33825600</v>
      </c>
      <c r="U7" s="26">
        <f t="shared" si="7"/>
        <v>39551597.568000004</v>
      </c>
      <c r="V7" s="26">
        <f t="shared" si="8"/>
        <v>47485648.0401408</v>
      </c>
      <c r="W7" s="26">
        <f t="shared" si="9"/>
        <v>58498519.533610247</v>
      </c>
      <c r="X7" s="26"/>
      <c r="Y7" s="30" t="s">
        <v>26</v>
      </c>
      <c r="Z7" s="31"/>
      <c r="AA7" s="31"/>
      <c r="AB7" s="52">
        <v>0.27</v>
      </c>
      <c r="AC7" s="32"/>
    </row>
    <row r="8" spans="1:29">
      <c r="A8" s="21">
        <f t="shared" si="10"/>
        <v>6</v>
      </c>
      <c r="B8" s="13" t="s">
        <v>27</v>
      </c>
      <c r="C8" s="53">
        <v>6</v>
      </c>
      <c r="D8" s="14">
        <v>10000000</v>
      </c>
      <c r="E8" s="22">
        <f t="shared" si="1"/>
        <v>60000000</v>
      </c>
      <c r="F8" s="23">
        <f t="shared" si="2"/>
        <v>4.8309178743961352E-2</v>
      </c>
      <c r="G8" s="113">
        <v>0.08</v>
      </c>
      <c r="H8" s="113">
        <v>0.12</v>
      </c>
      <c r="I8" s="113">
        <v>0.15</v>
      </c>
      <c r="J8" s="113">
        <v>0.18</v>
      </c>
      <c r="K8" s="24"/>
      <c r="L8" s="8">
        <f t="shared" si="0"/>
        <v>6.48</v>
      </c>
      <c r="M8" s="8">
        <f t="shared" si="3"/>
        <v>7.2576000000000009</v>
      </c>
      <c r="N8" s="8">
        <f t="shared" si="4"/>
        <v>8.3462399999999999</v>
      </c>
      <c r="O8" s="8">
        <f t="shared" si="5"/>
        <v>9.8485631999999992</v>
      </c>
      <c r="P8" s="25">
        <f>D8*(1+'1'!$Z$4)</f>
        <v>10440000</v>
      </c>
      <c r="Q8" s="25">
        <f>P8*(1+'1'!$AA$4)</f>
        <v>10899360</v>
      </c>
      <c r="R8" s="25">
        <f>Q8*(1+'1'!$AB$4)</f>
        <v>11378931.84</v>
      </c>
      <c r="S8" s="25">
        <f>R8*(1+'1'!$AC$4)</f>
        <v>11879604.84096</v>
      </c>
      <c r="T8" s="26">
        <f t="shared" si="6"/>
        <v>67651200</v>
      </c>
      <c r="U8" s="26">
        <f t="shared" si="7"/>
        <v>79103195.136000007</v>
      </c>
      <c r="V8" s="26">
        <f t="shared" si="8"/>
        <v>94971296.0802816</v>
      </c>
      <c r="W8" s="26">
        <f t="shared" si="9"/>
        <v>116997039.06722049</v>
      </c>
      <c r="X8" s="26"/>
    </row>
    <row r="9" spans="1:29">
      <c r="A9" s="21">
        <f t="shared" si="10"/>
        <v>7</v>
      </c>
      <c r="B9" s="13" t="s">
        <v>28</v>
      </c>
      <c r="C9" s="53">
        <v>6</v>
      </c>
      <c r="D9" s="14">
        <v>7000000</v>
      </c>
      <c r="E9" s="22">
        <f t="shared" si="1"/>
        <v>42000000</v>
      </c>
      <c r="F9" s="23">
        <f t="shared" si="2"/>
        <v>3.3816425120772944E-2</v>
      </c>
      <c r="G9" s="113">
        <v>0.08</v>
      </c>
      <c r="H9" s="113">
        <v>0.12</v>
      </c>
      <c r="I9" s="113">
        <v>0.15</v>
      </c>
      <c r="J9" s="113">
        <v>0.18</v>
      </c>
      <c r="K9" s="24"/>
      <c r="L9" s="8">
        <f t="shared" si="0"/>
        <v>6.48</v>
      </c>
      <c r="M9" s="8">
        <f t="shared" si="3"/>
        <v>7.2576000000000009</v>
      </c>
      <c r="N9" s="8">
        <f t="shared" si="4"/>
        <v>8.3462399999999999</v>
      </c>
      <c r="O9" s="8">
        <f t="shared" si="5"/>
        <v>9.8485631999999992</v>
      </c>
      <c r="P9" s="25">
        <f>D9*(1+'1'!$Z$4)</f>
        <v>7308000</v>
      </c>
      <c r="Q9" s="25">
        <f>P9*(1+'1'!$AA$4)</f>
        <v>7629552</v>
      </c>
      <c r="R9" s="25">
        <f>Q9*(1+'1'!$AB$4)</f>
        <v>7965252.2880000006</v>
      </c>
      <c r="S9" s="25">
        <f>R9*(1+'1'!$AC$4)</f>
        <v>8315723.3886720007</v>
      </c>
      <c r="T9" s="26">
        <f t="shared" si="6"/>
        <v>47355840</v>
      </c>
      <c r="U9" s="26">
        <f t="shared" si="7"/>
        <v>55372236.59520001</v>
      </c>
      <c r="V9" s="26">
        <f t="shared" si="8"/>
        <v>66479907.256197125</v>
      </c>
      <c r="W9" s="26">
        <f t="shared" si="9"/>
        <v>81897927.347054362</v>
      </c>
      <c r="X9" s="26"/>
    </row>
    <row r="10" spans="1:29">
      <c r="A10" s="21">
        <f t="shared" si="10"/>
        <v>8</v>
      </c>
      <c r="B10" s="13" t="s">
        <v>29</v>
      </c>
      <c r="C10" s="53">
        <v>6</v>
      </c>
      <c r="D10" s="14">
        <v>4000000</v>
      </c>
      <c r="E10" s="22">
        <f t="shared" si="1"/>
        <v>24000000</v>
      </c>
      <c r="F10" s="23">
        <f t="shared" si="2"/>
        <v>1.932367149758454E-2</v>
      </c>
      <c r="G10" s="113">
        <v>0.08</v>
      </c>
      <c r="H10" s="113">
        <v>0.12</v>
      </c>
      <c r="I10" s="113">
        <v>0.15</v>
      </c>
      <c r="J10" s="113">
        <v>0.18</v>
      </c>
      <c r="K10" s="24"/>
      <c r="L10" s="8">
        <f t="shared" si="0"/>
        <v>6.48</v>
      </c>
      <c r="M10" s="8">
        <f t="shared" si="3"/>
        <v>7.2576000000000009</v>
      </c>
      <c r="N10" s="8">
        <f t="shared" si="4"/>
        <v>8.3462399999999999</v>
      </c>
      <c r="O10" s="8">
        <f t="shared" si="5"/>
        <v>9.8485631999999992</v>
      </c>
      <c r="P10" s="25">
        <f>D10*(1+'1'!$Z$4)</f>
        <v>4176000</v>
      </c>
      <c r="Q10" s="25">
        <f>P10*(1+'1'!$AA$4)</f>
        <v>4359744</v>
      </c>
      <c r="R10" s="25">
        <f>Q10*(1+'1'!$AB$4)</f>
        <v>4551572.7360000005</v>
      </c>
      <c r="S10" s="25">
        <f>R10*(1+'1'!$AC$4)</f>
        <v>4751841.9363840008</v>
      </c>
      <c r="T10" s="26">
        <f t="shared" si="6"/>
        <v>27060480</v>
      </c>
      <c r="U10" s="26">
        <f t="shared" si="7"/>
        <v>31641278.054400004</v>
      </c>
      <c r="V10" s="26">
        <f t="shared" si="8"/>
        <v>37988518.432112642</v>
      </c>
      <c r="W10" s="26">
        <f t="shared" si="9"/>
        <v>46798815.626888208</v>
      </c>
      <c r="X10" s="26"/>
    </row>
    <row r="11" spans="1:29">
      <c r="A11" s="21">
        <f t="shared" si="10"/>
        <v>9</v>
      </c>
      <c r="B11" s="13" t="s">
        <v>30</v>
      </c>
      <c r="C11" s="53">
        <v>60</v>
      </c>
      <c r="D11" s="14">
        <v>3000000</v>
      </c>
      <c r="E11" s="22">
        <f t="shared" si="1"/>
        <v>180000000</v>
      </c>
      <c r="F11" s="23">
        <f t="shared" si="2"/>
        <v>0.14492753623188406</v>
      </c>
      <c r="G11" s="113">
        <v>0.08</v>
      </c>
      <c r="H11" s="113">
        <v>0.12</v>
      </c>
      <c r="I11" s="113">
        <v>0.15</v>
      </c>
      <c r="J11" s="113">
        <v>0.18</v>
      </c>
      <c r="K11" s="24"/>
      <c r="L11" s="8">
        <f t="shared" si="0"/>
        <v>64.800000000000011</v>
      </c>
      <c r="M11" s="8">
        <f t="shared" si="3"/>
        <v>72.576000000000022</v>
      </c>
      <c r="N11" s="8">
        <f t="shared" si="4"/>
        <v>83.462400000000017</v>
      </c>
      <c r="O11" s="8">
        <f t="shared" si="5"/>
        <v>98.48563200000001</v>
      </c>
      <c r="P11" s="25">
        <f>D11*(1+'1'!$Z$4)</f>
        <v>3132000</v>
      </c>
      <c r="Q11" s="25">
        <f>P11*(1+'1'!$AA$4)</f>
        <v>3269808</v>
      </c>
      <c r="R11" s="25">
        <f>Q11*(1+'1'!$AB$4)</f>
        <v>3413679.5520000001</v>
      </c>
      <c r="S11" s="25">
        <f>R11*(1+'1'!$AC$4)</f>
        <v>3563881.4522880004</v>
      </c>
      <c r="T11" s="26">
        <f t="shared" si="6"/>
        <v>202953600.00000003</v>
      </c>
      <c r="U11" s="26">
        <f t="shared" si="7"/>
        <v>237309585.40800008</v>
      </c>
      <c r="V11" s="26">
        <f t="shared" si="8"/>
        <v>284913888.24084485</v>
      </c>
      <c r="W11" s="26">
        <f t="shared" si="9"/>
        <v>350991117.20166159</v>
      </c>
      <c r="X11" s="26"/>
    </row>
    <row r="12" spans="1:29">
      <c r="A12" s="21">
        <f t="shared" si="10"/>
        <v>10</v>
      </c>
      <c r="B12" s="13" t="s">
        <v>31</v>
      </c>
      <c r="C12" s="53">
        <v>36</v>
      </c>
      <c r="D12" s="14">
        <v>4500000</v>
      </c>
      <c r="E12" s="22">
        <f t="shared" si="1"/>
        <v>162000000</v>
      </c>
      <c r="F12" s="23">
        <f t="shared" si="2"/>
        <v>0.13043478260869565</v>
      </c>
      <c r="G12" s="113">
        <v>0.08</v>
      </c>
      <c r="H12" s="113">
        <v>0.12</v>
      </c>
      <c r="I12" s="113">
        <v>0.15</v>
      </c>
      <c r="J12" s="113">
        <v>0.18</v>
      </c>
      <c r="K12" s="24"/>
      <c r="L12" s="8">
        <f t="shared" si="0"/>
        <v>38.880000000000003</v>
      </c>
      <c r="M12" s="8">
        <f t="shared" si="3"/>
        <v>43.545600000000007</v>
      </c>
      <c r="N12" s="8">
        <f t="shared" si="4"/>
        <v>50.077440000000003</v>
      </c>
      <c r="O12" s="8">
        <f t="shared" si="5"/>
        <v>59.091379199999999</v>
      </c>
      <c r="P12" s="25">
        <f>D12*(1+'1'!$Z$4)</f>
        <v>4698000</v>
      </c>
      <c r="Q12" s="25">
        <f>P12*(1+'1'!$AA$4)</f>
        <v>4904712</v>
      </c>
      <c r="R12" s="25">
        <f>Q12*(1+'1'!$AB$4)</f>
        <v>5120519.3279999997</v>
      </c>
      <c r="S12" s="25">
        <f>R12*(1+'1'!$AC$4)</f>
        <v>5345822.1784319999</v>
      </c>
      <c r="T12" s="26">
        <f t="shared" si="6"/>
        <v>182658240</v>
      </c>
      <c r="U12" s="26">
        <f t="shared" si="7"/>
        <v>213578626.86720005</v>
      </c>
      <c r="V12" s="26">
        <f t="shared" si="8"/>
        <v>256422499.41676033</v>
      </c>
      <c r="W12" s="26">
        <f t="shared" si="9"/>
        <v>315892005.48149538</v>
      </c>
      <c r="X12" s="26"/>
    </row>
    <row r="13" spans="1:29">
      <c r="D13" s="8" t="s">
        <v>32</v>
      </c>
      <c r="E13" s="33">
        <f>SUM(E3:E12)</f>
        <v>1242000000</v>
      </c>
      <c r="F13" s="34">
        <f>SUM(F3:F12)</f>
        <v>1</v>
      </c>
      <c r="T13" s="35">
        <f>SUM(T3:T12)</f>
        <v>1400379840</v>
      </c>
      <c r="U13" s="35">
        <f>SUM(U3:U12)</f>
        <v>1637436139.3152003</v>
      </c>
      <c r="V13" s="35">
        <f>SUM(V3:V12)</f>
        <v>1965905828.8618298</v>
      </c>
      <c r="W13" s="35">
        <f>SUM(W3:W12)</f>
        <v>2421838708.6914649</v>
      </c>
      <c r="X13" s="26"/>
    </row>
    <row r="15" spans="1:29" ht="23.25" customHeight="1">
      <c r="A15" s="137" t="s">
        <v>33</v>
      </c>
      <c r="B15" s="137"/>
      <c r="C15" s="137"/>
      <c r="D15" s="137"/>
      <c r="E15" s="137"/>
      <c r="G15" s="36"/>
    </row>
    <row r="16" spans="1:29" ht="25.5" customHeight="1">
      <c r="B16" s="17" t="s">
        <v>34</v>
      </c>
      <c r="C16" s="37" t="s">
        <v>6</v>
      </c>
      <c r="D16" s="111" t="s">
        <v>35</v>
      </c>
      <c r="E16" s="18" t="s">
        <v>36</v>
      </c>
      <c r="L16" s="8">
        <f>L2</f>
        <v>2026</v>
      </c>
      <c r="M16" s="8">
        <f t="shared" ref="M16:W16" si="11">M2</f>
        <v>2027</v>
      </c>
      <c r="N16" s="8">
        <f t="shared" si="11"/>
        <v>2028</v>
      </c>
      <c r="O16" s="8">
        <f t="shared" si="11"/>
        <v>2029</v>
      </c>
      <c r="P16" s="8" t="str">
        <f t="shared" si="11"/>
        <v>AÑO 2</v>
      </c>
      <c r="Q16" s="8" t="str">
        <f t="shared" si="11"/>
        <v>AÑO 3</v>
      </c>
      <c r="R16" s="8" t="str">
        <f t="shared" si="11"/>
        <v>AÑO 4</v>
      </c>
      <c r="S16" s="8" t="str">
        <f t="shared" si="11"/>
        <v>AÑO 5</v>
      </c>
      <c r="T16" s="8" t="str">
        <f t="shared" si="11"/>
        <v>año 2</v>
      </c>
      <c r="U16" s="8" t="str">
        <f t="shared" si="11"/>
        <v>año 3</v>
      </c>
      <c r="V16" s="8" t="str">
        <f t="shared" si="11"/>
        <v>año 4</v>
      </c>
      <c r="W16" s="8" t="str">
        <f t="shared" si="11"/>
        <v>año 5</v>
      </c>
    </row>
    <row r="17" spans="1:24">
      <c r="A17" s="21">
        <f>A3</f>
        <v>1</v>
      </c>
      <c r="B17" s="92" t="str">
        <f>B3</f>
        <v>Diagnóstico de madurez analítica</v>
      </c>
      <c r="C17" s="39">
        <f>C3</f>
        <v>36</v>
      </c>
      <c r="D17" s="14">
        <v>1000000</v>
      </c>
      <c r="E17" s="22">
        <f>C17*D17</f>
        <v>36000000</v>
      </c>
      <c r="F17" s="23">
        <f>IF($E$27=0,0,E17/$E$27)</f>
        <v>0.10600706713780919</v>
      </c>
      <c r="L17" s="8">
        <f t="shared" ref="L17:L26" si="12">C17*(1+G3)</f>
        <v>38.880000000000003</v>
      </c>
      <c r="M17" s="8">
        <f>L17*(1+H3)</f>
        <v>43.545600000000007</v>
      </c>
      <c r="N17" s="8">
        <f>M17*(1+I3)</f>
        <v>50.077440000000003</v>
      </c>
      <c r="O17" s="8">
        <f>N17*(1+J3)</f>
        <v>59.091379199999999</v>
      </c>
      <c r="P17" s="40">
        <f>D17*(1+'1'!$Z$5)</f>
        <v>1038400</v>
      </c>
      <c r="Q17" s="25">
        <f>P17*(1+'1'!$AA$5)</f>
        <v>1078274.5600000001</v>
      </c>
      <c r="R17" s="25">
        <f>Q17*(1+'1'!$AB$5)</f>
        <v>1119680.3031039999</v>
      </c>
      <c r="S17" s="25">
        <f>R17*(1+'1'!$AC$5)</f>
        <v>1162676.0267431936</v>
      </c>
      <c r="T17" s="40">
        <f t="shared" ref="T17:U19" si="13">L17*P17</f>
        <v>40372992</v>
      </c>
      <c r="U17" s="26">
        <f t="shared" si="13"/>
        <v>46954112.679936014</v>
      </c>
      <c r="V17" s="26">
        <f>N17*R17</f>
        <v>56070723.19787237</v>
      </c>
      <c r="W17" s="26">
        <f>O17*S17</f>
        <v>68704129.983031392</v>
      </c>
      <c r="X17" s="26"/>
    </row>
    <row r="18" spans="1:24">
      <c r="A18" s="21">
        <f t="shared" ref="A18:B25" si="14">A4</f>
        <v>2</v>
      </c>
      <c r="B18" s="41" t="str">
        <f t="shared" si="14"/>
        <v>Implementación de dashboards</v>
      </c>
      <c r="C18" s="39">
        <f t="shared" ref="C18:C26" si="15">C4</f>
        <v>24</v>
      </c>
      <c r="D18" s="14">
        <v>2500000</v>
      </c>
      <c r="E18" s="22">
        <f t="shared" ref="E18:E26" si="16">C18*D18</f>
        <v>60000000</v>
      </c>
      <c r="F18" s="23">
        <f t="shared" ref="F18:F26" si="17">IF($E$27=0,0,E18/$E$27)</f>
        <v>0.17667844522968199</v>
      </c>
      <c r="L18" s="8">
        <f t="shared" si="12"/>
        <v>25.92</v>
      </c>
      <c r="M18" s="8">
        <f t="shared" ref="M18:M26" si="18">L18*(1+H4)</f>
        <v>29.030400000000004</v>
      </c>
      <c r="N18" s="8">
        <f t="shared" ref="N18:N26" si="19">M18*(1+I4)</f>
        <v>33.38496</v>
      </c>
      <c r="O18" s="8">
        <f t="shared" ref="O18:O26" si="20">N18*(1+J4)</f>
        <v>39.394252799999997</v>
      </c>
      <c r="P18" s="40">
        <f>D18*(1+'1'!$Z$5)</f>
        <v>2596000</v>
      </c>
      <c r="Q18" s="25">
        <f>P18*(1+'1'!$AA$5)</f>
        <v>2695686.4</v>
      </c>
      <c r="R18" s="25">
        <f>Q18*(1+'1'!$AB$5)</f>
        <v>2799200.7577599999</v>
      </c>
      <c r="S18" s="25">
        <f>R18*(1+'1'!$AC$5)</f>
        <v>2906690.0668579838</v>
      </c>
      <c r="T18" s="40">
        <f t="shared" si="13"/>
        <v>67288320</v>
      </c>
      <c r="U18" s="26">
        <f t="shared" si="13"/>
        <v>78256854.466560006</v>
      </c>
      <c r="V18" s="26">
        <f t="shared" ref="V18:V26" si="21">N18*R18</f>
        <v>93451205.329787284</v>
      </c>
      <c r="W18" s="26">
        <f t="shared" ref="W18:W26" si="22">O18*S18</f>
        <v>114506883.30505231</v>
      </c>
      <c r="X18" s="26"/>
    </row>
    <row r="19" spans="1:24">
      <c r="A19" s="21">
        <f t="shared" si="14"/>
        <v>3</v>
      </c>
      <c r="B19" s="41" t="str">
        <f t="shared" si="14"/>
        <v>Modelo predictivo básico</v>
      </c>
      <c r="C19" s="39">
        <f t="shared" si="15"/>
        <v>6</v>
      </c>
      <c r="D19" s="14">
        <v>3000000</v>
      </c>
      <c r="E19" s="22">
        <f t="shared" si="16"/>
        <v>18000000</v>
      </c>
      <c r="F19" s="23">
        <f t="shared" si="17"/>
        <v>5.3003533568904596E-2</v>
      </c>
      <c r="L19" s="8">
        <f t="shared" si="12"/>
        <v>6.48</v>
      </c>
      <c r="M19" s="8">
        <f t="shared" si="18"/>
        <v>7.2576000000000009</v>
      </c>
      <c r="N19" s="8">
        <f t="shared" si="19"/>
        <v>8.3462399999999999</v>
      </c>
      <c r="O19" s="8">
        <f t="shared" si="20"/>
        <v>9.8485631999999992</v>
      </c>
      <c r="P19" s="40">
        <f>D19*(1+'1'!$Z$5)</f>
        <v>3115200</v>
      </c>
      <c r="Q19" s="25">
        <f>P19*(1+'1'!$AA$5)</f>
        <v>3234823.68</v>
      </c>
      <c r="R19" s="25">
        <f>Q19*(1+'1'!$AB$5)</f>
        <v>3359040.909312</v>
      </c>
      <c r="S19" s="25">
        <f>R19*(1+'1'!$AC$5)</f>
        <v>3488028.0802295809</v>
      </c>
      <c r="T19" s="40">
        <f t="shared" si="13"/>
        <v>20186496</v>
      </c>
      <c r="U19" s="26">
        <f t="shared" si="13"/>
        <v>23477056.339968003</v>
      </c>
      <c r="V19" s="26">
        <f t="shared" si="21"/>
        <v>28035361.598936185</v>
      </c>
      <c r="W19" s="26">
        <f t="shared" si="22"/>
        <v>34352064.991515696</v>
      </c>
      <c r="X19" s="26"/>
    </row>
    <row r="20" spans="1:24">
      <c r="A20" s="21">
        <f t="shared" si="14"/>
        <v>4</v>
      </c>
      <c r="B20" s="41" t="str">
        <f t="shared" si="14"/>
        <v>Automatización de reportes</v>
      </c>
      <c r="C20" s="39">
        <f t="shared" si="15"/>
        <v>36</v>
      </c>
      <c r="D20" s="14">
        <v>1500000</v>
      </c>
      <c r="E20" s="22">
        <f t="shared" si="16"/>
        <v>54000000</v>
      </c>
      <c r="F20" s="23">
        <f t="shared" si="17"/>
        <v>0.15901060070671377</v>
      </c>
      <c r="L20" s="8">
        <f t="shared" si="12"/>
        <v>38.880000000000003</v>
      </c>
      <c r="M20" s="8">
        <f t="shared" si="18"/>
        <v>43.545600000000007</v>
      </c>
      <c r="N20" s="8">
        <f t="shared" si="19"/>
        <v>50.077440000000003</v>
      </c>
      <c r="O20" s="8">
        <f t="shared" si="20"/>
        <v>59.091379199999999</v>
      </c>
      <c r="P20" s="40">
        <f>D20*(1+'1'!$Z$5)</f>
        <v>1557600</v>
      </c>
      <c r="Q20" s="25">
        <f>P20*(1+'1'!$AA$5)</f>
        <v>1617411.84</v>
      </c>
      <c r="R20" s="25">
        <f>Q20*(1+'1'!$AB$5)</f>
        <v>1679520.454656</v>
      </c>
      <c r="S20" s="25">
        <f>R20*(1+'1'!$AC$5)</f>
        <v>1744014.0401147904</v>
      </c>
      <c r="T20" s="40">
        <f t="shared" ref="T20:T26" si="23">L20*P20</f>
        <v>60559488.000000007</v>
      </c>
      <c r="U20" s="26">
        <f t="shared" ref="U20:U26" si="24">M20*Q20</f>
        <v>70431169.019904017</v>
      </c>
      <c r="V20" s="26">
        <f t="shared" si="21"/>
        <v>84106084.796808571</v>
      </c>
      <c r="W20" s="26">
        <f t="shared" si="22"/>
        <v>103056194.97454709</v>
      </c>
      <c r="X20" s="26"/>
    </row>
    <row r="21" spans="1:24">
      <c r="A21" s="21">
        <f t="shared" si="14"/>
        <v>5</v>
      </c>
      <c r="B21" s="41" t="str">
        <f t="shared" si="14"/>
        <v>Auditoría de calidad de datos</v>
      </c>
      <c r="C21" s="39">
        <f t="shared" si="15"/>
        <v>6</v>
      </c>
      <c r="D21" s="14">
        <v>2000000</v>
      </c>
      <c r="E21" s="22">
        <f t="shared" si="16"/>
        <v>12000000</v>
      </c>
      <c r="F21" s="23">
        <f t="shared" si="17"/>
        <v>3.5335689045936397E-2</v>
      </c>
      <c r="L21" s="8">
        <f t="shared" si="12"/>
        <v>6.48</v>
      </c>
      <c r="M21" s="8">
        <f t="shared" si="18"/>
        <v>7.2576000000000009</v>
      </c>
      <c r="N21" s="8">
        <f t="shared" si="19"/>
        <v>8.3462399999999999</v>
      </c>
      <c r="O21" s="8">
        <f t="shared" si="20"/>
        <v>9.8485631999999992</v>
      </c>
      <c r="P21" s="40">
        <f>D21*(1+'1'!$Z$5)</f>
        <v>2076800</v>
      </c>
      <c r="Q21" s="25">
        <f>P21*(1+'1'!$AA$5)</f>
        <v>2156549.1200000001</v>
      </c>
      <c r="R21" s="25">
        <f>Q21*(1+'1'!$AB$5)</f>
        <v>2239360.6062079999</v>
      </c>
      <c r="S21" s="25">
        <f>R21*(1+'1'!$AC$5)</f>
        <v>2325352.0534863872</v>
      </c>
      <c r="T21" s="40">
        <f t="shared" si="23"/>
        <v>13457664</v>
      </c>
      <c r="U21" s="26">
        <f t="shared" si="24"/>
        <v>15651370.893312003</v>
      </c>
      <c r="V21" s="26">
        <f t="shared" si="21"/>
        <v>18690241.065957457</v>
      </c>
      <c r="W21" s="26">
        <f t="shared" si="22"/>
        <v>22901376.661010463</v>
      </c>
      <c r="X21" s="26"/>
    </row>
    <row r="22" spans="1:24">
      <c r="A22" s="21">
        <f t="shared" si="14"/>
        <v>6</v>
      </c>
      <c r="B22" s="41" t="str">
        <f t="shared" si="14"/>
        <v>Arquitectura de datos</v>
      </c>
      <c r="C22" s="39">
        <f t="shared" si="15"/>
        <v>6</v>
      </c>
      <c r="D22" s="14">
        <v>4000000</v>
      </c>
      <c r="E22" s="22">
        <f t="shared" si="16"/>
        <v>24000000</v>
      </c>
      <c r="F22" s="23">
        <f t="shared" si="17"/>
        <v>7.0671378091872794E-2</v>
      </c>
      <c r="L22" s="8">
        <f t="shared" si="12"/>
        <v>6.48</v>
      </c>
      <c r="M22" s="8">
        <f t="shared" si="18"/>
        <v>7.2576000000000009</v>
      </c>
      <c r="N22" s="8">
        <f t="shared" si="19"/>
        <v>8.3462399999999999</v>
      </c>
      <c r="O22" s="8">
        <f t="shared" si="20"/>
        <v>9.8485631999999992</v>
      </c>
      <c r="P22" s="40">
        <f>D22*(1+'1'!$Z$5)</f>
        <v>4153600</v>
      </c>
      <c r="Q22" s="25">
        <f>P22*(1+'1'!$AA$5)</f>
        <v>4313098.2400000002</v>
      </c>
      <c r="R22" s="25">
        <f>Q22*(1+'1'!$AB$5)</f>
        <v>4478721.2124159997</v>
      </c>
      <c r="S22" s="25">
        <f>R22*(1+'1'!$AC$5)</f>
        <v>4650704.1069727745</v>
      </c>
      <c r="T22" s="40">
        <f t="shared" si="23"/>
        <v>26915328</v>
      </c>
      <c r="U22" s="26">
        <f t="shared" si="24"/>
        <v>31302741.786624007</v>
      </c>
      <c r="V22" s="26">
        <f t="shared" si="21"/>
        <v>37380482.131914914</v>
      </c>
      <c r="W22" s="26">
        <f t="shared" si="22"/>
        <v>45802753.322020926</v>
      </c>
      <c r="X22" s="26"/>
    </row>
    <row r="23" spans="1:24">
      <c r="A23" s="21">
        <f t="shared" si="14"/>
        <v>7</v>
      </c>
      <c r="B23" s="41" t="str">
        <f t="shared" si="14"/>
        <v>Gobierno de datos</v>
      </c>
      <c r="C23" s="39">
        <f t="shared" si="15"/>
        <v>6</v>
      </c>
      <c r="D23" s="14">
        <v>3000000</v>
      </c>
      <c r="E23" s="22">
        <f t="shared" si="16"/>
        <v>18000000</v>
      </c>
      <c r="F23" s="23">
        <f t="shared" si="17"/>
        <v>5.3003533568904596E-2</v>
      </c>
      <c r="L23" s="8">
        <f t="shared" si="12"/>
        <v>6.48</v>
      </c>
      <c r="M23" s="8">
        <f t="shared" si="18"/>
        <v>7.2576000000000009</v>
      </c>
      <c r="N23" s="8">
        <f t="shared" si="19"/>
        <v>8.3462399999999999</v>
      </c>
      <c r="O23" s="8">
        <f t="shared" si="20"/>
        <v>9.8485631999999992</v>
      </c>
      <c r="P23" s="40">
        <f>D23*(1+'1'!$Z$5)</f>
        <v>3115200</v>
      </c>
      <c r="Q23" s="25">
        <f>P23*(1+'1'!$AA$5)</f>
        <v>3234823.68</v>
      </c>
      <c r="R23" s="25">
        <f>Q23*(1+'1'!$AB$5)</f>
        <v>3359040.909312</v>
      </c>
      <c r="S23" s="25">
        <f>R23*(1+'1'!$AC$5)</f>
        <v>3488028.0802295809</v>
      </c>
      <c r="T23" s="40">
        <f t="shared" si="23"/>
        <v>20186496</v>
      </c>
      <c r="U23" s="26">
        <f t="shared" si="24"/>
        <v>23477056.339968003</v>
      </c>
      <c r="V23" s="26">
        <f t="shared" si="21"/>
        <v>28035361.598936185</v>
      </c>
      <c r="W23" s="26">
        <f t="shared" si="22"/>
        <v>34352064.991515696</v>
      </c>
      <c r="X23" s="26"/>
    </row>
    <row r="24" spans="1:24">
      <c r="A24" s="21">
        <f t="shared" si="14"/>
        <v>8</v>
      </c>
      <c r="B24" s="41" t="str">
        <f t="shared" si="14"/>
        <v>Curso alfabetización en datos</v>
      </c>
      <c r="C24" s="39">
        <f t="shared" si="15"/>
        <v>6</v>
      </c>
      <c r="D24" s="14">
        <v>800000</v>
      </c>
      <c r="E24" s="22">
        <f t="shared" si="16"/>
        <v>4800000</v>
      </c>
      <c r="F24" s="23">
        <f t="shared" si="17"/>
        <v>1.4134275618374558E-2</v>
      </c>
      <c r="L24" s="8">
        <f t="shared" si="12"/>
        <v>6.48</v>
      </c>
      <c r="M24" s="8">
        <f t="shared" si="18"/>
        <v>7.2576000000000009</v>
      </c>
      <c r="N24" s="8">
        <f t="shared" si="19"/>
        <v>8.3462399999999999</v>
      </c>
      <c r="O24" s="8">
        <f t="shared" si="20"/>
        <v>9.8485631999999992</v>
      </c>
      <c r="P24" s="40">
        <f>D24*(1+'1'!$Z$5)</f>
        <v>830720</v>
      </c>
      <c r="Q24" s="25">
        <f>P24*(1+'1'!$AA$5)</f>
        <v>862619.64800000004</v>
      </c>
      <c r="R24" s="25">
        <f>Q24*(1+'1'!$AB$5)</f>
        <v>895744.24248320004</v>
      </c>
      <c r="S24" s="25">
        <f>R24*(1+'1'!$AC$5)</f>
        <v>930140.82139455492</v>
      </c>
      <c r="T24" s="40">
        <f t="shared" si="23"/>
        <v>5383065.6000000006</v>
      </c>
      <c r="U24" s="26">
        <f t="shared" si="24"/>
        <v>6260548.3573248014</v>
      </c>
      <c r="V24" s="26">
        <f t="shared" si="21"/>
        <v>7476096.4263829831</v>
      </c>
      <c r="W24" s="26">
        <f t="shared" si="22"/>
        <v>9160550.6644041855</v>
      </c>
      <c r="X24" s="26"/>
    </row>
    <row r="25" spans="1:24">
      <c r="A25" s="21">
        <f t="shared" si="14"/>
        <v>9</v>
      </c>
      <c r="B25" s="41" t="str">
        <f t="shared" si="14"/>
        <v>Pack visualizaciones estándar</v>
      </c>
      <c r="C25" s="39">
        <f t="shared" si="15"/>
        <v>60</v>
      </c>
      <c r="D25" s="14">
        <v>800000</v>
      </c>
      <c r="E25" s="22">
        <f t="shared" si="16"/>
        <v>48000000</v>
      </c>
      <c r="F25" s="23">
        <f t="shared" si="17"/>
        <v>0.14134275618374559</v>
      </c>
      <c r="L25" s="8">
        <f t="shared" si="12"/>
        <v>64.800000000000011</v>
      </c>
      <c r="M25" s="8">
        <f t="shared" si="18"/>
        <v>72.576000000000022</v>
      </c>
      <c r="N25" s="8">
        <f t="shared" si="19"/>
        <v>83.462400000000017</v>
      </c>
      <c r="O25" s="8">
        <f t="shared" si="20"/>
        <v>98.48563200000001</v>
      </c>
      <c r="P25" s="40">
        <f>D25*(1+'1'!$Z$5)</f>
        <v>830720</v>
      </c>
      <c r="Q25" s="25">
        <f>P25*(1+'1'!$AA$5)</f>
        <v>862619.64800000004</v>
      </c>
      <c r="R25" s="25">
        <f>Q25*(1+'1'!$AB$5)</f>
        <v>895744.24248320004</v>
      </c>
      <c r="S25" s="25">
        <f>R25*(1+'1'!$AC$5)</f>
        <v>930140.82139455492</v>
      </c>
      <c r="T25" s="40">
        <f t="shared" si="23"/>
        <v>53830656.000000007</v>
      </c>
      <c r="U25" s="26">
        <f t="shared" si="24"/>
        <v>62605483.573248021</v>
      </c>
      <c r="V25" s="26">
        <f t="shared" si="21"/>
        <v>74760964.263829857</v>
      </c>
      <c r="W25" s="26">
        <f t="shared" si="22"/>
        <v>91605506.644041866</v>
      </c>
      <c r="X25" s="26"/>
    </row>
    <row r="26" spans="1:24">
      <c r="A26" s="21">
        <f>A12</f>
        <v>10</v>
      </c>
      <c r="B26" s="41" t="str">
        <f>B12</f>
        <v>Segmentación de clientes</v>
      </c>
      <c r="C26" s="39">
        <f t="shared" si="15"/>
        <v>36</v>
      </c>
      <c r="D26" s="14">
        <v>1800000</v>
      </c>
      <c r="E26" s="22">
        <f t="shared" si="16"/>
        <v>64800000</v>
      </c>
      <c r="F26" s="23">
        <f t="shared" si="17"/>
        <v>0.19081272084805653</v>
      </c>
      <c r="L26" s="8">
        <f t="shared" si="12"/>
        <v>38.880000000000003</v>
      </c>
      <c r="M26" s="8">
        <f t="shared" si="18"/>
        <v>43.545600000000007</v>
      </c>
      <c r="N26" s="8">
        <f t="shared" si="19"/>
        <v>50.077440000000003</v>
      </c>
      <c r="O26" s="8">
        <f t="shared" si="20"/>
        <v>59.091379199999999</v>
      </c>
      <c r="P26" s="40">
        <f>D26*(1+'1'!$Z$5)</f>
        <v>1869120</v>
      </c>
      <c r="Q26" s="25">
        <f>P26*(1+'1'!$AA$5)</f>
        <v>1940894.2079999999</v>
      </c>
      <c r="R26" s="25">
        <f>Q26*(1+'1'!$AB$5)</f>
        <v>2015424.5455871997</v>
      </c>
      <c r="S26" s="25">
        <f>R26*(1+'1'!$AC$5)</f>
        <v>2092816.8481377482</v>
      </c>
      <c r="T26" s="40">
        <f t="shared" si="23"/>
        <v>72671385.600000009</v>
      </c>
      <c r="U26" s="26">
        <f t="shared" si="24"/>
        <v>84517402.823884815</v>
      </c>
      <c r="V26" s="26">
        <f t="shared" si="21"/>
        <v>100927301.75617027</v>
      </c>
      <c r="W26" s="26">
        <f t="shared" si="22"/>
        <v>123667433.96945649</v>
      </c>
      <c r="X26" s="26"/>
    </row>
    <row r="27" spans="1:24">
      <c r="D27" s="8" t="str">
        <f>D13</f>
        <v>TOTAL</v>
      </c>
      <c r="E27" s="33">
        <f>SUM(E17:E26)</f>
        <v>339600000</v>
      </c>
      <c r="F27" s="34">
        <f>SUM(F17:F26)</f>
        <v>1</v>
      </c>
      <c r="T27" s="35">
        <f>SUM(T17:T26)</f>
        <v>380851891.20000005</v>
      </c>
      <c r="U27" s="35">
        <f>SUM(U17:U26)</f>
        <v>442933796.28072965</v>
      </c>
      <c r="V27" s="35">
        <f>SUM(V17:V26)</f>
        <v>528933822.16659606</v>
      </c>
      <c r="W27" s="35">
        <f>SUM(W17:W26)</f>
        <v>648108959.50659609</v>
      </c>
      <c r="X27" s="26"/>
    </row>
    <row r="30" spans="1:24">
      <c r="A30" s="136" t="s">
        <v>37</v>
      </c>
      <c r="B30" s="136"/>
      <c r="C30" s="136"/>
      <c r="D30" s="136"/>
      <c r="E30" s="136"/>
      <c r="F30" s="136"/>
    </row>
    <row r="31" spans="1:24" ht="26.2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c r="A32" s="45" t="s">
        <v>38</v>
      </c>
      <c r="B32" s="46">
        <f>'1'!E13</f>
        <v>1242000000</v>
      </c>
      <c r="C32" s="47">
        <f>'1'!T13</f>
        <v>1400379840</v>
      </c>
      <c r="D32" s="47">
        <f>'1'!U13</f>
        <v>1637436139.3152003</v>
      </c>
      <c r="E32" s="47">
        <f>'1'!V13</f>
        <v>1965905828.8618298</v>
      </c>
      <c r="F32" s="47">
        <f>'1'!W13</f>
        <v>2421838708.6914649</v>
      </c>
    </row>
    <row r="33" spans="1:6">
      <c r="A33" s="45" t="s">
        <v>39</v>
      </c>
      <c r="B33" s="46">
        <f>'1'!E27</f>
        <v>339600000</v>
      </c>
      <c r="C33" s="46">
        <f>'1'!T27</f>
        <v>380851891.20000005</v>
      </c>
      <c r="D33" s="46">
        <f>'1'!U27</f>
        <v>442933796.28072965</v>
      </c>
      <c r="E33" s="46">
        <f>'1'!V27</f>
        <v>528933822.16659606</v>
      </c>
      <c r="F33" s="46">
        <f>'1'!W27</f>
        <v>648108959.50659609</v>
      </c>
    </row>
    <row r="34" spans="1:6" ht="21" thickBot="1">
      <c r="A34" s="48" t="s">
        <v>40</v>
      </c>
      <c r="B34" s="114">
        <f>B32-B33</f>
        <v>902400000</v>
      </c>
      <c r="C34" s="114">
        <f>C32-C33</f>
        <v>1019527948.8</v>
      </c>
      <c r="D34" s="114">
        <f>D32-D33</f>
        <v>1194502343.0344706</v>
      </c>
      <c r="E34" s="114">
        <f>E32-E33</f>
        <v>1436972006.6952338</v>
      </c>
      <c r="F34" s="114">
        <f>F32-F33</f>
        <v>1773729749.1848688</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topLeftCell="B1" workbookViewId="0">
      <pane ySplit="14" topLeftCell="A15" activePane="bottomLeft" state="frozenSplit"/>
      <selection pane="bottomLeft" activeCell="C32" sqref="C32"/>
      <selection activeCell="B40" sqref="B40"/>
    </sheetView>
  </sheetViews>
  <sheetFormatPr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c r="B1" s="139" t="s">
        <v>41</v>
      </c>
      <c r="C1" s="139"/>
      <c r="D1" s="139"/>
      <c r="E1" s="139"/>
      <c r="F1" s="139"/>
      <c r="G1" s="139"/>
      <c r="H1" s="139"/>
    </row>
    <row r="2" spans="2:8" ht="3.75" customHeight="1">
      <c r="B2" s="139"/>
      <c r="C2" s="139"/>
      <c r="D2" s="139"/>
      <c r="E2" s="139"/>
      <c r="F2" s="139"/>
      <c r="G2" s="139"/>
      <c r="H2" s="139"/>
    </row>
    <row r="3" spans="2:8">
      <c r="C3" s="21" t="s">
        <v>42</v>
      </c>
      <c r="F3" s="71" t="s">
        <v>43</v>
      </c>
      <c r="G3" s="71"/>
    </row>
    <row r="4" spans="2:8">
      <c r="B4" s="48" t="s">
        <v>44</v>
      </c>
      <c r="C4" s="14">
        <v>0</v>
      </c>
      <c r="F4" s="71"/>
      <c r="G4" s="71"/>
    </row>
    <row r="5" spans="2:8">
      <c r="B5" s="48" t="s">
        <v>45</v>
      </c>
      <c r="C5" s="14">
        <v>112500000</v>
      </c>
      <c r="F5" s="71">
        <v>10</v>
      </c>
      <c r="G5" s="72">
        <f t="shared" ref="G5:G11" si="0">C5/F5</f>
        <v>11250000</v>
      </c>
    </row>
    <row r="6" spans="2:8">
      <c r="B6" s="48" t="s">
        <v>46</v>
      </c>
      <c r="C6" s="14">
        <v>5000000</v>
      </c>
      <c r="F6" s="71">
        <v>5</v>
      </c>
      <c r="G6" s="72">
        <f t="shared" si="0"/>
        <v>1000000</v>
      </c>
    </row>
    <row r="7" spans="2:8">
      <c r="B7" s="48" t="s">
        <v>47</v>
      </c>
      <c r="C7" s="14">
        <v>3000000</v>
      </c>
      <c r="F7" s="71">
        <v>5</v>
      </c>
      <c r="G7" s="72">
        <f t="shared" si="0"/>
        <v>600000</v>
      </c>
    </row>
    <row r="8" spans="2:8">
      <c r="B8" s="48" t="s">
        <v>48</v>
      </c>
      <c r="C8" s="14">
        <v>0</v>
      </c>
      <c r="F8" s="71">
        <v>5</v>
      </c>
      <c r="G8" s="72">
        <f t="shared" si="0"/>
        <v>0</v>
      </c>
    </row>
    <row r="9" spans="2:8">
      <c r="B9" s="48" t="s">
        <v>49</v>
      </c>
      <c r="C9" s="14">
        <v>0</v>
      </c>
      <c r="F9" s="71">
        <v>5</v>
      </c>
      <c r="G9" s="72">
        <f t="shared" si="0"/>
        <v>0</v>
      </c>
    </row>
    <row r="10" spans="2:8">
      <c r="B10" s="48" t="s">
        <v>50</v>
      </c>
      <c r="C10" s="14">
        <v>1500000</v>
      </c>
      <c r="F10" s="71">
        <v>5</v>
      </c>
      <c r="G10" s="72">
        <f t="shared" si="0"/>
        <v>300000</v>
      </c>
    </row>
    <row r="11" spans="2:8">
      <c r="B11" s="48" t="s">
        <v>51</v>
      </c>
      <c r="C11" s="14">
        <v>4400000</v>
      </c>
      <c r="F11" s="71">
        <v>5</v>
      </c>
      <c r="G11" s="72">
        <f t="shared" si="0"/>
        <v>880000</v>
      </c>
    </row>
    <row r="12" spans="2:8" ht="16.5" thickBot="1">
      <c r="B12" s="73" t="s">
        <v>52</v>
      </c>
      <c r="C12" s="74">
        <f>SUM(C4:C11)</f>
        <v>126400000</v>
      </c>
      <c r="F12" s="71"/>
      <c r="G12" s="72">
        <f>SUM(G5:G11)</f>
        <v>14030000</v>
      </c>
    </row>
    <row r="13" spans="2:8">
      <c r="B13" s="140" t="s">
        <v>53</v>
      </c>
      <c r="C13" s="141"/>
      <c r="D13" s="141"/>
      <c r="E13" s="141"/>
      <c r="F13" s="141"/>
      <c r="G13" s="141"/>
      <c r="H13" s="142"/>
    </row>
    <row r="14" spans="2:8" ht="15.75" thickBot="1">
      <c r="B14" s="143"/>
      <c r="C14" s="144"/>
      <c r="D14" s="144"/>
      <c r="E14" s="144"/>
      <c r="F14" s="144"/>
      <c r="G14" s="144"/>
      <c r="H14" s="145"/>
    </row>
    <row r="15" spans="2:8">
      <c r="B15" s="75"/>
      <c r="C15" s="75"/>
      <c r="D15" s="75"/>
      <c r="E15" s="75"/>
      <c r="F15" s="75"/>
      <c r="G15" s="75"/>
      <c r="H15" s="75"/>
    </row>
    <row r="16" spans="2:8">
      <c r="B16" s="73" t="s">
        <v>54</v>
      </c>
      <c r="E16" s="73" t="s">
        <v>55</v>
      </c>
      <c r="F16" s="38"/>
    </row>
    <row r="17" spans="2:6">
      <c r="C17" s="73" t="s">
        <v>56</v>
      </c>
      <c r="F17" s="73" t="str">
        <f>C17</f>
        <v>VALOR AÑO 1</v>
      </c>
    </row>
    <row r="18" spans="2:6">
      <c r="B18" s="76" t="s">
        <v>57</v>
      </c>
      <c r="C18" s="14">
        <v>300000000</v>
      </c>
      <c r="E18" s="77" t="s">
        <v>58</v>
      </c>
      <c r="F18" s="14">
        <v>4800000</v>
      </c>
    </row>
    <row r="19" spans="2:6">
      <c r="C19" s="78"/>
      <c r="E19" s="77" t="s">
        <v>59</v>
      </c>
      <c r="F19" s="14">
        <v>0</v>
      </c>
    </row>
    <row r="20" spans="2:6">
      <c r="B20" s="76" t="s">
        <v>60</v>
      </c>
      <c r="C20" s="14">
        <v>84000000</v>
      </c>
      <c r="E20" s="77" t="s">
        <v>61</v>
      </c>
      <c r="F20" s="14">
        <v>4320000</v>
      </c>
    </row>
    <row r="21" spans="2:6">
      <c r="C21" s="78"/>
      <c r="E21" s="77" t="s">
        <v>62</v>
      </c>
      <c r="F21" s="14">
        <v>6000000</v>
      </c>
    </row>
    <row r="22" spans="2:6">
      <c r="B22" s="76" t="s">
        <v>63</v>
      </c>
      <c r="C22" s="14">
        <v>450000000</v>
      </c>
      <c r="E22" s="77" t="s">
        <v>64</v>
      </c>
      <c r="F22" s="14">
        <v>600000</v>
      </c>
    </row>
    <row r="23" spans="2:6" ht="15.75">
      <c r="B23" s="8" t="s">
        <v>65</v>
      </c>
      <c r="C23" s="74">
        <f>C18+C20+C22</f>
        <v>834000000</v>
      </c>
      <c r="E23" s="77" t="s">
        <v>66</v>
      </c>
      <c r="F23" s="14">
        <v>0</v>
      </c>
    </row>
    <row r="24" spans="2:6">
      <c r="E24" s="77" t="s">
        <v>67</v>
      </c>
      <c r="F24" s="14">
        <v>0</v>
      </c>
    </row>
    <row r="25" spans="2:6" ht="24.75">
      <c r="B25" s="77" t="s">
        <v>68</v>
      </c>
      <c r="C25" s="14">
        <v>10000000</v>
      </c>
      <c r="E25" s="98" t="s">
        <v>69</v>
      </c>
      <c r="F25" s="14">
        <v>3000000</v>
      </c>
    </row>
    <row r="26" spans="2:6">
      <c r="E26" s="98" t="s">
        <v>70</v>
      </c>
      <c r="F26" s="14">
        <v>10000000</v>
      </c>
    </row>
    <row r="27" spans="2:6">
      <c r="B27" s="96" t="s">
        <v>71</v>
      </c>
      <c r="C27" s="96"/>
      <c r="E27" s="98" t="s">
        <v>72</v>
      </c>
      <c r="F27" s="14"/>
    </row>
    <row r="28" spans="2:6">
      <c r="B28" s="112">
        <f>'1'!G2</f>
        <v>2026</v>
      </c>
      <c r="C28" s="14">
        <f>C25*1.1</f>
        <v>11000000</v>
      </c>
      <c r="E28" s="98"/>
      <c r="F28" s="14" t="s">
        <v>73</v>
      </c>
    </row>
    <row r="29" spans="2:6">
      <c r="B29" s="112">
        <f>'1'!H2</f>
        <v>2027</v>
      </c>
      <c r="C29" s="14">
        <f>C28*1.1</f>
        <v>12100000.000000002</v>
      </c>
      <c r="E29" s="98"/>
      <c r="F29" s="14">
        <v>0</v>
      </c>
    </row>
    <row r="30" spans="2:6">
      <c r="B30" s="112">
        <f>'1'!I2</f>
        <v>2028</v>
      </c>
      <c r="C30" s="14">
        <f>C29*1.1</f>
        <v>13310000.000000004</v>
      </c>
      <c r="E30" s="98"/>
      <c r="F30" s="14">
        <v>0</v>
      </c>
    </row>
    <row r="31" spans="2:6" ht="15.75">
      <c r="B31" s="112">
        <f>'1'!J2</f>
        <v>2029</v>
      </c>
      <c r="C31" s="14">
        <f>C30*1.1</f>
        <v>14641000.000000006</v>
      </c>
      <c r="E31" s="77" t="s">
        <v>74</v>
      </c>
      <c r="F31" s="74">
        <f>SUM(F18:F30)</f>
        <v>28720000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20" sqref="D20"/>
    </sheetView>
  </sheetViews>
  <sheetFormatPr defaultColWidth="11.42578125" defaultRowHeight="15"/>
  <cols>
    <col min="1" max="1" width="11.42578125" style="8"/>
    <col min="2" max="2" width="39" style="8" bestFit="1" customWidth="1"/>
    <col min="3" max="4" width="18.5703125" style="8" bestFit="1" customWidth="1"/>
    <col min="5" max="5" width="12.85546875" style="8" customWidth="1"/>
    <col min="6" max="6" width="16.85546875" style="8" bestFit="1" customWidth="1"/>
    <col min="7" max="7" width="25.42578125" style="8" customWidth="1"/>
    <col min="8" max="8" width="19.85546875" style="8" customWidth="1"/>
    <col min="9" max="9" width="17" style="8" bestFit="1" customWidth="1"/>
    <col min="10" max="10" width="16.85546875" style="8" bestFit="1" customWidth="1"/>
    <col min="11" max="16384" width="11.42578125" style="8"/>
  </cols>
  <sheetData>
    <row r="2" spans="2:12" ht="29.25" customHeight="1">
      <c r="B2" s="137" t="s">
        <v>75</v>
      </c>
      <c r="C2" s="137"/>
      <c r="D2" s="137"/>
      <c r="E2" s="137"/>
      <c r="F2" s="137"/>
      <c r="G2" s="137"/>
      <c r="H2" s="137"/>
      <c r="I2" s="137"/>
      <c r="J2" s="137"/>
    </row>
    <row r="3" spans="2:12">
      <c r="F3" s="146" t="s">
        <v>76</v>
      </c>
      <c r="G3" s="146"/>
    </row>
    <row r="4" spans="2:12" ht="15.75">
      <c r="B4" s="16" t="s">
        <v>52</v>
      </c>
      <c r="C4" s="74">
        <f>'2'!C12</f>
        <v>126400000</v>
      </c>
      <c r="F4" s="147">
        <v>0.23</v>
      </c>
      <c r="G4" s="147"/>
      <c r="I4" s="8" t="s">
        <v>77</v>
      </c>
      <c r="J4" s="128">
        <v>5</v>
      </c>
      <c r="L4" s="71">
        <v>1</v>
      </c>
    </row>
    <row r="5" spans="2:12">
      <c r="L5" s="71">
        <v>2</v>
      </c>
    </row>
    <row r="6" spans="2:12" ht="15.75" thickBot="1">
      <c r="B6" s="16" t="s">
        <v>78</v>
      </c>
      <c r="F6" s="136" t="s">
        <v>79</v>
      </c>
      <c r="G6" s="136"/>
      <c r="H6" s="136"/>
      <c r="I6" s="136"/>
      <c r="J6" s="136"/>
      <c r="L6" s="71">
        <v>3</v>
      </c>
    </row>
    <row r="7" spans="2:12">
      <c r="C7" s="79" t="s">
        <v>80</v>
      </c>
      <c r="D7" s="79" t="s">
        <v>81</v>
      </c>
      <c r="E7" s="117"/>
      <c r="F7" s="118" t="s">
        <v>82</v>
      </c>
      <c r="G7" s="118" t="s">
        <v>83</v>
      </c>
      <c r="H7" s="118" t="s">
        <v>84</v>
      </c>
      <c r="I7" s="118" t="s">
        <v>85</v>
      </c>
      <c r="J7" s="119" t="s">
        <v>86</v>
      </c>
      <c r="L7" s="71">
        <v>4</v>
      </c>
    </row>
    <row r="8" spans="2:12">
      <c r="B8" s="48" t="s">
        <v>87</v>
      </c>
      <c r="C8" s="54">
        <v>3</v>
      </c>
      <c r="D8" s="25">
        <f>('1'!B33/12)*C8</f>
        <v>84900000</v>
      </c>
      <c r="E8" s="120" t="s">
        <v>88</v>
      </c>
      <c r="F8" s="121"/>
      <c r="G8" s="121"/>
      <c r="H8" s="121"/>
      <c r="I8" s="121"/>
      <c r="J8" s="122">
        <f>D16</f>
        <v>309480000</v>
      </c>
      <c r="L8" s="71">
        <v>5</v>
      </c>
    </row>
    <row r="9" spans="2:12">
      <c r="B9" s="48" t="s">
        <v>89</v>
      </c>
      <c r="C9" s="54">
        <v>3</v>
      </c>
      <c r="D9" s="25">
        <f>('2'!C23/12)*C9</f>
        <v>208500000</v>
      </c>
      <c r="E9" s="120">
        <f>'1'!B31</f>
        <v>2025</v>
      </c>
      <c r="F9" s="124">
        <f>IF(J8&gt;0,J8,0)</f>
        <v>309480000</v>
      </c>
      <c r="G9" s="124">
        <f>F9*$F$4</f>
        <v>71180400</v>
      </c>
      <c r="H9" s="124">
        <f>IF(J8&lt;1,0,(I9-G9))</f>
        <v>39211247.238201573</v>
      </c>
      <c r="I9" s="124">
        <f>PMT(F4,J4,J8)*-1</f>
        <v>110391647.23820157</v>
      </c>
      <c r="J9" s="125">
        <f>F9-H9</f>
        <v>270268752.76179844</v>
      </c>
    </row>
    <row r="10" spans="2:12">
      <c r="B10" s="48" t="s">
        <v>90</v>
      </c>
      <c r="C10" s="54">
        <v>3</v>
      </c>
      <c r="D10" s="25">
        <f>('2'!C25/12)*C10</f>
        <v>2500000</v>
      </c>
      <c r="E10" s="120">
        <f>'1'!C31</f>
        <v>2026</v>
      </c>
      <c r="F10" s="124">
        <f>IF(J9&gt;0,J9,0)</f>
        <v>270268752.76179844</v>
      </c>
      <c r="G10" s="124">
        <f>F10*$F$4</f>
        <v>62161813.135213643</v>
      </c>
      <c r="H10" s="124">
        <f>IF(J9&lt;1,0,(I10-G10))</f>
        <v>48229834.10298793</v>
      </c>
      <c r="I10" s="124">
        <f>IF(J9&lt;1,0,(I9*(1+$K$7)))</f>
        <v>110391647.23820157</v>
      </c>
      <c r="J10" s="125">
        <f>F10-H10</f>
        <v>222038918.6588105</v>
      </c>
    </row>
    <row r="11" spans="2:12">
      <c r="B11" s="48" t="s">
        <v>91</v>
      </c>
      <c r="C11" s="54">
        <v>3</v>
      </c>
      <c r="D11" s="25">
        <f>('2'!F31/12)*C11</f>
        <v>7180000</v>
      </c>
      <c r="E11" s="120">
        <f>'1'!D31</f>
        <v>2027</v>
      </c>
      <c r="F11" s="124">
        <f>IF(J10&gt;0,J10,0)</f>
        <v>222038918.6588105</v>
      </c>
      <c r="G11" s="124">
        <f>F11*$F$4</f>
        <v>51068951.291526414</v>
      </c>
      <c r="H11" s="124">
        <f>IF(J10&lt;1,0,(I11-G11))</f>
        <v>59322695.946675159</v>
      </c>
      <c r="I11" s="124">
        <f>IF(J10&lt;1,0,(I10*(1+$K$7)))</f>
        <v>110391647.23820157</v>
      </c>
      <c r="J11" s="125">
        <f>F11-H11</f>
        <v>162716222.71213534</v>
      </c>
    </row>
    <row r="12" spans="2:12" ht="15.75">
      <c r="B12" s="80" t="s">
        <v>32</v>
      </c>
      <c r="C12" s="58"/>
      <c r="D12" s="81">
        <f>SUM(D8:D11)</f>
        <v>303080000</v>
      </c>
      <c r="E12" s="120">
        <f>'1'!E31</f>
        <v>2028</v>
      </c>
      <c r="F12" s="124">
        <f>IF(J11&gt;0,J11,0)</f>
        <v>162716222.71213534</v>
      </c>
      <c r="G12" s="124">
        <f>F12*$F$4</f>
        <v>37424731.22379113</v>
      </c>
      <c r="H12" s="124">
        <f>IF(J11&lt;1,0,(I12-G12))</f>
        <v>72966916.014410436</v>
      </c>
      <c r="I12" s="124">
        <f>IF(J11&lt;1,0,(I11*(1+$K$7)))</f>
        <v>110391647.23820157</v>
      </c>
      <c r="J12" s="125">
        <f>F12-H12</f>
        <v>89749306.697724909</v>
      </c>
    </row>
    <row r="13" spans="2:12" ht="15.75" thickBot="1">
      <c r="E13" s="123">
        <f>'1'!F31</f>
        <v>2029</v>
      </c>
      <c r="F13" s="126">
        <f>IF(J12&gt;0,J12,0)</f>
        <v>89749306.697724909</v>
      </c>
      <c r="G13" s="126">
        <f>F13*$F$4</f>
        <v>20642340.540476728</v>
      </c>
      <c r="H13" s="126">
        <f>IF(J12&lt;1,0,(I13-G13))</f>
        <v>89749306.697724849</v>
      </c>
      <c r="I13" s="126">
        <f>IF(J12&lt;1,0,(I12*(1+$K$7)))</f>
        <v>110391647.23820157</v>
      </c>
      <c r="J13" s="127">
        <f>F13-H13</f>
        <v>0</v>
      </c>
    </row>
    <row r="14" spans="2:12" ht="15.75">
      <c r="B14" s="48" t="s">
        <v>92</v>
      </c>
      <c r="D14" s="74">
        <f>C4+D12</f>
        <v>429480000</v>
      </c>
    </row>
    <row r="15" spans="2:12">
      <c r="B15" s="48" t="s">
        <v>93</v>
      </c>
      <c r="D15" s="55">
        <v>120000000</v>
      </c>
    </row>
    <row r="16" spans="2:12" ht="15.75">
      <c r="B16" s="48" t="s">
        <v>94</v>
      </c>
      <c r="D16" s="82">
        <f>D14-D15</f>
        <v>309480000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8" zoomScaleNormal="70" workbookViewId="0">
      <pane xSplit="7" ySplit="1" topLeftCell="H2" activePane="bottomRight" state="frozenSplit"/>
      <selection pane="bottomRight" activeCell="C13" sqref="C13:G13"/>
      <selection pane="bottomLeft" activeCell="A12" sqref="A12"/>
      <selection pane="topRight" activeCell="E1" sqref="E1"/>
    </sheetView>
  </sheetViews>
  <sheetFormatPr defaultColWidth="11.42578125" defaultRowHeight="15"/>
  <cols>
    <col min="1" max="1" width="26.7109375" style="8" customWidth="1"/>
    <col min="2" max="2" width="25.85546875" style="8" bestFit="1" customWidth="1"/>
    <col min="3" max="3" width="21.7109375" style="8" bestFit="1" customWidth="1"/>
    <col min="4" max="6" width="18.42578125" style="8" bestFit="1" customWidth="1"/>
    <col min="7" max="7" width="18.85546875" style="8" bestFit="1" customWidth="1"/>
    <col min="8" max="16384" width="11.42578125" style="8"/>
  </cols>
  <sheetData>
    <row r="1" spans="1:7" ht="34.5" customHeight="1">
      <c r="A1" s="151" t="s">
        <v>95</v>
      </c>
      <c r="B1" s="151"/>
      <c r="C1" s="151"/>
      <c r="D1" s="151"/>
      <c r="E1" s="151"/>
      <c r="F1" s="151"/>
      <c r="G1" s="151"/>
    </row>
    <row r="2" spans="1:7" ht="23.25">
      <c r="A2" s="152" t="s">
        <v>96</v>
      </c>
      <c r="B2" s="152"/>
      <c r="C2" s="152"/>
      <c r="D2" s="152"/>
      <c r="E2" s="152"/>
      <c r="F2" s="152"/>
      <c r="G2" s="152"/>
    </row>
    <row r="3" spans="1:7" ht="8.25" customHeight="1">
      <c r="A3" s="56"/>
      <c r="B3" s="56"/>
      <c r="C3" s="56"/>
      <c r="D3" s="56"/>
      <c r="E3" s="56"/>
      <c r="F3" s="56"/>
      <c r="G3" s="56"/>
    </row>
    <row r="4" spans="1:7" ht="15.75">
      <c r="A4" s="150" t="s">
        <v>97</v>
      </c>
      <c r="B4" s="150"/>
      <c r="C4" s="150"/>
      <c r="D4" s="150"/>
      <c r="E4" s="150"/>
      <c r="F4" s="150"/>
      <c r="G4" s="150"/>
    </row>
    <row r="5" spans="1:7" ht="23.25">
      <c r="C5" s="60">
        <f>'1'!B31</f>
        <v>2025</v>
      </c>
      <c r="D5" s="60">
        <f>'1'!C31</f>
        <v>2026</v>
      </c>
      <c r="E5" s="60">
        <f>'1'!D31</f>
        <v>2027</v>
      </c>
      <c r="F5" s="60">
        <f>'1'!E31</f>
        <v>2028</v>
      </c>
      <c r="G5" s="60">
        <f>'1'!F31</f>
        <v>2029</v>
      </c>
    </row>
    <row r="6" spans="1:7">
      <c r="B6" s="8" t="s">
        <v>98</v>
      </c>
      <c r="C6" s="61">
        <f>'1'!B32</f>
        <v>1242000000</v>
      </c>
      <c r="D6" s="61">
        <f>'1'!C32</f>
        <v>1400379840</v>
      </c>
      <c r="E6" s="61">
        <f>'1'!D32</f>
        <v>1637436139.3152003</v>
      </c>
      <c r="F6" s="61">
        <f>'1'!E32</f>
        <v>1965905828.8618298</v>
      </c>
      <c r="G6" s="61">
        <f>'1'!F32</f>
        <v>2421838708.6914649</v>
      </c>
    </row>
    <row r="7" spans="1:7">
      <c r="B7" s="8" t="s">
        <v>99</v>
      </c>
      <c r="C7" s="61">
        <f>'1'!B33</f>
        <v>339600000</v>
      </c>
      <c r="D7" s="61">
        <f>'1'!C33</f>
        <v>380851891.20000005</v>
      </c>
      <c r="E7" s="61">
        <f>'1'!D33</f>
        <v>442933796.28072965</v>
      </c>
      <c r="F7" s="61">
        <f>'1'!E33</f>
        <v>528933822.16659606</v>
      </c>
      <c r="G7" s="61">
        <f>'1'!F33</f>
        <v>648108959.50659609</v>
      </c>
    </row>
    <row r="8" spans="1:7" ht="15.75" thickBot="1">
      <c r="B8" s="62" t="s">
        <v>100</v>
      </c>
      <c r="C8" s="63">
        <f>C6-C7</f>
        <v>902400000</v>
      </c>
      <c r="D8" s="63">
        <f>D6-D7</f>
        <v>1019527948.8</v>
      </c>
      <c r="E8" s="63">
        <f>E6-E7</f>
        <v>1194502343.0344706</v>
      </c>
      <c r="F8" s="63">
        <f>F6-F7</f>
        <v>1436972006.6952338</v>
      </c>
      <c r="G8" s="63">
        <f>G6-G7</f>
        <v>1773729749.1848688</v>
      </c>
    </row>
    <row r="9" spans="1:7" ht="15.75" thickTop="1">
      <c r="B9" s="8" t="s">
        <v>101</v>
      </c>
      <c r="C9" s="61">
        <f>'2'!C23</f>
        <v>834000000</v>
      </c>
      <c r="D9" s="61">
        <f>C9*(1+'1'!Z4)</f>
        <v>870696000</v>
      </c>
      <c r="E9" s="61">
        <f>D9*(1+'1'!AA4)</f>
        <v>909006624</v>
      </c>
      <c r="F9" s="61">
        <f>E9*(1+'1'!AB4)</f>
        <v>949002915.45600009</v>
      </c>
      <c r="G9" s="61">
        <f>F9*(1+'1'!AC4)</f>
        <v>990759043.73606408</v>
      </c>
    </row>
    <row r="10" spans="1:7">
      <c r="B10" s="8" t="s">
        <v>102</v>
      </c>
      <c r="C10" s="61">
        <f>'2'!F31</f>
        <v>28720000</v>
      </c>
      <c r="D10" s="61">
        <f>C10*(1+'1'!Z4)</f>
        <v>29983680</v>
      </c>
      <c r="E10" s="61">
        <f>D10*(1+'1'!AA4)</f>
        <v>31302961.920000002</v>
      </c>
      <c r="F10" s="61">
        <f>E10*(1+'1'!AB4)</f>
        <v>32680292.244480003</v>
      </c>
      <c r="G10" s="61">
        <f>F10*(1+'1'!AC4)</f>
        <v>34118225.103237122</v>
      </c>
    </row>
    <row r="11" spans="1:7">
      <c r="B11" s="8" t="s">
        <v>103</v>
      </c>
      <c r="C11" s="61">
        <f>'2'!C25</f>
        <v>10000000</v>
      </c>
      <c r="D11" s="61">
        <f>'2'!C28</f>
        <v>11000000</v>
      </c>
      <c r="E11" s="61">
        <f>'2'!C29</f>
        <v>12100000.000000002</v>
      </c>
      <c r="F11" s="61">
        <f>'2'!C30</f>
        <v>13310000.000000004</v>
      </c>
      <c r="G11" s="61">
        <f>'2'!C31</f>
        <v>14641000.000000006</v>
      </c>
    </row>
    <row r="12" spans="1:7">
      <c r="B12" s="8" t="s">
        <v>104</v>
      </c>
      <c r="C12" s="61">
        <f>'2'!G12</f>
        <v>14030000</v>
      </c>
      <c r="D12" s="61">
        <f>C12</f>
        <v>14030000</v>
      </c>
      <c r="E12" s="61">
        <f>D12</f>
        <v>14030000</v>
      </c>
      <c r="F12" s="61">
        <f>E12</f>
        <v>14030000</v>
      </c>
      <c r="G12" s="61">
        <f>F12</f>
        <v>14030000</v>
      </c>
    </row>
    <row r="13" spans="1:7" ht="15.75" thickBot="1">
      <c r="B13" s="62" t="s">
        <v>105</v>
      </c>
      <c r="C13" s="64">
        <f>C8-C9-C10-C11-C12</f>
        <v>15650000</v>
      </c>
      <c r="D13" s="64">
        <f>D8-D9-D10-D11-D12</f>
        <v>93818268.799999952</v>
      </c>
      <c r="E13" s="64">
        <f>E8-E9-E10-E11-E12</f>
        <v>228062757.11447054</v>
      </c>
      <c r="F13" s="64">
        <f>F8-F9-F10-F11-F12</f>
        <v>427948798.99475372</v>
      </c>
      <c r="G13" s="64">
        <f>G8-G9-G10-G11-G12</f>
        <v>720181480.34556758</v>
      </c>
    </row>
    <row r="14" spans="1:7" ht="15.75" thickTop="1">
      <c r="B14" s="8" t="s">
        <v>106</v>
      </c>
      <c r="C14" s="61">
        <f>'3'!G9</f>
        <v>71180400</v>
      </c>
      <c r="D14" s="61">
        <f>'3'!G10</f>
        <v>62161813.135213643</v>
      </c>
      <c r="E14" s="61">
        <f>'3'!G11</f>
        <v>51068951.291526414</v>
      </c>
      <c r="F14" s="61">
        <f>'3'!G12</f>
        <v>37424731.22379113</v>
      </c>
      <c r="G14" s="61">
        <f>'3'!G13</f>
        <v>20642340.540476728</v>
      </c>
    </row>
    <row r="15" spans="1:7" ht="15.75" thickBot="1">
      <c r="B15" s="62" t="s">
        <v>107</v>
      </c>
      <c r="C15" s="64">
        <f>C13-C14</f>
        <v>-55530400</v>
      </c>
      <c r="D15" s="64">
        <f>D13-D14</f>
        <v>31656455.664786309</v>
      </c>
      <c r="E15" s="64">
        <f>E13-E14</f>
        <v>176993805.82294413</v>
      </c>
      <c r="F15" s="64">
        <f>F13-F14</f>
        <v>390524067.7709626</v>
      </c>
      <c r="G15" s="64">
        <f>G13-G14</f>
        <v>699539139.8050909</v>
      </c>
    </row>
    <row r="16" spans="1:7" ht="15.75" thickTop="1">
      <c r="B16" s="8" t="s">
        <v>108</v>
      </c>
      <c r="C16" s="65">
        <f>IF(C15*'1'!$AB$7&lt;0,0,C15*'1'!$AB$7)</f>
        <v>0</v>
      </c>
      <c r="D16" s="65">
        <f>IF(D15*'1'!$AB$7&lt;0,0,D15*'1'!$AB$7)</f>
        <v>8547243.0294923037</v>
      </c>
      <c r="E16" s="65">
        <f>IF(E15*'1'!$AB$7&lt;0,0,E15*'1'!$AB$7)</f>
        <v>47788327.572194919</v>
      </c>
      <c r="F16" s="65">
        <f>IF(F15*'1'!$AB$7&lt;0,0,F15*'1'!$AB$7)</f>
        <v>105441498.29815991</v>
      </c>
      <c r="G16" s="65">
        <f>IF(G15*'1'!$AB$7&lt;0,0,G15*'1'!$AB$7)</f>
        <v>188875567.74737456</v>
      </c>
    </row>
    <row r="17" spans="1:8" ht="15.75" thickBot="1">
      <c r="B17" s="66" t="s">
        <v>109</v>
      </c>
      <c r="C17" s="67">
        <f>C15-C16</f>
        <v>-55530400</v>
      </c>
      <c r="D17" s="67">
        <f>D15-D16</f>
        <v>23109212.635294005</v>
      </c>
      <c r="E17" s="67">
        <f>E15-E16</f>
        <v>129205478.25074922</v>
      </c>
      <c r="F17" s="67">
        <f>F15-F16</f>
        <v>285082569.4728027</v>
      </c>
      <c r="G17" s="67">
        <f>G15-G16</f>
        <v>510663572.05771637</v>
      </c>
    </row>
    <row r="19" spans="1:8" ht="15.75">
      <c r="A19" s="150" t="s">
        <v>110</v>
      </c>
      <c r="B19" s="150"/>
      <c r="C19" s="150"/>
      <c r="D19" s="150"/>
      <c r="E19" s="150"/>
      <c r="F19" s="150"/>
      <c r="G19" s="150"/>
    </row>
    <row r="20" spans="1:8" ht="23.25">
      <c r="B20" s="68" t="s">
        <v>88</v>
      </c>
      <c r="C20" s="60">
        <f>C5</f>
        <v>2025</v>
      </c>
      <c r="D20" s="60">
        <f>D5</f>
        <v>2026</v>
      </c>
      <c r="E20" s="60">
        <f>E5</f>
        <v>2027</v>
      </c>
      <c r="F20" s="60">
        <f>F5</f>
        <v>2028</v>
      </c>
      <c r="G20" s="60">
        <f>G5</f>
        <v>2029</v>
      </c>
    </row>
    <row r="21" spans="1:8">
      <c r="A21" s="149" t="s">
        <v>111</v>
      </c>
      <c r="B21" s="149"/>
      <c r="C21" s="149"/>
      <c r="D21" s="149"/>
      <c r="E21" s="149"/>
      <c r="F21" s="149"/>
      <c r="G21" s="149"/>
    </row>
    <row r="22" spans="1:8">
      <c r="A22" s="8" t="s">
        <v>112</v>
      </c>
      <c r="B22" s="26">
        <f t="shared" ref="B22:G22" si="0">B38-B26</f>
        <v>303080000</v>
      </c>
      <c r="C22" s="26">
        <f t="shared" si="0"/>
        <v>222368352.76179844</v>
      </c>
      <c r="D22" s="26">
        <f t="shared" si="0"/>
        <v>275355374.32359684</v>
      </c>
      <c r="E22" s="26">
        <f t="shared" si="0"/>
        <v>375400028.53507948</v>
      </c>
      <c r="F22" s="26">
        <f t="shared" si="0"/>
        <v>529993374.46868753</v>
      </c>
      <c r="G22" s="26">
        <f t="shared" si="0"/>
        <v>763289139.8050909</v>
      </c>
    </row>
    <row r="23" spans="1:8">
      <c r="A23" s="8" t="s">
        <v>113</v>
      </c>
      <c r="B23" s="26">
        <f>'2'!C4</f>
        <v>0</v>
      </c>
      <c r="C23" s="26">
        <f t="shared" ref="C23:G24" si="1">B23</f>
        <v>0</v>
      </c>
      <c r="D23" s="26">
        <f t="shared" si="1"/>
        <v>0</v>
      </c>
      <c r="E23" s="26">
        <f t="shared" si="1"/>
        <v>0</v>
      </c>
      <c r="F23" s="26">
        <f t="shared" si="1"/>
        <v>0</v>
      </c>
      <c r="G23" s="26">
        <f t="shared" si="1"/>
        <v>0</v>
      </c>
      <c r="H23" s="26"/>
    </row>
    <row r="24" spans="1:8">
      <c r="A24" s="8" t="s">
        <v>114</v>
      </c>
      <c r="B24" s="26">
        <f>'2'!C12-'2'!C4</f>
        <v>126400000</v>
      </c>
      <c r="C24" s="26">
        <f t="shared" si="1"/>
        <v>126400000</v>
      </c>
      <c r="D24" s="26">
        <f t="shared" si="1"/>
        <v>126400000</v>
      </c>
      <c r="E24" s="26">
        <f t="shared" si="1"/>
        <v>126400000</v>
      </c>
      <c r="F24" s="26">
        <f t="shared" si="1"/>
        <v>126400000</v>
      </c>
      <c r="G24" s="26">
        <f t="shared" si="1"/>
        <v>126400000</v>
      </c>
      <c r="H24" s="26"/>
    </row>
    <row r="25" spans="1:8">
      <c r="A25" s="8" t="s">
        <v>115</v>
      </c>
      <c r="B25" s="26">
        <v>0</v>
      </c>
      <c r="C25" s="26">
        <f>C12</f>
        <v>14030000</v>
      </c>
      <c r="D25" s="26">
        <f>D12+C12</f>
        <v>28060000</v>
      </c>
      <c r="E25" s="26">
        <f>E12+D12+C12</f>
        <v>42090000</v>
      </c>
      <c r="F25" s="26">
        <f>F12+E12+D12+C12</f>
        <v>56120000</v>
      </c>
      <c r="G25" s="26">
        <f>F25+G12</f>
        <v>70150000</v>
      </c>
      <c r="H25" s="26"/>
    </row>
    <row r="26" spans="1:8">
      <c r="A26" s="8" t="s">
        <v>116</v>
      </c>
      <c r="B26" s="26">
        <f t="shared" ref="B26:G26" si="2">B23+(B24-B25)</f>
        <v>126400000</v>
      </c>
      <c r="C26" s="26">
        <f t="shared" si="2"/>
        <v>112370000</v>
      </c>
      <c r="D26" s="26">
        <f t="shared" si="2"/>
        <v>98340000</v>
      </c>
      <c r="E26" s="26">
        <f t="shared" si="2"/>
        <v>84310000</v>
      </c>
      <c r="F26" s="26">
        <f t="shared" si="2"/>
        <v>70280000</v>
      </c>
      <c r="G26" s="26">
        <f t="shared" si="2"/>
        <v>56250000</v>
      </c>
      <c r="H26" s="26"/>
    </row>
    <row r="27" spans="1:8" ht="15.75" thickBot="1">
      <c r="A27" s="62" t="s">
        <v>117</v>
      </c>
      <c r="B27" s="69">
        <f t="shared" ref="B27:G27" si="3">B22+B26</f>
        <v>429480000</v>
      </c>
      <c r="C27" s="69">
        <f t="shared" si="3"/>
        <v>334738352.76179844</v>
      </c>
      <c r="D27" s="69">
        <f t="shared" si="3"/>
        <v>373695374.32359684</v>
      </c>
      <c r="E27" s="69">
        <f t="shared" si="3"/>
        <v>459710028.53507948</v>
      </c>
      <c r="F27" s="69">
        <f t="shared" si="3"/>
        <v>600273374.46868753</v>
      </c>
      <c r="G27" s="69">
        <f t="shared" si="3"/>
        <v>819539139.8050909</v>
      </c>
      <c r="H27" s="26"/>
    </row>
    <row r="28" spans="1:8" ht="15.75" thickTop="1">
      <c r="A28" s="149" t="s">
        <v>118</v>
      </c>
      <c r="B28" s="149"/>
      <c r="C28" s="149"/>
      <c r="D28" s="149"/>
      <c r="E28" s="149"/>
      <c r="F28" s="149"/>
      <c r="G28" s="149"/>
    </row>
    <row r="29" spans="1:8">
      <c r="A29" s="8" t="s">
        <v>119</v>
      </c>
      <c r="B29" s="8">
        <v>0</v>
      </c>
      <c r="C29" s="65">
        <f>C16</f>
        <v>0</v>
      </c>
      <c r="D29" s="65">
        <f>D16</f>
        <v>8547243.0294923037</v>
      </c>
      <c r="E29" s="65">
        <f>E16</f>
        <v>47788327.572194919</v>
      </c>
      <c r="F29" s="65">
        <f>F16</f>
        <v>105441498.29815991</v>
      </c>
      <c r="G29" s="65">
        <f>G16</f>
        <v>188875567.74737456</v>
      </c>
    </row>
    <row r="30" spans="1:8">
      <c r="A30" s="8" t="s">
        <v>120</v>
      </c>
      <c r="B30" s="65">
        <f t="shared" ref="B30:G30" si="4">B29</f>
        <v>0</v>
      </c>
      <c r="C30" s="65">
        <f t="shared" si="4"/>
        <v>0</v>
      </c>
      <c r="D30" s="65">
        <f t="shared" si="4"/>
        <v>8547243.0294923037</v>
      </c>
      <c r="E30" s="65">
        <f t="shared" si="4"/>
        <v>47788327.572194919</v>
      </c>
      <c r="F30" s="65">
        <f t="shared" si="4"/>
        <v>105441498.29815991</v>
      </c>
      <c r="G30" s="65">
        <f t="shared" si="4"/>
        <v>188875567.74737456</v>
      </c>
    </row>
    <row r="31" spans="1:8">
      <c r="A31" s="8" t="s">
        <v>121</v>
      </c>
      <c r="B31" s="25">
        <f>'3'!J8</f>
        <v>309480000</v>
      </c>
      <c r="C31" s="25">
        <f>'3'!J9</f>
        <v>270268752.76179844</v>
      </c>
      <c r="D31" s="25">
        <f>'3'!J10</f>
        <v>222038918.6588105</v>
      </c>
      <c r="E31" s="25">
        <f>'3'!J11</f>
        <v>162716222.71213534</v>
      </c>
      <c r="F31" s="25">
        <f>'3'!J12</f>
        <v>89749306.697724909</v>
      </c>
      <c r="G31" s="25">
        <f>'3'!J13</f>
        <v>0</v>
      </c>
    </row>
    <row r="32" spans="1:8" ht="15.75" thickBot="1">
      <c r="A32" s="62" t="s">
        <v>118</v>
      </c>
      <c r="B32" s="69">
        <f t="shared" ref="B32:G32" si="5">B30+B31</f>
        <v>309480000</v>
      </c>
      <c r="C32" s="69">
        <f t="shared" si="5"/>
        <v>270268752.76179844</v>
      </c>
      <c r="D32" s="69">
        <f t="shared" si="5"/>
        <v>230586161.68830281</v>
      </c>
      <c r="E32" s="69">
        <f t="shared" si="5"/>
        <v>210504550.28433025</v>
      </c>
      <c r="F32" s="69">
        <f t="shared" si="5"/>
        <v>195190804.99588484</v>
      </c>
      <c r="G32" s="69">
        <f t="shared" si="5"/>
        <v>188875567.74737456</v>
      </c>
    </row>
    <row r="33" spans="1:7" ht="15.75" thickTop="1">
      <c r="A33" s="149" t="s">
        <v>122</v>
      </c>
      <c r="B33" s="149"/>
      <c r="C33" s="149"/>
      <c r="D33" s="149"/>
      <c r="E33" s="149"/>
      <c r="F33" s="149"/>
      <c r="G33" s="149"/>
    </row>
    <row r="34" spans="1:7">
      <c r="A34" s="8" t="s">
        <v>123</v>
      </c>
      <c r="B34" s="26">
        <f>'3'!D15</f>
        <v>120000000</v>
      </c>
      <c r="C34" s="26">
        <f>B34</f>
        <v>120000000</v>
      </c>
      <c r="D34" s="26">
        <f>C34</f>
        <v>120000000</v>
      </c>
      <c r="E34" s="26">
        <f>D34</f>
        <v>120000000</v>
      </c>
      <c r="F34" s="26">
        <f>E34</f>
        <v>120000000</v>
      </c>
      <c r="G34" s="26">
        <f>F34</f>
        <v>120000000</v>
      </c>
    </row>
    <row r="35" spans="1:7">
      <c r="A35" s="8" t="s">
        <v>124</v>
      </c>
      <c r="B35" s="8">
        <v>0</v>
      </c>
      <c r="C35" s="65">
        <f>C17</f>
        <v>-55530400</v>
      </c>
      <c r="D35" s="65">
        <f>D17</f>
        <v>23109212.635294005</v>
      </c>
      <c r="E35" s="65">
        <f>E17</f>
        <v>129205478.25074922</v>
      </c>
      <c r="F35" s="65">
        <f>F17</f>
        <v>285082569.4728027</v>
      </c>
      <c r="G35" s="65">
        <f>G17</f>
        <v>510663572.05771637</v>
      </c>
    </row>
    <row r="36" spans="1:7" ht="15.75" thickBot="1">
      <c r="A36" s="62" t="s">
        <v>125</v>
      </c>
      <c r="B36" s="69">
        <f t="shared" ref="B36:G36" si="6">B34+B35</f>
        <v>120000000</v>
      </c>
      <c r="C36" s="69">
        <f t="shared" si="6"/>
        <v>64469600</v>
      </c>
      <c r="D36" s="69">
        <f t="shared" si="6"/>
        <v>143109212.63529402</v>
      </c>
      <c r="E36" s="69">
        <f t="shared" si="6"/>
        <v>249205478.25074923</v>
      </c>
      <c r="F36" s="69">
        <f t="shared" si="6"/>
        <v>405082569.4728027</v>
      </c>
      <c r="G36" s="69">
        <f t="shared" si="6"/>
        <v>630663572.05771637</v>
      </c>
    </row>
    <row r="37" spans="1:7" ht="15.75" thickTop="1"/>
    <row r="38" spans="1:7" ht="15.75" thickBot="1">
      <c r="A38" s="62" t="s">
        <v>126</v>
      </c>
      <c r="B38" s="69">
        <f t="shared" ref="B38:G38" si="7">B32+B36</f>
        <v>429480000</v>
      </c>
      <c r="C38" s="69">
        <f t="shared" si="7"/>
        <v>334738352.76179844</v>
      </c>
      <c r="D38" s="69">
        <f t="shared" si="7"/>
        <v>373695374.32359684</v>
      </c>
      <c r="E38" s="69">
        <f t="shared" si="7"/>
        <v>459710028.53507948</v>
      </c>
      <c r="F38" s="69">
        <f t="shared" si="7"/>
        <v>600273374.46868753</v>
      </c>
      <c r="G38" s="69">
        <f t="shared" si="7"/>
        <v>819539139.8050909</v>
      </c>
    </row>
    <row r="39" spans="1:7" ht="15.75" thickTop="1">
      <c r="A39" s="58" t="s">
        <v>127</v>
      </c>
      <c r="B39" s="70">
        <f t="shared" ref="B39:G39" si="8">B27-B38</f>
        <v>0</v>
      </c>
      <c r="C39" s="70">
        <f t="shared" si="8"/>
        <v>0</v>
      </c>
      <c r="D39" s="70">
        <f t="shared" si="8"/>
        <v>0</v>
      </c>
      <c r="E39" s="70">
        <f t="shared" si="8"/>
        <v>0</v>
      </c>
      <c r="F39" s="70">
        <f t="shared" si="8"/>
        <v>0</v>
      </c>
      <c r="G39" s="70">
        <f t="shared" si="8"/>
        <v>0</v>
      </c>
    </row>
    <row r="41" spans="1:7" ht="15.75">
      <c r="A41" s="150" t="s">
        <v>128</v>
      </c>
      <c r="B41" s="150"/>
      <c r="C41" s="150"/>
      <c r="D41" s="150"/>
      <c r="E41" s="150"/>
      <c r="F41" s="150"/>
      <c r="G41" s="150"/>
    </row>
    <row r="42" spans="1:7">
      <c r="A42" s="149" t="s">
        <v>129</v>
      </c>
      <c r="B42" s="149"/>
      <c r="C42" s="149"/>
      <c r="D42" s="149"/>
      <c r="E42" s="149"/>
      <c r="F42" s="149"/>
      <c r="G42" s="149"/>
    </row>
    <row r="43" spans="1:7" ht="23.25">
      <c r="A43" s="11"/>
      <c r="B43" s="68" t="s">
        <v>88</v>
      </c>
      <c r="C43" s="60">
        <f>C20</f>
        <v>2025</v>
      </c>
      <c r="D43" s="60">
        <f>D20</f>
        <v>2026</v>
      </c>
      <c r="E43" s="60">
        <f>E20</f>
        <v>2027</v>
      </c>
      <c r="F43" s="60">
        <f>F20</f>
        <v>2028</v>
      </c>
      <c r="G43" s="60">
        <f>G20</f>
        <v>2029</v>
      </c>
    </row>
    <row r="44" spans="1:7">
      <c r="A44" s="1" t="s">
        <v>130</v>
      </c>
      <c r="B44" s="2">
        <f t="shared" ref="B44:G44" si="9">B22</f>
        <v>303080000</v>
      </c>
      <c r="C44" s="2">
        <f t="shared" si="9"/>
        <v>222368352.76179844</v>
      </c>
      <c r="D44" s="2">
        <f t="shared" si="9"/>
        <v>275355374.32359684</v>
      </c>
      <c r="E44" s="2">
        <f t="shared" si="9"/>
        <v>375400028.53507948</v>
      </c>
      <c r="F44" s="2">
        <f t="shared" si="9"/>
        <v>529993374.46868753</v>
      </c>
      <c r="G44" s="2">
        <f t="shared" si="9"/>
        <v>763289139.8050909</v>
      </c>
    </row>
    <row r="45" spans="1:7" ht="15.75" thickBot="1">
      <c r="A45" s="1" t="s">
        <v>131</v>
      </c>
      <c r="B45" s="3">
        <f t="shared" ref="B45:G45" si="10">B29</f>
        <v>0</v>
      </c>
      <c r="C45" s="3">
        <f t="shared" si="10"/>
        <v>0</v>
      </c>
      <c r="D45" s="3">
        <f t="shared" si="10"/>
        <v>8547243.0294923037</v>
      </c>
      <c r="E45" s="3">
        <f t="shared" si="10"/>
        <v>47788327.572194919</v>
      </c>
      <c r="F45" s="3">
        <f t="shared" si="10"/>
        <v>105441498.29815991</v>
      </c>
      <c r="G45" s="3">
        <f t="shared" si="10"/>
        <v>188875567.74737456</v>
      </c>
    </row>
    <row r="46" spans="1:7" ht="15.75" thickTop="1">
      <c r="A46" s="4" t="s">
        <v>132</v>
      </c>
      <c r="B46" s="5">
        <f t="shared" ref="B46:G46" si="11">B44-B45</f>
        <v>303080000</v>
      </c>
      <c r="C46" s="5">
        <f t="shared" si="11"/>
        <v>222368352.76179844</v>
      </c>
      <c r="D46" s="5">
        <f t="shared" si="11"/>
        <v>266808131.29410452</v>
      </c>
      <c r="E46" s="5">
        <f t="shared" si="11"/>
        <v>327611700.96288455</v>
      </c>
      <c r="F46" s="5">
        <f t="shared" si="11"/>
        <v>424551876.17052764</v>
      </c>
      <c r="G46" s="5">
        <f t="shared" si="11"/>
        <v>574413572.05771637</v>
      </c>
    </row>
    <row r="47" spans="1:7">
      <c r="A47" s="1"/>
      <c r="B47" s="2"/>
      <c r="C47" s="2"/>
      <c r="D47" s="2"/>
      <c r="E47" s="2"/>
      <c r="F47" s="2"/>
      <c r="G47" s="2"/>
    </row>
    <row r="48" spans="1:7">
      <c r="A48" s="4" t="s">
        <v>133</v>
      </c>
      <c r="B48" s="2">
        <f t="shared" ref="B48:G48" si="12">B26</f>
        <v>126400000</v>
      </c>
      <c r="C48" s="2">
        <f t="shared" si="12"/>
        <v>112370000</v>
      </c>
      <c r="D48" s="2">
        <f t="shared" si="12"/>
        <v>98340000</v>
      </c>
      <c r="E48" s="2">
        <f t="shared" si="12"/>
        <v>84310000</v>
      </c>
      <c r="F48" s="2">
        <f t="shared" si="12"/>
        <v>70280000</v>
      </c>
      <c r="G48" s="2">
        <f t="shared" si="12"/>
        <v>56250000</v>
      </c>
    </row>
    <row r="49" spans="1:7" ht="15.75" thickBot="1">
      <c r="A49" s="1" t="s">
        <v>134</v>
      </c>
      <c r="B49" s="3">
        <f t="shared" ref="B49:G49" si="13">B25</f>
        <v>0</v>
      </c>
      <c r="C49" s="3">
        <f t="shared" si="13"/>
        <v>14030000</v>
      </c>
      <c r="D49" s="3">
        <f t="shared" si="13"/>
        <v>28060000</v>
      </c>
      <c r="E49" s="3">
        <f t="shared" si="13"/>
        <v>42090000</v>
      </c>
      <c r="F49" s="3">
        <f t="shared" si="13"/>
        <v>56120000</v>
      </c>
      <c r="G49" s="3">
        <f t="shared" si="13"/>
        <v>70150000</v>
      </c>
    </row>
    <row r="50" spans="1:7" ht="15.75" thickTop="1">
      <c r="A50" s="4" t="s">
        <v>135</v>
      </c>
      <c r="B50" s="5">
        <f t="shared" ref="B50:G50" si="14">B48+B49</f>
        <v>126400000</v>
      </c>
      <c r="C50" s="5">
        <f t="shared" si="14"/>
        <v>126400000</v>
      </c>
      <c r="D50" s="5">
        <f t="shared" si="14"/>
        <v>126400000</v>
      </c>
      <c r="E50" s="5">
        <f t="shared" si="14"/>
        <v>126400000</v>
      </c>
      <c r="F50" s="5">
        <f t="shared" si="14"/>
        <v>126400000</v>
      </c>
      <c r="G50" s="5">
        <f t="shared" si="14"/>
        <v>126400000</v>
      </c>
    </row>
    <row r="51" spans="1:7">
      <c r="A51" s="1"/>
      <c r="B51" s="2"/>
      <c r="C51" s="2"/>
      <c r="D51" s="2"/>
      <c r="E51" s="2"/>
      <c r="F51" s="2"/>
      <c r="G51" s="2"/>
    </row>
    <row r="52" spans="1:7" ht="15.75" thickBot="1">
      <c r="A52" s="12" t="s">
        <v>136</v>
      </c>
      <c r="B52" s="6">
        <f t="shared" ref="B52:G52" si="15">B46+B48</f>
        <v>429480000</v>
      </c>
      <c r="C52" s="6">
        <f t="shared" si="15"/>
        <v>334738352.76179844</v>
      </c>
      <c r="D52" s="6">
        <f t="shared" si="15"/>
        <v>365148131.29410452</v>
      </c>
      <c r="E52" s="6">
        <f t="shared" si="15"/>
        <v>411921700.96288455</v>
      </c>
      <c r="F52" s="6">
        <f t="shared" si="15"/>
        <v>494831876.17052764</v>
      </c>
      <c r="G52" s="6">
        <f t="shared" si="15"/>
        <v>630663572.05771637</v>
      </c>
    </row>
    <row r="53" spans="1:7" ht="15.75" thickTop="1">
      <c r="A53" s="7"/>
      <c r="B53" s="2"/>
      <c r="C53" s="2"/>
      <c r="D53" s="2"/>
      <c r="E53" s="2"/>
      <c r="F53" s="2"/>
      <c r="G53" s="2"/>
    </row>
    <row r="54" spans="1:7">
      <c r="A54" s="148" t="s">
        <v>137</v>
      </c>
      <c r="B54" s="148"/>
      <c r="C54" s="148"/>
      <c r="D54" s="148"/>
      <c r="E54" s="148"/>
      <c r="F54" s="148"/>
      <c r="G54" s="148"/>
    </row>
    <row r="55" spans="1:7">
      <c r="A55" s="1" t="s">
        <v>138</v>
      </c>
      <c r="C55" s="9">
        <f>C13</f>
        <v>15650000</v>
      </c>
      <c r="D55" s="9">
        <f>D13</f>
        <v>93818268.799999952</v>
      </c>
      <c r="E55" s="9">
        <f>E13</f>
        <v>228062757.11447054</v>
      </c>
      <c r="F55" s="9">
        <f>F13</f>
        <v>427948798.99475372</v>
      </c>
      <c r="G55" s="9">
        <f>G13</f>
        <v>720181480.34556758</v>
      </c>
    </row>
    <row r="56" spans="1:7" ht="15.75" thickBot="1">
      <c r="A56" s="1" t="s">
        <v>139</v>
      </c>
      <c r="C56" s="10">
        <f>C55*'1'!$AB$7</f>
        <v>4225500</v>
      </c>
      <c r="D56" s="10">
        <f>D55*'1'!$AB$7</f>
        <v>25330932.57599999</v>
      </c>
      <c r="E56" s="10">
        <f>E55*'1'!$AB$7</f>
        <v>61576944.42090705</v>
      </c>
      <c r="F56" s="10">
        <f>F55*'1'!$AB$7</f>
        <v>115546175.72858351</v>
      </c>
      <c r="G56" s="10">
        <f>G55*'1'!$AB$7</f>
        <v>194448999.69330326</v>
      </c>
    </row>
    <row r="57" spans="1:7" ht="15.75" thickTop="1">
      <c r="A57" s="4" t="s">
        <v>140</v>
      </c>
      <c r="C57" s="9">
        <f>C55-C56</f>
        <v>11424500</v>
      </c>
      <c r="D57" s="9">
        <f>D55-D56</f>
        <v>68487336.223999962</v>
      </c>
      <c r="E57" s="9">
        <f>E55-E56</f>
        <v>166485812.69356349</v>
      </c>
      <c r="F57" s="9">
        <f>F55-F56</f>
        <v>312402623.2661702</v>
      </c>
      <c r="G57" s="9">
        <f>G55-G56</f>
        <v>525732480.65226436</v>
      </c>
    </row>
    <row r="58" spans="1:7" ht="15.75" thickBot="1">
      <c r="A58" s="1" t="s">
        <v>141</v>
      </c>
      <c r="C58" s="10">
        <f>-(C52-B52)</f>
        <v>94741647.238201559</v>
      </c>
      <c r="D58" s="10">
        <f>-(D52-C52)</f>
        <v>-30409778.532306075</v>
      </c>
      <c r="E58" s="10">
        <f>-(E52-D52)</f>
        <v>-46773569.668780029</v>
      </c>
      <c r="F58" s="10">
        <f>-(F52-E52)</f>
        <v>-82910175.207643092</v>
      </c>
      <c r="G58" s="10">
        <f>-(G52-F52)</f>
        <v>-135831695.88718873</v>
      </c>
    </row>
    <row r="59" spans="1:7" ht="16.5" thickTop="1" thickBot="1">
      <c r="A59" s="57" t="s">
        <v>142</v>
      </c>
      <c r="B59" s="58"/>
      <c r="C59" s="59">
        <f>SUM(C57:C58)</f>
        <v>106166147.23820156</v>
      </c>
      <c r="D59" s="59">
        <f>SUM(D57:D58)</f>
        <v>38077557.691693887</v>
      </c>
      <c r="E59" s="59">
        <f>SUM(E57:E58)</f>
        <v>119712243.02478346</v>
      </c>
      <c r="F59" s="59">
        <f>SUM(F57:F58)</f>
        <v>229492448.05852711</v>
      </c>
      <c r="G59" s="59">
        <f>SUM(G57:G58)</f>
        <v>389900784.76507562</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Normal="100" workbookViewId="0">
      <selection activeCell="G32" sqref="G32"/>
    </sheetView>
  </sheetViews>
  <sheetFormatPr defaultColWidth="11.42578125" defaultRowHeight="15"/>
  <cols>
    <col min="1" max="1" width="11.42578125" style="8"/>
    <col min="2" max="2" width="32.5703125" style="8" customWidth="1"/>
    <col min="3" max="3" width="24.28515625" style="8" bestFit="1" customWidth="1"/>
    <col min="4" max="4" width="36.28515625" style="8" bestFit="1" customWidth="1"/>
    <col min="5" max="5" width="32.28515625" style="8"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37" t="s">
        <v>143</v>
      </c>
      <c r="C2" s="137"/>
      <c r="D2" s="137"/>
      <c r="E2" s="137"/>
      <c r="F2" s="137"/>
      <c r="G2" s="137"/>
      <c r="H2" s="137"/>
    </row>
    <row r="3" spans="2:16" ht="15.75" customHeight="1">
      <c r="B3" s="156" t="s">
        <v>144</v>
      </c>
      <c r="C3" s="156"/>
      <c r="D3" s="156"/>
      <c r="E3" s="157">
        <v>0.2</v>
      </c>
      <c r="F3" s="157"/>
    </row>
    <row r="4" spans="2:16" ht="16.5" customHeight="1">
      <c r="B4" s="156"/>
      <c r="C4" s="156"/>
      <c r="D4" s="156"/>
      <c r="E4" s="157"/>
      <c r="F4" s="157"/>
      <c r="O4" s="100"/>
    </row>
    <row r="5" spans="2:16" ht="16.5" customHeight="1">
      <c r="B5" s="154"/>
      <c r="C5" s="154"/>
      <c r="D5" s="154"/>
      <c r="E5" s="134"/>
      <c r="F5" s="134"/>
      <c r="O5" s="100"/>
    </row>
    <row r="6" spans="2:16" ht="15.75" thickBot="1">
      <c r="O6" s="100"/>
      <c r="P6" s="103"/>
    </row>
    <row r="7" spans="2:16" ht="23.25">
      <c r="B7" s="99" t="s">
        <v>145</v>
      </c>
      <c r="C7" s="83" t="s">
        <v>146</v>
      </c>
      <c r="D7" s="84">
        <f>'4'!C20</f>
        <v>2025</v>
      </c>
      <c r="E7" s="84">
        <f>'4'!D20</f>
        <v>2026</v>
      </c>
      <c r="F7" s="84">
        <f>'4'!E20</f>
        <v>2027</v>
      </c>
      <c r="G7" s="84">
        <f>'4'!F20</f>
        <v>2028</v>
      </c>
      <c r="H7" s="85">
        <f>'4'!G20</f>
        <v>2029</v>
      </c>
      <c r="O7" s="100"/>
      <c r="P7" s="102"/>
    </row>
    <row r="8" spans="2:16" ht="19.5" thickBot="1">
      <c r="B8" s="86"/>
      <c r="C8" s="107">
        <f>-'3'!D14</f>
        <v>-429480000</v>
      </c>
      <c r="D8" s="107">
        <f>'4'!C59</f>
        <v>106166147.23820156</v>
      </c>
      <c r="E8" s="107">
        <f>'4'!D59</f>
        <v>38077557.691693887</v>
      </c>
      <c r="F8" s="107">
        <f>'4'!E59</f>
        <v>119712243.02478346</v>
      </c>
      <c r="G8" s="107">
        <f>'4'!F59</f>
        <v>229492448.05852711</v>
      </c>
      <c r="H8" s="108">
        <f>'4'!G59</f>
        <v>389900784.76507562</v>
      </c>
      <c r="O8" s="100"/>
      <c r="P8" s="102"/>
    </row>
    <row r="9" spans="2:16" ht="15.75" thickBot="1">
      <c r="C9" s="71">
        <f>C8/(1+$E$3)^0</f>
        <v>-429480000</v>
      </c>
      <c r="D9" s="71">
        <f>D8/(1+$E$3)^1</f>
        <v>88471789.365167975</v>
      </c>
      <c r="E9" s="71">
        <f>E8/(1+$E$3)^2</f>
        <v>26442748.397009645</v>
      </c>
      <c r="F9" s="71">
        <f>F8/(1+$E$3)^3</f>
        <v>69277918.417120054</v>
      </c>
      <c r="G9" s="71">
        <f>G8/(1+$E$3)^4</f>
        <v>110673441.38624957</v>
      </c>
      <c r="H9" s="71">
        <f>H8/(1+$E$3)^5</f>
        <v>156692380.70870131</v>
      </c>
      <c r="O9" s="100"/>
      <c r="P9" s="102"/>
    </row>
    <row r="10" spans="2:16" ht="24" thickBot="1">
      <c r="B10" s="30" t="s">
        <v>147</v>
      </c>
      <c r="C10" s="31"/>
      <c r="D10" s="109">
        <f>NPV(E3,D8:H8)+$C$8</f>
        <v>22078278.27424854</v>
      </c>
      <c r="O10" s="100"/>
      <c r="P10" s="102"/>
    </row>
    <row r="11" spans="2:16" ht="28.5" thickBot="1">
      <c r="B11" s="159" t="s">
        <v>148</v>
      </c>
      <c r="C11" s="31"/>
      <c r="D11" s="110">
        <f>IF(ISERROR(IRR(C8:H8)),"NO_APLICA",(IRR(C8:H8)))</f>
        <v>0.21744904780346719</v>
      </c>
      <c r="F11" s="104" t="s">
        <v>149</v>
      </c>
      <c r="G11" s="31"/>
      <c r="H11" s="105">
        <f>IF(ISERROR(-C9/AVERAGE(D9:H9)),"NO_APLICA",(-C9/AVERAGE(D9:H9)))</f>
        <v>4.7555323494607755</v>
      </c>
      <c r="I11" s="106" t="s">
        <v>150</v>
      </c>
      <c r="P11" s="101"/>
    </row>
    <row r="13" spans="2:16" ht="18.75">
      <c r="B13" s="158" t="s">
        <v>151</v>
      </c>
      <c r="C13" s="158"/>
      <c r="D13" s="158"/>
      <c r="E13" s="158"/>
      <c r="F13" s="158"/>
      <c r="G13" s="158"/>
      <c r="H13" s="158"/>
    </row>
    <row r="14" spans="2:16" ht="36.75">
      <c r="B14" s="87" t="str">
        <f>'1'!B2</f>
        <v>NOMBRE DEL PRODUCTO O SERVICIO</v>
      </c>
      <c r="C14" s="87" t="s">
        <v>152</v>
      </c>
      <c r="D14" s="87" t="s">
        <v>153</v>
      </c>
      <c r="E14" s="87" t="s">
        <v>154</v>
      </c>
      <c r="F14" s="87" t="s">
        <v>155</v>
      </c>
      <c r="H14" s="71"/>
      <c r="I14" s="71"/>
      <c r="J14" s="71" t="s">
        <v>156</v>
      </c>
    </row>
    <row r="15" spans="2:16">
      <c r="B15" s="38" t="str">
        <f>'1'!B3</f>
        <v>Diagnóstico de madurez analítica</v>
      </c>
      <c r="C15" s="88">
        <f>'1'!D3-'1'!D17</f>
        <v>7000000</v>
      </c>
      <c r="D15" s="89">
        <f>'1'!F3</f>
        <v>0.2318840579710145</v>
      </c>
      <c r="E15" s="88">
        <f>C15*D15</f>
        <v>1623188.4057971016</v>
      </c>
      <c r="F15" s="90">
        <f t="shared" ref="F15:F24" si="0">$E$28*D15</f>
        <v>43.24410034066274</v>
      </c>
      <c r="G15" s="38" t="s">
        <v>157</v>
      </c>
      <c r="H15" s="72">
        <f>'1'!D3</f>
        <v>8000000</v>
      </c>
      <c r="I15" s="91">
        <f t="shared" ref="I15:I24" si="1">$B$35*D15</f>
        <v>86.488200681325466</v>
      </c>
      <c r="J15" s="72">
        <f>'1'!D17</f>
        <v>1000000</v>
      </c>
    </row>
    <row r="16" spans="2:16">
      <c r="B16" s="92" t="str">
        <f>'1'!B4</f>
        <v>Implementación de dashboards</v>
      </c>
      <c r="C16" s="88">
        <f>'1'!D4-'1'!D18</f>
        <v>5500000</v>
      </c>
      <c r="D16" s="89">
        <f>'1'!F4</f>
        <v>0.15458937198067632</v>
      </c>
      <c r="E16" s="88">
        <f t="shared" ref="E16:E24" si="2">C16*D16</f>
        <v>850241.54589371977</v>
      </c>
      <c r="F16" s="90">
        <f t="shared" si="0"/>
        <v>28.829400227108493</v>
      </c>
      <c r="G16" s="38" t="str">
        <f>G15</f>
        <v>UNIDADES</v>
      </c>
      <c r="H16" s="72">
        <f>'1'!D4</f>
        <v>8000000</v>
      </c>
      <c r="I16" s="91">
        <f t="shared" si="1"/>
        <v>57.65880045421698</v>
      </c>
      <c r="J16" s="72">
        <f>'1'!D18</f>
        <v>2500000</v>
      </c>
    </row>
    <row r="17" spans="2:10">
      <c r="B17" s="92" t="str">
        <f>'1'!B5</f>
        <v>Modelo predictivo básico</v>
      </c>
      <c r="C17" s="88">
        <f>'1'!D5-'1'!D19</f>
        <v>5000000</v>
      </c>
      <c r="D17" s="89">
        <f>'1'!F5</f>
        <v>3.864734299516908E-2</v>
      </c>
      <c r="E17" s="88">
        <f t="shared" si="2"/>
        <v>193236.71497584539</v>
      </c>
      <c r="F17" s="90">
        <f t="shared" si="0"/>
        <v>7.2073500567771234</v>
      </c>
      <c r="G17" s="38" t="str">
        <f t="shared" ref="G17:G24" si="3">G16</f>
        <v>UNIDADES</v>
      </c>
      <c r="H17" s="72">
        <f>'1'!D5</f>
        <v>8000000</v>
      </c>
      <c r="I17" s="91">
        <f t="shared" si="1"/>
        <v>14.414700113554245</v>
      </c>
      <c r="J17" s="72">
        <f>'1'!D19</f>
        <v>3000000</v>
      </c>
    </row>
    <row r="18" spans="2:10">
      <c r="B18" s="92" t="str">
        <f>'1'!B6</f>
        <v>Automatización de reportes</v>
      </c>
      <c r="C18" s="88">
        <f>'1'!D6-'1'!D20</f>
        <v>4500000</v>
      </c>
      <c r="D18" s="89">
        <f>'1'!F6</f>
        <v>0.17391304347826086</v>
      </c>
      <c r="E18" s="88">
        <f t="shared" si="2"/>
        <v>782608.69565217395</v>
      </c>
      <c r="F18" s="90">
        <f t="shared" si="0"/>
        <v>32.433075255497059</v>
      </c>
      <c r="G18" s="38" t="str">
        <f t="shared" si="3"/>
        <v>UNIDADES</v>
      </c>
      <c r="H18" s="72">
        <f>'1'!D6</f>
        <v>6000000</v>
      </c>
      <c r="I18" s="91">
        <f t="shared" si="1"/>
        <v>64.866150510994103</v>
      </c>
      <c r="J18" s="72">
        <f>'1'!D20</f>
        <v>1500000</v>
      </c>
    </row>
    <row r="19" spans="2:10">
      <c r="B19" s="92" t="str">
        <f>'1'!B7</f>
        <v>Auditoría de calidad de datos</v>
      </c>
      <c r="C19" s="88">
        <f>'1'!D7-'1'!D21</f>
        <v>3000000</v>
      </c>
      <c r="D19" s="89">
        <f>'1'!F7</f>
        <v>2.4154589371980676E-2</v>
      </c>
      <c r="E19" s="88">
        <f t="shared" si="2"/>
        <v>72463.768115942032</v>
      </c>
      <c r="F19" s="90">
        <f t="shared" si="0"/>
        <v>4.5045937854857021</v>
      </c>
      <c r="G19" s="38" t="str">
        <f t="shared" si="3"/>
        <v>UNIDADES</v>
      </c>
      <c r="H19" s="72">
        <f>'1'!D7</f>
        <v>5000000</v>
      </c>
      <c r="I19" s="91">
        <f t="shared" si="1"/>
        <v>9.0091875709714024</v>
      </c>
      <c r="J19" s="72">
        <f>'1'!D21</f>
        <v>2000000</v>
      </c>
    </row>
    <row r="20" spans="2:10">
      <c r="B20" s="92" t="str">
        <f>'1'!B8</f>
        <v>Arquitectura de datos</v>
      </c>
      <c r="C20" s="88">
        <f>'1'!D8-'1'!D22</f>
        <v>6000000</v>
      </c>
      <c r="D20" s="89">
        <f>'1'!F8</f>
        <v>4.8309178743961352E-2</v>
      </c>
      <c r="E20" s="88">
        <f t="shared" si="2"/>
        <v>289855.07246376813</v>
      </c>
      <c r="F20" s="90">
        <f t="shared" si="0"/>
        <v>9.0091875709714042</v>
      </c>
      <c r="G20" s="38" t="str">
        <f t="shared" si="3"/>
        <v>UNIDADES</v>
      </c>
      <c r="H20" s="72">
        <f>'1'!D8</f>
        <v>10000000</v>
      </c>
      <c r="I20" s="91">
        <f t="shared" si="1"/>
        <v>18.018375141942805</v>
      </c>
      <c r="J20" s="72">
        <f>'1'!D22</f>
        <v>4000000</v>
      </c>
    </row>
    <row r="21" spans="2:10">
      <c r="B21" s="92" t="str">
        <f>'1'!B9</f>
        <v>Gobierno de datos</v>
      </c>
      <c r="C21" s="88">
        <f>'1'!D9-'1'!D23</f>
        <v>4000000</v>
      </c>
      <c r="D21" s="89">
        <f>'1'!F9</f>
        <v>3.3816425120772944E-2</v>
      </c>
      <c r="E21" s="88">
        <f t="shared" si="2"/>
        <v>135265.70048309179</v>
      </c>
      <c r="F21" s="90">
        <f t="shared" si="0"/>
        <v>6.3064312996799829</v>
      </c>
      <c r="G21" s="38" t="str">
        <f t="shared" si="3"/>
        <v>UNIDADES</v>
      </c>
      <c r="H21" s="72">
        <f>'1'!D9</f>
        <v>7000000</v>
      </c>
      <c r="I21" s="91">
        <f t="shared" si="1"/>
        <v>12.612862599359964</v>
      </c>
      <c r="J21" s="72">
        <f>'1'!D23</f>
        <v>3000000</v>
      </c>
    </row>
    <row r="22" spans="2:10">
      <c r="B22" s="92" t="str">
        <f>'1'!B10</f>
        <v>Curso alfabetización en datos</v>
      </c>
      <c r="C22" s="88">
        <f>'1'!D10-'1'!D24</f>
        <v>3200000</v>
      </c>
      <c r="D22" s="89">
        <f>'1'!F10</f>
        <v>1.932367149758454E-2</v>
      </c>
      <c r="E22" s="88">
        <f t="shared" si="2"/>
        <v>61835.748792270526</v>
      </c>
      <c r="F22" s="90">
        <f t="shared" si="0"/>
        <v>3.6036750283885617</v>
      </c>
      <c r="G22" s="38" t="str">
        <f t="shared" si="3"/>
        <v>UNIDADES</v>
      </c>
      <c r="H22" s="72">
        <f>'1'!D10</f>
        <v>4000000</v>
      </c>
      <c r="I22" s="91">
        <f t="shared" si="1"/>
        <v>7.2073500567771225</v>
      </c>
      <c r="J22" s="72">
        <f>'1'!D24</f>
        <v>800000</v>
      </c>
    </row>
    <row r="23" spans="2:10">
      <c r="B23" s="92" t="str">
        <f>'1'!B11</f>
        <v>Pack visualizaciones estándar</v>
      </c>
      <c r="C23" s="88">
        <f>'1'!D11-'1'!D25</f>
        <v>2200000</v>
      </c>
      <c r="D23" s="89">
        <f>'1'!F11</f>
        <v>0.14492753623188406</v>
      </c>
      <c r="E23" s="88">
        <f t="shared" si="2"/>
        <v>318840.57971014496</v>
      </c>
      <c r="F23" s="90">
        <f t="shared" si="0"/>
        <v>27.027562712914214</v>
      </c>
      <c r="G23" s="38" t="str">
        <f t="shared" si="3"/>
        <v>UNIDADES</v>
      </c>
      <c r="H23" s="72">
        <f>'1'!D11</f>
        <v>3000000</v>
      </c>
      <c r="I23" s="91">
        <f t="shared" si="1"/>
        <v>54.055125425828422</v>
      </c>
      <c r="J23" s="72">
        <f>'1'!D25</f>
        <v>800000</v>
      </c>
    </row>
    <row r="24" spans="2:10">
      <c r="B24" s="38" t="str">
        <f>'1'!B12</f>
        <v>Segmentación de clientes</v>
      </c>
      <c r="C24" s="88">
        <f>'1'!D12-'1'!D26</f>
        <v>2700000</v>
      </c>
      <c r="D24" s="89">
        <f>'1'!F12</f>
        <v>0.13043478260869565</v>
      </c>
      <c r="E24" s="88">
        <f t="shared" si="2"/>
        <v>352173.91304347827</v>
      </c>
      <c r="F24" s="90">
        <f t="shared" si="0"/>
        <v>24.32480644162279</v>
      </c>
      <c r="G24" s="38" t="str">
        <f t="shared" si="3"/>
        <v>UNIDADES</v>
      </c>
      <c r="H24" s="72">
        <f>'1'!D12</f>
        <v>4500000</v>
      </c>
      <c r="I24" s="91">
        <f t="shared" si="1"/>
        <v>48.649612883245574</v>
      </c>
      <c r="J24" s="72">
        <f>'1'!D26</f>
        <v>1800000</v>
      </c>
    </row>
    <row r="25" spans="2:10" ht="26.25">
      <c r="C25" s="26"/>
      <c r="D25" s="93"/>
      <c r="E25" s="26"/>
      <c r="F25" s="94">
        <f>SUM(F15:F24)</f>
        <v>186.49018271910805</v>
      </c>
      <c r="G25" s="8" t="str">
        <f>G24</f>
        <v>UNIDADES</v>
      </c>
      <c r="H25" s="72"/>
      <c r="I25" s="91"/>
      <c r="J25" s="72"/>
    </row>
    <row r="26" spans="2:10" ht="12.75" customHeight="1">
      <c r="C26" s="26"/>
      <c r="D26" s="93"/>
      <c r="E26" s="26"/>
      <c r="F26" s="94"/>
      <c r="H26" s="72"/>
      <c r="I26" s="91"/>
      <c r="J26" s="72"/>
    </row>
    <row r="27" spans="2:10" ht="21" customHeight="1">
      <c r="B27" s="155" t="s">
        <v>158</v>
      </c>
      <c r="C27" s="155"/>
      <c r="D27" s="155"/>
      <c r="E27" s="95">
        <f>SUM(E15:E24)</f>
        <v>4679710.1449275361</v>
      </c>
      <c r="H27" s="71"/>
      <c r="I27" s="71"/>
      <c r="J27" s="71"/>
    </row>
    <row r="28" spans="2:10" ht="19.5" customHeight="1">
      <c r="B28" s="155" t="s">
        <v>159</v>
      </c>
      <c r="C28" s="155"/>
      <c r="D28" s="155"/>
      <c r="E28" s="94">
        <f>IF(E27=0,0,('2'!C23+'2'!F31+'2'!C25)/'5'!E27)</f>
        <v>186.49018271910808</v>
      </c>
      <c r="F28" s="96" t="s">
        <v>157</v>
      </c>
      <c r="H28" s="97"/>
    </row>
    <row r="29" spans="2:10" ht="26.25">
      <c r="B29" s="155" t="s">
        <v>160</v>
      </c>
      <c r="C29" s="155"/>
      <c r="D29" s="155"/>
      <c r="E29" s="95">
        <f>E49</f>
        <v>1190564137.503871</v>
      </c>
    </row>
    <row r="30" spans="2:10">
      <c r="B30" s="129"/>
      <c r="C30" s="129"/>
      <c r="D30" s="129"/>
      <c r="E30" s="129"/>
      <c r="F30" s="129"/>
      <c r="G30" s="129"/>
    </row>
    <row r="31" spans="2:10" s="71" customFormat="1"/>
    <row r="32" spans="2:10" s="71" customFormat="1">
      <c r="C32" s="71" t="s">
        <v>161</v>
      </c>
      <c r="D32" s="71" t="s">
        <v>162</v>
      </c>
      <c r="E32" s="71" t="s">
        <v>163</v>
      </c>
      <c r="F32" s="71" t="s">
        <v>164</v>
      </c>
    </row>
    <row r="33" spans="2:6" s="71" customFormat="1">
      <c r="B33" s="71">
        <v>0</v>
      </c>
      <c r="C33" s="72">
        <f>'2'!C25+'2'!F31+'2'!C23</f>
        <v>872720000</v>
      </c>
      <c r="D33" s="71">
        <f>0</f>
        <v>0</v>
      </c>
      <c r="E33" s="71">
        <v>0</v>
      </c>
      <c r="F33" s="72">
        <f>C33+E33</f>
        <v>872720000</v>
      </c>
    </row>
    <row r="34" spans="2:6" s="71" customFormat="1">
      <c r="B34" s="91">
        <f>F25</f>
        <v>186.49018271910805</v>
      </c>
      <c r="C34" s="72">
        <f>C33</f>
        <v>872720000</v>
      </c>
      <c r="D34" s="130">
        <f>SUMPRODUCT(F15:F24,H15:H24)</f>
        <v>1190564137.503871</v>
      </c>
      <c r="E34" s="130">
        <f>SUMPRODUCT(F15:F24,J15:J24)</f>
        <v>317844137.5038712</v>
      </c>
      <c r="F34" s="72">
        <f>C34+E34</f>
        <v>1190564137.5038712</v>
      </c>
    </row>
    <row r="35" spans="2:6" s="71" customFormat="1">
      <c r="B35" s="91">
        <f>B34*2</f>
        <v>372.9803654382161</v>
      </c>
      <c r="C35" s="72">
        <f>C34</f>
        <v>872720000</v>
      </c>
      <c r="D35" s="130">
        <f>SUMPRODUCT(H15:H24,I15:I24)</f>
        <v>2381128275.0077419</v>
      </c>
      <c r="E35" s="130">
        <f>SUMPRODUCT(I15:I24,J15:J24)</f>
        <v>635688275.00774229</v>
      </c>
      <c r="F35" s="72">
        <f>C35+E35</f>
        <v>1508408275.0077424</v>
      </c>
    </row>
    <row r="36" spans="2:6" s="71" customFormat="1">
      <c r="C36" s="72"/>
    </row>
    <row r="37" spans="2:6" s="71" customFormat="1">
      <c r="C37" s="72"/>
    </row>
    <row r="38" spans="2:6" s="71" customFormat="1">
      <c r="C38" s="131" t="s">
        <v>165</v>
      </c>
      <c r="D38" s="71" t="s">
        <v>157</v>
      </c>
      <c r="E38" s="71" t="s">
        <v>166</v>
      </c>
    </row>
    <row r="39" spans="2:6" s="71" customFormat="1">
      <c r="B39" s="71">
        <v>1</v>
      </c>
      <c r="C39" s="72">
        <f>'1'!D3</f>
        <v>8000000</v>
      </c>
      <c r="D39" s="91">
        <f>F15</f>
        <v>43.24410034066274</v>
      </c>
      <c r="E39" s="71">
        <f>C39*D39</f>
        <v>345952802.72530192</v>
      </c>
    </row>
    <row r="40" spans="2:6" s="71" customFormat="1">
      <c r="B40" s="71">
        <f>B39+1</f>
        <v>2</v>
      </c>
      <c r="C40" s="72">
        <f>'1'!D4</f>
        <v>8000000</v>
      </c>
      <c r="D40" s="91">
        <f t="shared" ref="D40:D48" si="4">F16</f>
        <v>28.829400227108493</v>
      </c>
      <c r="E40" s="71">
        <f t="shared" ref="E40:E48" si="5">C40*D40</f>
        <v>230635201.81686795</v>
      </c>
    </row>
    <row r="41" spans="2:6" s="71" customFormat="1">
      <c r="B41" s="71">
        <f t="shared" ref="B41:B48" si="6">B40+1</f>
        <v>3</v>
      </c>
      <c r="C41" s="72">
        <f>'1'!D5</f>
        <v>8000000</v>
      </c>
      <c r="D41" s="91">
        <f t="shared" si="4"/>
        <v>7.2073500567771234</v>
      </c>
      <c r="E41" s="71">
        <f t="shared" si="5"/>
        <v>57658800.454216987</v>
      </c>
    </row>
    <row r="42" spans="2:6" s="71" customFormat="1">
      <c r="B42" s="71">
        <f t="shared" si="6"/>
        <v>4</v>
      </c>
      <c r="C42" s="72">
        <f>'1'!D6</f>
        <v>6000000</v>
      </c>
      <c r="D42" s="91">
        <f t="shared" si="4"/>
        <v>32.433075255497059</v>
      </c>
      <c r="E42" s="71">
        <f t="shared" si="5"/>
        <v>194598451.53298235</v>
      </c>
    </row>
    <row r="43" spans="2:6" s="71" customFormat="1">
      <c r="B43" s="71">
        <f t="shared" si="6"/>
        <v>5</v>
      </c>
      <c r="C43" s="72">
        <f>'1'!D7</f>
        <v>5000000</v>
      </c>
      <c r="D43" s="91">
        <f t="shared" si="4"/>
        <v>4.5045937854857021</v>
      </c>
      <c r="E43" s="71">
        <f t="shared" si="5"/>
        <v>22522968.92742851</v>
      </c>
    </row>
    <row r="44" spans="2:6" s="71" customFormat="1">
      <c r="B44" s="71">
        <f t="shared" si="6"/>
        <v>6</v>
      </c>
      <c r="C44" s="72">
        <f>'1'!D8</f>
        <v>10000000</v>
      </c>
      <c r="D44" s="91">
        <f t="shared" si="4"/>
        <v>9.0091875709714042</v>
      </c>
      <c r="E44" s="71">
        <f t="shared" si="5"/>
        <v>90091875.70971404</v>
      </c>
    </row>
    <row r="45" spans="2:6" s="71" customFormat="1">
      <c r="B45" s="71">
        <f t="shared" si="6"/>
        <v>7</v>
      </c>
      <c r="C45" s="72">
        <f>'1'!D9</f>
        <v>7000000</v>
      </c>
      <c r="D45" s="91">
        <f t="shared" si="4"/>
        <v>6.3064312996799829</v>
      </c>
      <c r="E45" s="71">
        <f t="shared" si="5"/>
        <v>44145019.09775988</v>
      </c>
    </row>
    <row r="46" spans="2:6" s="71" customFormat="1">
      <c r="B46" s="71">
        <f t="shared" si="6"/>
        <v>8</v>
      </c>
      <c r="C46" s="72">
        <f>'1'!D10</f>
        <v>4000000</v>
      </c>
      <c r="D46" s="91">
        <f t="shared" si="4"/>
        <v>3.6036750283885617</v>
      </c>
      <c r="E46" s="71">
        <f t="shared" si="5"/>
        <v>14414700.113554247</v>
      </c>
    </row>
    <row r="47" spans="2:6" s="71" customFormat="1">
      <c r="B47" s="71">
        <f t="shared" si="6"/>
        <v>9</v>
      </c>
      <c r="C47" s="72">
        <f>'1'!D11</f>
        <v>3000000</v>
      </c>
      <c r="D47" s="91">
        <f t="shared" si="4"/>
        <v>27.027562712914214</v>
      </c>
      <c r="E47" s="71">
        <f t="shared" si="5"/>
        <v>81082688.138742641</v>
      </c>
    </row>
    <row r="48" spans="2:6" s="71" customFormat="1">
      <c r="B48" s="71">
        <f t="shared" si="6"/>
        <v>10</v>
      </c>
      <c r="C48" s="72">
        <f>'1'!D12</f>
        <v>4500000</v>
      </c>
      <c r="D48" s="91">
        <f t="shared" si="4"/>
        <v>24.32480644162279</v>
      </c>
      <c r="E48" s="71">
        <f t="shared" si="5"/>
        <v>109461628.98730256</v>
      </c>
    </row>
    <row r="49" spans="2:8" s="71" customFormat="1">
      <c r="C49" s="72"/>
      <c r="E49" s="132">
        <f>SUM(E39:E48)</f>
        <v>1190564137.503871</v>
      </c>
    </row>
    <row r="50" spans="2:8" s="71" customFormat="1"/>
    <row r="51" spans="2:8" s="71" customFormat="1">
      <c r="C51" s="72"/>
    </row>
    <row r="52" spans="2:8" s="71" customFormat="1">
      <c r="B52" s="153"/>
      <c r="C52" s="153"/>
      <c r="D52" s="153"/>
      <c r="G52" s="71" t="s">
        <v>167</v>
      </c>
      <c r="H52" s="133">
        <f>'4'!B32/'4'!B27</f>
        <v>0.72059234423023188</v>
      </c>
    </row>
    <row r="53" spans="2:8" s="71" customFormat="1">
      <c r="C53" s="72"/>
      <c r="G53" s="71" t="s">
        <v>168</v>
      </c>
      <c r="H53" s="133">
        <f>'4'!B36/'4'!B27</f>
        <v>0.27940765576976812</v>
      </c>
    </row>
    <row r="54" spans="2:8" s="71" customFormat="1">
      <c r="G54" s="71" t="s">
        <v>169</v>
      </c>
      <c r="H54" s="71">
        <f>'1'!AB7</f>
        <v>0.27</v>
      </c>
    </row>
    <row r="55" spans="2:8" s="71" customFormat="1">
      <c r="G55" s="71" t="s">
        <v>170</v>
      </c>
      <c r="H55" s="133">
        <f>'3'!F4</f>
        <v>0.23</v>
      </c>
    </row>
    <row r="56" spans="2:8" s="71" customFormat="1">
      <c r="G56" s="71" t="s">
        <v>171</v>
      </c>
    </row>
    <row r="57" spans="2:8" s="71" customFormat="1"/>
    <row r="58" spans="2:8" s="71" customFormat="1"/>
    <row r="59" spans="2:8" s="71" customFormat="1"/>
    <row r="60" spans="2:8" s="71" customFormat="1"/>
    <row r="61" spans="2:8" s="71" customFormat="1"/>
    <row r="62" spans="2:8">
      <c r="B62" s="129"/>
      <c r="C62" s="129"/>
      <c r="D62" s="129"/>
      <c r="E62" s="129"/>
      <c r="F62" s="129"/>
      <c r="G62" s="129"/>
    </row>
    <row r="63" spans="2:8">
      <c r="B63" s="129"/>
      <c r="C63" s="129"/>
      <c r="D63" s="129"/>
      <c r="E63" s="129"/>
      <c r="F63" s="129"/>
      <c r="G63" s="129"/>
    </row>
    <row r="64" spans="2:8">
      <c r="B64" s="129"/>
      <c r="C64" s="129"/>
      <c r="D64" s="129"/>
      <c r="E64" s="129"/>
      <c r="F64" s="129"/>
      <c r="G64" s="129"/>
    </row>
    <row r="65" spans="2:7">
      <c r="B65" s="129"/>
      <c r="C65" s="129"/>
      <c r="D65" s="129"/>
      <c r="E65" s="129"/>
      <c r="F65" s="129"/>
      <c r="G65" s="129"/>
    </row>
    <row r="66" spans="2:7">
      <c r="B66" s="129"/>
      <c r="C66" s="129"/>
      <c r="D66" s="129"/>
      <c r="E66" s="129"/>
      <c r="F66" s="129"/>
      <c r="G66" s="129"/>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file>

<file path=customXml/itemProps2.xml><?xml version="1.0" encoding="utf-8"?>
<ds:datastoreItem xmlns:ds="http://schemas.openxmlformats.org/officeDocument/2006/customXml" ds:itemID="{BB641118-A753-42A3-B749-BC5DC5244A39}"/>
</file>

<file path=customXml/itemProps3.xml><?xml version="1.0" encoding="utf-8"?>
<ds:datastoreItem xmlns:ds="http://schemas.openxmlformats.org/officeDocument/2006/customXml" ds:itemID="{7C712E58-D6D2-4C0F-B37A-BDAB77C8BA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SYLVIA CRISTINA RODRIGUEZ GARZON</cp:lastModifiedBy>
  <cp:revision/>
  <dcterms:created xsi:type="dcterms:W3CDTF">2013-07-30T17:19:59Z</dcterms:created>
  <dcterms:modified xsi:type="dcterms:W3CDTF">2025-11-07T04:16:40Z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