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universidadeaneduco.sharepoint.com/sites/SmartMonitor/Documentos compartidos/General/REVISION JURADOS/"/>
    </mc:Choice>
  </mc:AlternateContent>
  <xr:revisionPtr revIDLastSave="1147" documentId="8_{2712EACB-A3A3-40A5-8046-D4F6F6F589F3}" xr6:coauthVersionLast="47" xr6:coauthVersionMax="47" xr10:uidLastSave="{9F8D489C-835E-404B-B08C-8545AE75C07D}"/>
  <bookViews>
    <workbookView xWindow="-120" yWindow="-120" windowWidth="29040" windowHeight="15840" tabRatio="703" activeTab="1" xr2:uid="{00000000-000D-0000-FFFF-FFFF00000000}"/>
  </bookViews>
  <sheets>
    <sheet name="Menú" sheetId="7" r:id="rId1"/>
    <sheet name="1" sheetId="1" r:id="rId2"/>
    <sheet name="2" sheetId="4" r:id="rId3"/>
    <sheet name="3" sheetId="3" r:id="rId4"/>
    <sheet name="4" sheetId="5" r:id="rId5"/>
    <sheet name="5" sheetId="6" r:id="rId6"/>
    <sheet name="PROPIEDAD PLANTA Y EQUIPO" sheetId="8" r:id="rId7"/>
    <sheet name="MUEBLES Y ENSERES" sheetId="9" r:id="rId8"/>
    <sheet name="EQUIPO DE OFICINA" sheetId="10" r:id="rId9"/>
    <sheet name="GASTOS PUESTA EN MARCHA" sheetId="11" r:id="rId10"/>
    <sheet name="NÓMINA ADMINISTRATIVA" sheetId="12" r:id="rId11"/>
    <sheet name="NÓMINA PROD Y SERVICIOS" sheetId="13" r:id="rId12"/>
    <sheet name="NOMINA VENTAS" sheetId="14" r:id="rId13"/>
    <sheet name="PPTO MARKETING" sheetId="15" r:id="rId14"/>
    <sheet name="GASTOS FIJOS" sheetId="16" r:id="rId15"/>
  </sheets>
  <externalReferences>
    <externalReference r:id="rId16"/>
  </externalReferences>
  <definedNames>
    <definedName name="_xlnm._FilterDatabase" localSheetId="10" hidden="1">'NÓMINA ADMINISTRATIVA'!$C$2:$P$5</definedName>
    <definedName name="_xlnm._FilterDatabase" localSheetId="11" hidden="1">'NÓMINA PROD Y SERVICIOS'!$C$3:$P$3</definedName>
    <definedName name="_xlnm._FilterDatabase" localSheetId="12" hidden="1">'NOMINA VENTAS'!#REF!</definedName>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D18" i="1"/>
  <c r="D19" i="1"/>
  <c r="D20" i="1"/>
  <c r="D21" i="1"/>
  <c r="D9" i="16" l="1"/>
  <c r="J4" i="13"/>
  <c r="L4" i="13"/>
  <c r="L5" i="13"/>
  <c r="L6" i="13"/>
  <c r="D15" i="3"/>
  <c r="L4" i="14"/>
  <c r="K4" i="14"/>
  <c r="J4" i="14"/>
  <c r="I4" i="14"/>
  <c r="H4" i="14"/>
  <c r="G4" i="14"/>
  <c r="N4" i="14" s="1"/>
  <c r="O4" i="14" s="1"/>
  <c r="P4" i="14" s="1"/>
  <c r="K6" i="13"/>
  <c r="J6" i="13"/>
  <c r="I6" i="13"/>
  <c r="H6" i="13"/>
  <c r="G6" i="13"/>
  <c r="N6" i="13" s="1"/>
  <c r="O6" i="13" s="1"/>
  <c r="P6" i="13" s="1"/>
  <c r="K5" i="13"/>
  <c r="J5" i="13"/>
  <c r="I5" i="13"/>
  <c r="H5" i="13"/>
  <c r="G5" i="13"/>
  <c r="N5" i="13" s="1"/>
  <c r="O5" i="13" s="1"/>
  <c r="P5" i="13" s="1"/>
  <c r="K4" i="13"/>
  <c r="I4" i="13"/>
  <c r="H4" i="13"/>
  <c r="G4" i="13"/>
  <c r="N4" i="13" s="1"/>
  <c r="O4" i="13" s="1"/>
  <c r="P4" i="13" s="1"/>
  <c r="L4" i="12"/>
  <c r="K4" i="12"/>
  <c r="J4" i="12"/>
  <c r="I4" i="12"/>
  <c r="H4" i="12"/>
  <c r="G4" i="12"/>
  <c r="L3" i="12"/>
  <c r="K3" i="12"/>
  <c r="J3" i="12"/>
  <c r="I3" i="12"/>
  <c r="H3" i="12"/>
  <c r="G3" i="12"/>
  <c r="N3" i="12" s="1"/>
  <c r="O3" i="12" s="1"/>
  <c r="D6" i="16"/>
  <c r="F13" i="16"/>
  <c r="F29" i="4" s="1"/>
  <c r="F12" i="16"/>
  <c r="F28" i="4" s="1"/>
  <c r="F11" i="16"/>
  <c r="F10" i="16"/>
  <c r="F25" i="4" s="1"/>
  <c r="F9" i="16"/>
  <c r="F24" i="4" s="1"/>
  <c r="F8" i="16"/>
  <c r="F22" i="4" s="1"/>
  <c r="F7" i="16"/>
  <c r="F21" i="4" s="1"/>
  <c r="F6" i="16"/>
  <c r="F20" i="4" s="1"/>
  <c r="F5" i="16"/>
  <c r="F19" i="4" s="1"/>
  <c r="F4" i="16"/>
  <c r="F18" i="4" s="1"/>
  <c r="H9" i="15"/>
  <c r="H8" i="15"/>
  <c r="H7" i="15"/>
  <c r="H11" i="15" s="1"/>
  <c r="C25" i="4" s="1"/>
  <c r="D48" i="11"/>
  <c r="C11" i="4"/>
  <c r="D45" i="11"/>
  <c r="G7" i="10"/>
  <c r="G6" i="10"/>
  <c r="E5" i="8"/>
  <c r="E8" i="11"/>
  <c r="G5" i="10"/>
  <c r="G4" i="10"/>
  <c r="G9" i="10" s="1"/>
  <c r="C7" i="4" s="1"/>
  <c r="F4" i="9"/>
  <c r="F7" i="9" s="1"/>
  <c r="C6" i="4" s="1"/>
  <c r="E4" i="8"/>
  <c r="E8" i="8" s="1"/>
  <c r="C5" i="4" s="1"/>
  <c r="H55" i="6"/>
  <c r="H54" i="6"/>
  <c r="N4" i="12" l="1"/>
  <c r="O4" i="12" s="1"/>
  <c r="P4" i="12" s="1"/>
  <c r="D5" i="14"/>
  <c r="D7" i="13"/>
  <c r="P3" i="12"/>
  <c r="P5" i="12" s="1"/>
  <c r="D5" i="12"/>
  <c r="F27" i="4"/>
  <c r="F14" i="16"/>
  <c r="B40" i="6"/>
  <c r="B41" i="6" s="1"/>
  <c r="B42" i="6" s="1"/>
  <c r="B43" i="6" s="1"/>
  <c r="B44" i="6" s="1"/>
  <c r="B45" i="6" s="1"/>
  <c r="B46" i="6" s="1"/>
  <c r="B47" i="6" s="1"/>
  <c r="B48" i="6" s="1"/>
  <c r="C40" i="6"/>
  <c r="C41" i="6"/>
  <c r="C42" i="6"/>
  <c r="C43" i="6"/>
  <c r="C44" i="6"/>
  <c r="C45" i="6"/>
  <c r="C46" i="6"/>
  <c r="C47" i="6"/>
  <c r="C48" i="6"/>
  <c r="C39" i="6"/>
  <c r="N5" i="14" l="1"/>
  <c r="P5" i="14"/>
  <c r="C20" i="4" s="1"/>
  <c r="N7" i="13"/>
  <c r="P7" i="13"/>
  <c r="C22" i="4" s="1"/>
  <c r="N5" i="12"/>
  <c r="C18" i="4"/>
  <c r="F11" i="5"/>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C17" i="5"/>
  <c r="C35" i="5" s="1"/>
  <c r="C36" i="5" s="1"/>
  <c r="H9" i="3"/>
  <c r="J9" i="3" s="1"/>
  <c r="I10" i="3" s="1"/>
  <c r="E35" i="6"/>
  <c r="F35" i="6" s="1"/>
  <c r="D35" i="6"/>
  <c r="C30" i="5"/>
  <c r="C45" i="5"/>
  <c r="B39" i="5" l="1"/>
  <c r="H53" i="6"/>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29" i="5"/>
  <c r="F45" i="5" s="1"/>
  <c r="E44" i="5"/>
  <c r="F13" i="3" l="1"/>
  <c r="G13" i="3" s="1"/>
  <c r="G14" i="5" s="1"/>
  <c r="G15" i="5" s="1"/>
  <c r="G16" i="5" s="1"/>
  <c r="G17" i="5" s="1"/>
  <c r="G35" i="5" s="1"/>
  <c r="G36" i="5" s="1"/>
  <c r="F31" i="5"/>
  <c r="I13" i="3"/>
  <c r="F30" i="5"/>
  <c r="E46" i="5"/>
  <c r="E52" i="5" s="1"/>
  <c r="E58" i="5" s="1"/>
  <c r="E59" i="5" s="1"/>
  <c r="F8" i="6" s="1"/>
  <c r="F32" i="5" l="1"/>
  <c r="F38" i="5" s="1"/>
  <c r="F22" i="5" s="1"/>
  <c r="F44" i="5" s="1"/>
  <c r="F46" i="5" s="1"/>
  <c r="F52" i="5" s="1"/>
  <c r="F58" i="5" s="1"/>
  <c r="F59" i="5" s="1"/>
  <c r="G8" i="6" s="1"/>
  <c r="G29" i="5"/>
  <c r="G30" i="5" s="1"/>
  <c r="H13" i="3"/>
  <c r="J13" i="3" s="1"/>
  <c r="G31" i="5" s="1"/>
  <c r="G32" i="5" l="1"/>
  <c r="G38" i="5" s="1"/>
  <c r="G22" i="5" s="1"/>
  <c r="G44" i="5" s="1"/>
  <c r="F27" i="5"/>
  <c r="F39" i="5" s="1"/>
  <c r="G45" i="5"/>
  <c r="G27" i="5" l="1"/>
  <c r="G39" i="5" s="1"/>
  <c r="G46" i="5"/>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8" authorId="0" shapeId="0" xr:uid="{32776934-0A23-4187-840F-DC35498B00C6}">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9" authorId="0" shapeId="0" xr:uid="{2A2F2356-BEBE-48E7-9D40-9BC95EC3B218}">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0" authorId="0" shapeId="0" xr:uid="{7B372DC3-0CB7-41F2-BE4F-620C5AB92FA5}">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1" authorId="0" shapeId="0" xr:uid="{2A80A44A-340B-49C6-AC37-C0133276733E}">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2" authorId="0" shapeId="0" xr:uid="{700D5C17-FDBA-4C8F-9E3C-C547FF7D2781}">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<sst xmlns="http://schemas.openxmlformats.org/spreadsheetml/2006/main" count="260" uniqueCount="211">
  <si>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</si>
  <si>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</si>
  <si>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</si>
  <si>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</si>
  <si>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</si>
  <si>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</si>
  <si>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</si>
  <si>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</si>
  <si>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</si>
  <si>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</si>
  <si>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</si>
  <si>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</si>
  <si>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</si>
  <si>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</si>
  <si>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</si>
  <si>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</si>
  <si>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</si>
  <si>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</si>
  <si>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Iluminación</t>
  </si>
  <si>
    <t>AÑO</t>
  </si>
  <si>
    <t>CCTV</t>
  </si>
  <si>
    <t>INFLACIÓN</t>
  </si>
  <si>
    <t>Control de accesos</t>
  </si>
  <si>
    <t>IPP</t>
  </si>
  <si>
    <t>Cortinas</t>
  </si>
  <si>
    <t xml:space="preserve">Energía Renovable </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</si>
  <si>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</si>
  <si>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</si>
  <si>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</si>
  <si>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</si>
  <si>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</si>
  <si>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</si>
  <si>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</si>
  <si>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</si>
  <si>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</si>
  <si>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</si>
  <si>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</si>
  <si>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</si>
  <si>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</si>
  <si>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</si>
  <si>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</si>
  <si>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</si>
  <si>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</si>
  <si>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</si>
  <si>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</si>
  <si>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</si>
  <si>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</si>
  <si>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</si>
  <si>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</si>
  <si>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</si>
  <si>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</si>
  <si>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</si>
  <si>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</si>
  <si>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</si>
  <si>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</si>
  <si>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</si>
  <si>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</si>
  <si>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</si>
  <si>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</si>
  <si>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</si>
  <si>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</si>
  <si>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</si>
  <si>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</si>
  <si>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</si>
  <si>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</si>
  <si>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</si>
  <si>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</si>
  <si>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Honorarios Legales</t>
  </si>
  <si>
    <t>Honorarios Contables</t>
  </si>
  <si>
    <t>Transporte</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</si>
  <si>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</si>
  <si>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</si>
  <si>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</si>
  <si>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</si>
  <si>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</si>
  <si>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</si>
  <si>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</si>
  <si>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</si>
  <si>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</si>
  <si>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</si>
  <si>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</si>
  <si>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</si>
  <si>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</si>
  <si>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</si>
  <si>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</si>
  <si>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</si>
  <si>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</si>
  <si>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</si>
  <si>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</si>
  <si>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</si>
  <si>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</si>
  <si>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</si>
  <si>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</si>
  <si>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</si>
  <si>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</si>
  <si>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</si>
  <si>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</si>
  <si>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</si>
  <si>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</si>
  <si>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</si>
  <si>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</si>
  <si>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</si>
  <si>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</si>
  <si>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</si>
  <si>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</si>
  <si>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</si>
  <si>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</si>
  <si>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</si>
  <si>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</si>
  <si>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</si>
  <si>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</si>
  <si>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</si>
  <si>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</si>
  <si>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</si>
  <si>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</si>
  <si>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</si>
  <si>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</si>
  <si>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</si>
  <si>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</si>
  <si>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</si>
  <si>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</si>
  <si>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</si>
  <si>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</si>
  <si>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</si>
  <si>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</si>
  <si>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</si>
  <si>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</si>
  <si>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</si>
  <si>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</si>
  <si>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</si>
  <si>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</si>
  <si>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</si>
  <si>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</si>
  <si>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</si>
  <si>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</si>
  <si>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</si>
  <si>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</si>
  <si>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</si>
  <si>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</si>
  <si>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</si>
  <si>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</si>
  <si>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</si>
  <si>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</si>
  <si>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</si>
  <si>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</si>
  <si>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</si>
  <si>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</si>
  <si>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</si>
  <si>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</si>
  <si>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</si>
  <si>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</si>
  <si>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</si>
  <si>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</si>
  <si>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</si>
  <si>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</si>
  <si>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</si>
  <si>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</si>
  <si>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</si>
  <si>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</si>
  <si>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</si>
  <si>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</si>
  <si>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</si>
  <si>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</si>
  <si>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</si>
  <si>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</si>
  <si>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</si>
  <si>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</si>
  <si>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</si>
  <si>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DESCRIPCIÓN</t>
  </si>
  <si>
    <t>VALOR UNITARIO</t>
  </si>
  <si>
    <t>CANTIDAD</t>
  </si>
  <si>
    <t>VALOR X AÑO</t>
  </si>
  <si>
    <t>Herramientas instalación</t>
  </si>
  <si>
    <t>Elementos de seguridad</t>
  </si>
  <si>
    <t>VALOR X MES</t>
  </si>
  <si>
    <t>Mobiliario (escritorios, sillas, estanterías, etc.)</t>
  </si>
  <si>
    <t>Equipos de oficina (computadoras)</t>
  </si>
  <si>
    <t>Servidores y almacenamiento (equipos de servidor y sistemas de almacenamiento)</t>
  </si>
  <si>
    <t xml:space="preserve"> impresoras</t>
  </si>
  <si>
    <t>teléfonos</t>
  </si>
  <si>
    <t xml:space="preserve">VALOR </t>
  </si>
  <si>
    <t>Derechos de matricula</t>
  </si>
  <si>
    <t>Formulario RUES</t>
  </si>
  <si>
    <t>Impuesto de registro</t>
  </si>
  <si>
    <t>Inscripción documento de constitución</t>
  </si>
  <si>
    <t>PRESUPUESTO PERSONAL ADMINISTRATIVO</t>
  </si>
  <si>
    <t>CARGO</t>
  </si>
  <si>
    <t>CANTIDAD DE
 PERSONAL</t>
  </si>
  <si>
    <t>TOTAL AL AÑO</t>
  </si>
  <si>
    <t>CEO</t>
  </si>
  <si>
    <t>COO</t>
  </si>
  <si>
    <t>PRESUPUESTO PERSONAL DE PRODUCCIÓN Y SERVICIOS</t>
  </si>
  <si>
    <t>Ingeniero de Software</t>
  </si>
  <si>
    <t>Ingeniero de Proyectos</t>
  </si>
  <si>
    <t>Soporte Técnico y Servicio al cliente</t>
  </si>
  <si>
    <t>PRESUPUESTO PERSONAL DE VENTAS</t>
  </si>
  <si>
    <t>Representante de ventas</t>
  </si>
  <si>
    <t>PRESUPUESTO MARKETING</t>
  </si>
  <si>
    <t>TIPO ESTRATEGIA</t>
  </si>
  <si>
    <t>Publicidad en Redes Sociales</t>
  </si>
  <si>
    <t>Diseño Gráfico (Msterial P.O.P.)</t>
  </si>
  <si>
    <t>Impresión de Folletos y Tarjetas</t>
  </si>
  <si>
    <t>TOTAL ANUAL</t>
  </si>
  <si>
    <t>VALOR MENSUAL</t>
  </si>
  <si>
    <t>VALOR TOTAL</t>
  </si>
  <si>
    <t>ARRIENDO</t>
  </si>
  <si>
    <t>SERVICIOS PÚBLICOS</t>
  </si>
  <si>
    <t>TELEFONÍA CELULAR</t>
  </si>
  <si>
    <t>INTERNET</t>
  </si>
  <si>
    <t>PAPELERÍA</t>
  </si>
  <si>
    <t>SERVICIOS DE ASEO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</si>
</sst>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 #,##0.00_);_(* \(#,##0.00\);_(* &quot;-&quot;??_);_(@_)"/>
    <numFmt numFmtId="165" formatCode="&quot;$&quot;#,##0.00;[Red]\-&quot;$&quot;#,##0.00"/>
    <numFmt numFmtId="166" formatCode="&quot;$&quot;\ #,##0.00_);[Red]\(&quot;$&quot;\ #,##0.00\)"/>
    <numFmt numFmtId="167" formatCode="_(&quot;$&quot;\ * #,##0.00_);_(&quot;$&quot;\ * \(#,##0.00\);_(&quot;$&quot;\ *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 numFmtId="181" formatCode="_-&quot;$&quot;\ * #,##0_-;\-&quot;$&quot;\ * #,##0_-;_-&quot;$&quot;\ * &quot;-&quot;??_-;_-@_-"/>
    <numFmt numFmtId="182" formatCode="0.000%"/>
    <numFmt numFmtId="183" formatCode="_-[$$-240A]\ * #,##0_-;\-[$$-240A]\ * #,##0_-;_-[$$-240A]\ *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7" fontId="1" fillId="0" borderId="0" applyFont="0" applyFill="0" applyBorder="0" applyAlignment="0" applyProtection="0"/>
    <xf numFmtId="9"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0" fontId="36" fillId="0" borderId="0" applyNumberFormat="0" applyFill="0" applyBorder="0" applyAlignment="0" applyProtection="0"/>
    <xf numFmtId="0" fontId="20" fillId="0" borderId="0"/>
  </cellStyleXfs>
  <cellXfs count="192">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7"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7" fontId="0" fillId="0" borderId="0" xfId="1" applyFont="1" applyProtection="1">
      <protection hidden="1"/>
    </xf>
    <xf numFmtId="167"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7"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4" fontId="29" fillId="4" borderId="0" xfId="4" applyFont="1" applyFill="1" applyProtection="1">
      <protection locked="0"/>
    </xf>
    <xf numFmtId="177" fontId="29" fillId="4" borderId="0" xfId="4" applyNumberFormat="1" applyFont="1" applyFill="1" applyAlignment="1" applyProtection="1">
      <alignment horizontal="center"/>
      <protection locked="0"/>
    </xf>
    <xf numFmtId="167"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7" fontId="2" fillId="0" borderId="1" xfId="0" applyNumberFormat="1" applyFont="1" applyBorder="1" applyProtection="1">
      <protection hidden="1"/>
    </xf>
    <xf numFmtId="167" fontId="0" fillId="5" borderId="0" xfId="0" applyNumberFormat="1" applyFill="1" applyProtection="1">
      <protection hidden="1"/>
    </xf>
    <xf numFmtId="0" fontId="18" fillId="0" borderId="0" xfId="0" applyFont="1" applyProtection="1">
      <protection hidden="1"/>
    </xf>
    <xf numFmtId="167" fontId="18" fillId="0" borderId="0" xfId="0" applyNumberFormat="1" applyFont="1" applyProtection="1">
      <protection hidden="1"/>
    </xf>
    <xf numFmtId="0" fontId="7" fillId="0" borderId="0" xfId="0" applyFont="1" applyProtection="1">
      <protection hidden="1"/>
    </xf>
    <xf numFmtId="167"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7" fontId="21" fillId="5" borderId="0" xfId="0" applyNumberFormat="1" applyFont="1" applyFill="1" applyProtection="1">
      <protection hidden="1"/>
    </xf>
    <xf numFmtId="167"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7" fontId="6" fillId="0" borderId="0" xfId="0" applyNumberFormat="1" applyFont="1" applyProtection="1">
      <protection hidden="1"/>
    </xf>
    <xf numFmtId="9" fontId="6" fillId="0" borderId="0" xfId="0" applyNumberFormat="1" applyFont="1" applyProtection="1">
      <protection hidden="1"/>
    </xf>
    <xf numFmtId="164" fontId="6" fillId="0" borderId="0" xfId="0" applyNumberFormat="1" applyFont="1" applyProtection="1">
      <protection hidden="1"/>
    </xf>
    <xf numFmtId="164"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4" fontId="35" fillId="0" borderId="0" xfId="4" applyFont="1" applyProtection="1">
      <protection hidden="1"/>
    </xf>
    <xf numFmtId="167" fontId="35" fillId="0" borderId="0" xfId="1" applyFont="1" applyProtection="1">
      <protection hidden="1"/>
    </xf>
    <xf numFmtId="0" fontId="2" fillId="0" borderId="0" xfId="0" applyFont="1" applyProtection="1">
      <protection hidden="1"/>
    </xf>
    <xf numFmtId="164"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5" fontId="0" fillId="0" borderId="0" xfId="0" applyNumberFormat="1" applyProtection="1">
      <protection hidden="1"/>
    </xf>
    <xf numFmtId="0" fontId="20" fillId="0" borderId="0" xfId="6"/>
    <xf numFmtId="178" fontId="20" fillId="0" borderId="0" xfId="6" applyNumberFormat="1"/>
    <xf numFmtId="165"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6"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7" fontId="18" fillId="0" borderId="0" xfId="1" applyFont="1" applyProtection="1">
      <protection hidden="1"/>
    </xf>
    <xf numFmtId="0" fontId="18" fillId="0" borderId="0" xfId="0" applyFont="1" applyAlignment="1" applyProtection="1">
      <alignment horizontal="center"/>
      <protection hidden="1"/>
    </xf>
    <xf numFmtId="167"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11" fillId="0" borderId="4" xfId="0" applyFont="1" applyBorder="1" applyProtection="1">
      <protection hidden="1"/>
    </xf>
    <xf numFmtId="164" fontId="29" fillId="4" borderId="0" xfId="4" applyFont="1" applyFill="1" applyAlignment="1" applyProtection="1">
      <alignment vertical="center"/>
      <protection locked="0"/>
    </xf>
    <xf numFmtId="167" fontId="29" fillId="4" borderId="0" xfId="1" applyFont="1" applyFill="1" applyAlignment="1" applyProtection="1">
      <alignment vertical="center"/>
      <protection locked="0"/>
    </xf>
    <xf numFmtId="0" fontId="29" fillId="4" borderId="0" xfId="0" applyFont="1" applyFill="1" applyAlignment="1" applyProtection="1">
      <alignment horizontal="left" vertical="center"/>
      <protection locked="0"/>
    </xf>
    <xf numFmtId="9" fontId="0" fillId="0" borderId="0" xfId="0" applyNumberFormat="1"/>
    <xf numFmtId="0" fontId="2" fillId="0" borderId="0" xfId="0" applyFont="1" applyAlignment="1">
      <alignment horizontal="center" vertical="center"/>
    </xf>
    <xf numFmtId="181" fontId="2" fillId="0" borderId="0" xfId="1" applyNumberFormat="1" applyFont="1" applyAlignment="1">
      <alignment horizontal="center" vertical="center"/>
    </xf>
    <xf numFmtId="181" fontId="0" fillId="0" borderId="0" xfId="1" applyNumberFormat="1" applyFont="1"/>
    <xf numFmtId="0" fontId="0" fillId="0" borderId="0" xfId="0" applyAlignment="1">
      <alignment horizontal="center"/>
    </xf>
    <xf numFmtId="0" fontId="2" fillId="0" borderId="0" xfId="0" applyFont="1" applyAlignment="1">
      <alignment horizontal="center"/>
    </xf>
    <xf numFmtId="0" fontId="2" fillId="0" borderId="0" xfId="0" applyFont="1"/>
    <xf numFmtId="0" fontId="2" fillId="0" borderId="0" xfId="0" applyFont="1" applyAlignment="1">
      <alignment horizontal="center" vertical="center" wrapText="1"/>
    </xf>
    <xf numFmtId="170" fontId="0" fillId="0" borderId="0" xfId="0" applyNumberFormat="1"/>
    <xf numFmtId="181" fontId="0" fillId="0" borderId="0" xfId="0" applyNumberFormat="1"/>
    <xf numFmtId="182" fontId="0" fillId="0" borderId="0" xfId="0" applyNumberFormat="1"/>
    <xf numFmtId="181" fontId="2" fillId="0" borderId="0" xfId="0" applyNumberFormat="1" applyFont="1"/>
    <xf numFmtId="0" fontId="2" fillId="0" borderId="0" xfId="0" applyFont="1" applyAlignment="1">
      <alignment horizontal="center" wrapText="1"/>
    </xf>
    <xf numFmtId="181" fontId="0" fillId="0" borderId="0" xfId="1" applyNumberFormat="1" applyFont="1" applyAlignment="1">
      <alignment vertical="center"/>
    </xf>
    <xf numFmtId="181" fontId="0" fillId="0" borderId="0" xfId="1" applyNumberFormat="1" applyFont="1" applyAlignment="1">
      <alignment horizontal="center" vertical="center"/>
    </xf>
    <xf numFmtId="0" fontId="2" fillId="0" borderId="0" xfId="0" applyFont="1" applyAlignment="1">
      <alignment wrapText="1"/>
    </xf>
    <xf numFmtId="181" fontId="2" fillId="0" borderId="0" xfId="0" applyNumberFormat="1" applyFont="1" applyAlignment="1">
      <alignment wrapText="1"/>
    </xf>
    <xf numFmtId="183" fontId="0" fillId="0" borderId="0" xfId="0" applyNumberFormat="1"/>
    <xf numFmtId="1" fontId="0" fillId="0" borderId="0" xfId="0" applyNumberFormat="1"/>
    <xf numFmtId="1" fontId="0" fillId="0" borderId="0" xfId="0" applyNumberFormat="1" applyAlignment="1">
      <alignment horizontal="center"/>
    </xf>
    <xf numFmtId="183" fontId="2" fillId="0" borderId="0" xfId="0" applyNumberFormat="1" applyFont="1"/>
    <xf numFmtId="10" fontId="0" fillId="0" borderId="0" xfId="0" applyNumberFormat="1"/>
    <xf numFmtId="1" fontId="2" fillId="0" borderId="0" xfId="0" applyNumberFormat="1" applyFont="1" applyAlignment="1">
      <alignment horizontal="center"/>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2" fillId="0" borderId="0" xfId="0" applyFont="1" applyAlignment="1">
      <alignment horizontal="center" wrapText="1"/>
    </xf>
    <xf numFmtId="0" fontId="2" fillId="0" borderId="0" xfId="0" applyFont="1" applyAlignment="1">
      <alignment horizontal="center"/>
    </xf>
    <xf numFmtId="0" fontId="22" fillId="0" borderId="0" xfId="0" applyFont="1" applyAlignment="1">
      <alignment horizontal="center" vertical="center"/>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163.61169275876969</c:v>
                </c:pt>
                <c:pt idx="2">
                  <c:v>327.22338551753938</c:v>
                </c:pt>
              </c:numCache>
            </c:numRef>
          </c:cat>
          <c:val>
            <c:numRef>
              <c:f>'5'!$C$33:$C$35</c:f>
              <c:numCache>
                <c:formatCode>_("$"\ * #,##0.00_);_("$"\ * \(#,##0.00\);_("$"\ * "-"??_);_(@_)</c:formatCode>
                <c:ptCount val="3"/>
                <c:pt idx="0">
                  <c:v>556345392</c:v>
                </c:pt>
                <c:pt idx="1">
                  <c:v>556345392</c:v>
                </c:pt>
                <c:pt idx="2">
                  <c:v>556345392</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163.61169275876969</c:v>
                </c:pt>
                <c:pt idx="2">
                  <c:v>327.22338551753938</c:v>
                </c:pt>
              </c:numCache>
            </c:numRef>
          </c:cat>
          <c:val>
            <c:numRef>
              <c:f>'5'!$D$33:$D$35</c:f>
              <c:numCache>
                <c:formatCode>_("$"\ * #,##0.00_);_("$"\ * \(#,##0.00\);_("$"\ * "-"??_);_(@_)</c:formatCode>
                <c:ptCount val="3"/>
                <c:pt idx="0" formatCode="General">
                  <c:v>0</c:v>
                </c:pt>
                <c:pt idx="1">
                  <c:v>1390863513.3667982</c:v>
                </c:pt>
                <c:pt idx="2">
                  <c:v>2781727026.7335963</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163.61169275876969</c:v>
                </c:pt>
                <c:pt idx="2">
                  <c:v>327.22338551753938</c:v>
                </c:pt>
              </c:numCache>
            </c:numRef>
          </c:cat>
          <c:val>
            <c:numRef>
              <c:f>'5'!$F$33:$F$35</c:f>
              <c:numCache>
                <c:formatCode>_("$"\ * #,##0.00_);_("$"\ * \(#,##0.00\);_("$"\ * "-"??_);_(@_)</c:formatCode>
                <c:ptCount val="3"/>
                <c:pt idx="0">
                  <c:v>556345392</c:v>
                </c:pt>
                <c:pt idx="1">
                  <c:v>1390863513.3667984</c:v>
                </c:pt>
                <c:pt idx="2">
                  <c:v>2225381634.7335968</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107496</xdr:colOff>
      <xdr:row>32</xdr:row>
      <xdr:rowOff>35378</xdr:rowOff>
    </xdr:from>
    <xdr:to>
      <xdr:col>27</xdr:col>
      <xdr:colOff>297996</xdr:colOff>
      <xdr:row>33</xdr:row>
      <xdr:rowOff>254453</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12816567" y="7396842"/>
          <a:ext cx="15471322"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109539</xdr:rowOff>
    </xdr:from>
    <xdr:to>
      <xdr:col>12</xdr:col>
      <xdr:colOff>190498</xdr:colOff>
      <xdr:row>26</xdr:row>
      <xdr:rowOff>9526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ESAR\Downloads\Anexo%20XXX%20-%20Costos%20de%20Producci&#243;n.xlsx" TargetMode="External"/><Relationship Id="rId1" Type="http://schemas.openxmlformats.org/officeDocument/2006/relationships/externalLinkPath" Target="file:///C:\Users\CESAR\Downloads\Anexo%20XXX%20-%20Costos%20de%20Produ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STOS PRODUCCION"/>
    </sheetNames>
    <sheetDataSet>
      <sheetData sheetId="0">
        <row r="12">
          <cell r="G12">
            <v>3045000</v>
          </cell>
        </row>
        <row r="24">
          <cell r="G24">
            <v>2700000.0819672132</v>
          </cell>
        </row>
        <row r="37">
          <cell r="G37">
            <v>6600000</v>
          </cell>
        </row>
        <row r="48">
          <cell r="G48">
            <v>3780000</v>
          </cell>
        </row>
        <row r="57">
          <cell r="G57">
            <v>12000000.333333334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42578125" defaultRowHeight="15" x14ac:dyDescent="0.25"/>
  <sheetData>
    <row r="23" spans="7:8" ht="20.25" x14ac:dyDescent="0.3">
      <c r="G23" s="165" t="s">
        <v>0</v>
      </c>
      <c r="H23" s="165"/>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6F356-A24A-4B7D-B288-693642F1894E}">
  <dimension ref="C3:E48"/>
  <sheetViews>
    <sheetView showGridLines="0" topLeftCell="A39" workbookViewId="0">
      <selection activeCell="D48" sqref="D48"/>
    </sheetView>
  </sheetViews>
  <sheetFormatPr baseColWidth="10" defaultColWidth="9.140625" defaultRowHeight="15" x14ac:dyDescent="0.25"/>
  <cols>
    <col min="3" max="3" width="75.42578125" bestFit="1" customWidth="1"/>
    <col min="4" max="4" width="18" bestFit="1" customWidth="1"/>
    <col min="5" max="5" width="13.5703125" bestFit="1" customWidth="1"/>
  </cols>
  <sheetData>
    <row r="3" spans="4:5" x14ac:dyDescent="0.25">
      <c r="D3" s="143" t="s">
        <v>168</v>
      </c>
      <c r="E3" s="143" t="s">
        <v>171</v>
      </c>
    </row>
    <row r="8" spans="4:5" x14ac:dyDescent="0.25">
      <c r="D8" s="154" t="s">
        <v>27</v>
      </c>
      <c r="E8" s="153">
        <f>SUM(E3:E7)</f>
        <v>0</v>
      </c>
    </row>
    <row r="42" spans="3:4" x14ac:dyDescent="0.25">
      <c r="C42" s="143" t="s">
        <v>168</v>
      </c>
      <c r="D42" s="144" t="s">
        <v>180</v>
      </c>
    </row>
    <row r="43" spans="3:4" x14ac:dyDescent="0.25">
      <c r="C43" t="s">
        <v>181</v>
      </c>
      <c r="D43" s="145">
        <v>38000</v>
      </c>
    </row>
    <row r="44" spans="3:4" x14ac:dyDescent="0.25">
      <c r="C44" t="s">
        <v>182</v>
      </c>
      <c r="D44" s="145">
        <v>6500</v>
      </c>
    </row>
    <row r="45" spans="3:4" x14ac:dyDescent="0.25">
      <c r="C45" t="s">
        <v>183</v>
      </c>
      <c r="D45" s="145">
        <f>150000000*0.6%</f>
        <v>900000</v>
      </c>
    </row>
    <row r="46" spans="3:4" x14ac:dyDescent="0.25">
      <c r="C46" t="s">
        <v>184</v>
      </c>
      <c r="D46" s="145">
        <v>48000</v>
      </c>
    </row>
    <row r="48" spans="3:4" x14ac:dyDescent="0.25">
      <c r="C48" s="157" t="s">
        <v>27</v>
      </c>
      <c r="D48" s="158">
        <f>SUM(D43:D47)</f>
        <v>992500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30078-0063-4A31-AC33-94186B348216}">
  <dimension ref="C1:P5"/>
  <sheetViews>
    <sheetView showGridLines="0" workbookViewId="0">
      <selection activeCell="C1" sqref="C1:P1"/>
    </sheetView>
  </sheetViews>
  <sheetFormatPr baseColWidth="10" defaultColWidth="9.140625" defaultRowHeight="15" x14ac:dyDescent="0.25"/>
  <cols>
    <col min="1" max="1" width="3.42578125" customWidth="1"/>
    <col min="3" max="3" width="7.5703125" bestFit="1" customWidth="1"/>
    <col min="4" max="4" width="14.42578125" bestFit="1" customWidth="1"/>
    <col min="5" max="5" width="14.85546875" customWidth="1"/>
    <col min="6" max="6" width="7.140625" hidden="1" customWidth="1"/>
    <col min="7" max="10" width="10.7109375" hidden="1" customWidth="1"/>
    <col min="11" max="11" width="13.42578125" hidden="1" customWidth="1"/>
    <col min="12" max="12" width="9" hidden="1" customWidth="1"/>
    <col min="13" max="13" width="7.7109375" hidden="1" customWidth="1"/>
    <col min="14" max="14" width="15.7109375" hidden="1" customWidth="1"/>
    <col min="15" max="15" width="14.7109375" hidden="1" customWidth="1"/>
    <col min="16" max="16" width="15.85546875" customWidth="1"/>
  </cols>
  <sheetData>
    <row r="1" spans="3:16" x14ac:dyDescent="0.25">
      <c r="C1" s="190" t="s">
        <v>185</v>
      </c>
      <c r="D1" s="190"/>
      <c r="E1" s="190"/>
      <c r="F1" s="190"/>
      <c r="G1" s="190"/>
      <c r="H1" s="190"/>
      <c r="I1" s="190"/>
      <c r="J1" s="190"/>
      <c r="K1" s="190"/>
      <c r="L1" s="190"/>
      <c r="M1" s="190"/>
      <c r="N1" s="190"/>
      <c r="O1" s="190"/>
      <c r="P1" s="190"/>
    </row>
    <row r="2" spans="3:16" ht="30" x14ac:dyDescent="0.25">
      <c r="C2" s="143" t="s">
        <v>186</v>
      </c>
      <c r="D2" s="144" t="s">
        <v>174</v>
      </c>
      <c r="E2" s="149" t="s">
        <v>187</v>
      </c>
      <c r="F2" s="143" t="s">
        <v>76</v>
      </c>
      <c r="G2" s="150">
        <v>8.5000000000000006E-2</v>
      </c>
      <c r="H2" s="142">
        <v>0.12</v>
      </c>
      <c r="I2" s="142">
        <v>0.04</v>
      </c>
      <c r="J2" s="142">
        <v>0.03</v>
      </c>
      <c r="K2" s="142">
        <v>0.02</v>
      </c>
      <c r="L2" s="142"/>
      <c r="M2">
        <v>0.52200000000000002</v>
      </c>
      <c r="P2" t="s">
        <v>188</v>
      </c>
    </row>
    <row r="3" spans="3:16" x14ac:dyDescent="0.25">
      <c r="C3" t="s">
        <v>189</v>
      </c>
      <c r="D3" s="145">
        <v>5000000</v>
      </c>
      <c r="E3" s="146">
        <v>1</v>
      </c>
      <c r="F3" s="146">
        <v>12</v>
      </c>
      <c r="G3" s="145">
        <f>+D3*$G$2</f>
        <v>425000.00000000006</v>
      </c>
      <c r="H3" s="145">
        <f>+D3*$H$2</f>
        <v>600000</v>
      </c>
      <c r="I3" s="145">
        <f>+D3*$I$2</f>
        <v>200000</v>
      </c>
      <c r="J3" s="145">
        <f>+D3*$J$2</f>
        <v>150000</v>
      </c>
      <c r="K3" s="145">
        <f>+D3*$K$2</f>
        <v>100000</v>
      </c>
      <c r="L3" s="145">
        <f>+D3*$M$3</f>
        <v>26100</v>
      </c>
      <c r="M3" s="152">
        <v>5.2199999999999998E-3</v>
      </c>
      <c r="N3" s="151">
        <f>D3+G3+H3+I3+J3+K3+L3</f>
        <v>6501100</v>
      </c>
      <c r="O3" s="145">
        <f>+N3*E3</f>
        <v>6501100</v>
      </c>
      <c r="P3" s="145">
        <f>+O3*F3</f>
        <v>78013200</v>
      </c>
    </row>
    <row r="4" spans="3:16" x14ac:dyDescent="0.25">
      <c r="C4" t="s">
        <v>190</v>
      </c>
      <c r="D4" s="145">
        <v>5000000</v>
      </c>
      <c r="E4" s="146">
        <v>1</v>
      </c>
      <c r="F4" s="146">
        <v>12</v>
      </c>
      <c r="G4" s="145">
        <f t="shared" ref="G4" si="0">+D4*$G$2</f>
        <v>425000.00000000006</v>
      </c>
      <c r="H4" s="145">
        <f t="shared" ref="H4" si="1">+D4*$H$2</f>
        <v>600000</v>
      </c>
      <c r="I4" s="145">
        <f t="shared" ref="I4" si="2">+D4*$I$2</f>
        <v>200000</v>
      </c>
      <c r="J4" s="145">
        <f t="shared" ref="J4" si="3">+D4*$J$2</f>
        <v>150000</v>
      </c>
      <c r="K4" s="145">
        <f t="shared" ref="K4" si="4">+D4*$K$2</f>
        <v>100000</v>
      </c>
      <c r="L4" s="145">
        <f>+D4*$M$3</f>
        <v>26100</v>
      </c>
      <c r="M4" s="152">
        <v>5.2199999999999998E-3</v>
      </c>
      <c r="N4" s="151">
        <f>D4+G4+H4+I4+J4+K4+L4</f>
        <v>6501100</v>
      </c>
      <c r="O4" s="145">
        <f>+N4*E4</f>
        <v>6501100</v>
      </c>
      <c r="P4" s="145">
        <f>+O4*F4</f>
        <v>78013200</v>
      </c>
    </row>
    <row r="5" spans="3:16" x14ac:dyDescent="0.25">
      <c r="C5" s="148" t="s">
        <v>27</v>
      </c>
      <c r="D5" s="153">
        <f>SUM(D3:D4)</f>
        <v>10000000</v>
      </c>
      <c r="E5" s="153"/>
      <c r="F5" s="153"/>
      <c r="N5" s="153">
        <f>SUM(N3:N4)</f>
        <v>13002200</v>
      </c>
      <c r="O5" s="148"/>
      <c r="P5" s="153">
        <f>SUM(P3:P4)</f>
        <v>156026400</v>
      </c>
    </row>
  </sheetData>
  <mergeCells count="1">
    <mergeCell ref="C1:P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73F3D-F50A-4D90-9A05-F8A5BCF3719C}">
  <dimension ref="C2:P8"/>
  <sheetViews>
    <sheetView showGridLines="0" workbookViewId="0">
      <selection activeCell="R4" sqref="R4"/>
    </sheetView>
  </sheetViews>
  <sheetFormatPr baseColWidth="10" defaultColWidth="9.140625" defaultRowHeight="15" x14ac:dyDescent="0.25"/>
  <cols>
    <col min="3" max="3" width="32.7109375" bestFit="1" customWidth="1"/>
    <col min="4" max="4" width="14.42578125" bestFit="1" customWidth="1"/>
    <col min="5" max="5" width="13.28515625" customWidth="1"/>
    <col min="6" max="6" width="6.85546875" bestFit="1" customWidth="1"/>
    <col min="7" max="10" width="10.42578125" bestFit="1" customWidth="1"/>
    <col min="11" max="11" width="9.42578125" bestFit="1" customWidth="1"/>
    <col min="12" max="12" width="10.42578125" bestFit="1" customWidth="1"/>
    <col min="13" max="13" width="7.140625" style="163" bestFit="1" customWidth="1"/>
    <col min="14" max="15" width="13" bestFit="1" customWidth="1"/>
    <col min="16" max="16" width="16.140625" customWidth="1"/>
  </cols>
  <sheetData>
    <row r="2" spans="3:16" x14ac:dyDescent="0.25">
      <c r="C2" s="190" t="s">
        <v>191</v>
      </c>
      <c r="D2" s="190"/>
      <c r="E2" s="190"/>
      <c r="F2" s="190"/>
      <c r="G2" s="190"/>
      <c r="H2" s="190"/>
      <c r="I2" s="190"/>
      <c r="J2" s="190"/>
      <c r="K2" s="190"/>
      <c r="L2" s="190"/>
      <c r="M2" s="190"/>
      <c r="N2" s="190"/>
      <c r="O2" s="190"/>
      <c r="P2" s="190"/>
    </row>
    <row r="3" spans="3:16" ht="30" x14ac:dyDescent="0.25">
      <c r="C3" s="143" t="s">
        <v>186</v>
      </c>
      <c r="D3" s="144" t="s">
        <v>174</v>
      </c>
      <c r="E3" s="149" t="s">
        <v>187</v>
      </c>
      <c r="F3" s="143" t="s">
        <v>76</v>
      </c>
      <c r="G3" s="150">
        <v>8.5000000000000006E-2</v>
      </c>
      <c r="H3" s="142">
        <v>0.12</v>
      </c>
      <c r="I3" s="142">
        <v>0.04</v>
      </c>
      <c r="J3" s="142">
        <v>0.03</v>
      </c>
      <c r="K3" s="142">
        <v>0.02</v>
      </c>
      <c r="L3" s="142"/>
      <c r="M3">
        <v>0.52200000000000002</v>
      </c>
      <c r="P3" s="147" t="s">
        <v>188</v>
      </c>
    </row>
    <row r="4" spans="3:16" x14ac:dyDescent="0.25">
      <c r="C4" t="s">
        <v>192</v>
      </c>
      <c r="D4" s="145">
        <v>4500000</v>
      </c>
      <c r="E4" s="146">
        <v>2</v>
      </c>
      <c r="F4" s="146">
        <v>6</v>
      </c>
      <c r="G4" s="145">
        <f t="shared" ref="G4:G6" si="0">+D4*$G$3</f>
        <v>382500</v>
      </c>
      <c r="H4" s="145">
        <f t="shared" ref="H4:H6" si="1">+D4*$H$3</f>
        <v>540000</v>
      </c>
      <c r="I4" s="145">
        <f t="shared" ref="I4:I6" si="2">+D4*$I$3</f>
        <v>180000</v>
      </c>
      <c r="J4" s="145">
        <f>+D4*$J$3</f>
        <v>135000</v>
      </c>
      <c r="K4" s="145">
        <f t="shared" ref="K4:K6" si="3">+D4*$K$3</f>
        <v>90000</v>
      </c>
      <c r="L4" s="145">
        <f>+D4*M4</f>
        <v>23490</v>
      </c>
      <c r="M4" s="152">
        <v>5.2199999999999998E-3</v>
      </c>
      <c r="N4" s="151">
        <f>D4+G4+H4+I4+J4+K4+L4</f>
        <v>5850990</v>
      </c>
      <c r="O4" s="145">
        <f t="shared" ref="O4:P6" si="4">+N4*E4</f>
        <v>11701980</v>
      </c>
      <c r="P4" s="145">
        <f t="shared" si="4"/>
        <v>70211880</v>
      </c>
    </row>
    <row r="5" spans="3:16" x14ac:dyDescent="0.25">
      <c r="C5" t="s">
        <v>193</v>
      </c>
      <c r="D5" s="145">
        <v>4500000</v>
      </c>
      <c r="E5" s="146">
        <v>1</v>
      </c>
      <c r="F5" s="146">
        <v>12</v>
      </c>
      <c r="G5" s="145">
        <f t="shared" si="0"/>
        <v>382500</v>
      </c>
      <c r="H5" s="145">
        <f t="shared" si="1"/>
        <v>540000</v>
      </c>
      <c r="I5" s="145">
        <f t="shared" si="2"/>
        <v>180000</v>
      </c>
      <c r="J5" s="145">
        <f>+D5*$J$3</f>
        <v>135000</v>
      </c>
      <c r="K5" s="145">
        <f t="shared" si="3"/>
        <v>90000</v>
      </c>
      <c r="L5" s="145">
        <f>+D5*M5</f>
        <v>23490</v>
      </c>
      <c r="M5" s="152">
        <v>5.2199999999999998E-3</v>
      </c>
      <c r="N5" s="151">
        <f>D5+G5+H5+I5+J5+K5+L5</f>
        <v>5850990</v>
      </c>
      <c r="O5" s="145">
        <f t="shared" si="4"/>
        <v>5850990</v>
      </c>
      <c r="P5" s="145">
        <f t="shared" si="4"/>
        <v>70211880</v>
      </c>
    </row>
    <row r="6" spans="3:16" x14ac:dyDescent="0.25">
      <c r="C6" t="s">
        <v>194</v>
      </c>
      <c r="D6" s="145">
        <v>2000000</v>
      </c>
      <c r="E6" s="146">
        <v>3</v>
      </c>
      <c r="F6" s="146">
        <v>12</v>
      </c>
      <c r="G6" s="145">
        <f t="shared" si="0"/>
        <v>170000</v>
      </c>
      <c r="H6" s="145">
        <f t="shared" si="1"/>
        <v>240000</v>
      </c>
      <c r="I6" s="145">
        <f t="shared" si="2"/>
        <v>80000</v>
      </c>
      <c r="J6" s="145">
        <f>+D6*$J$3</f>
        <v>60000</v>
      </c>
      <c r="K6" s="145">
        <f t="shared" si="3"/>
        <v>40000</v>
      </c>
      <c r="L6" s="145">
        <f>+D6*M6</f>
        <v>139200</v>
      </c>
      <c r="M6" s="152">
        <v>6.9599999999999995E-2</v>
      </c>
      <c r="N6" s="151">
        <f>D6+G6+H6+I6+J6+K6+L6</f>
        <v>2729200</v>
      </c>
      <c r="O6" s="145">
        <f t="shared" si="4"/>
        <v>8187600</v>
      </c>
      <c r="P6" s="145">
        <f t="shared" si="4"/>
        <v>98251200</v>
      </c>
    </row>
    <row r="7" spans="3:16" x14ac:dyDescent="0.25">
      <c r="C7" s="148" t="s">
        <v>27</v>
      </c>
      <c r="D7" s="153">
        <f>SUM(D4:D6)</f>
        <v>11000000</v>
      </c>
      <c r="E7" s="153"/>
      <c r="F7" s="153"/>
      <c r="M7"/>
      <c r="N7" s="153">
        <f>SUM(N4:N6)</f>
        <v>14431180</v>
      </c>
      <c r="O7" s="148"/>
      <c r="P7" s="153">
        <f>SUM(P4:P6)</f>
        <v>238674960</v>
      </c>
    </row>
    <row r="8" spans="3:16" x14ac:dyDescent="0.25">
      <c r="M8"/>
    </row>
  </sheetData>
  <mergeCells count="1">
    <mergeCell ref="C2:P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5C21F-8A58-4C15-858E-DD367471FFC7}">
  <dimension ref="C2:P5"/>
  <sheetViews>
    <sheetView showGridLines="0" workbookViewId="0">
      <selection activeCell="C3" sqref="C3"/>
    </sheetView>
  </sheetViews>
  <sheetFormatPr baseColWidth="10" defaultColWidth="9.28515625" defaultRowHeight="15" x14ac:dyDescent="0.25"/>
  <cols>
    <col min="3" max="3" width="23.28515625" bestFit="1" customWidth="1"/>
    <col min="4" max="4" width="14.42578125" bestFit="1" customWidth="1"/>
    <col min="5" max="5" width="15" customWidth="1"/>
    <col min="6" max="6" width="7.140625" bestFit="1" customWidth="1"/>
    <col min="7" max="11" width="10.7109375" hidden="1" customWidth="1"/>
    <col min="12" max="12" width="9.7109375" hidden="1" customWidth="1"/>
    <col min="13" max="13" width="7.5703125" hidden="1" customWidth="1"/>
    <col min="14" max="14" width="21.140625" hidden="1" customWidth="1"/>
    <col min="15" max="15" width="15.7109375" hidden="1" customWidth="1"/>
    <col min="16" max="16" width="14.7109375" bestFit="1" customWidth="1"/>
  </cols>
  <sheetData>
    <row r="2" spans="3:16" x14ac:dyDescent="0.25">
      <c r="C2" s="190" t="s">
        <v>195</v>
      </c>
      <c r="D2" s="190"/>
      <c r="E2" s="190"/>
      <c r="F2" s="190"/>
      <c r="G2" s="190"/>
      <c r="H2" s="190"/>
      <c r="I2" s="190"/>
      <c r="J2" s="190"/>
      <c r="K2" s="190"/>
      <c r="L2" s="190"/>
      <c r="M2" s="190"/>
      <c r="N2" s="190"/>
      <c r="O2" s="190"/>
      <c r="P2" s="190"/>
    </row>
    <row r="3" spans="3:16" ht="30" x14ac:dyDescent="0.25">
      <c r="C3" s="143" t="s">
        <v>186</v>
      </c>
      <c r="D3" s="144" t="s">
        <v>174</v>
      </c>
      <c r="E3" s="149" t="s">
        <v>187</v>
      </c>
      <c r="F3" s="143" t="s">
        <v>76</v>
      </c>
      <c r="G3" s="150">
        <v>8.5000000000000006E-2</v>
      </c>
      <c r="H3" s="142">
        <v>0.12</v>
      </c>
      <c r="I3" s="142">
        <v>0.04</v>
      </c>
      <c r="J3" s="142">
        <v>0.03</v>
      </c>
      <c r="K3" s="142">
        <v>0.02</v>
      </c>
      <c r="L3" s="142"/>
      <c r="M3">
        <v>0.52200000000000002</v>
      </c>
      <c r="P3" s="148" t="s">
        <v>188</v>
      </c>
    </row>
    <row r="4" spans="3:16" ht="14.25" customHeight="1" x14ac:dyDescent="0.25">
      <c r="C4" t="s">
        <v>196</v>
      </c>
      <c r="D4" s="145">
        <v>1300000</v>
      </c>
      <c r="E4" s="146">
        <v>2</v>
      </c>
      <c r="F4" s="146">
        <v>12</v>
      </c>
      <c r="G4" s="145">
        <f t="shared" ref="G4" si="0">+D4*$G$3</f>
        <v>110500.00000000001</v>
      </c>
      <c r="H4" s="145">
        <f t="shared" ref="H4" si="1">+D4*$H$3</f>
        <v>156000</v>
      </c>
      <c r="I4" s="145">
        <f t="shared" ref="I4" si="2">+D4*$I$3</f>
        <v>52000</v>
      </c>
      <c r="J4" s="145">
        <f t="shared" ref="J4" si="3">+D4*$J$3</f>
        <v>39000</v>
      </c>
      <c r="K4" s="145">
        <f t="shared" ref="K4" si="4">+D4*$K$3</f>
        <v>26000</v>
      </c>
      <c r="L4" s="145">
        <f>+D4*M4</f>
        <v>31668</v>
      </c>
      <c r="M4" s="152">
        <v>2.436E-2</v>
      </c>
      <c r="N4" s="151">
        <f>D4+G4+H4+I4+J4+K4+L4</f>
        <v>1715168</v>
      </c>
      <c r="O4" s="145">
        <f>+N4*E4</f>
        <v>3430336</v>
      </c>
      <c r="P4" s="145">
        <f>+O4*F4</f>
        <v>41164032</v>
      </c>
    </row>
    <row r="5" spans="3:16" x14ac:dyDescent="0.25">
      <c r="C5" s="148" t="s">
        <v>27</v>
      </c>
      <c r="D5" s="153">
        <f>SUM(D4:D4)</f>
        <v>1300000</v>
      </c>
      <c r="E5" s="153"/>
      <c r="F5" s="153"/>
      <c r="N5" s="153">
        <f>SUM(N4:N4)</f>
        <v>1715168</v>
      </c>
      <c r="O5" s="148"/>
      <c r="P5" s="153">
        <f>SUM(P4:P4)</f>
        <v>41164032</v>
      </c>
    </row>
  </sheetData>
  <mergeCells count="1">
    <mergeCell ref="C2:P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BE8C7-4A45-45D0-8815-B25329063650}">
  <dimension ref="E4:H11"/>
  <sheetViews>
    <sheetView showGridLines="0" workbookViewId="0">
      <selection activeCell="F9" sqref="F9"/>
    </sheetView>
  </sheetViews>
  <sheetFormatPr baseColWidth="10" defaultColWidth="9.140625" defaultRowHeight="15" x14ac:dyDescent="0.25"/>
  <cols>
    <col min="5" max="5" width="29.140625" bestFit="1" customWidth="1"/>
    <col min="6" max="6" width="20" customWidth="1"/>
    <col min="8" max="8" width="13.7109375" bestFit="1" customWidth="1"/>
  </cols>
  <sheetData>
    <row r="4" spans="5:8" ht="18.75" x14ac:dyDescent="0.25">
      <c r="E4" s="191" t="s">
        <v>197</v>
      </c>
      <c r="F4" s="191"/>
      <c r="G4" s="191"/>
      <c r="H4" s="191"/>
    </row>
    <row r="6" spans="5:8" x14ac:dyDescent="0.25">
      <c r="E6" s="143" t="s">
        <v>198</v>
      </c>
      <c r="F6" s="144" t="s">
        <v>174</v>
      </c>
      <c r="G6" s="143" t="s">
        <v>76</v>
      </c>
      <c r="H6" s="143" t="s">
        <v>171</v>
      </c>
    </row>
    <row r="7" spans="5:8" x14ac:dyDescent="0.25">
      <c r="E7" t="s">
        <v>199</v>
      </c>
      <c r="F7" s="145">
        <v>1800000</v>
      </c>
      <c r="G7" s="146">
        <v>6</v>
      </c>
      <c r="H7" s="145">
        <f>+F7*G7</f>
        <v>10800000</v>
      </c>
    </row>
    <row r="8" spans="5:8" x14ac:dyDescent="0.25">
      <c r="E8" t="s">
        <v>200</v>
      </c>
      <c r="F8" s="145">
        <v>1800000</v>
      </c>
      <c r="G8" s="146">
        <v>1</v>
      </c>
      <c r="H8" s="145">
        <f t="shared" ref="H8:H9" si="0">+F8*G8</f>
        <v>1800000</v>
      </c>
    </row>
    <row r="9" spans="5:8" x14ac:dyDescent="0.25">
      <c r="E9" t="s">
        <v>201</v>
      </c>
      <c r="F9" s="145">
        <v>2000000</v>
      </c>
      <c r="G9" s="146">
        <v>1</v>
      </c>
      <c r="H9" s="145">
        <f t="shared" si="0"/>
        <v>2000000</v>
      </c>
    </row>
    <row r="10" spans="5:8" x14ac:dyDescent="0.25">
      <c r="F10" s="145"/>
    </row>
    <row r="11" spans="5:8" x14ac:dyDescent="0.25">
      <c r="E11" s="190" t="s">
        <v>202</v>
      </c>
      <c r="F11" s="190"/>
      <c r="G11" s="190"/>
      <c r="H11" s="153">
        <f>SUM(H7:H10)</f>
        <v>14600000</v>
      </c>
    </row>
  </sheetData>
  <mergeCells count="2">
    <mergeCell ref="E4:H4"/>
    <mergeCell ref="E11:G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EDF80-9764-4184-95F8-E44E7C083B8A}">
  <dimension ref="C3:F14"/>
  <sheetViews>
    <sheetView showGridLines="0" workbookViewId="0">
      <selection activeCell="C3" sqref="C3:F14"/>
    </sheetView>
  </sheetViews>
  <sheetFormatPr baseColWidth="10" defaultColWidth="9.140625" defaultRowHeight="15" x14ac:dyDescent="0.25"/>
  <cols>
    <col min="3" max="3" width="24.85546875" bestFit="1" customWidth="1"/>
    <col min="4" max="4" width="16.42578125" bestFit="1" customWidth="1"/>
    <col min="5" max="5" width="9.140625" style="160"/>
    <col min="6" max="6" width="16.28515625" bestFit="1" customWidth="1"/>
  </cols>
  <sheetData>
    <row r="3" spans="3:6" x14ac:dyDescent="0.25">
      <c r="C3" s="147" t="s">
        <v>168</v>
      </c>
      <c r="D3" s="147" t="s">
        <v>203</v>
      </c>
      <c r="E3" s="164" t="s">
        <v>76</v>
      </c>
      <c r="F3" s="147" t="s">
        <v>204</v>
      </c>
    </row>
    <row r="4" spans="3:6" x14ac:dyDescent="0.25">
      <c r="C4" t="s">
        <v>205</v>
      </c>
      <c r="D4" s="159">
        <v>2000000</v>
      </c>
      <c r="E4" s="161">
        <v>12</v>
      </c>
      <c r="F4" s="159">
        <f>+D4*E4</f>
        <v>24000000</v>
      </c>
    </row>
    <row r="5" spans="3:6" x14ac:dyDescent="0.25">
      <c r="C5" t="s">
        <v>206</v>
      </c>
      <c r="D5" s="159">
        <v>500000</v>
      </c>
      <c r="E5" s="161">
        <v>12</v>
      </c>
      <c r="F5" s="159">
        <f t="shared" ref="F5:F13" si="0">+D5*E5</f>
        <v>6000000</v>
      </c>
    </row>
    <row r="6" spans="3:6" x14ac:dyDescent="0.25">
      <c r="C6" t="s">
        <v>207</v>
      </c>
      <c r="D6" s="159">
        <f>60000*8</f>
        <v>480000</v>
      </c>
      <c r="E6" s="161">
        <v>12</v>
      </c>
      <c r="F6" s="159">
        <f t="shared" si="0"/>
        <v>5760000</v>
      </c>
    </row>
    <row r="7" spans="3:6" x14ac:dyDescent="0.25">
      <c r="C7" t="s">
        <v>208</v>
      </c>
      <c r="D7" s="159">
        <v>160000</v>
      </c>
      <c r="E7" s="161">
        <v>12</v>
      </c>
      <c r="F7" s="159">
        <f t="shared" si="0"/>
        <v>1920000</v>
      </c>
    </row>
    <row r="8" spans="3:6" x14ac:dyDescent="0.25">
      <c r="C8" t="s">
        <v>209</v>
      </c>
      <c r="D8" s="159">
        <v>50000</v>
      </c>
      <c r="E8" s="161">
        <v>12</v>
      </c>
      <c r="F8" s="159">
        <f t="shared" si="0"/>
        <v>600000</v>
      </c>
    </row>
    <row r="9" spans="3:6" x14ac:dyDescent="0.25">
      <c r="C9" t="s">
        <v>210</v>
      </c>
      <c r="D9" s="159">
        <f>70000*15</f>
        <v>1050000</v>
      </c>
      <c r="E9" s="161">
        <v>12</v>
      </c>
      <c r="F9" s="159">
        <f t="shared" si="0"/>
        <v>12600000</v>
      </c>
    </row>
    <row r="10" spans="3:6" x14ac:dyDescent="0.25">
      <c r="C10" t="s">
        <v>64</v>
      </c>
      <c r="D10" s="159">
        <v>7000000</v>
      </c>
      <c r="E10" s="161">
        <v>1</v>
      </c>
      <c r="F10" s="159">
        <f t="shared" si="0"/>
        <v>7000000</v>
      </c>
    </row>
    <row r="11" spans="3:6" x14ac:dyDescent="0.25">
      <c r="C11" t="s">
        <v>67</v>
      </c>
      <c r="D11" s="159">
        <v>1800000</v>
      </c>
      <c r="E11" s="161">
        <v>6</v>
      </c>
      <c r="F11" s="159">
        <f t="shared" si="0"/>
        <v>10800000</v>
      </c>
    </row>
    <row r="12" spans="3:6" x14ac:dyDescent="0.25">
      <c r="C12" t="s">
        <v>68</v>
      </c>
      <c r="D12" s="159">
        <v>1800000</v>
      </c>
      <c r="E12" s="161">
        <v>12</v>
      </c>
      <c r="F12" s="159">
        <f t="shared" si="0"/>
        <v>21600000</v>
      </c>
    </row>
    <row r="13" spans="3:6" x14ac:dyDescent="0.25">
      <c r="C13" t="s">
        <v>69</v>
      </c>
      <c r="D13" s="159">
        <v>1300000</v>
      </c>
      <c r="E13" s="161">
        <v>12</v>
      </c>
      <c r="F13" s="159">
        <f t="shared" si="0"/>
        <v>15600000</v>
      </c>
    </row>
    <row r="14" spans="3:6" x14ac:dyDescent="0.25">
      <c r="C14" s="190" t="s">
        <v>27</v>
      </c>
      <c r="D14" s="190"/>
      <c r="E14" s="190"/>
      <c r="F14" s="162">
        <f>SUM(F4:F13)</f>
        <v>105880000</v>
      </c>
    </row>
  </sheetData>
  <mergeCells count="1">
    <mergeCell ref="C14:E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zoomScale="70" zoomScaleNormal="70" workbookViewId="0">
      <selection activeCell="E3" sqref="E3:E7"/>
    </sheetView>
  </sheetViews>
  <sheetFormatPr baseColWidth="10" defaultColWidth="11.42578125" defaultRowHeight="15" x14ac:dyDescent="0.25"/>
  <cols>
    <col min="1" max="1" width="21" style="8" bestFit="1" customWidth="1"/>
    <col min="2" max="6" width="28.140625" style="8" bestFit="1" customWidth="1"/>
    <col min="7" max="7" width="7.28515625" style="8" bestFit="1" customWidth="1"/>
    <col min="8" max="8" width="6.7109375" style="8" bestFit="1" customWidth="1"/>
    <col min="9" max="10" width="7.28515625" style="8" bestFit="1" customWidth="1"/>
    <col min="11" max="11" width="4.28515625" style="8" customWidth="1"/>
    <col min="12" max="12" width="6.28515625" style="8" bestFit="1" customWidth="1"/>
    <col min="13" max="13" width="8.42578125" style="8" bestFit="1" customWidth="1"/>
    <col min="14" max="14" width="10.5703125" style="8" bestFit="1" customWidth="1"/>
    <col min="15" max="15" width="12.7109375" style="8" bestFit="1" customWidth="1"/>
    <col min="16" max="16" width="23.5703125" style="8" bestFit="1" customWidth="1"/>
    <col min="17" max="17" width="24.85546875" style="8" customWidth="1"/>
    <col min="18" max="23" width="22.140625" style="8" customWidth="1"/>
    <col min="24" max="24" width="15.5703125" style="8" hidden="1" customWidth="1"/>
    <col min="25" max="25" width="21.28515625" style="8" bestFit="1" customWidth="1"/>
    <col min="26" max="28" width="8.5703125" style="8" bestFit="1" customWidth="1"/>
    <col min="29" max="29" width="8.28515625" style="8" bestFit="1" customWidth="1"/>
    <col min="30" max="16384" width="11.42578125" style="8"/>
  </cols>
  <sheetData>
    <row r="1" spans="1:29" ht="30.75" customHeight="1" x14ac:dyDescent="0.35">
      <c r="A1" s="167" t="s">
        <v>1</v>
      </c>
      <c r="B1" s="167"/>
      <c r="C1" s="167"/>
      <c r="D1" s="167"/>
      <c r="E1" s="167"/>
      <c r="G1" s="168" t="s">
        <v>2</v>
      </c>
      <c r="H1" s="168"/>
      <c r="I1" s="168"/>
      <c r="J1" s="168"/>
      <c r="P1" s="8" t="s">
        <v>3</v>
      </c>
      <c r="Y1" s="15" t="s">
        <v>4</v>
      </c>
      <c r="Z1" s="50">
        <v>2024</v>
      </c>
      <c r="AA1" s="16"/>
    </row>
    <row r="2" spans="1:29" ht="32.25" customHeight="1" thickBot="1" x14ac:dyDescent="0.4">
      <c r="B2" s="17" t="s">
        <v>5</v>
      </c>
      <c r="C2" s="18" t="s">
        <v>6</v>
      </c>
      <c r="D2" s="17" t="s">
        <v>7</v>
      </c>
      <c r="E2" s="18" t="s">
        <v>8</v>
      </c>
      <c r="F2" s="19" t="s">
        <v>9</v>
      </c>
      <c r="G2" s="20">
        <f>'1'!Z1+1</f>
        <v>2025</v>
      </c>
      <c r="H2" s="20">
        <f>G2+1</f>
        <v>2026</v>
      </c>
      <c r="I2" s="20">
        <f t="shared" ref="I2:J2" si="0">H2+1</f>
        <v>2027</v>
      </c>
      <c r="J2" s="20">
        <f t="shared" si="0"/>
        <v>2028</v>
      </c>
      <c r="L2" s="8">
        <f>G2</f>
        <v>2025</v>
      </c>
      <c r="M2" s="8">
        <f>H2</f>
        <v>2026</v>
      </c>
      <c r="N2" s="8">
        <f>M2+1</f>
        <v>2027</v>
      </c>
      <c r="O2" s="8">
        <f>N2+1</f>
        <v>2028</v>
      </c>
      <c r="P2" s="8" t="s">
        <v>10</v>
      </c>
      <c r="Q2" s="8" t="s">
        <v>11</v>
      </c>
      <c r="R2" s="8" t="s">
        <v>12</v>
      </c>
      <c r="S2" s="8" t="s">
        <v>13</v>
      </c>
      <c r="T2" s="8" t="s">
        <v>14</v>
      </c>
      <c r="U2" s="8" t="s">
        <v>15</v>
      </c>
      <c r="V2" s="8" t="s">
        <v>16</v>
      </c>
      <c r="W2" s="8" t="s">
        <v>17</v>
      </c>
      <c r="Y2" s="16"/>
      <c r="Z2" s="16"/>
      <c r="AA2" s="16"/>
    </row>
    <row r="3" spans="1:29" ht="23.25" x14ac:dyDescent="0.35">
      <c r="A3" s="21">
        <v>1</v>
      </c>
      <c r="B3" s="141" t="s">
        <v>18</v>
      </c>
      <c r="C3" s="139">
        <v>180</v>
      </c>
      <c r="D3" s="140">
        <v>5075000</v>
      </c>
      <c r="E3" s="22">
        <f>C3*D3</f>
        <v>913500000</v>
      </c>
      <c r="F3" s="23">
        <f>IF($E$13=0,0,E3/$E$13)</f>
        <v>0.3979871912168344</v>
      </c>
      <c r="G3" s="116">
        <v>7.0000000000000007E-2</v>
      </c>
      <c r="H3" s="116">
        <v>0.08</v>
      </c>
      <c r="I3" s="116">
        <v>8.5000000000000006E-2</v>
      </c>
      <c r="J3" s="116">
        <v>0.09</v>
      </c>
      <c r="K3" s="24"/>
      <c r="L3" s="8">
        <f t="shared" ref="L3:L12" si="1">C3*(1+G3)</f>
        <v>192.60000000000002</v>
      </c>
      <c r="M3" s="8">
        <f>L3*(1+H3)</f>
        <v>208.00800000000004</v>
      </c>
      <c r="N3" s="8">
        <f t="shared" ref="N3:O3" si="2">M3*(1+I3)</f>
        <v>225.68868000000003</v>
      </c>
      <c r="O3" s="8">
        <f t="shared" si="2"/>
        <v>246.00066120000005</v>
      </c>
      <c r="P3" s="25">
        <f>D3*(1+'1'!$Z$4)</f>
        <v>5374425</v>
      </c>
      <c r="Q3" s="25">
        <f>P3*(1+'1'!$AA$4)</f>
        <v>5627022.9749999996</v>
      </c>
      <c r="R3" s="25">
        <f>Q3*(1+'1'!$AB$4)</f>
        <v>5823968.7791249994</v>
      </c>
      <c r="S3" s="25">
        <f>R3*(1+'1'!$AC$4)</f>
        <v>5998687.8424987495</v>
      </c>
      <c r="T3" s="26">
        <f>L3*P3</f>
        <v>1035114255.0000001</v>
      </c>
      <c r="U3" s="26">
        <f>M3*Q3</f>
        <v>1170465794.9838002</v>
      </c>
      <c r="V3" s="26">
        <f>N3*R3</f>
        <v>1314403826.121933</v>
      </c>
      <c r="W3" s="26">
        <f>O3*S3</f>
        <v>1475681175.5870941</v>
      </c>
      <c r="X3" s="26"/>
      <c r="Y3" s="27" t="s">
        <v>19</v>
      </c>
      <c r="Z3" s="28">
        <f>G2</f>
        <v>2025</v>
      </c>
      <c r="AA3" s="28">
        <f>Z3+1</f>
        <v>2026</v>
      </c>
      <c r="AB3" s="28">
        <f t="shared" ref="AB3:AC3" si="3">AA3+1</f>
        <v>2027</v>
      </c>
      <c r="AC3" s="29">
        <f t="shared" si="3"/>
        <v>2028</v>
      </c>
    </row>
    <row r="4" spans="1:29" ht="23.25" x14ac:dyDescent="0.35">
      <c r="A4" s="21">
        <f>A3+1</f>
        <v>2</v>
      </c>
      <c r="B4" s="141" t="s">
        <v>20</v>
      </c>
      <c r="C4" s="139">
        <v>110</v>
      </c>
      <c r="D4" s="140">
        <v>4500000</v>
      </c>
      <c r="E4" s="22">
        <f t="shared" ref="E4:E12" si="4">C4*D4</f>
        <v>495000000</v>
      </c>
      <c r="F4" s="23">
        <f t="shared" ref="F4:F12" si="5">IF($E$13=0,0,E4/$E$13)</f>
        <v>0.21565808391059993</v>
      </c>
      <c r="G4" s="116">
        <v>0.1</v>
      </c>
      <c r="H4" s="116">
        <v>0.09</v>
      </c>
      <c r="I4" s="116">
        <v>0.1</v>
      </c>
      <c r="J4" s="116">
        <v>0.11</v>
      </c>
      <c r="K4" s="24"/>
      <c r="L4" s="8">
        <f t="shared" si="1"/>
        <v>121.00000000000001</v>
      </c>
      <c r="M4" s="8">
        <f t="shared" ref="M4:M12" si="6">L4*(1+H4)</f>
        <v>131.89000000000001</v>
      </c>
      <c r="N4" s="8">
        <f t="shared" ref="N4:N12" si="7">M4*(1+I4)</f>
        <v>145.07900000000004</v>
      </c>
      <c r="O4" s="8">
        <f t="shared" ref="O4:O12" si="8">N4*(1+J4)</f>
        <v>161.03769000000005</v>
      </c>
      <c r="P4" s="25">
        <f>D4*(1+'1'!$Z$4)</f>
        <v>4765500</v>
      </c>
      <c r="Q4" s="25">
        <f>P4*(1+'1'!$AA$4)</f>
        <v>4989478.5</v>
      </c>
      <c r="R4" s="25">
        <f>Q4*(1+'1'!$AB$4)</f>
        <v>5164110.2474999996</v>
      </c>
      <c r="S4" s="25">
        <f>R4*(1+'1'!$AC$4)</f>
        <v>5319033.5549249994</v>
      </c>
      <c r="T4" s="26">
        <f t="shared" ref="T4:T12" si="9">L4*P4</f>
        <v>576625500.00000012</v>
      </c>
      <c r="U4" s="26">
        <f t="shared" ref="U4:U12" si="10">M4*Q4</f>
        <v>658062319.36500013</v>
      </c>
      <c r="V4" s="26">
        <f t="shared" ref="V4:V12" si="11">N4*R4</f>
        <v>749203950.59705257</v>
      </c>
      <c r="W4" s="26">
        <f t="shared" ref="W4:W12" si="12">O4*S4</f>
        <v>856564876.71761036</v>
      </c>
      <c r="X4" s="26"/>
      <c r="Y4" s="118" t="s">
        <v>21</v>
      </c>
      <c r="Z4" s="51">
        <v>5.8999999999999997E-2</v>
      </c>
      <c r="AA4" s="51">
        <v>4.7E-2</v>
      </c>
      <c r="AB4" s="51">
        <v>3.5000000000000003E-2</v>
      </c>
      <c r="AC4" s="52">
        <v>0.03</v>
      </c>
    </row>
    <row r="5" spans="1:29" ht="23.25" x14ac:dyDescent="0.35">
      <c r="A5" s="21">
        <f t="shared" ref="A5:A12" si="13">A4+1</f>
        <v>3</v>
      </c>
      <c r="B5" s="141" t="s">
        <v>22</v>
      </c>
      <c r="C5" s="139">
        <v>20</v>
      </c>
      <c r="D5" s="140">
        <v>11000000</v>
      </c>
      <c r="E5" s="22">
        <f t="shared" si="4"/>
        <v>220000000</v>
      </c>
      <c r="F5" s="23">
        <f t="shared" si="5"/>
        <v>9.5848037293599961E-2</v>
      </c>
      <c r="G5" s="49">
        <v>0.05</v>
      </c>
      <c r="H5" s="49">
        <v>0.04</v>
      </c>
      <c r="I5" s="49">
        <v>0.06</v>
      </c>
      <c r="J5" s="49">
        <v>0.06</v>
      </c>
      <c r="K5" s="24"/>
      <c r="L5" s="8">
        <f t="shared" si="1"/>
        <v>21</v>
      </c>
      <c r="M5" s="8">
        <f t="shared" si="6"/>
        <v>21.84</v>
      </c>
      <c r="N5" s="8">
        <f t="shared" si="7"/>
        <v>23.150400000000001</v>
      </c>
      <c r="O5" s="8">
        <f t="shared" si="8"/>
        <v>24.539424000000004</v>
      </c>
      <c r="P5" s="25">
        <f>D5*(1+'1'!$Z$4)</f>
        <v>11649000</v>
      </c>
      <c r="Q5" s="25">
        <f>P5*(1+'1'!$AA$4)</f>
        <v>12196503</v>
      </c>
      <c r="R5" s="25">
        <f>Q5*(1+'1'!$AB$4)</f>
        <v>12623380.604999999</v>
      </c>
      <c r="S5" s="25">
        <f>R5*(1+'1'!$AC$4)</f>
        <v>13002082.023149999</v>
      </c>
      <c r="T5" s="26">
        <f t="shared" si="9"/>
        <v>244629000</v>
      </c>
      <c r="U5" s="26">
        <f t="shared" si="10"/>
        <v>266371625.52000001</v>
      </c>
      <c r="V5" s="26">
        <f t="shared" si="11"/>
        <v>292236310.35799199</v>
      </c>
      <c r="W5" s="26">
        <f t="shared" si="12"/>
        <v>319063603.64885569</v>
      </c>
      <c r="X5" s="26"/>
      <c r="Y5" s="119" t="s">
        <v>23</v>
      </c>
      <c r="Z5" s="53">
        <v>4.9000000000000002E-2</v>
      </c>
      <c r="AA5" s="53">
        <v>3.6999999999999998E-2</v>
      </c>
      <c r="AB5" s="53">
        <v>2.5000000000000001E-2</v>
      </c>
      <c r="AC5" s="54">
        <v>0.02</v>
      </c>
    </row>
    <row r="6" spans="1:29" ht="15.75" thickBot="1" x14ac:dyDescent="0.3">
      <c r="A6" s="21">
        <f t="shared" si="13"/>
        <v>4</v>
      </c>
      <c r="B6" s="141" t="s">
        <v>24</v>
      </c>
      <c r="C6" s="139">
        <v>36</v>
      </c>
      <c r="D6" s="140">
        <v>6300000</v>
      </c>
      <c r="E6" s="22">
        <f t="shared" si="4"/>
        <v>226800000</v>
      </c>
      <c r="F6" s="23">
        <f t="shared" si="5"/>
        <v>9.8810612991765787E-2</v>
      </c>
      <c r="G6" s="49">
        <v>0.05</v>
      </c>
      <c r="H6" s="49">
        <v>0.04</v>
      </c>
      <c r="I6" s="49">
        <v>0.06</v>
      </c>
      <c r="J6" s="49">
        <v>0.06</v>
      </c>
      <c r="K6" s="24"/>
      <c r="L6" s="8">
        <f t="shared" si="1"/>
        <v>37.800000000000004</v>
      </c>
      <c r="M6" s="8">
        <f t="shared" si="6"/>
        <v>39.312000000000005</v>
      </c>
      <c r="N6" s="8">
        <f t="shared" si="7"/>
        <v>41.67072000000001</v>
      </c>
      <c r="O6" s="8">
        <f t="shared" si="8"/>
        <v>44.17096320000001</v>
      </c>
      <c r="P6" s="25">
        <f>D6*(1+'1'!$Z$4)</f>
        <v>6671700</v>
      </c>
      <c r="Q6" s="25">
        <f>P6*(1+'1'!$AA$4)</f>
        <v>6985269.8999999994</v>
      </c>
      <c r="R6" s="25">
        <f>Q6*(1+'1'!$AB$4)</f>
        <v>7229754.3464999991</v>
      </c>
      <c r="S6" s="25">
        <f>R6*(1+'1'!$AC$4)</f>
        <v>7446646.9768949989</v>
      </c>
      <c r="T6" s="26">
        <f t="shared" si="9"/>
        <v>252190260.00000003</v>
      </c>
      <c r="U6" s="26">
        <f t="shared" si="10"/>
        <v>274604930.30879998</v>
      </c>
      <c r="V6" s="26">
        <f t="shared" si="11"/>
        <v>301269069.04178452</v>
      </c>
      <c r="W6" s="26">
        <f t="shared" si="12"/>
        <v>328925569.57982033</v>
      </c>
      <c r="X6" s="26"/>
    </row>
    <row r="7" spans="1:29" ht="23.25" x14ac:dyDescent="0.35">
      <c r="A7" s="21">
        <f t="shared" si="13"/>
        <v>5</v>
      </c>
      <c r="B7" s="141" t="s">
        <v>25</v>
      </c>
      <c r="C7" s="139">
        <v>22</v>
      </c>
      <c r="D7" s="140">
        <v>20000000</v>
      </c>
      <c r="E7" s="22">
        <f t="shared" si="4"/>
        <v>440000000</v>
      </c>
      <c r="F7" s="23">
        <f t="shared" si="5"/>
        <v>0.19169607458719992</v>
      </c>
      <c r="G7" s="49">
        <v>0.03</v>
      </c>
      <c r="H7" s="49">
        <v>0.03</v>
      </c>
      <c r="I7" s="49">
        <v>0.03</v>
      </c>
      <c r="J7" s="49">
        <v>0.03</v>
      </c>
      <c r="K7" s="24"/>
      <c r="L7" s="8">
        <f t="shared" si="1"/>
        <v>22.66</v>
      </c>
      <c r="M7" s="8">
        <f t="shared" si="6"/>
        <v>23.3398</v>
      </c>
      <c r="N7" s="8">
        <f t="shared" si="7"/>
        <v>24.039994</v>
      </c>
      <c r="O7" s="8">
        <f t="shared" si="8"/>
        <v>24.761193819999999</v>
      </c>
      <c r="P7" s="25">
        <f>D7*(1+'1'!$Z$4)</f>
        <v>21180000</v>
      </c>
      <c r="Q7" s="25">
        <f>P7*(1+'1'!$AA$4)</f>
        <v>22175460</v>
      </c>
      <c r="R7" s="25">
        <f>Q7*(1+'1'!$AB$4)</f>
        <v>22951601.099999998</v>
      </c>
      <c r="S7" s="25">
        <f>R7*(1+'1'!$AC$4)</f>
        <v>23640149.132999998</v>
      </c>
      <c r="T7" s="26">
        <f t="shared" si="9"/>
        <v>479938800</v>
      </c>
      <c r="U7" s="26">
        <f t="shared" si="10"/>
        <v>517570801.30800003</v>
      </c>
      <c r="V7" s="26">
        <f t="shared" si="11"/>
        <v>551756352.73439336</v>
      </c>
      <c r="W7" s="26">
        <f t="shared" si="12"/>
        <v>585358314.61591792</v>
      </c>
      <c r="X7" s="26"/>
      <c r="Y7" s="30" t="s">
        <v>26</v>
      </c>
      <c r="Z7" s="31"/>
      <c r="AA7" s="31"/>
      <c r="AB7" s="55">
        <v>0.35</v>
      </c>
      <c r="AC7" s="32"/>
    </row>
    <row r="8" spans="1:29" x14ac:dyDescent="0.25">
      <c r="A8" s="21">
        <f t="shared" si="13"/>
        <v>6</v>
      </c>
      <c r="B8" s="141"/>
      <c r="C8" s="139">
        <v>0</v>
      </c>
      <c r="D8" s="140">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25">
      <c r="A9" s="21">
        <f t="shared" si="13"/>
        <v>7</v>
      </c>
      <c r="B9" s="13"/>
      <c r="C9" s="139">
        <v>0</v>
      </c>
      <c r="D9" s="140">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25">
      <c r="A10" s="21">
        <f t="shared" si="13"/>
        <v>8</v>
      </c>
      <c r="B10" s="13"/>
      <c r="C10" s="139">
        <v>0</v>
      </c>
      <c r="D10" s="140">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25">
      <c r="A11" s="21">
        <f t="shared" si="13"/>
        <v>9</v>
      </c>
      <c r="B11" s="13"/>
      <c r="C11" s="139">
        <v>0</v>
      </c>
      <c r="D11" s="140">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25">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25">
      <c r="D13" s="8" t="s">
        <v>27</v>
      </c>
      <c r="E13" s="33">
        <f>SUM(E3:E12)</f>
        <v>2295300000</v>
      </c>
      <c r="F13" s="34">
        <f>SUM(F3:F12)</f>
        <v>1</v>
      </c>
      <c r="T13" s="35">
        <f>SUM(T3:T12)</f>
        <v>2588497815</v>
      </c>
      <c r="U13" s="35">
        <f>SUM(U3:U12)</f>
        <v>2887075471.4856</v>
      </c>
      <c r="V13" s="35">
        <f>SUM(V3:V12)</f>
        <v>3208869508.8531551</v>
      </c>
      <c r="W13" s="35">
        <f>SUM(W3:W12)</f>
        <v>3565593540.1492987</v>
      </c>
      <c r="X13" s="26"/>
    </row>
    <row r="15" spans="1:29" ht="23.25" customHeight="1" x14ac:dyDescent="0.25">
      <c r="A15" s="167" t="s">
        <v>28</v>
      </c>
      <c r="B15" s="167"/>
      <c r="C15" s="167"/>
      <c r="D15" s="167"/>
      <c r="E15" s="167"/>
      <c r="G15" s="36"/>
    </row>
    <row r="16" spans="1:29" ht="25.5" customHeight="1" x14ac:dyDescent="0.25">
      <c r="B16" s="17" t="s">
        <v>29</v>
      </c>
      <c r="C16" s="37" t="s">
        <v>6</v>
      </c>
      <c r="D16" s="114" t="s">
        <v>30</v>
      </c>
      <c r="E16" s="18" t="s">
        <v>31</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25">
      <c r="A17" s="21">
        <f>A3</f>
        <v>1</v>
      </c>
      <c r="B17" s="95" t="str">
        <f>B3</f>
        <v>Iluminación</v>
      </c>
      <c r="C17" s="39">
        <f>C3</f>
        <v>180</v>
      </c>
      <c r="D17" s="14">
        <f>'[1]COSTOS PRODUCCION'!G12</f>
        <v>3045000</v>
      </c>
      <c r="E17" s="22">
        <f>C17*D17</f>
        <v>548100000</v>
      </c>
      <c r="F17" s="23">
        <f>IF($E$27=0,0,E17/$E$27)</f>
        <v>0.39798718649197512</v>
      </c>
      <c r="L17" s="8">
        <f t="shared" ref="L17:L26" si="15">C17*(1+G3)</f>
        <v>192.60000000000002</v>
      </c>
      <c r="M17" s="8">
        <f>L17*(1+H3)</f>
        <v>208.00800000000004</v>
      </c>
      <c r="N17" s="8">
        <f t="shared" ref="N17:O17" si="16">M17*(1+I3)</f>
        <v>225.68868000000003</v>
      </c>
      <c r="O17" s="8">
        <f t="shared" si="16"/>
        <v>246.00066120000005</v>
      </c>
      <c r="P17" s="40">
        <f>D17*(1+'1'!$Z$5)</f>
        <v>3194205</v>
      </c>
      <c r="Q17" s="25">
        <f>P17*(1+'1'!$AA$5)</f>
        <v>3312390.585</v>
      </c>
      <c r="R17" s="25">
        <f>Q17*(1+'1'!$AB$5)</f>
        <v>3395200.3496249998</v>
      </c>
      <c r="S17" s="25">
        <f>R17*(1+'1'!$AC$5)</f>
        <v>3463104.3566175001</v>
      </c>
      <c r="T17" s="40">
        <f t="shared" ref="T17:U19" si="17">L17*P17</f>
        <v>615203883.00000012</v>
      </c>
      <c r="U17" s="26">
        <f t="shared" si="17"/>
        <v>689003740.80468011</v>
      </c>
      <c r="V17" s="26">
        <f t="shared" ref="V17:W17" si="18">N17*R17</f>
        <v>766258285.24240482</v>
      </c>
      <c r="W17" s="26">
        <f t="shared" si="18"/>
        <v>851925961.53250575</v>
      </c>
      <c r="X17" s="26"/>
    </row>
    <row r="18" spans="1:24" x14ac:dyDescent="0.25">
      <c r="A18" s="21">
        <f t="shared" ref="A18:B25" si="19">A4</f>
        <v>2</v>
      </c>
      <c r="B18" s="41" t="str">
        <f t="shared" si="19"/>
        <v>CCTV</v>
      </c>
      <c r="C18" s="39">
        <f t="shared" ref="C18:C26" si="20">C4</f>
        <v>110</v>
      </c>
      <c r="D18" s="14">
        <f>'[1]COSTOS PRODUCCION'!G24</f>
        <v>2700000.0819672132</v>
      </c>
      <c r="E18" s="22">
        <f t="shared" ref="E18:E26" si="21">C18*D18</f>
        <v>297000009.01639342</v>
      </c>
      <c r="F18" s="23">
        <f t="shared" ref="F18:F26" si="22">IF($E$27=0,0,E18/$E$27)</f>
        <v>0.21565808789732832</v>
      </c>
      <c r="L18" s="8">
        <f t="shared" si="15"/>
        <v>121.00000000000001</v>
      </c>
      <c r="M18" s="8">
        <f t="shared" ref="M18:M26" si="23">L18*(1+H4)</f>
        <v>131.89000000000001</v>
      </c>
      <c r="N18" s="8">
        <f t="shared" ref="N18:N26" si="24">M18*(1+I4)</f>
        <v>145.07900000000004</v>
      </c>
      <c r="O18" s="8">
        <f t="shared" ref="O18:O26" si="25">N18*(1+J4)</f>
        <v>161.03769000000005</v>
      </c>
      <c r="P18" s="40">
        <f>D18*(1+'1'!$Z$5)</f>
        <v>2832300.0859836065</v>
      </c>
      <c r="Q18" s="25">
        <f>P18*(1+'1'!$AA$5)</f>
        <v>2937095.1891649999</v>
      </c>
      <c r="R18" s="25">
        <f>Q18*(1+'1'!$AB$5)</f>
        <v>3010522.5688941246</v>
      </c>
      <c r="S18" s="25">
        <f>R18*(1+'1'!$AC$5)</f>
        <v>3070733.0202720072</v>
      </c>
      <c r="T18" s="40">
        <f t="shared" si="17"/>
        <v>342708310.40401644</v>
      </c>
      <c r="U18" s="26">
        <f t="shared" si="17"/>
        <v>387373484.49897188</v>
      </c>
      <c r="V18" s="26">
        <f t="shared" ref="V18:V26" si="26">N18*R18</f>
        <v>436763603.77259082</v>
      </c>
      <c r="W18" s="26">
        <f t="shared" ref="W18:W26" si="27">O18*S18</f>
        <v>494503752.19132739</v>
      </c>
      <c r="X18" s="26"/>
    </row>
    <row r="19" spans="1:24" x14ac:dyDescent="0.25">
      <c r="A19" s="21">
        <f t="shared" si="19"/>
        <v>3</v>
      </c>
      <c r="B19" s="41" t="str">
        <f t="shared" si="19"/>
        <v>Control de accesos</v>
      </c>
      <c r="C19" s="39">
        <f t="shared" si="20"/>
        <v>20</v>
      </c>
      <c r="D19" s="14">
        <f>'[1]COSTOS PRODUCCION'!G37</f>
        <v>6600000</v>
      </c>
      <c r="E19" s="22">
        <f t="shared" si="21"/>
        <v>132000000</v>
      </c>
      <c r="F19" s="23">
        <f t="shared" si="22"/>
        <v>9.5848036155702823E-2</v>
      </c>
      <c r="L19" s="8">
        <f t="shared" si="15"/>
        <v>21</v>
      </c>
      <c r="M19" s="8">
        <f t="shared" si="23"/>
        <v>21.84</v>
      </c>
      <c r="N19" s="8">
        <f t="shared" si="24"/>
        <v>23.150400000000001</v>
      </c>
      <c r="O19" s="8">
        <f t="shared" si="25"/>
        <v>24.539424000000004</v>
      </c>
      <c r="P19" s="40">
        <f>D19*(1+'1'!$Z$5)</f>
        <v>6923400</v>
      </c>
      <c r="Q19" s="25">
        <f>P19*(1+'1'!$AA$5)</f>
        <v>7179565.7999999998</v>
      </c>
      <c r="R19" s="25">
        <f>Q19*(1+'1'!$AB$5)</f>
        <v>7359054.9449999994</v>
      </c>
      <c r="S19" s="25">
        <f>R19*(1+'1'!$AC$5)</f>
        <v>7506236.0438999999</v>
      </c>
      <c r="T19" s="40">
        <f t="shared" si="17"/>
        <v>145391400</v>
      </c>
      <c r="U19" s="26">
        <f t="shared" si="17"/>
        <v>156801717.072</v>
      </c>
      <c r="V19" s="26">
        <f t="shared" si="26"/>
        <v>170365065.598728</v>
      </c>
      <c r="W19" s="26">
        <f t="shared" si="27"/>
        <v>184198708.92534474</v>
      </c>
      <c r="X19" s="26"/>
    </row>
    <row r="20" spans="1:24" x14ac:dyDescent="0.25">
      <c r="A20" s="21">
        <f t="shared" si="19"/>
        <v>4</v>
      </c>
      <c r="B20" s="41" t="str">
        <f t="shared" si="19"/>
        <v>Cortinas</v>
      </c>
      <c r="C20" s="39">
        <f t="shared" si="20"/>
        <v>36</v>
      </c>
      <c r="D20" s="14">
        <f>'[1]COSTOS PRODUCCION'!G48</f>
        <v>3780000</v>
      </c>
      <c r="E20" s="22">
        <f t="shared" si="21"/>
        <v>136080000</v>
      </c>
      <c r="F20" s="23">
        <f t="shared" si="22"/>
        <v>9.8810611818697269E-2</v>
      </c>
      <c r="L20" s="8">
        <f t="shared" si="15"/>
        <v>37.800000000000004</v>
      </c>
      <c r="M20" s="8">
        <f t="shared" si="23"/>
        <v>39.312000000000005</v>
      </c>
      <c r="N20" s="8">
        <f t="shared" si="24"/>
        <v>41.67072000000001</v>
      </c>
      <c r="O20" s="8">
        <f t="shared" si="25"/>
        <v>44.17096320000001</v>
      </c>
      <c r="P20" s="40">
        <f>D20*(1+'1'!$Z$5)</f>
        <v>3965219.9999999995</v>
      </c>
      <c r="Q20" s="25">
        <f>P20*(1+'1'!$AA$5)</f>
        <v>4111933.1399999992</v>
      </c>
      <c r="R20" s="25">
        <f>Q20*(1+'1'!$AB$5)</f>
        <v>4214731.4684999986</v>
      </c>
      <c r="S20" s="25">
        <f>R20*(1+'1'!$AC$5)</f>
        <v>4299026.0978699988</v>
      </c>
      <c r="T20" s="40">
        <f t="shared" ref="T20:T26" si="28">L20*P20</f>
        <v>149885316</v>
      </c>
      <c r="U20" s="26">
        <f t="shared" ref="U20:U26" si="29">M20*Q20</f>
        <v>161648315.59967998</v>
      </c>
      <c r="V20" s="26">
        <f t="shared" si="26"/>
        <v>175630894.89905229</v>
      </c>
      <c r="W20" s="26">
        <f t="shared" si="27"/>
        <v>189892123.56485537</v>
      </c>
      <c r="X20" s="26"/>
    </row>
    <row r="21" spans="1:24" x14ac:dyDescent="0.25">
      <c r="A21" s="21">
        <f t="shared" si="19"/>
        <v>5</v>
      </c>
      <c r="B21" s="41" t="str">
        <f t="shared" si="19"/>
        <v xml:space="preserve">Energía Renovable </v>
      </c>
      <c r="C21" s="39">
        <f t="shared" si="20"/>
        <v>22</v>
      </c>
      <c r="D21" s="14">
        <f>'[1]COSTOS PRODUCCION'!G57</f>
        <v>12000000.333333334</v>
      </c>
      <c r="E21" s="22">
        <f t="shared" si="21"/>
        <v>264000007.33333334</v>
      </c>
      <c r="F21" s="23">
        <f t="shared" si="22"/>
        <v>0.19169607763629654</v>
      </c>
      <c r="L21" s="8">
        <f t="shared" si="15"/>
        <v>22.66</v>
      </c>
      <c r="M21" s="8">
        <f t="shared" si="23"/>
        <v>23.3398</v>
      </c>
      <c r="N21" s="8">
        <f t="shared" si="24"/>
        <v>24.039994</v>
      </c>
      <c r="O21" s="8">
        <f t="shared" si="25"/>
        <v>24.761193819999999</v>
      </c>
      <c r="P21" s="40">
        <f>D21*(1+'1'!$Z$5)</f>
        <v>12588000.349666666</v>
      </c>
      <c r="Q21" s="25">
        <f>P21*(1+'1'!$AA$5)</f>
        <v>13053756.362604331</v>
      </c>
      <c r="R21" s="25">
        <f>Q21*(1+'1'!$AB$5)</f>
        <v>13380100.271669438</v>
      </c>
      <c r="S21" s="25">
        <f>R21*(1+'1'!$AC$5)</f>
        <v>13647702.277102828</v>
      </c>
      <c r="T21" s="40">
        <f t="shared" si="28"/>
        <v>285244087.92344666</v>
      </c>
      <c r="U21" s="26">
        <f t="shared" si="29"/>
        <v>304672062.75191259</v>
      </c>
      <c r="V21" s="26">
        <f t="shared" si="26"/>
        <v>321657530.25033164</v>
      </c>
      <c r="W21" s="26">
        <f t="shared" si="27"/>
        <v>337933401.28099847</v>
      </c>
      <c r="X21" s="26"/>
    </row>
    <row r="22" spans="1:24" x14ac:dyDescent="0.25">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25">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25">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25">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25">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25">
      <c r="D27" s="8" t="str">
        <f>D13</f>
        <v>TOTAL</v>
      </c>
      <c r="E27" s="33">
        <f>SUM(E17:E26)</f>
        <v>1377180016.3497267</v>
      </c>
      <c r="F27" s="34">
        <f>SUM(F17:F26)</f>
        <v>1.0000000000000002</v>
      </c>
      <c r="T27" s="35">
        <f>SUM(T17:T26)</f>
        <v>1538432997.3274632</v>
      </c>
      <c r="U27" s="35">
        <f>SUM(U17:U26)</f>
        <v>1699499320.7272446</v>
      </c>
      <c r="V27" s="35">
        <f t="shared" ref="V27:W27" si="31">SUM(V17:V26)</f>
        <v>1870675379.7631075</v>
      </c>
      <c r="W27" s="35">
        <f t="shared" si="31"/>
        <v>2058453947.4950316</v>
      </c>
      <c r="X27" s="26"/>
    </row>
    <row r="30" spans="1:24" x14ac:dyDescent="0.25">
      <c r="A30" s="166" t="s">
        <v>32</v>
      </c>
      <c r="B30" s="166"/>
      <c r="C30" s="166"/>
      <c r="D30" s="166"/>
      <c r="E30" s="166"/>
      <c r="F30" s="166"/>
    </row>
    <row r="31" spans="1:24" ht="26.25" x14ac:dyDescent="0.4">
      <c r="A31" s="42" t="s">
        <v>19</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x14ac:dyDescent="0.25">
      <c r="A32" s="45" t="s">
        <v>33</v>
      </c>
      <c r="B32" s="46">
        <f>'1'!E13</f>
        <v>2295300000</v>
      </c>
      <c r="C32" s="47">
        <f>'1'!T13</f>
        <v>2588497815</v>
      </c>
      <c r="D32" s="47">
        <f>'1'!U13</f>
        <v>2887075471.4856</v>
      </c>
      <c r="E32" s="47">
        <f>'1'!V13</f>
        <v>3208869508.8531551</v>
      </c>
      <c r="F32" s="47">
        <f>'1'!W13</f>
        <v>3565593540.1492987</v>
      </c>
    </row>
    <row r="33" spans="1:6" x14ac:dyDescent="0.25">
      <c r="A33" s="45" t="s">
        <v>34</v>
      </c>
      <c r="B33" s="46">
        <f>'1'!E27</f>
        <v>1377180016.3497267</v>
      </c>
      <c r="C33" s="46">
        <f>'1'!T27</f>
        <v>1538432997.3274632</v>
      </c>
      <c r="D33" s="46">
        <f>'1'!U27</f>
        <v>1699499320.7272446</v>
      </c>
      <c r="E33" s="46">
        <f>'1'!V27</f>
        <v>1870675379.7631075</v>
      </c>
      <c r="F33" s="46">
        <f>'1'!W27</f>
        <v>2058453947.4950316</v>
      </c>
    </row>
    <row r="34" spans="1:6" ht="21" thickBot="1" x14ac:dyDescent="0.35">
      <c r="A34" s="48" t="s">
        <v>35</v>
      </c>
      <c r="B34" s="117">
        <f>B32-B33</f>
        <v>918119983.65027332</v>
      </c>
      <c r="C34" s="117">
        <f t="shared" ref="C34:D34" si="32">C32-C33</f>
        <v>1050064817.6725368</v>
      </c>
      <c r="D34" s="117">
        <f t="shared" si="32"/>
        <v>1187576150.7583554</v>
      </c>
      <c r="E34" s="117">
        <f t="shared" ref="E34" si="33">E32-E33</f>
        <v>1338194129.0900476</v>
      </c>
      <c r="F34" s="117">
        <f t="shared" ref="F34" si="34">F32-F33</f>
        <v>1507139592.6542671</v>
      </c>
    </row>
    <row r="35" spans="1:6" ht="15.75"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85" zoomScaleNormal="85" workbookViewId="0">
      <pane ySplit="14" topLeftCell="A15" activePane="bottomLeft" state="frozenSplit"/>
      <selection activeCell="B40" sqref="B40"/>
      <selection pane="bottomLeft" activeCell="C36" sqref="C36"/>
    </sheetView>
  </sheetViews>
  <sheetFormatPr baseColWidth="10" defaultColWidth="11.42578125" defaultRowHeight="15" x14ac:dyDescent="0.25"/>
  <cols>
    <col min="1" max="1" width="5.42578125" style="8" customWidth="1"/>
    <col min="2" max="2" width="29.42578125" style="8" bestFit="1" customWidth="1"/>
    <col min="3" max="3" width="20.28515625" style="8" customWidth="1"/>
    <col min="4" max="4" width="11.42578125" style="8"/>
    <col min="5" max="5" width="23.28515625" style="8" customWidth="1"/>
    <col min="6" max="6" width="19.140625" style="8" bestFit="1" customWidth="1"/>
    <col min="7" max="7" width="15.5703125" style="8" bestFit="1" customWidth="1"/>
    <col min="8" max="16384" width="11.42578125" style="8"/>
  </cols>
  <sheetData>
    <row r="1" spans="2:8" x14ac:dyDescent="0.25">
      <c r="B1" s="169" t="s">
        <v>36</v>
      </c>
      <c r="C1" s="169"/>
      <c r="D1" s="169"/>
      <c r="E1" s="169"/>
      <c r="F1" s="169"/>
      <c r="G1" s="169"/>
      <c r="H1" s="169"/>
    </row>
    <row r="2" spans="2:8" ht="3.75" customHeight="1" x14ac:dyDescent="0.25">
      <c r="B2" s="169"/>
      <c r="C2" s="169"/>
      <c r="D2" s="169"/>
      <c r="E2" s="169"/>
      <c r="F2" s="169"/>
      <c r="G2" s="169"/>
      <c r="H2" s="169"/>
    </row>
    <row r="3" spans="2:8" x14ac:dyDescent="0.25">
      <c r="C3" s="21" t="s">
        <v>37</v>
      </c>
      <c r="F3" s="74" t="s">
        <v>38</v>
      </c>
      <c r="G3" s="74"/>
    </row>
    <row r="4" spans="2:8" x14ac:dyDescent="0.25">
      <c r="B4" s="48" t="s">
        <v>39</v>
      </c>
      <c r="C4" s="14">
        <v>0</v>
      </c>
      <c r="F4" s="74"/>
      <c r="G4" s="74"/>
    </row>
    <row r="5" spans="2:8" x14ac:dyDescent="0.25">
      <c r="B5" s="48" t="s">
        <v>40</v>
      </c>
      <c r="C5" s="14">
        <f>'PROPIEDAD PLANTA Y EQUIPO'!E8</f>
        <v>19200000</v>
      </c>
      <c r="F5" s="74">
        <v>10</v>
      </c>
      <c r="G5" s="75">
        <f t="shared" ref="G5:G11" si="0">C5/F5</f>
        <v>1920000</v>
      </c>
    </row>
    <row r="6" spans="2:8" x14ac:dyDescent="0.25">
      <c r="B6" s="48" t="s">
        <v>41</v>
      </c>
      <c r="C6" s="14">
        <f>'MUEBLES Y ENSERES'!F7</f>
        <v>15000000</v>
      </c>
      <c r="F6" s="74">
        <v>5</v>
      </c>
      <c r="G6" s="75">
        <f t="shared" si="0"/>
        <v>3000000</v>
      </c>
    </row>
    <row r="7" spans="2:8" x14ac:dyDescent="0.25">
      <c r="B7" s="48" t="s">
        <v>42</v>
      </c>
      <c r="C7" s="14">
        <f>'EQUIPO DE OFICINA'!G9</f>
        <v>52100000</v>
      </c>
      <c r="F7" s="74">
        <v>5</v>
      </c>
      <c r="G7" s="75">
        <f t="shared" si="0"/>
        <v>10420000</v>
      </c>
    </row>
    <row r="8" spans="2:8" x14ac:dyDescent="0.25">
      <c r="B8" s="48" t="s">
        <v>43</v>
      </c>
      <c r="C8" s="14">
        <v>0</v>
      </c>
      <c r="F8" s="74">
        <v>5</v>
      </c>
      <c r="G8" s="75">
        <f t="shared" si="0"/>
        <v>0</v>
      </c>
    </row>
    <row r="9" spans="2:8" x14ac:dyDescent="0.25">
      <c r="B9" s="48" t="s">
        <v>44</v>
      </c>
      <c r="C9" s="14">
        <v>0</v>
      </c>
      <c r="F9" s="74">
        <v>5</v>
      </c>
      <c r="G9" s="75">
        <f t="shared" si="0"/>
        <v>0</v>
      </c>
    </row>
    <row r="10" spans="2:8" x14ac:dyDescent="0.25">
      <c r="B10" s="48" t="s">
        <v>45</v>
      </c>
      <c r="C10" s="14">
        <v>0</v>
      </c>
      <c r="F10" s="74">
        <v>5</v>
      </c>
      <c r="G10" s="75">
        <f t="shared" si="0"/>
        <v>0</v>
      </c>
    </row>
    <row r="11" spans="2:8" x14ac:dyDescent="0.25">
      <c r="B11" s="48" t="s">
        <v>46</v>
      </c>
      <c r="C11" s="14">
        <f>'GASTOS PUESTA EN MARCHA'!D48</f>
        <v>992500</v>
      </c>
      <c r="F11" s="74">
        <v>5</v>
      </c>
      <c r="G11" s="75">
        <f t="shared" si="0"/>
        <v>198500</v>
      </c>
    </row>
    <row r="12" spans="2:8" ht="16.5" thickBot="1" x14ac:dyDescent="0.3">
      <c r="B12" s="76" t="s">
        <v>47</v>
      </c>
      <c r="C12" s="77">
        <f>SUM(C4:C11)</f>
        <v>87292500</v>
      </c>
      <c r="F12" s="74"/>
      <c r="G12" s="75">
        <f>SUM(G5:G11)</f>
        <v>15538500</v>
      </c>
    </row>
    <row r="13" spans="2:8" x14ac:dyDescent="0.25">
      <c r="B13" s="170" t="s">
        <v>48</v>
      </c>
      <c r="C13" s="171"/>
      <c r="D13" s="171"/>
      <c r="E13" s="171"/>
      <c r="F13" s="171"/>
      <c r="G13" s="171"/>
      <c r="H13" s="172"/>
    </row>
    <row r="14" spans="2:8" ht="15.75" thickBot="1" x14ac:dyDescent="0.3">
      <c r="B14" s="173"/>
      <c r="C14" s="174"/>
      <c r="D14" s="174"/>
      <c r="E14" s="174"/>
      <c r="F14" s="174"/>
      <c r="G14" s="174"/>
      <c r="H14" s="175"/>
    </row>
    <row r="15" spans="2:8" x14ac:dyDescent="0.25">
      <c r="B15" s="78"/>
      <c r="C15" s="78"/>
      <c r="D15" s="78"/>
      <c r="E15" s="78"/>
      <c r="F15" s="78"/>
      <c r="G15" s="78"/>
      <c r="H15" s="78"/>
    </row>
    <row r="16" spans="2:8" x14ac:dyDescent="0.25">
      <c r="B16" s="76" t="s">
        <v>49</v>
      </c>
      <c r="E16" s="76" t="s">
        <v>50</v>
      </c>
      <c r="F16" s="38"/>
    </row>
    <row r="17" spans="2:6" x14ac:dyDescent="0.25">
      <c r="C17" s="76" t="s">
        <v>51</v>
      </c>
      <c r="F17" s="76" t="str">
        <f>C17</f>
        <v>VALOR AÑO 1</v>
      </c>
    </row>
    <row r="18" spans="2:6" x14ac:dyDescent="0.25">
      <c r="B18" s="79" t="s">
        <v>52</v>
      </c>
      <c r="C18" s="14">
        <f>'NÓMINA ADMINISTRATIVA'!P5</f>
        <v>156026400</v>
      </c>
      <c r="E18" s="80" t="s">
        <v>53</v>
      </c>
      <c r="F18" s="14">
        <f>'GASTOS FIJOS'!F4</f>
        <v>24000000</v>
      </c>
    </row>
    <row r="19" spans="2:6" x14ac:dyDescent="0.25">
      <c r="C19" s="81"/>
      <c r="E19" s="80" t="s">
        <v>54</v>
      </c>
      <c r="F19" s="14">
        <f>'GASTOS FIJOS'!F5</f>
        <v>6000000</v>
      </c>
    </row>
    <row r="20" spans="2:6" x14ac:dyDescent="0.25">
      <c r="B20" s="79" t="s">
        <v>55</v>
      </c>
      <c r="C20" s="14">
        <f>'NOMINA VENTAS'!P5</f>
        <v>41164032</v>
      </c>
      <c r="E20" s="80" t="s">
        <v>56</v>
      </c>
      <c r="F20" s="14">
        <f>'GASTOS FIJOS'!F6</f>
        <v>5760000</v>
      </c>
    </row>
    <row r="21" spans="2:6" x14ac:dyDescent="0.25">
      <c r="C21" s="81"/>
      <c r="E21" s="80" t="s">
        <v>57</v>
      </c>
      <c r="F21" s="14">
        <f>'GASTOS FIJOS'!F7</f>
        <v>1920000</v>
      </c>
    </row>
    <row r="22" spans="2:6" x14ac:dyDescent="0.25">
      <c r="B22" s="79" t="s">
        <v>58</v>
      </c>
      <c r="C22" s="14">
        <f>'NÓMINA PROD Y SERVICIOS'!P7</f>
        <v>238674960</v>
      </c>
      <c r="E22" s="80" t="s">
        <v>59</v>
      </c>
      <c r="F22" s="14">
        <f>'GASTOS FIJOS'!F8</f>
        <v>600000</v>
      </c>
    </row>
    <row r="23" spans="2:6" ht="15.75" x14ac:dyDescent="0.25">
      <c r="B23" s="8" t="s">
        <v>60</v>
      </c>
      <c r="C23" s="77">
        <f>C18+C20+C22</f>
        <v>435865392</v>
      </c>
      <c r="E23" s="80" t="s">
        <v>61</v>
      </c>
      <c r="F23" s="14">
        <v>0</v>
      </c>
    </row>
    <row r="24" spans="2:6" x14ac:dyDescent="0.25">
      <c r="E24" s="80" t="s">
        <v>62</v>
      </c>
      <c r="F24" s="14">
        <f>'GASTOS FIJOS'!F9</f>
        <v>12600000</v>
      </c>
    </row>
    <row r="25" spans="2:6" ht="24.75" x14ac:dyDescent="0.25">
      <c r="B25" s="80" t="s">
        <v>63</v>
      </c>
      <c r="C25" s="14">
        <f>'PPTO MARKETING'!H11</f>
        <v>14600000</v>
      </c>
      <c r="E25" s="101" t="s">
        <v>64</v>
      </c>
      <c r="F25" s="14">
        <f>'GASTOS FIJOS'!F10</f>
        <v>7000000</v>
      </c>
    </row>
    <row r="26" spans="2:6" x14ac:dyDescent="0.25">
      <c r="E26" s="101" t="s">
        <v>65</v>
      </c>
      <c r="F26" s="14">
        <v>0</v>
      </c>
    </row>
    <row r="27" spans="2:6" x14ac:dyDescent="0.25">
      <c r="B27" s="99" t="s">
        <v>66</v>
      </c>
      <c r="C27" s="99"/>
      <c r="E27" s="101" t="s">
        <v>67</v>
      </c>
      <c r="F27" s="14">
        <f>'GASTOS FIJOS'!F11</f>
        <v>10800000</v>
      </c>
    </row>
    <row r="28" spans="2:6" x14ac:dyDescent="0.25">
      <c r="B28" s="115">
        <f>'1'!G2</f>
        <v>2025</v>
      </c>
      <c r="C28" s="14">
        <v>12500000</v>
      </c>
      <c r="E28" s="101" t="s">
        <v>68</v>
      </c>
      <c r="F28" s="14">
        <f>'GASTOS FIJOS'!F12</f>
        <v>21600000</v>
      </c>
    </row>
    <row r="29" spans="2:6" x14ac:dyDescent="0.25">
      <c r="B29" s="115">
        <f>'1'!H2</f>
        <v>2026</v>
      </c>
      <c r="C29" s="14">
        <v>11500000</v>
      </c>
      <c r="E29" s="101" t="s">
        <v>69</v>
      </c>
      <c r="F29" s="14">
        <f>'GASTOS FIJOS'!F13</f>
        <v>15600000</v>
      </c>
    </row>
    <row r="30" spans="2:6" x14ac:dyDescent="0.25">
      <c r="B30" s="115">
        <f>'1'!I2</f>
        <v>2027</v>
      </c>
      <c r="C30" s="14">
        <v>9500000</v>
      </c>
      <c r="E30" s="101"/>
      <c r="F30" s="14">
        <v>0</v>
      </c>
    </row>
    <row r="31" spans="2:6" ht="15.75" x14ac:dyDescent="0.25">
      <c r="B31" s="115">
        <f>'1'!J2</f>
        <v>2028</v>
      </c>
      <c r="C31" s="14">
        <v>8000000</v>
      </c>
      <c r="E31" s="80" t="s">
        <v>70</v>
      </c>
      <c r="F31" s="77">
        <f>SUM(F18:F30)</f>
        <v>105880000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15" sqref="D15"/>
    </sheetView>
  </sheetViews>
  <sheetFormatPr baseColWidth="10" defaultColWidth="11.42578125" defaultRowHeight="15" x14ac:dyDescent="0.25"/>
  <cols>
    <col min="1" max="1" width="11.42578125" style="8"/>
    <col min="2" max="2" width="42.42578125" style="8" bestFit="1" customWidth="1"/>
    <col min="3" max="3" width="18" style="8" bestFit="1" customWidth="1"/>
    <col min="4" max="4" width="27.7109375" style="8" bestFit="1" customWidth="1"/>
    <col min="5" max="5" width="6.28515625" style="8" bestFit="1" customWidth="1"/>
    <col min="6" max="6" width="25.85546875" style="8" bestFit="1" customWidth="1"/>
    <col min="7" max="9" width="24.28515625" style="8" bestFit="1" customWidth="1"/>
    <col min="10" max="10" width="25.85546875" style="8" bestFit="1" customWidth="1"/>
    <col min="11" max="11" width="11.42578125" style="8"/>
    <col min="12" max="12" width="2" style="8" bestFit="1" customWidth="1"/>
    <col min="13" max="16384" width="11.42578125" style="8"/>
  </cols>
  <sheetData>
    <row r="2" spans="2:12" ht="29.25" customHeight="1" x14ac:dyDescent="0.25">
      <c r="B2" s="167" t="s">
        <v>71</v>
      </c>
      <c r="C2" s="167"/>
      <c r="D2" s="167"/>
      <c r="E2" s="167"/>
      <c r="F2" s="167"/>
      <c r="G2" s="167"/>
      <c r="H2" s="167"/>
      <c r="I2" s="167"/>
      <c r="J2" s="167"/>
    </row>
    <row r="3" spans="2:12" x14ac:dyDescent="0.25">
      <c r="F3" s="176" t="s">
        <v>72</v>
      </c>
      <c r="G3" s="176"/>
    </row>
    <row r="4" spans="2:12" ht="15.75" x14ac:dyDescent="0.25">
      <c r="B4" s="16" t="s">
        <v>47</v>
      </c>
      <c r="C4" s="77">
        <f>'2'!C12</f>
        <v>87292500</v>
      </c>
      <c r="F4" s="177">
        <v>0.23319999999999999</v>
      </c>
      <c r="G4" s="177"/>
      <c r="I4" s="8" t="s">
        <v>73</v>
      </c>
      <c r="J4" s="131">
        <v>5</v>
      </c>
      <c r="L4" s="74">
        <v>1</v>
      </c>
    </row>
    <row r="5" spans="2:12" x14ac:dyDescent="0.25">
      <c r="L5" s="74">
        <v>2</v>
      </c>
    </row>
    <row r="6" spans="2:12" ht="15.75" thickBot="1" x14ac:dyDescent="0.3">
      <c r="B6" s="16" t="s">
        <v>74</v>
      </c>
      <c r="F6" s="166" t="s">
        <v>75</v>
      </c>
      <c r="G6" s="166"/>
      <c r="H6" s="166"/>
      <c r="I6" s="166"/>
      <c r="J6" s="166"/>
      <c r="L6" s="74">
        <v>3</v>
      </c>
    </row>
    <row r="7" spans="2:12" x14ac:dyDescent="0.25">
      <c r="C7" s="82" t="s">
        <v>76</v>
      </c>
      <c r="D7" s="82" t="s">
        <v>77</v>
      </c>
      <c r="E7" s="120"/>
      <c r="F7" s="121" t="s">
        <v>78</v>
      </c>
      <c r="G7" s="121" t="s">
        <v>79</v>
      </c>
      <c r="H7" s="121" t="s">
        <v>80</v>
      </c>
      <c r="I7" s="121" t="s">
        <v>81</v>
      </c>
      <c r="J7" s="122" t="s">
        <v>82</v>
      </c>
      <c r="L7" s="74">
        <v>4</v>
      </c>
    </row>
    <row r="8" spans="2:12" x14ac:dyDescent="0.25">
      <c r="B8" s="48" t="s">
        <v>83</v>
      </c>
      <c r="C8" s="57">
        <v>3</v>
      </c>
      <c r="D8" s="25">
        <f>('1'!B33/12)*C8</f>
        <v>344295004.08743167</v>
      </c>
      <c r="E8" s="123" t="s">
        <v>84</v>
      </c>
      <c r="F8" s="124"/>
      <c r="G8" s="124"/>
      <c r="H8" s="124"/>
      <c r="I8" s="124"/>
      <c r="J8" s="125">
        <f>D16</f>
        <v>343240518.75409842</v>
      </c>
      <c r="L8" s="74">
        <v>5</v>
      </c>
    </row>
    <row r="9" spans="2:12" x14ac:dyDescent="0.25">
      <c r="B9" s="48" t="s">
        <v>85</v>
      </c>
      <c r="C9" s="57">
        <v>3</v>
      </c>
      <c r="D9" s="25">
        <f>('2'!C23/12)*C9</f>
        <v>108966348</v>
      </c>
      <c r="E9" s="123">
        <f>'1'!B31</f>
        <v>2024</v>
      </c>
      <c r="F9" s="127">
        <f t="shared" ref="F9:F13" si="0">IF(J8&gt;0,J8,0)</f>
        <v>343240518.75409842</v>
      </c>
      <c r="G9" s="127">
        <f>F9*$F$4</f>
        <v>80043688.973455742</v>
      </c>
      <c r="H9" s="127">
        <f>IF(J8&lt;1,0,(I9-G9))</f>
        <v>43217366.935840696</v>
      </c>
      <c r="I9" s="127">
        <f>PMT(F4,J4,J8)*-1</f>
        <v>123261055.90929644</v>
      </c>
      <c r="J9" s="128">
        <f>F9-H9</f>
        <v>300023151.81825769</v>
      </c>
    </row>
    <row r="10" spans="2:12" x14ac:dyDescent="0.25">
      <c r="B10" s="48" t="s">
        <v>86</v>
      </c>
      <c r="C10" s="57">
        <v>1</v>
      </c>
      <c r="D10" s="25">
        <f>('2'!C25/12)*C10</f>
        <v>1216666.6666666667</v>
      </c>
      <c r="E10" s="123">
        <f>'1'!C31</f>
        <v>2025</v>
      </c>
      <c r="F10" s="127">
        <f t="shared" si="0"/>
        <v>300023151.81825769</v>
      </c>
      <c r="G10" s="127">
        <f t="shared" ref="G10:G13" si="1">F10*$F$4</f>
        <v>69965399.004017696</v>
      </c>
      <c r="H10" s="127">
        <f t="shared" ref="H10:H13" si="2">IF(J9&lt;1,0,(I10-G10))</f>
        <v>53295656.905278742</v>
      </c>
      <c r="I10" s="127">
        <f>IF(J9&lt;1,0,(I9*(1+$K$7)))</f>
        <v>123261055.90929644</v>
      </c>
      <c r="J10" s="128">
        <f t="shared" ref="J10:J13" si="3">F10-H10</f>
        <v>246727494.91297895</v>
      </c>
    </row>
    <row r="11" spans="2:12" x14ac:dyDescent="0.25">
      <c r="B11" s="48" t="s">
        <v>87</v>
      </c>
      <c r="C11" s="57">
        <v>3</v>
      </c>
      <c r="D11" s="25">
        <f>('2'!F31/12)*C11</f>
        <v>26470000</v>
      </c>
      <c r="E11" s="123">
        <f>'1'!D31</f>
        <v>2026</v>
      </c>
      <c r="F11" s="127">
        <f t="shared" si="0"/>
        <v>246727494.91297895</v>
      </c>
      <c r="G11" s="127">
        <f t="shared" si="1"/>
        <v>57536851.813706689</v>
      </c>
      <c r="H11" s="127">
        <f t="shared" si="2"/>
        <v>65724204.09558975</v>
      </c>
      <c r="I11" s="127">
        <f t="shared" ref="I11:I13" si="4">IF(J10&lt;1,0,(I10*(1+$K$7)))</f>
        <v>123261055.90929644</v>
      </c>
      <c r="J11" s="128">
        <f t="shared" si="3"/>
        <v>181003290.81738919</v>
      </c>
    </row>
    <row r="12" spans="2:12" ht="15.75" x14ac:dyDescent="0.25">
      <c r="B12" s="83" t="s">
        <v>27</v>
      </c>
      <c r="C12" s="61"/>
      <c r="D12" s="84">
        <f>SUM(D8:D11)</f>
        <v>480948018.75409836</v>
      </c>
      <c r="E12" s="123">
        <f>'1'!E31</f>
        <v>2027</v>
      </c>
      <c r="F12" s="127">
        <f t="shared" si="0"/>
        <v>181003290.81738919</v>
      </c>
      <c r="G12" s="127">
        <f t="shared" si="1"/>
        <v>42209967.418615155</v>
      </c>
      <c r="H12" s="127">
        <f t="shared" si="2"/>
        <v>81051088.490681291</v>
      </c>
      <c r="I12" s="127">
        <f t="shared" si="4"/>
        <v>123261055.90929644</v>
      </c>
      <c r="J12" s="128">
        <f t="shared" si="3"/>
        <v>99952202.3267079</v>
      </c>
    </row>
    <row r="13" spans="2:12" ht="15.75" thickBot="1" x14ac:dyDescent="0.3">
      <c r="E13" s="126">
        <f>'1'!F31</f>
        <v>2028</v>
      </c>
      <c r="F13" s="129">
        <f t="shared" si="0"/>
        <v>99952202.3267079</v>
      </c>
      <c r="G13" s="129">
        <f t="shared" si="1"/>
        <v>23308853.582588281</v>
      </c>
      <c r="H13" s="129">
        <f t="shared" si="2"/>
        <v>99952202.326708153</v>
      </c>
      <c r="I13" s="129">
        <f t="shared" si="4"/>
        <v>123261055.90929644</v>
      </c>
      <c r="J13" s="130">
        <f t="shared" si="3"/>
        <v>-2.5331974029541016E-7</v>
      </c>
    </row>
    <row r="14" spans="2:12" ht="15.75" x14ac:dyDescent="0.25">
      <c r="B14" s="48" t="s">
        <v>88</v>
      </c>
      <c r="D14" s="77">
        <f>C4+D12</f>
        <v>568240518.75409842</v>
      </c>
    </row>
    <row r="15" spans="2:12" x14ac:dyDescent="0.25">
      <c r="B15" s="48" t="s">
        <v>89</v>
      </c>
      <c r="D15" s="58">
        <f>75000000*3</f>
        <v>225000000</v>
      </c>
    </row>
    <row r="16" spans="2:12" ht="15.75" x14ac:dyDescent="0.25">
      <c r="B16" s="48" t="s">
        <v>90</v>
      </c>
      <c r="D16" s="85">
        <f>D14-D15</f>
        <v>343240518.75409842</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70" zoomScaleNormal="70" workbookViewId="0">
      <pane xSplit="7" ySplit="1" topLeftCell="H2" activePane="bottomRight" state="frozenSplit"/>
      <selection pane="topRight" activeCell="E1" sqref="E1"/>
      <selection pane="bottomLeft" activeCell="A12" sqref="A12"/>
      <selection pane="bottomRight" activeCell="G17" sqref="G17"/>
    </sheetView>
  </sheetViews>
  <sheetFormatPr baseColWidth="10" defaultColWidth="11.42578125" defaultRowHeight="15" x14ac:dyDescent="0.25"/>
  <cols>
    <col min="1" max="1" width="31" style="8" bestFit="1" customWidth="1"/>
    <col min="2" max="4" width="27.7109375" style="8" bestFit="1" customWidth="1"/>
    <col min="5" max="6" width="26.7109375" style="8" bestFit="1" customWidth="1"/>
    <col min="7" max="7" width="25.5703125" style="8" bestFit="1" customWidth="1"/>
    <col min="8" max="16384" width="11.42578125" style="8"/>
  </cols>
  <sheetData>
    <row r="1" spans="1:7" ht="34.5" customHeight="1" x14ac:dyDescent="0.25">
      <c r="A1" s="178" t="s">
        <v>91</v>
      </c>
      <c r="B1" s="178"/>
      <c r="C1" s="178"/>
      <c r="D1" s="178"/>
      <c r="E1" s="178"/>
      <c r="F1" s="178"/>
      <c r="G1" s="178"/>
    </row>
    <row r="2" spans="1:7" ht="23.25" x14ac:dyDescent="0.25">
      <c r="A2" s="179" t="s">
        <v>92</v>
      </c>
      <c r="B2" s="179"/>
      <c r="C2" s="179"/>
      <c r="D2" s="179"/>
      <c r="E2" s="179"/>
      <c r="F2" s="179"/>
      <c r="G2" s="179"/>
    </row>
    <row r="3" spans="1:7" ht="8.25" customHeight="1" x14ac:dyDescent="0.25">
      <c r="A3" s="59"/>
      <c r="B3" s="59"/>
      <c r="C3" s="59"/>
      <c r="D3" s="59"/>
      <c r="E3" s="59"/>
      <c r="F3" s="59"/>
      <c r="G3" s="59"/>
    </row>
    <row r="4" spans="1:7" ht="15.75" x14ac:dyDescent="0.25">
      <c r="A4" s="180" t="s">
        <v>93</v>
      </c>
      <c r="B4" s="180"/>
      <c r="C4" s="180"/>
      <c r="D4" s="180"/>
      <c r="E4" s="180"/>
      <c r="F4" s="180"/>
      <c r="G4" s="180"/>
    </row>
    <row r="5" spans="1:7" ht="23.25" x14ac:dyDescent="0.25">
      <c r="C5" s="63">
        <f>'1'!B31</f>
        <v>2024</v>
      </c>
      <c r="D5" s="63">
        <f>'1'!C31</f>
        <v>2025</v>
      </c>
      <c r="E5" s="63">
        <f>'1'!D31</f>
        <v>2026</v>
      </c>
      <c r="F5" s="63">
        <f>'1'!E31</f>
        <v>2027</v>
      </c>
      <c r="G5" s="63">
        <f>'1'!F31</f>
        <v>2028</v>
      </c>
    </row>
    <row r="6" spans="1:7" x14ac:dyDescent="0.25">
      <c r="B6" s="8" t="s">
        <v>94</v>
      </c>
      <c r="C6" s="64">
        <f>'1'!B32</f>
        <v>2295300000</v>
      </c>
      <c r="D6" s="64">
        <f>'1'!C32</f>
        <v>2588497815</v>
      </c>
      <c r="E6" s="64">
        <f>'1'!D32</f>
        <v>2887075471.4856</v>
      </c>
      <c r="F6" s="64">
        <f>'1'!E32</f>
        <v>3208869508.8531551</v>
      </c>
      <c r="G6" s="64">
        <f>'1'!F32</f>
        <v>3565593540.1492987</v>
      </c>
    </row>
    <row r="7" spans="1:7" x14ac:dyDescent="0.25">
      <c r="B7" s="8" t="s">
        <v>95</v>
      </c>
      <c r="C7" s="64">
        <f>'1'!B33</f>
        <v>1377180016.3497267</v>
      </c>
      <c r="D7" s="64">
        <f>'1'!C33</f>
        <v>1538432997.3274632</v>
      </c>
      <c r="E7" s="64">
        <f>'1'!D33</f>
        <v>1699499320.7272446</v>
      </c>
      <c r="F7" s="64">
        <f>'1'!E33</f>
        <v>1870675379.7631075</v>
      </c>
      <c r="G7" s="64">
        <f>'1'!F33</f>
        <v>2058453947.4950316</v>
      </c>
    </row>
    <row r="8" spans="1:7" ht="15.75" thickBot="1" x14ac:dyDescent="0.3">
      <c r="B8" s="65" t="s">
        <v>96</v>
      </c>
      <c r="C8" s="66">
        <f>C6-C7</f>
        <v>918119983.65027332</v>
      </c>
      <c r="D8" s="66">
        <f t="shared" ref="D8:G8" si="0">D6-D7</f>
        <v>1050064817.6725368</v>
      </c>
      <c r="E8" s="66">
        <f t="shared" si="0"/>
        <v>1187576150.7583554</v>
      </c>
      <c r="F8" s="66">
        <f t="shared" si="0"/>
        <v>1338194129.0900476</v>
      </c>
      <c r="G8" s="66">
        <f t="shared" si="0"/>
        <v>1507139592.6542671</v>
      </c>
    </row>
    <row r="9" spans="1:7" ht="15.75" thickTop="1" x14ac:dyDescent="0.25">
      <c r="B9" s="8" t="s">
        <v>97</v>
      </c>
      <c r="C9" s="64">
        <f>'2'!C23</f>
        <v>435865392</v>
      </c>
      <c r="D9" s="64">
        <f>C9*(1+'1'!Z4)</f>
        <v>461581450.12799996</v>
      </c>
      <c r="E9" s="64">
        <f>D9*(1+'1'!AA4)</f>
        <v>483275778.28401595</v>
      </c>
      <c r="F9" s="64">
        <f>E9*(1+'1'!AB4)</f>
        <v>500190430.52395648</v>
      </c>
      <c r="G9" s="64">
        <f>F9*(1+'1'!AC4)</f>
        <v>515196143.43967521</v>
      </c>
    </row>
    <row r="10" spans="1:7" x14ac:dyDescent="0.25">
      <c r="B10" s="8" t="s">
        <v>98</v>
      </c>
      <c r="C10" s="64">
        <f>'2'!F31</f>
        <v>105880000</v>
      </c>
      <c r="D10" s="64">
        <f>C10*(1+'1'!Z4)</f>
        <v>112126920</v>
      </c>
      <c r="E10" s="64">
        <f>D10*(1+'1'!AA4)</f>
        <v>117396885.23999999</v>
      </c>
      <c r="F10" s="64">
        <f>E10*(1+'1'!AB4)</f>
        <v>121505776.22339998</v>
      </c>
      <c r="G10" s="64">
        <f>F10*(1+'1'!AC4)</f>
        <v>125150949.51010199</v>
      </c>
    </row>
    <row r="11" spans="1:7" x14ac:dyDescent="0.25">
      <c r="B11" s="8" t="s">
        <v>99</v>
      </c>
      <c r="C11" s="64">
        <f>'2'!C25</f>
        <v>14600000</v>
      </c>
      <c r="D11" s="64">
        <f>'2'!C28</f>
        <v>12500000</v>
      </c>
      <c r="E11" s="64">
        <f>'2'!C29</f>
        <v>11500000</v>
      </c>
      <c r="F11" s="64">
        <f>'2'!C30</f>
        <v>9500000</v>
      </c>
      <c r="G11" s="64">
        <f>'2'!C31</f>
        <v>8000000</v>
      </c>
    </row>
    <row r="12" spans="1:7" x14ac:dyDescent="0.25">
      <c r="B12" s="8" t="s">
        <v>100</v>
      </c>
      <c r="C12" s="64">
        <f>'2'!G12</f>
        <v>15538500</v>
      </c>
      <c r="D12" s="64">
        <f>C12</f>
        <v>15538500</v>
      </c>
      <c r="E12" s="64">
        <f t="shared" ref="E12:G12" si="1">D12</f>
        <v>15538500</v>
      </c>
      <c r="F12" s="64">
        <f t="shared" si="1"/>
        <v>15538500</v>
      </c>
      <c r="G12" s="64">
        <f t="shared" si="1"/>
        <v>15538500</v>
      </c>
    </row>
    <row r="13" spans="1:7" ht="15.75" thickBot="1" x14ac:dyDescent="0.3">
      <c r="B13" s="65" t="s">
        <v>101</v>
      </c>
      <c r="C13" s="67">
        <f>C8-C9-C10-C11-C12</f>
        <v>346236091.65027332</v>
      </c>
      <c r="D13" s="67">
        <f t="shared" ref="D13:G13" si="2">D8-D9-D10-D11-D12</f>
        <v>448317947.54453683</v>
      </c>
      <c r="E13" s="67">
        <f t="shared" si="2"/>
        <v>559864987.23433948</v>
      </c>
      <c r="F13" s="67">
        <f t="shared" si="2"/>
        <v>691459422.34269106</v>
      </c>
      <c r="G13" s="67">
        <f t="shared" si="2"/>
        <v>843253999.70448983</v>
      </c>
    </row>
    <row r="14" spans="1:7" ht="15.75" thickTop="1" x14ac:dyDescent="0.25">
      <c r="B14" s="8" t="s">
        <v>102</v>
      </c>
      <c r="C14" s="64">
        <f>'3'!G9</f>
        <v>80043688.973455742</v>
      </c>
      <c r="D14" s="64">
        <f>'3'!G10</f>
        <v>69965399.004017696</v>
      </c>
      <c r="E14" s="64">
        <f>'3'!G11</f>
        <v>57536851.813706689</v>
      </c>
      <c r="F14" s="64">
        <f>'3'!G12</f>
        <v>42209967.418615155</v>
      </c>
      <c r="G14" s="64">
        <f>'3'!G13</f>
        <v>23308853.582588281</v>
      </c>
    </row>
    <row r="15" spans="1:7" ht="15.75" thickBot="1" x14ac:dyDescent="0.3">
      <c r="B15" s="65" t="s">
        <v>103</v>
      </c>
      <c r="C15" s="67">
        <f>C13-C14</f>
        <v>266192402.6768176</v>
      </c>
      <c r="D15" s="67">
        <f t="shared" ref="D15:G15" si="3">D13-D14</f>
        <v>378352548.54051912</v>
      </c>
      <c r="E15" s="67">
        <f t="shared" si="3"/>
        <v>502328135.42063278</v>
      </c>
      <c r="F15" s="67">
        <f t="shared" si="3"/>
        <v>649249454.92407596</v>
      </c>
      <c r="G15" s="67">
        <f t="shared" si="3"/>
        <v>819945146.12190151</v>
      </c>
    </row>
    <row r="16" spans="1:7" ht="15.75" thickTop="1" x14ac:dyDescent="0.25">
      <c r="B16" s="8" t="s">
        <v>104</v>
      </c>
      <c r="C16" s="68">
        <f>IF(C15*'1'!$AB$7&lt;0,0,C15*'1'!$AB$7)</f>
        <v>93167340.936886147</v>
      </c>
      <c r="D16" s="68">
        <f>IF(D15*'1'!$AB$7&lt;0,0,D15*'1'!$AB$7)</f>
        <v>132423391.98918168</v>
      </c>
      <c r="E16" s="68">
        <f>IF(E15*'1'!$AB$7&lt;0,0,E15*'1'!$AB$7)</f>
        <v>175814847.39722148</v>
      </c>
      <c r="F16" s="68">
        <f>IF(F15*'1'!$AB$7&lt;0,0,F15*'1'!$AB$7)</f>
        <v>227237309.22342658</v>
      </c>
      <c r="G16" s="68">
        <f>IF(G15*'1'!$AB$7&lt;0,0,G15*'1'!$AB$7)</f>
        <v>286980801.14266551</v>
      </c>
    </row>
    <row r="17" spans="1:8" ht="15.75" thickBot="1" x14ac:dyDescent="0.3">
      <c r="B17" s="69" t="s">
        <v>105</v>
      </c>
      <c r="C17" s="70">
        <f>C15-C16</f>
        <v>173025061.73993146</v>
      </c>
      <c r="D17" s="70">
        <f t="shared" ref="D17:G17" si="4">D15-D16</f>
        <v>245929156.55133742</v>
      </c>
      <c r="E17" s="70">
        <f t="shared" si="4"/>
        <v>326513288.02341127</v>
      </c>
      <c r="F17" s="70">
        <f t="shared" si="4"/>
        <v>422012145.70064938</v>
      </c>
      <c r="G17" s="70">
        <f t="shared" si="4"/>
        <v>532964344.97923601</v>
      </c>
    </row>
    <row r="19" spans="1:8" ht="15.75" x14ac:dyDescent="0.25">
      <c r="A19" s="180" t="s">
        <v>106</v>
      </c>
      <c r="B19" s="180"/>
      <c r="C19" s="180"/>
      <c r="D19" s="180"/>
      <c r="E19" s="180"/>
      <c r="F19" s="180"/>
      <c r="G19" s="180"/>
    </row>
    <row r="20" spans="1:8" ht="23.25" x14ac:dyDescent="0.25">
      <c r="B20" s="71" t="s">
        <v>84</v>
      </c>
      <c r="C20" s="63">
        <f>C5</f>
        <v>2024</v>
      </c>
      <c r="D20" s="63">
        <f>D5</f>
        <v>2025</v>
      </c>
      <c r="E20" s="63">
        <f>E5</f>
        <v>2026</v>
      </c>
      <c r="F20" s="63">
        <f>F5</f>
        <v>2027</v>
      </c>
      <c r="G20" s="63">
        <f>G5</f>
        <v>2028</v>
      </c>
    </row>
    <row r="21" spans="1:8" x14ac:dyDescent="0.25">
      <c r="A21" s="181" t="s">
        <v>107</v>
      </c>
      <c r="B21" s="181"/>
      <c r="C21" s="181"/>
      <c r="D21" s="181"/>
      <c r="E21" s="181"/>
      <c r="F21" s="181"/>
      <c r="G21" s="181"/>
    </row>
    <row r="22" spans="1:8" x14ac:dyDescent="0.25">
      <c r="A22" s="8" t="s">
        <v>108</v>
      </c>
      <c r="B22" s="26">
        <f>B38-B26</f>
        <v>480948018.75409842</v>
      </c>
      <c r="C22" s="26">
        <f t="shared" ref="C22:G22" si="5">C38-C26</f>
        <v>719461554.49507523</v>
      </c>
      <c r="D22" s="26">
        <f t="shared" si="5"/>
        <v>793864543.45349813</v>
      </c>
      <c r="E22" s="26">
        <f t="shared" si="5"/>
        <v>867654426.23802197</v>
      </c>
      <c r="F22" s="26">
        <f t="shared" si="5"/>
        <v>949063157.25078392</v>
      </c>
      <c r="G22" s="26">
        <f t="shared" si="5"/>
        <v>1035345146.1219013</v>
      </c>
    </row>
    <row r="23" spans="1:8" x14ac:dyDescent="0.25">
      <c r="A23" s="8" t="s">
        <v>109</v>
      </c>
      <c r="B23" s="26">
        <f>'2'!C4</f>
        <v>0</v>
      </c>
      <c r="C23" s="26">
        <f>B23</f>
        <v>0</v>
      </c>
      <c r="D23" s="26">
        <f t="shared" ref="D23:G23" si="6">C23</f>
        <v>0</v>
      </c>
      <c r="E23" s="26">
        <f t="shared" si="6"/>
        <v>0</v>
      </c>
      <c r="F23" s="26">
        <f t="shared" si="6"/>
        <v>0</v>
      </c>
      <c r="G23" s="26">
        <f t="shared" si="6"/>
        <v>0</v>
      </c>
      <c r="H23" s="26"/>
    </row>
    <row r="24" spans="1:8" x14ac:dyDescent="0.25">
      <c r="A24" s="8" t="s">
        <v>110</v>
      </c>
      <c r="B24" s="26">
        <f>'2'!C12-'2'!C4</f>
        <v>87292500</v>
      </c>
      <c r="C24" s="26">
        <f>B24</f>
        <v>87292500</v>
      </c>
      <c r="D24" s="26">
        <f t="shared" ref="D24:G24" si="7">C24</f>
        <v>87292500</v>
      </c>
      <c r="E24" s="26">
        <f t="shared" si="7"/>
        <v>87292500</v>
      </c>
      <c r="F24" s="26">
        <f t="shared" si="7"/>
        <v>87292500</v>
      </c>
      <c r="G24" s="26">
        <f t="shared" si="7"/>
        <v>87292500</v>
      </c>
      <c r="H24" s="26"/>
    </row>
    <row r="25" spans="1:8" x14ac:dyDescent="0.25">
      <c r="A25" s="8" t="s">
        <v>111</v>
      </c>
      <c r="B25" s="26">
        <v>0</v>
      </c>
      <c r="C25" s="26">
        <f>C12</f>
        <v>15538500</v>
      </c>
      <c r="D25" s="26">
        <f>D12+C12</f>
        <v>31077000</v>
      </c>
      <c r="E25" s="26">
        <f>E12+D12+C12</f>
        <v>46615500</v>
      </c>
      <c r="F25" s="26">
        <f>F12+E12+D12+C12</f>
        <v>62154000</v>
      </c>
      <c r="G25" s="26">
        <f>F25+G12</f>
        <v>77692500</v>
      </c>
      <c r="H25" s="26"/>
    </row>
    <row r="26" spans="1:8" x14ac:dyDescent="0.25">
      <c r="A26" s="8" t="s">
        <v>112</v>
      </c>
      <c r="B26" s="26">
        <f>B23+(B24-B25)</f>
        <v>87292500</v>
      </c>
      <c r="C26" s="26">
        <f>C23+(C24-C25)</f>
        <v>71754000</v>
      </c>
      <c r="D26" s="26">
        <f t="shared" ref="D26:G26" si="8">D23+(D24-D25)</f>
        <v>56215500</v>
      </c>
      <c r="E26" s="26">
        <f t="shared" si="8"/>
        <v>40677000</v>
      </c>
      <c r="F26" s="26">
        <f t="shared" si="8"/>
        <v>25138500</v>
      </c>
      <c r="G26" s="26">
        <f t="shared" si="8"/>
        <v>9600000</v>
      </c>
      <c r="H26" s="26"/>
    </row>
    <row r="27" spans="1:8" ht="15.75" thickBot="1" x14ac:dyDescent="0.3">
      <c r="A27" s="65" t="s">
        <v>113</v>
      </c>
      <c r="B27" s="72">
        <f>B22+B26</f>
        <v>568240518.75409842</v>
      </c>
      <c r="C27" s="72">
        <f t="shared" ref="C27:G27" si="9">C22+C26</f>
        <v>791215554.49507523</v>
      </c>
      <c r="D27" s="72">
        <f t="shared" si="9"/>
        <v>850080043.45349813</v>
      </c>
      <c r="E27" s="72">
        <f t="shared" si="9"/>
        <v>908331426.23802197</v>
      </c>
      <c r="F27" s="72">
        <f t="shared" si="9"/>
        <v>974201657.25078392</v>
      </c>
      <c r="G27" s="72">
        <f t="shared" si="9"/>
        <v>1044945146.1219013</v>
      </c>
      <c r="H27" s="26"/>
    </row>
    <row r="28" spans="1:8" ht="15.75" thickTop="1" x14ac:dyDescent="0.25">
      <c r="A28" s="181" t="s">
        <v>114</v>
      </c>
      <c r="B28" s="181"/>
      <c r="C28" s="181"/>
      <c r="D28" s="181"/>
      <c r="E28" s="181"/>
      <c r="F28" s="181"/>
      <c r="G28" s="181"/>
    </row>
    <row r="29" spans="1:8" x14ac:dyDescent="0.25">
      <c r="A29" s="8" t="s">
        <v>115</v>
      </c>
      <c r="B29" s="8">
        <v>0</v>
      </c>
      <c r="C29" s="68">
        <f>C16</f>
        <v>93167340.936886147</v>
      </c>
      <c r="D29" s="68">
        <f>D16</f>
        <v>132423391.98918168</v>
      </c>
      <c r="E29" s="68">
        <f>E16</f>
        <v>175814847.39722148</v>
      </c>
      <c r="F29" s="68">
        <f>F16</f>
        <v>227237309.22342658</v>
      </c>
      <c r="G29" s="68">
        <f>G16</f>
        <v>286980801.14266551</v>
      </c>
    </row>
    <row r="30" spans="1:8" x14ac:dyDescent="0.25">
      <c r="A30" s="8" t="s">
        <v>116</v>
      </c>
      <c r="B30" s="68">
        <f>B29</f>
        <v>0</v>
      </c>
      <c r="C30" s="68">
        <f t="shared" ref="C30:G30" si="10">C29</f>
        <v>93167340.936886147</v>
      </c>
      <c r="D30" s="68">
        <f t="shared" si="10"/>
        <v>132423391.98918168</v>
      </c>
      <c r="E30" s="68">
        <f t="shared" si="10"/>
        <v>175814847.39722148</v>
      </c>
      <c r="F30" s="68">
        <f t="shared" si="10"/>
        <v>227237309.22342658</v>
      </c>
      <c r="G30" s="68">
        <f t="shared" si="10"/>
        <v>286980801.14266551</v>
      </c>
    </row>
    <row r="31" spans="1:8" x14ac:dyDescent="0.25">
      <c r="A31" s="8" t="s">
        <v>117</v>
      </c>
      <c r="B31" s="25">
        <f>'3'!J8</f>
        <v>343240518.75409842</v>
      </c>
      <c r="C31" s="25">
        <f>'3'!J9</f>
        <v>300023151.81825769</v>
      </c>
      <c r="D31" s="25">
        <f>'3'!J10</f>
        <v>246727494.91297895</v>
      </c>
      <c r="E31" s="25">
        <f>'3'!J11</f>
        <v>181003290.81738919</v>
      </c>
      <c r="F31" s="25">
        <f>'3'!J12</f>
        <v>99952202.3267079</v>
      </c>
      <c r="G31" s="25">
        <f>'3'!J13</f>
        <v>-2.5331974029541016E-7</v>
      </c>
    </row>
    <row r="32" spans="1:8" ht="15.75" thickBot="1" x14ac:dyDescent="0.3">
      <c r="A32" s="65" t="s">
        <v>114</v>
      </c>
      <c r="B32" s="72">
        <f>B30+B31</f>
        <v>343240518.75409842</v>
      </c>
      <c r="C32" s="72">
        <f t="shared" ref="C32:G32" si="11">C30+C31</f>
        <v>393190492.75514382</v>
      </c>
      <c r="D32" s="72">
        <f t="shared" si="11"/>
        <v>379150886.90216064</v>
      </c>
      <c r="E32" s="72">
        <f t="shared" si="11"/>
        <v>356818138.2146107</v>
      </c>
      <c r="F32" s="72">
        <f t="shared" si="11"/>
        <v>327189511.55013448</v>
      </c>
      <c r="G32" s="72">
        <f t="shared" si="11"/>
        <v>286980801.14266527</v>
      </c>
    </row>
    <row r="33" spans="1:7" ht="15.75" thickTop="1" x14ac:dyDescent="0.25">
      <c r="A33" s="181" t="s">
        <v>118</v>
      </c>
      <c r="B33" s="181"/>
      <c r="C33" s="181"/>
      <c r="D33" s="181"/>
      <c r="E33" s="181"/>
      <c r="F33" s="181"/>
      <c r="G33" s="181"/>
    </row>
    <row r="34" spans="1:7" x14ac:dyDescent="0.25">
      <c r="A34" s="8" t="s">
        <v>119</v>
      </c>
      <c r="B34" s="26">
        <f>'3'!D15</f>
        <v>225000000</v>
      </c>
      <c r="C34" s="26">
        <f>B34</f>
        <v>225000000</v>
      </c>
      <c r="D34" s="26">
        <f t="shared" ref="D34:G34" si="12">C34</f>
        <v>225000000</v>
      </c>
      <c r="E34" s="26">
        <f t="shared" si="12"/>
        <v>225000000</v>
      </c>
      <c r="F34" s="26">
        <f t="shared" si="12"/>
        <v>225000000</v>
      </c>
      <c r="G34" s="26">
        <f t="shared" si="12"/>
        <v>225000000</v>
      </c>
    </row>
    <row r="35" spans="1:7" x14ac:dyDescent="0.25">
      <c r="A35" s="8" t="s">
        <v>120</v>
      </c>
      <c r="B35" s="8">
        <v>0</v>
      </c>
      <c r="C35" s="68">
        <f>C17</f>
        <v>173025061.73993146</v>
      </c>
      <c r="D35" s="68">
        <f>D17</f>
        <v>245929156.55133742</v>
      </c>
      <c r="E35" s="68">
        <f>E17</f>
        <v>326513288.02341127</v>
      </c>
      <c r="F35" s="68">
        <f>F17</f>
        <v>422012145.70064938</v>
      </c>
      <c r="G35" s="68">
        <f>G17</f>
        <v>532964344.97923601</v>
      </c>
    </row>
    <row r="36" spans="1:7" ht="15.75" thickBot="1" x14ac:dyDescent="0.3">
      <c r="A36" s="65" t="s">
        <v>121</v>
      </c>
      <c r="B36" s="72">
        <f>B34+B35</f>
        <v>225000000</v>
      </c>
      <c r="C36" s="72">
        <f t="shared" ref="C36:G36" si="13">C34+C35</f>
        <v>398025061.73993146</v>
      </c>
      <c r="D36" s="72">
        <f t="shared" si="13"/>
        <v>470929156.55133742</v>
      </c>
      <c r="E36" s="72">
        <f t="shared" si="13"/>
        <v>551513288.02341127</v>
      </c>
      <c r="F36" s="72">
        <f t="shared" si="13"/>
        <v>647012145.70064938</v>
      </c>
      <c r="G36" s="72">
        <f t="shared" si="13"/>
        <v>757964344.97923601</v>
      </c>
    </row>
    <row r="37" spans="1:7" ht="15.75" thickTop="1" x14ac:dyDescent="0.25"/>
    <row r="38" spans="1:7" ht="15.75" thickBot="1" x14ac:dyDescent="0.3">
      <c r="A38" s="65" t="s">
        <v>122</v>
      </c>
      <c r="B38" s="72">
        <f>B32+B36</f>
        <v>568240518.75409842</v>
      </c>
      <c r="C38" s="72">
        <f t="shared" ref="C38:G38" si="14">C32+C36</f>
        <v>791215554.49507523</v>
      </c>
      <c r="D38" s="72">
        <f t="shared" si="14"/>
        <v>850080043.45349813</v>
      </c>
      <c r="E38" s="72">
        <f t="shared" si="14"/>
        <v>908331426.23802197</v>
      </c>
      <c r="F38" s="72">
        <f t="shared" si="14"/>
        <v>974201657.25078392</v>
      </c>
      <c r="G38" s="72">
        <f t="shared" si="14"/>
        <v>1044945146.1219013</v>
      </c>
    </row>
    <row r="39" spans="1:7" ht="15.75" thickTop="1" x14ac:dyDescent="0.25">
      <c r="A39" s="61" t="s">
        <v>123</v>
      </c>
      <c r="B39" s="73">
        <f>B27-B38</f>
        <v>0</v>
      </c>
      <c r="C39" s="73">
        <f t="shared" ref="C39:G39" si="15">C27-C38</f>
        <v>0</v>
      </c>
      <c r="D39" s="73">
        <f t="shared" si="15"/>
        <v>0</v>
      </c>
      <c r="E39" s="73">
        <f t="shared" si="15"/>
        <v>0</v>
      </c>
      <c r="F39" s="73">
        <f t="shared" si="15"/>
        <v>0</v>
      </c>
      <c r="G39" s="73">
        <f t="shared" si="15"/>
        <v>0</v>
      </c>
    </row>
    <row r="41" spans="1:7" ht="15.75" x14ac:dyDescent="0.25">
      <c r="A41" s="180" t="s">
        <v>124</v>
      </c>
      <c r="B41" s="180"/>
      <c r="C41" s="180"/>
      <c r="D41" s="180"/>
      <c r="E41" s="180"/>
      <c r="F41" s="180"/>
      <c r="G41" s="180"/>
    </row>
    <row r="42" spans="1:7" x14ac:dyDescent="0.25">
      <c r="A42" s="181" t="s">
        <v>125</v>
      </c>
      <c r="B42" s="181"/>
      <c r="C42" s="181"/>
      <c r="D42" s="181"/>
      <c r="E42" s="181"/>
      <c r="F42" s="181"/>
      <c r="G42" s="181"/>
    </row>
    <row r="43" spans="1:7" ht="23.25" x14ac:dyDescent="0.25">
      <c r="A43" s="11"/>
      <c r="B43" s="71" t="s">
        <v>84</v>
      </c>
      <c r="C43" s="63">
        <f>C20</f>
        <v>2024</v>
      </c>
      <c r="D43" s="63">
        <f t="shared" ref="D43:G43" si="16">D20</f>
        <v>2025</v>
      </c>
      <c r="E43" s="63">
        <f t="shared" si="16"/>
        <v>2026</v>
      </c>
      <c r="F43" s="63">
        <f t="shared" si="16"/>
        <v>2027</v>
      </c>
      <c r="G43" s="63">
        <f t="shared" si="16"/>
        <v>2028</v>
      </c>
    </row>
    <row r="44" spans="1:7" x14ac:dyDescent="0.25">
      <c r="A44" s="1" t="s">
        <v>126</v>
      </c>
      <c r="B44" s="2">
        <f>B22</f>
        <v>480948018.75409842</v>
      </c>
      <c r="C44" s="2">
        <f t="shared" ref="C44:G44" si="17">C22</f>
        <v>719461554.49507523</v>
      </c>
      <c r="D44" s="2">
        <f t="shared" si="17"/>
        <v>793864543.45349813</v>
      </c>
      <c r="E44" s="2">
        <f t="shared" si="17"/>
        <v>867654426.23802197</v>
      </c>
      <c r="F44" s="2">
        <f t="shared" si="17"/>
        <v>949063157.25078392</v>
      </c>
      <c r="G44" s="2">
        <f t="shared" si="17"/>
        <v>1035345146.1219013</v>
      </c>
    </row>
    <row r="45" spans="1:7" ht="15.75" thickBot="1" x14ac:dyDescent="0.3">
      <c r="A45" s="1" t="s">
        <v>127</v>
      </c>
      <c r="B45" s="3">
        <f>B29</f>
        <v>0</v>
      </c>
      <c r="C45" s="3">
        <f t="shared" ref="C45:G45" si="18">C29</f>
        <v>93167340.936886147</v>
      </c>
      <c r="D45" s="3">
        <f t="shared" si="18"/>
        <v>132423391.98918168</v>
      </c>
      <c r="E45" s="3">
        <f t="shared" si="18"/>
        <v>175814847.39722148</v>
      </c>
      <c r="F45" s="3">
        <f t="shared" si="18"/>
        <v>227237309.22342658</v>
      </c>
      <c r="G45" s="3">
        <f t="shared" si="18"/>
        <v>286980801.14266551</v>
      </c>
    </row>
    <row r="46" spans="1:7" ht="15.75" thickTop="1" x14ac:dyDescent="0.25">
      <c r="A46" s="4" t="s">
        <v>128</v>
      </c>
      <c r="B46" s="5">
        <f t="shared" ref="B46:G46" si="19">B44-B45</f>
        <v>480948018.75409842</v>
      </c>
      <c r="C46" s="5">
        <f t="shared" si="19"/>
        <v>626294213.55818903</v>
      </c>
      <c r="D46" s="5">
        <f t="shared" si="19"/>
        <v>661441151.46431649</v>
      </c>
      <c r="E46" s="5">
        <f t="shared" si="19"/>
        <v>691839578.84080052</v>
      </c>
      <c r="F46" s="5">
        <f t="shared" si="19"/>
        <v>721825848.02735734</v>
      </c>
      <c r="G46" s="5">
        <f t="shared" si="19"/>
        <v>748364344.97923577</v>
      </c>
    </row>
    <row r="47" spans="1:7" x14ac:dyDescent="0.25">
      <c r="A47" s="1"/>
      <c r="B47" s="2"/>
      <c r="C47" s="2"/>
      <c r="D47" s="2"/>
      <c r="E47" s="2"/>
      <c r="F47" s="2"/>
      <c r="G47" s="2"/>
    </row>
    <row r="48" spans="1:7" x14ac:dyDescent="0.25">
      <c r="A48" s="4" t="s">
        <v>129</v>
      </c>
      <c r="B48" s="2">
        <f>B26</f>
        <v>87292500</v>
      </c>
      <c r="C48" s="2">
        <f t="shared" ref="C48:G48" si="20">C26</f>
        <v>71754000</v>
      </c>
      <c r="D48" s="2">
        <f t="shared" si="20"/>
        <v>56215500</v>
      </c>
      <c r="E48" s="2">
        <f t="shared" si="20"/>
        <v>40677000</v>
      </c>
      <c r="F48" s="2">
        <f t="shared" si="20"/>
        <v>25138500</v>
      </c>
      <c r="G48" s="2">
        <f t="shared" si="20"/>
        <v>9600000</v>
      </c>
    </row>
    <row r="49" spans="1:7" ht="15.75" thickBot="1" x14ac:dyDescent="0.3">
      <c r="A49" s="1" t="s">
        <v>130</v>
      </c>
      <c r="B49" s="3">
        <f>B25</f>
        <v>0</v>
      </c>
      <c r="C49" s="3">
        <f t="shared" ref="C49:G49" si="21">C25</f>
        <v>15538500</v>
      </c>
      <c r="D49" s="3">
        <f t="shared" si="21"/>
        <v>31077000</v>
      </c>
      <c r="E49" s="3">
        <f t="shared" si="21"/>
        <v>46615500</v>
      </c>
      <c r="F49" s="3">
        <f t="shared" si="21"/>
        <v>62154000</v>
      </c>
      <c r="G49" s="3">
        <f t="shared" si="21"/>
        <v>77692500</v>
      </c>
    </row>
    <row r="50" spans="1:7" ht="15.75" thickTop="1" x14ac:dyDescent="0.25">
      <c r="A50" s="4" t="s">
        <v>131</v>
      </c>
      <c r="B50" s="5">
        <f t="shared" ref="B50:G50" si="22">B48+B49</f>
        <v>87292500</v>
      </c>
      <c r="C50" s="5">
        <f t="shared" si="22"/>
        <v>87292500</v>
      </c>
      <c r="D50" s="5">
        <f t="shared" si="22"/>
        <v>87292500</v>
      </c>
      <c r="E50" s="5">
        <f t="shared" si="22"/>
        <v>87292500</v>
      </c>
      <c r="F50" s="5">
        <f t="shared" si="22"/>
        <v>87292500</v>
      </c>
      <c r="G50" s="5">
        <f t="shared" si="22"/>
        <v>87292500</v>
      </c>
    </row>
    <row r="51" spans="1:7" x14ac:dyDescent="0.25">
      <c r="A51" s="1"/>
      <c r="B51" s="2"/>
      <c r="C51" s="2"/>
      <c r="D51" s="2"/>
      <c r="E51" s="2"/>
      <c r="F51" s="2"/>
      <c r="G51" s="2"/>
    </row>
    <row r="52" spans="1:7" ht="15.75" thickBot="1" x14ac:dyDescent="0.3">
      <c r="A52" s="12" t="s">
        <v>132</v>
      </c>
      <c r="B52" s="6">
        <f t="shared" ref="B52:G52" si="23">B46+B48</f>
        <v>568240518.75409842</v>
      </c>
      <c r="C52" s="6">
        <f t="shared" si="23"/>
        <v>698048213.55818903</v>
      </c>
      <c r="D52" s="6">
        <f t="shared" si="23"/>
        <v>717656651.46431649</v>
      </c>
      <c r="E52" s="6">
        <f t="shared" si="23"/>
        <v>732516578.84080052</v>
      </c>
      <c r="F52" s="6">
        <f t="shared" si="23"/>
        <v>746964348.02735734</v>
      </c>
      <c r="G52" s="6">
        <f t="shared" si="23"/>
        <v>757964344.97923577</v>
      </c>
    </row>
    <row r="53" spans="1:7" ht="15.75" thickTop="1" x14ac:dyDescent="0.25">
      <c r="A53" s="7"/>
      <c r="B53" s="2"/>
      <c r="C53" s="2"/>
      <c r="D53" s="2"/>
      <c r="E53" s="2"/>
      <c r="F53" s="2"/>
      <c r="G53" s="2"/>
    </row>
    <row r="54" spans="1:7" x14ac:dyDescent="0.25">
      <c r="A54" s="182" t="s">
        <v>133</v>
      </c>
      <c r="B54" s="182"/>
      <c r="C54" s="182"/>
      <c r="D54" s="182"/>
      <c r="E54" s="182"/>
      <c r="F54" s="182"/>
      <c r="G54" s="182"/>
    </row>
    <row r="55" spans="1:7" x14ac:dyDescent="0.25">
      <c r="A55" s="1" t="s">
        <v>134</v>
      </c>
      <c r="C55" s="9">
        <f>C13</f>
        <v>346236091.65027332</v>
      </c>
      <c r="D55" s="9">
        <f t="shared" ref="D55:G55" si="24">D13</f>
        <v>448317947.54453683</v>
      </c>
      <c r="E55" s="9">
        <f t="shared" si="24"/>
        <v>559864987.23433948</v>
      </c>
      <c r="F55" s="9">
        <f t="shared" si="24"/>
        <v>691459422.34269106</v>
      </c>
      <c r="G55" s="9">
        <f t="shared" si="24"/>
        <v>843253999.70448983</v>
      </c>
    </row>
    <row r="56" spans="1:7" ht="15.75" thickBot="1" x14ac:dyDescent="0.3">
      <c r="A56" s="1" t="s">
        <v>135</v>
      </c>
      <c r="C56" s="10">
        <f>C55*'1'!$AB$7</f>
        <v>121182632.07759565</v>
      </c>
      <c r="D56" s="10">
        <f>D55*'1'!$AB$7</f>
        <v>156911281.64058787</v>
      </c>
      <c r="E56" s="10">
        <f>E55*'1'!$AB$7</f>
        <v>195952745.53201881</v>
      </c>
      <c r="F56" s="10">
        <f>F55*'1'!$AB$7</f>
        <v>242010797.81994185</v>
      </c>
      <c r="G56" s="10">
        <f>G55*'1'!$AB$7</f>
        <v>295138899.8965714</v>
      </c>
    </row>
    <row r="57" spans="1:7" ht="15.75" thickTop="1" x14ac:dyDescent="0.25">
      <c r="A57" s="4" t="s">
        <v>136</v>
      </c>
      <c r="C57" s="9">
        <f>C55-C56</f>
        <v>225053459.57267767</v>
      </c>
      <c r="D57" s="9">
        <f>D55-D56</f>
        <v>291406665.90394896</v>
      </c>
      <c r="E57" s="9">
        <f>E55-E56</f>
        <v>363912241.70232069</v>
      </c>
      <c r="F57" s="9">
        <f>F55-F56</f>
        <v>449448624.52274919</v>
      </c>
      <c r="G57" s="9">
        <f>G55-G56</f>
        <v>548115099.80791843</v>
      </c>
    </row>
    <row r="58" spans="1:7" ht="15.75" thickBot="1" x14ac:dyDescent="0.3">
      <c r="A58" s="1" t="s">
        <v>137</v>
      </c>
      <c r="C58" s="10">
        <f>-(C52-B52)</f>
        <v>-129807694.80409062</v>
      </c>
      <c r="D58" s="10">
        <f t="shared" ref="D58:G58" si="25">-(D52-C52)</f>
        <v>-19608437.906127453</v>
      </c>
      <c r="E58" s="10">
        <f t="shared" si="25"/>
        <v>-14859927.376484036</v>
      </c>
      <c r="F58" s="10">
        <f t="shared" si="25"/>
        <v>-14447769.186556816</v>
      </c>
      <c r="G58" s="10">
        <f t="shared" si="25"/>
        <v>-10999996.951878428</v>
      </c>
    </row>
    <row r="59" spans="1:7" ht="16.5" thickTop="1" thickBot="1" x14ac:dyDescent="0.3">
      <c r="A59" s="60" t="s">
        <v>138</v>
      </c>
      <c r="B59" s="61"/>
      <c r="C59" s="62">
        <f>SUM(C57:C58)</f>
        <v>95245764.768587053</v>
      </c>
      <c r="D59" s="62">
        <f t="shared" ref="D59:G59" si="26">SUM(D57:D58)</f>
        <v>271798227.99782151</v>
      </c>
      <c r="E59" s="62">
        <f t="shared" si="26"/>
        <v>349052314.32583666</v>
      </c>
      <c r="F59" s="62">
        <f t="shared" si="26"/>
        <v>435000855.33619237</v>
      </c>
      <c r="G59" s="62">
        <f t="shared" si="26"/>
        <v>537115102.85604</v>
      </c>
    </row>
    <row r="60" spans="1:7" ht="15.75" thickTop="1" x14ac:dyDescent="0.25"/>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A11" zoomScale="70" zoomScaleNormal="70" workbookViewId="0">
      <selection activeCell="K11" sqref="K11"/>
    </sheetView>
  </sheetViews>
  <sheetFormatPr baseColWidth="10" defaultColWidth="11.42578125" defaultRowHeight="15" x14ac:dyDescent="0.25"/>
  <cols>
    <col min="1" max="1" width="11.42578125" style="8"/>
    <col min="2" max="2" width="44.42578125" style="8" bestFit="1" customWidth="1"/>
    <col min="3" max="3" width="33.28515625" style="8" bestFit="1" customWidth="1"/>
    <col min="4" max="4" width="36.28515625" style="8" bestFit="1" customWidth="1"/>
    <col min="5" max="5" width="30.140625" style="8" bestFit="1" customWidth="1"/>
    <col min="6" max="6" width="34" style="8" bestFit="1" customWidth="1"/>
    <col min="7" max="8" width="30.140625" style="8" bestFit="1" customWidth="1"/>
    <col min="9" max="9" width="8.42578125" style="8" bestFit="1" customWidth="1"/>
    <col min="10" max="10" width="14.140625"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x14ac:dyDescent="0.25">
      <c r="B2" s="167" t="s">
        <v>139</v>
      </c>
      <c r="C2" s="167"/>
      <c r="D2" s="167"/>
      <c r="E2" s="167"/>
      <c r="F2" s="167"/>
      <c r="G2" s="167"/>
      <c r="H2" s="167"/>
    </row>
    <row r="3" spans="2:16" ht="15.75" customHeight="1" x14ac:dyDescent="0.25">
      <c r="B3" s="183" t="s">
        <v>140</v>
      </c>
      <c r="C3" s="183"/>
      <c r="D3" s="183"/>
      <c r="E3" s="184">
        <v>0.23</v>
      </c>
      <c r="F3" s="184"/>
    </row>
    <row r="4" spans="2:16" ht="16.5" customHeight="1" x14ac:dyDescent="0.25">
      <c r="B4" s="183"/>
      <c r="C4" s="183"/>
      <c r="D4" s="183"/>
      <c r="E4" s="184"/>
      <c r="F4" s="184"/>
      <c r="O4" s="103"/>
    </row>
    <row r="5" spans="2:16" ht="16.5" customHeight="1" x14ac:dyDescent="0.25">
      <c r="B5" s="187"/>
      <c r="C5" s="187"/>
      <c r="D5" s="187"/>
      <c r="E5" s="137"/>
      <c r="F5" s="137"/>
      <c r="O5" s="103"/>
    </row>
    <row r="6" spans="2:16" ht="15.75" thickBot="1" x14ac:dyDescent="0.3">
      <c r="O6" s="103"/>
      <c r="P6" s="106"/>
    </row>
    <row r="7" spans="2:16" ht="23.25" x14ac:dyDescent="0.25">
      <c r="B7" s="102" t="s">
        <v>141</v>
      </c>
      <c r="C7" s="86" t="s">
        <v>142</v>
      </c>
      <c r="D7" s="87">
        <f>'4'!C20</f>
        <v>2024</v>
      </c>
      <c r="E7" s="87">
        <f>'4'!D20</f>
        <v>2025</v>
      </c>
      <c r="F7" s="87">
        <f>'4'!E20</f>
        <v>2026</v>
      </c>
      <c r="G7" s="87">
        <f>'4'!F20</f>
        <v>2027</v>
      </c>
      <c r="H7" s="88">
        <f>'4'!G20</f>
        <v>2028</v>
      </c>
      <c r="O7" s="103"/>
      <c r="P7" s="105"/>
    </row>
    <row r="8" spans="2:16" ht="19.5" thickBot="1" x14ac:dyDescent="0.35">
      <c r="B8" s="89"/>
      <c r="C8" s="110">
        <f>-'3'!D14</f>
        <v>-568240518.75409842</v>
      </c>
      <c r="D8" s="110">
        <f>'4'!C59</f>
        <v>95245764.768587053</v>
      </c>
      <c r="E8" s="110">
        <f>'4'!D59</f>
        <v>271798227.99782151</v>
      </c>
      <c r="F8" s="110">
        <f>'4'!E59</f>
        <v>349052314.32583666</v>
      </c>
      <c r="G8" s="110">
        <f>'4'!F59</f>
        <v>435000855.33619237</v>
      </c>
      <c r="H8" s="111">
        <f>'4'!G59</f>
        <v>537115102.85604</v>
      </c>
      <c r="O8" s="103"/>
      <c r="P8" s="105"/>
    </row>
    <row r="9" spans="2:16" ht="15.75" thickBot="1" x14ac:dyDescent="0.3">
      <c r="C9" s="74">
        <f>C8/(1+$E$3)^0</f>
        <v>-568240518.75409842</v>
      </c>
      <c r="D9" s="74">
        <f>D8/(1+$E$3)^1</f>
        <v>77435581.112672403</v>
      </c>
      <c r="E9" s="74">
        <f>E8/(1+$E$3)^2</f>
        <v>179653796.01944712</v>
      </c>
      <c r="F9" s="74">
        <f>F8/(1+$E$3)^3</f>
        <v>187575100.38376558</v>
      </c>
      <c r="G9" s="74">
        <f>G8/(1+$E$3)^4</f>
        <v>190050783.84465104</v>
      </c>
      <c r="H9" s="74">
        <f>H8/(1+$E$3)^5</f>
        <v>190783937.1942265</v>
      </c>
      <c r="O9" s="103"/>
      <c r="P9" s="105"/>
    </row>
    <row r="10" spans="2:16" ht="24" thickBot="1" x14ac:dyDescent="0.4">
      <c r="B10" s="30" t="s">
        <v>143</v>
      </c>
      <c r="C10" s="31"/>
      <c r="D10" s="112">
        <f>NPV(E3,D8:H8)+$C$8</f>
        <v>257258679.80066431</v>
      </c>
      <c r="O10" s="103"/>
      <c r="P10" s="105"/>
    </row>
    <row r="11" spans="2:16" ht="28.5" thickBot="1" x14ac:dyDescent="0.4">
      <c r="B11" s="138" t="s">
        <v>144</v>
      </c>
      <c r="C11" s="31"/>
      <c r="D11" s="113">
        <f>IF(ISERROR(IRR(C8:H8)),"NO_APLICA",(IRR(C8:H8)))</f>
        <v>0.38280294450546837</v>
      </c>
      <c r="F11" s="107" t="s">
        <v>145</v>
      </c>
      <c r="G11" s="31"/>
      <c r="H11" s="108">
        <f>IF(ISERROR(-C9/AVERAGE(D9:H9)),"NO_APLICA",(-C9/AVERAGE(D9:H9)))</f>
        <v>3.4417993363830144</v>
      </c>
      <c r="I11" s="109" t="s">
        <v>146</v>
      </c>
      <c r="P11" s="104"/>
    </row>
    <row r="13" spans="2:16" ht="18.75" x14ac:dyDescent="0.3">
      <c r="B13" s="185" t="s">
        <v>147</v>
      </c>
      <c r="C13" s="185"/>
      <c r="D13" s="185"/>
      <c r="E13" s="185"/>
      <c r="F13" s="185"/>
      <c r="G13" s="185"/>
      <c r="H13" s="185"/>
    </row>
    <row r="14" spans="2:16" ht="24.75" x14ac:dyDescent="0.25">
      <c r="B14" s="90" t="str">
        <f>'1'!B2</f>
        <v>NOMBRE DEL PRODUCTO O SERVICIO</v>
      </c>
      <c r="C14" s="90" t="s">
        <v>148</v>
      </c>
      <c r="D14" s="90" t="s">
        <v>149</v>
      </c>
      <c r="E14" s="90" t="s">
        <v>150</v>
      </c>
      <c r="F14" s="90" t="s">
        <v>151</v>
      </c>
      <c r="H14" s="74"/>
      <c r="I14" s="74"/>
      <c r="J14" s="74" t="s">
        <v>152</v>
      </c>
    </row>
    <row r="15" spans="2:16" x14ac:dyDescent="0.25">
      <c r="B15" s="38" t="str">
        <f>'1'!B3</f>
        <v>Iluminación</v>
      </c>
      <c r="C15" s="91">
        <f>'1'!D3-'1'!D17</f>
        <v>2030000</v>
      </c>
      <c r="D15" s="92">
        <f>'1'!F3</f>
        <v>0.3979871912168344</v>
      </c>
      <c r="E15" s="91">
        <f>C15*D15</f>
        <v>807913.99817017384</v>
      </c>
      <c r="F15" s="93">
        <f t="shared" ref="F15:F24" si="0">$E$28*D15</f>
        <v>65.11535805129445</v>
      </c>
      <c r="G15" s="38" t="s">
        <v>153</v>
      </c>
      <c r="H15" s="75">
        <f>'1'!D3</f>
        <v>5075000</v>
      </c>
      <c r="I15" s="94">
        <f t="shared" ref="I15:I24" si="1">$B$35*D15</f>
        <v>130.23071610258887</v>
      </c>
      <c r="J15" s="75">
        <f>'1'!D17</f>
        <v>3045000</v>
      </c>
    </row>
    <row r="16" spans="2:16" x14ac:dyDescent="0.25">
      <c r="B16" s="95" t="str">
        <f>'1'!B4</f>
        <v>CCTV</v>
      </c>
      <c r="C16" s="91">
        <f>'1'!D4-'1'!D18</f>
        <v>1799999.9180327868</v>
      </c>
      <c r="D16" s="92">
        <f>'1'!F4</f>
        <v>0.21565808391059993</v>
      </c>
      <c r="E16" s="91">
        <f t="shared" ref="E16:E24" si="2">C16*D16</f>
        <v>388184.53336218774</v>
      </c>
      <c r="F16" s="93">
        <f t="shared" si="0"/>
        <v>35.284184165726053</v>
      </c>
      <c r="G16" s="38" t="str">
        <f>G15</f>
        <v>UNIDADES</v>
      </c>
      <c r="H16" s="75">
        <f>'1'!D4</f>
        <v>4500000</v>
      </c>
      <c r="I16" s="94">
        <f t="shared" si="1"/>
        <v>70.568368331452092</v>
      </c>
      <c r="J16" s="75">
        <f>'1'!D18</f>
        <v>2700000.0819672132</v>
      </c>
    </row>
    <row r="17" spans="2:10" x14ac:dyDescent="0.25">
      <c r="B17" s="95" t="str">
        <f>'1'!B5</f>
        <v>Control de accesos</v>
      </c>
      <c r="C17" s="91">
        <f>'1'!D5-'1'!D19</f>
        <v>4400000</v>
      </c>
      <c r="D17" s="92">
        <f>'1'!F5</f>
        <v>9.5848037293599961E-2</v>
      </c>
      <c r="E17" s="91">
        <f t="shared" si="2"/>
        <v>421731.36409183982</v>
      </c>
      <c r="F17" s="93">
        <f t="shared" si="0"/>
        <v>15.681859629211578</v>
      </c>
      <c r="G17" s="38" t="str">
        <f t="shared" ref="G17:G24" si="3">G16</f>
        <v>UNIDADES</v>
      </c>
      <c r="H17" s="75">
        <f>'1'!D5</f>
        <v>11000000</v>
      </c>
      <c r="I17" s="94">
        <f t="shared" si="1"/>
        <v>31.363719258423153</v>
      </c>
      <c r="J17" s="75">
        <f>'1'!D19</f>
        <v>6600000</v>
      </c>
    </row>
    <row r="18" spans="2:10" x14ac:dyDescent="0.25">
      <c r="B18" s="95" t="str">
        <f>'1'!B6</f>
        <v>Cortinas</v>
      </c>
      <c r="C18" s="91">
        <f>'1'!D6-'1'!D20</f>
        <v>2520000</v>
      </c>
      <c r="D18" s="92">
        <f>'1'!F6</f>
        <v>9.8810612991765787E-2</v>
      </c>
      <c r="E18" s="91">
        <f t="shared" si="2"/>
        <v>249002.74473924979</v>
      </c>
      <c r="F18" s="93">
        <f t="shared" si="0"/>
        <v>16.166571654114485</v>
      </c>
      <c r="G18" s="38" t="str">
        <f t="shared" si="3"/>
        <v>UNIDADES</v>
      </c>
      <c r="H18" s="75">
        <f>'1'!D6</f>
        <v>6300000</v>
      </c>
      <c r="I18" s="94">
        <f t="shared" si="1"/>
        <v>32.333143308228962</v>
      </c>
      <c r="J18" s="75">
        <f>'1'!D20</f>
        <v>3780000</v>
      </c>
    </row>
    <row r="19" spans="2:10" x14ac:dyDescent="0.25">
      <c r="B19" s="95" t="str">
        <f>'1'!B7</f>
        <v xml:space="preserve">Energía Renovable </v>
      </c>
      <c r="C19" s="91">
        <f>'1'!D7-'1'!D21</f>
        <v>7999999.666666666</v>
      </c>
      <c r="D19" s="92">
        <f>'1'!F7</f>
        <v>0.19169607458719992</v>
      </c>
      <c r="E19" s="91">
        <f t="shared" si="2"/>
        <v>1533568.5327989077</v>
      </c>
      <c r="F19" s="93">
        <f t="shared" si="0"/>
        <v>31.363719258423156</v>
      </c>
      <c r="G19" s="38" t="str">
        <f t="shared" si="3"/>
        <v>UNIDADES</v>
      </c>
      <c r="H19" s="75">
        <f>'1'!D7</f>
        <v>20000000</v>
      </c>
      <c r="I19" s="94">
        <f t="shared" si="1"/>
        <v>62.727438516846306</v>
      </c>
      <c r="J19" s="75">
        <f>'1'!D21</f>
        <v>12000000.333333334</v>
      </c>
    </row>
    <row r="20" spans="2:10" x14ac:dyDescent="0.25">
      <c r="B20" s="95">
        <f>'1'!B8</f>
        <v>0</v>
      </c>
      <c r="C20" s="91">
        <f>'1'!D8-'1'!D22</f>
        <v>0</v>
      </c>
      <c r="D20" s="92">
        <f>'1'!F8</f>
        <v>0</v>
      </c>
      <c r="E20" s="91">
        <f t="shared" si="2"/>
        <v>0</v>
      </c>
      <c r="F20" s="93">
        <f t="shared" si="0"/>
        <v>0</v>
      </c>
      <c r="G20" s="38" t="str">
        <f t="shared" si="3"/>
        <v>UNIDADES</v>
      </c>
      <c r="H20" s="75">
        <f>'1'!D8</f>
        <v>0</v>
      </c>
      <c r="I20" s="94">
        <f t="shared" si="1"/>
        <v>0</v>
      </c>
      <c r="J20" s="75">
        <f>'1'!D22</f>
        <v>0</v>
      </c>
    </row>
    <row r="21" spans="2:10" x14ac:dyDescent="0.25">
      <c r="B21" s="95">
        <f>'1'!B9</f>
        <v>0</v>
      </c>
      <c r="C21" s="91">
        <f>'1'!D9-'1'!D23</f>
        <v>0</v>
      </c>
      <c r="D21" s="92">
        <f>'1'!F9</f>
        <v>0</v>
      </c>
      <c r="E21" s="91">
        <f t="shared" si="2"/>
        <v>0</v>
      </c>
      <c r="F21" s="93">
        <f t="shared" si="0"/>
        <v>0</v>
      </c>
      <c r="G21" s="38" t="str">
        <f t="shared" si="3"/>
        <v>UNIDADES</v>
      </c>
      <c r="H21" s="75">
        <f>'1'!D9</f>
        <v>0</v>
      </c>
      <c r="I21" s="94">
        <f t="shared" si="1"/>
        <v>0</v>
      </c>
      <c r="J21" s="75">
        <f>'1'!D23</f>
        <v>0</v>
      </c>
    </row>
    <row r="22" spans="2:10" x14ac:dyDescent="0.25">
      <c r="B22" s="95">
        <f>'1'!B10</f>
        <v>0</v>
      </c>
      <c r="C22" s="91">
        <f>'1'!D10-'1'!D24</f>
        <v>0</v>
      </c>
      <c r="D22" s="92">
        <f>'1'!F10</f>
        <v>0</v>
      </c>
      <c r="E22" s="91">
        <f t="shared" si="2"/>
        <v>0</v>
      </c>
      <c r="F22" s="93">
        <f t="shared" si="0"/>
        <v>0</v>
      </c>
      <c r="G22" s="38" t="str">
        <f t="shared" si="3"/>
        <v>UNIDADES</v>
      </c>
      <c r="H22" s="75">
        <f>'1'!D10</f>
        <v>0</v>
      </c>
      <c r="I22" s="94">
        <f t="shared" si="1"/>
        <v>0</v>
      </c>
      <c r="J22" s="75">
        <f>'1'!D24</f>
        <v>0</v>
      </c>
    </row>
    <row r="23" spans="2:10" x14ac:dyDescent="0.25">
      <c r="B23" s="95">
        <f>'1'!B11</f>
        <v>0</v>
      </c>
      <c r="C23" s="91">
        <f>'1'!D11-'1'!D25</f>
        <v>0</v>
      </c>
      <c r="D23" s="92">
        <f>'1'!F11</f>
        <v>0</v>
      </c>
      <c r="E23" s="91">
        <f t="shared" si="2"/>
        <v>0</v>
      </c>
      <c r="F23" s="93">
        <f t="shared" si="0"/>
        <v>0</v>
      </c>
      <c r="G23" s="38" t="str">
        <f t="shared" si="3"/>
        <v>UNIDADES</v>
      </c>
      <c r="H23" s="75">
        <f>'1'!D11</f>
        <v>0</v>
      </c>
      <c r="I23" s="94">
        <f t="shared" si="1"/>
        <v>0</v>
      </c>
      <c r="J23" s="75">
        <f>'1'!D25</f>
        <v>0</v>
      </c>
    </row>
    <row r="24" spans="2:10" x14ac:dyDescent="0.25">
      <c r="B24" s="38">
        <f>'1'!B12</f>
        <v>0</v>
      </c>
      <c r="C24" s="91">
        <f>'1'!D12-'1'!D26</f>
        <v>0</v>
      </c>
      <c r="D24" s="92">
        <f>'1'!F12</f>
        <v>0</v>
      </c>
      <c r="E24" s="91">
        <f t="shared" si="2"/>
        <v>0</v>
      </c>
      <c r="F24" s="93">
        <f t="shared" si="0"/>
        <v>0</v>
      </c>
      <c r="G24" s="38" t="str">
        <f t="shared" si="3"/>
        <v>UNIDADES</v>
      </c>
      <c r="H24" s="75">
        <f>'1'!D12</f>
        <v>0</v>
      </c>
      <c r="I24" s="94">
        <f t="shared" si="1"/>
        <v>0</v>
      </c>
      <c r="J24" s="75">
        <f>'1'!D26</f>
        <v>0</v>
      </c>
    </row>
    <row r="25" spans="2:10" ht="26.25" x14ac:dyDescent="0.4">
      <c r="C25" s="26"/>
      <c r="D25" s="96"/>
      <c r="E25" s="26"/>
      <c r="F25" s="97">
        <f>SUM(F15:F24)</f>
        <v>163.61169275876969</v>
      </c>
      <c r="G25" s="8" t="str">
        <f>G24</f>
        <v>UNIDADES</v>
      </c>
      <c r="H25" s="75"/>
      <c r="I25" s="94"/>
      <c r="J25" s="75"/>
    </row>
    <row r="26" spans="2:10" ht="12.75" customHeight="1" x14ac:dyDescent="0.4">
      <c r="C26" s="26"/>
      <c r="D26" s="96"/>
      <c r="E26" s="26"/>
      <c r="F26" s="97"/>
      <c r="H26" s="75"/>
      <c r="I26" s="94"/>
      <c r="J26" s="75"/>
    </row>
    <row r="27" spans="2:10" ht="21" customHeight="1" x14ac:dyDescent="0.4">
      <c r="B27" s="188" t="s">
        <v>154</v>
      </c>
      <c r="C27" s="188"/>
      <c r="D27" s="188"/>
      <c r="E27" s="98">
        <f>SUM(E15:E24)</f>
        <v>3400401.1731623588</v>
      </c>
      <c r="H27" s="74"/>
      <c r="I27" s="74"/>
      <c r="J27" s="74"/>
    </row>
    <row r="28" spans="2:10" ht="19.5" customHeight="1" x14ac:dyDescent="0.4">
      <c r="B28" s="188" t="s">
        <v>155</v>
      </c>
      <c r="C28" s="188"/>
      <c r="D28" s="188"/>
      <c r="E28" s="97">
        <f>IF(E27=0,0,('2'!C23+'2'!F31+'2'!C25)/'5'!E27)</f>
        <v>163.61169275876972</v>
      </c>
      <c r="F28" s="99" t="s">
        <v>153</v>
      </c>
      <c r="H28" s="100"/>
    </row>
    <row r="29" spans="2:10" ht="26.25" x14ac:dyDescent="0.4">
      <c r="B29" s="188" t="s">
        <v>156</v>
      </c>
      <c r="C29" s="188"/>
      <c r="D29" s="188"/>
      <c r="E29" s="98">
        <f>E49</f>
        <v>1390863513.3667982</v>
      </c>
    </row>
    <row r="30" spans="2:10" x14ac:dyDescent="0.25">
      <c r="B30" s="132"/>
      <c r="C30" s="132"/>
      <c r="D30" s="132"/>
      <c r="E30" s="132"/>
      <c r="F30" s="132"/>
      <c r="G30" s="132"/>
    </row>
    <row r="31" spans="2:10" s="74" customFormat="1" x14ac:dyDescent="0.25"/>
    <row r="32" spans="2:10" s="74" customFormat="1" x14ac:dyDescent="0.25">
      <c r="C32" s="74" t="s">
        <v>157</v>
      </c>
      <c r="D32" s="74" t="s">
        <v>158</v>
      </c>
      <c r="E32" s="74" t="s">
        <v>159</v>
      </c>
      <c r="F32" s="74" t="s">
        <v>160</v>
      </c>
    </row>
    <row r="33" spans="2:6" s="74" customFormat="1" x14ac:dyDescent="0.25">
      <c r="B33" s="74">
        <v>0</v>
      </c>
      <c r="C33" s="75">
        <f>'2'!C25+'2'!F31+'2'!C23</f>
        <v>556345392</v>
      </c>
      <c r="D33" s="74">
        <f>0</f>
        <v>0</v>
      </c>
      <c r="E33" s="74">
        <v>0</v>
      </c>
      <c r="F33" s="75">
        <f>C33+E33</f>
        <v>556345392</v>
      </c>
    </row>
    <row r="34" spans="2:6" s="74" customFormat="1" x14ac:dyDescent="0.25">
      <c r="B34" s="94">
        <f>F25</f>
        <v>163.61169275876969</v>
      </c>
      <c r="C34" s="75">
        <f>C33</f>
        <v>556345392</v>
      </c>
      <c r="D34" s="133">
        <f>SUMPRODUCT(F15:F24,H15:H24)</f>
        <v>1390863513.3667982</v>
      </c>
      <c r="E34" s="133">
        <f>SUMPRODUCT(F15:F24,J15:J24)</f>
        <v>834518121.3667984</v>
      </c>
      <c r="F34" s="75">
        <f t="shared" ref="F34:F35" si="4">C34+E34</f>
        <v>1390863513.3667984</v>
      </c>
    </row>
    <row r="35" spans="2:6" s="74" customFormat="1" x14ac:dyDescent="0.25">
      <c r="B35" s="94">
        <f>B34*2</f>
        <v>327.22338551753938</v>
      </c>
      <c r="C35" s="75">
        <f>C34</f>
        <v>556345392</v>
      </c>
      <c r="D35" s="133">
        <f>SUMPRODUCT(H15:H24,I15:I24)</f>
        <v>2781727026.7335963</v>
      </c>
      <c r="E35" s="133">
        <f>SUMPRODUCT(I15:I24,J15:J24)</f>
        <v>1669036242.7335966</v>
      </c>
      <c r="F35" s="75">
        <f t="shared" si="4"/>
        <v>2225381634.7335968</v>
      </c>
    </row>
    <row r="36" spans="2:6" s="74" customFormat="1" x14ac:dyDescent="0.25">
      <c r="C36" s="75"/>
    </row>
    <row r="37" spans="2:6" s="74" customFormat="1" x14ac:dyDescent="0.25">
      <c r="C37" s="75"/>
    </row>
    <row r="38" spans="2:6" s="74" customFormat="1" x14ac:dyDescent="0.25">
      <c r="C38" s="134" t="s">
        <v>161</v>
      </c>
      <c r="D38" s="74" t="s">
        <v>153</v>
      </c>
      <c r="E38" s="74" t="s">
        <v>162</v>
      </c>
    </row>
    <row r="39" spans="2:6" s="74" customFormat="1" x14ac:dyDescent="0.25">
      <c r="B39" s="74">
        <v>1</v>
      </c>
      <c r="C39" s="75">
        <f>'1'!D3</f>
        <v>5075000</v>
      </c>
      <c r="D39" s="94">
        <f>F15</f>
        <v>65.11535805129445</v>
      </c>
      <c r="E39" s="74">
        <f>C39*D39</f>
        <v>330460442.11031932</v>
      </c>
    </row>
    <row r="40" spans="2:6" s="74" customFormat="1" x14ac:dyDescent="0.25">
      <c r="B40" s="74">
        <f>B39+1</f>
        <v>2</v>
      </c>
      <c r="C40" s="75">
        <f>'1'!D4</f>
        <v>4500000</v>
      </c>
      <c r="D40" s="94">
        <f t="shared" ref="D40:D48" si="5">F16</f>
        <v>35.284184165726053</v>
      </c>
      <c r="E40" s="74">
        <f t="shared" ref="E40:E48" si="6">C40*D40</f>
        <v>158778828.74576724</v>
      </c>
    </row>
    <row r="41" spans="2:6" s="74" customFormat="1" x14ac:dyDescent="0.25">
      <c r="B41" s="74">
        <f t="shared" ref="B41:B48" si="7">B40+1</f>
        <v>3</v>
      </c>
      <c r="C41" s="75">
        <f>'1'!D5</f>
        <v>11000000</v>
      </c>
      <c r="D41" s="94">
        <f t="shared" si="5"/>
        <v>15.681859629211578</v>
      </c>
      <c r="E41" s="74">
        <f t="shared" si="6"/>
        <v>172500455.92132735</v>
      </c>
    </row>
    <row r="42" spans="2:6" s="74" customFormat="1" x14ac:dyDescent="0.25">
      <c r="B42" s="74">
        <f t="shared" si="7"/>
        <v>4</v>
      </c>
      <c r="C42" s="75">
        <f>'1'!D6</f>
        <v>6300000</v>
      </c>
      <c r="D42" s="94">
        <f t="shared" si="5"/>
        <v>16.166571654114485</v>
      </c>
      <c r="E42" s="74">
        <f t="shared" si="6"/>
        <v>101849401.42092125</v>
      </c>
    </row>
    <row r="43" spans="2:6" s="74" customFormat="1" x14ac:dyDescent="0.25">
      <c r="B43" s="74">
        <f t="shared" si="7"/>
        <v>5</v>
      </c>
      <c r="C43" s="75">
        <f>'1'!D7</f>
        <v>20000000</v>
      </c>
      <c r="D43" s="94">
        <f t="shared" si="5"/>
        <v>31.363719258423156</v>
      </c>
      <c r="E43" s="74">
        <f t="shared" si="6"/>
        <v>627274385.16846311</v>
      </c>
    </row>
    <row r="44" spans="2:6" s="74" customFormat="1" x14ac:dyDescent="0.25">
      <c r="B44" s="74">
        <f t="shared" si="7"/>
        <v>6</v>
      </c>
      <c r="C44" s="75">
        <f>'1'!D8</f>
        <v>0</v>
      </c>
      <c r="D44" s="94">
        <f t="shared" si="5"/>
        <v>0</v>
      </c>
      <c r="E44" s="74">
        <f t="shared" si="6"/>
        <v>0</v>
      </c>
    </row>
    <row r="45" spans="2:6" s="74" customFormat="1" x14ac:dyDescent="0.25">
      <c r="B45" s="74">
        <f t="shared" si="7"/>
        <v>7</v>
      </c>
      <c r="C45" s="75">
        <f>'1'!D9</f>
        <v>0</v>
      </c>
      <c r="D45" s="94">
        <f t="shared" si="5"/>
        <v>0</v>
      </c>
      <c r="E45" s="74">
        <f t="shared" si="6"/>
        <v>0</v>
      </c>
    </row>
    <row r="46" spans="2:6" s="74" customFormat="1" x14ac:dyDescent="0.25">
      <c r="B46" s="74">
        <f t="shared" si="7"/>
        <v>8</v>
      </c>
      <c r="C46" s="75">
        <f>'1'!D10</f>
        <v>0</v>
      </c>
      <c r="D46" s="94">
        <f t="shared" si="5"/>
        <v>0</v>
      </c>
      <c r="E46" s="74">
        <f t="shared" si="6"/>
        <v>0</v>
      </c>
    </row>
    <row r="47" spans="2:6" s="74" customFormat="1" x14ac:dyDescent="0.25">
      <c r="B47" s="74">
        <f t="shared" si="7"/>
        <v>9</v>
      </c>
      <c r="C47" s="75">
        <f>'1'!D11</f>
        <v>0</v>
      </c>
      <c r="D47" s="94">
        <f t="shared" si="5"/>
        <v>0</v>
      </c>
      <c r="E47" s="74">
        <f t="shared" si="6"/>
        <v>0</v>
      </c>
    </row>
    <row r="48" spans="2:6" s="74" customFormat="1" x14ac:dyDescent="0.25">
      <c r="B48" s="74">
        <f t="shared" si="7"/>
        <v>10</v>
      </c>
      <c r="C48" s="75">
        <f>'1'!D12</f>
        <v>0</v>
      </c>
      <c r="D48" s="94">
        <f t="shared" si="5"/>
        <v>0</v>
      </c>
      <c r="E48" s="74">
        <f t="shared" si="6"/>
        <v>0</v>
      </c>
    </row>
    <row r="49" spans="2:8" s="74" customFormat="1" x14ac:dyDescent="0.25">
      <c r="C49" s="75"/>
      <c r="E49" s="135">
        <f>SUM(E39:E48)</f>
        <v>1390863513.3667982</v>
      </c>
    </row>
    <row r="50" spans="2:8" s="74" customFormat="1" x14ac:dyDescent="0.25"/>
    <row r="51" spans="2:8" s="74" customFormat="1" x14ac:dyDescent="0.25">
      <c r="C51" s="75"/>
    </row>
    <row r="52" spans="2:8" s="74" customFormat="1" x14ac:dyDescent="0.25">
      <c r="B52" s="186"/>
      <c r="C52" s="186"/>
      <c r="D52" s="186"/>
      <c r="G52" s="74" t="s">
        <v>163</v>
      </c>
      <c r="H52" s="136">
        <f>'4'!B32/'4'!B27</f>
        <v>0.60404090772455643</v>
      </c>
    </row>
    <row r="53" spans="2:8" s="74" customFormat="1" x14ac:dyDescent="0.25">
      <c r="C53" s="75"/>
      <c r="G53" s="74" t="s">
        <v>164</v>
      </c>
      <c r="H53" s="136">
        <f>'4'!B36/'4'!B27</f>
        <v>0.39595909227544362</v>
      </c>
    </row>
    <row r="54" spans="2:8" s="74" customFormat="1" x14ac:dyDescent="0.25">
      <c r="G54" s="74" t="s">
        <v>165</v>
      </c>
      <c r="H54" s="74">
        <f>'1'!AB7</f>
        <v>0.35</v>
      </c>
    </row>
    <row r="55" spans="2:8" s="74" customFormat="1" x14ac:dyDescent="0.25">
      <c r="G55" s="74" t="s">
        <v>166</v>
      </c>
      <c r="H55" s="136">
        <f>'3'!F4</f>
        <v>0.23319999999999999</v>
      </c>
    </row>
    <row r="56" spans="2:8" s="74" customFormat="1" x14ac:dyDescent="0.25">
      <c r="G56" s="74" t="s">
        <v>167</v>
      </c>
    </row>
    <row r="57" spans="2:8" s="74" customFormat="1" x14ac:dyDescent="0.25"/>
    <row r="58" spans="2:8" s="74" customFormat="1" x14ac:dyDescent="0.25"/>
    <row r="59" spans="2:8" s="74" customFormat="1" x14ac:dyDescent="0.25"/>
    <row r="60" spans="2:8" s="74" customFormat="1" x14ac:dyDescent="0.25"/>
    <row r="61" spans="2:8" s="74" customFormat="1" x14ac:dyDescent="0.25"/>
    <row r="62" spans="2:8" x14ac:dyDescent="0.25">
      <c r="B62" s="132"/>
      <c r="C62" s="132"/>
      <c r="D62" s="132"/>
      <c r="E62" s="132"/>
      <c r="F62" s="132"/>
      <c r="G62" s="132"/>
    </row>
    <row r="63" spans="2:8" x14ac:dyDescent="0.25">
      <c r="B63" s="132"/>
      <c r="C63" s="132"/>
      <c r="D63" s="132"/>
      <c r="E63" s="132"/>
      <c r="F63" s="132"/>
      <c r="G63" s="132"/>
    </row>
    <row r="64" spans="2:8" x14ac:dyDescent="0.25">
      <c r="B64" s="132"/>
      <c r="C64" s="132"/>
      <c r="D64" s="132"/>
      <c r="E64" s="132"/>
      <c r="F64" s="132"/>
      <c r="G64" s="132"/>
    </row>
    <row r="65" spans="2:7" x14ac:dyDescent="0.25">
      <c r="B65" s="132"/>
      <c r="C65" s="132"/>
      <c r="D65" s="132"/>
      <c r="E65" s="132"/>
      <c r="F65" s="132"/>
      <c r="G65" s="132"/>
    </row>
    <row r="66" spans="2:7" x14ac:dyDescent="0.25">
      <c r="B66" s="132"/>
      <c r="C66" s="132"/>
      <c r="D66" s="132"/>
      <c r="E66" s="132"/>
      <c r="F66" s="132"/>
      <c r="G66" s="132"/>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7ADF8-6B83-44B8-BC16-2B81A8784315}">
  <dimension ref="B3:E8"/>
  <sheetViews>
    <sheetView showGridLines="0" workbookViewId="0">
      <selection activeCell="E8" sqref="E8"/>
    </sheetView>
  </sheetViews>
  <sheetFormatPr baseColWidth="10" defaultColWidth="9.140625" defaultRowHeight="15" x14ac:dyDescent="0.25"/>
  <cols>
    <col min="2" max="2" width="23.140625" bestFit="1" customWidth="1"/>
    <col min="3" max="3" width="18" bestFit="1" customWidth="1"/>
    <col min="4" max="4" width="10.5703125" bestFit="1" customWidth="1"/>
    <col min="5" max="5" width="13.5703125" bestFit="1" customWidth="1"/>
    <col min="6" max="6" width="19.28515625" bestFit="1" customWidth="1"/>
    <col min="7" max="10" width="20.140625" bestFit="1" customWidth="1"/>
    <col min="11" max="11" width="17.7109375" bestFit="1" customWidth="1"/>
    <col min="12" max="12" width="12.5703125" bestFit="1" customWidth="1"/>
    <col min="13" max="13" width="5.140625" bestFit="1" customWidth="1"/>
  </cols>
  <sheetData>
    <row r="3" spans="2:5" x14ac:dyDescent="0.25">
      <c r="B3" s="143" t="s">
        <v>168</v>
      </c>
      <c r="C3" s="144" t="s">
        <v>169</v>
      </c>
      <c r="D3" s="143" t="s">
        <v>170</v>
      </c>
      <c r="E3" s="143" t="s">
        <v>171</v>
      </c>
    </row>
    <row r="4" spans="2:5" x14ac:dyDescent="0.25">
      <c r="B4" t="s">
        <v>172</v>
      </c>
      <c r="C4" s="145">
        <v>400000</v>
      </c>
      <c r="D4" s="146">
        <v>3</v>
      </c>
      <c r="E4" s="145">
        <f t="shared" ref="E4:E5" si="0">+C4*D4</f>
        <v>1200000</v>
      </c>
    </row>
    <row r="5" spans="2:5" x14ac:dyDescent="0.25">
      <c r="B5" t="s">
        <v>173</v>
      </c>
      <c r="C5" s="145">
        <v>6000000</v>
      </c>
      <c r="D5" s="146">
        <v>3</v>
      </c>
      <c r="E5" s="145">
        <f t="shared" si="0"/>
        <v>18000000</v>
      </c>
    </row>
    <row r="8" spans="2:5" x14ac:dyDescent="0.25">
      <c r="B8" s="189" t="s">
        <v>27</v>
      </c>
      <c r="C8" s="189"/>
      <c r="D8" s="189"/>
      <c r="E8" s="153">
        <f>SUM(E4:E7)</f>
        <v>19200000</v>
      </c>
    </row>
  </sheetData>
  <mergeCells count="1">
    <mergeCell ref="B8:D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C9A68-C9B5-4E28-8AB8-D0FF59B25BBD}">
  <dimension ref="C3:F7"/>
  <sheetViews>
    <sheetView showGridLines="0" workbookViewId="0">
      <selection activeCell="F7" sqref="F7"/>
    </sheetView>
  </sheetViews>
  <sheetFormatPr baseColWidth="10" defaultColWidth="9.85546875" defaultRowHeight="15" x14ac:dyDescent="0.25"/>
  <cols>
    <col min="3" max="3" width="42" bestFit="1" customWidth="1"/>
    <col min="4" max="4" width="14.42578125" bestFit="1" customWidth="1"/>
    <col min="6" max="6" width="13.5703125" bestFit="1" customWidth="1"/>
  </cols>
  <sheetData>
    <row r="3" spans="3:6" x14ac:dyDescent="0.25">
      <c r="C3" s="143" t="s">
        <v>168</v>
      </c>
      <c r="D3" s="144" t="s">
        <v>174</v>
      </c>
      <c r="E3" s="143" t="s">
        <v>76</v>
      </c>
      <c r="F3" s="143" t="s">
        <v>171</v>
      </c>
    </row>
    <row r="4" spans="3:6" x14ac:dyDescent="0.25">
      <c r="C4" t="s">
        <v>175</v>
      </c>
      <c r="D4" s="145">
        <v>15000000</v>
      </c>
      <c r="E4" s="146">
        <v>1</v>
      </c>
      <c r="F4" s="145">
        <f t="shared" ref="F4" si="0">+D4*E4</f>
        <v>15000000</v>
      </c>
    </row>
    <row r="7" spans="3:6" x14ac:dyDescent="0.25">
      <c r="C7" s="189" t="s">
        <v>27</v>
      </c>
      <c r="D7" s="189"/>
      <c r="E7" s="189"/>
      <c r="F7" s="153">
        <f>SUM(F2:F6)</f>
        <v>15000000</v>
      </c>
    </row>
  </sheetData>
  <mergeCells count="1">
    <mergeCell ref="C7:E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DC8F3-3A5B-4861-9382-36C13147FB86}">
  <dimension ref="D3:G9"/>
  <sheetViews>
    <sheetView showGridLines="0" workbookViewId="0">
      <selection activeCell="G9" sqref="G9"/>
    </sheetView>
  </sheetViews>
  <sheetFormatPr baseColWidth="10" defaultColWidth="9.140625" defaultRowHeight="15" x14ac:dyDescent="0.25"/>
  <cols>
    <col min="4" max="4" width="75.42578125" bestFit="1" customWidth="1"/>
    <col min="5" max="5" width="18" bestFit="1" customWidth="1"/>
    <col min="6" max="6" width="10.5703125" bestFit="1" customWidth="1"/>
    <col min="7" max="7" width="13.5703125" bestFit="1" customWidth="1"/>
  </cols>
  <sheetData>
    <row r="3" spans="4:7" x14ac:dyDescent="0.25">
      <c r="D3" s="143" t="s">
        <v>168</v>
      </c>
      <c r="E3" s="144" t="s">
        <v>169</v>
      </c>
      <c r="F3" s="143" t="s">
        <v>170</v>
      </c>
      <c r="G3" s="143" t="s">
        <v>171</v>
      </c>
    </row>
    <row r="4" spans="4:7" x14ac:dyDescent="0.25">
      <c r="D4" t="s">
        <v>176</v>
      </c>
      <c r="E4" s="145">
        <v>5000000</v>
      </c>
      <c r="F4" s="146">
        <v>8</v>
      </c>
      <c r="G4" s="156">
        <f>+E4*F4</f>
        <v>40000000</v>
      </c>
    </row>
    <row r="5" spans="4:7" x14ac:dyDescent="0.25">
      <c r="D5" t="s">
        <v>177</v>
      </c>
      <c r="E5" s="145">
        <v>5000000</v>
      </c>
      <c r="F5" s="146">
        <v>1</v>
      </c>
      <c r="G5" s="155">
        <f>+E5*F5</f>
        <v>5000000</v>
      </c>
    </row>
    <row r="6" spans="4:7" x14ac:dyDescent="0.25">
      <c r="D6" t="s">
        <v>178</v>
      </c>
      <c r="E6" s="145">
        <v>1500000</v>
      </c>
      <c r="F6" s="146">
        <v>1</v>
      </c>
      <c r="G6" s="155">
        <f>+E6*F6</f>
        <v>1500000</v>
      </c>
    </row>
    <row r="7" spans="4:7" x14ac:dyDescent="0.25">
      <c r="D7" t="s">
        <v>179</v>
      </c>
      <c r="E7" s="145">
        <v>700000</v>
      </c>
      <c r="F7" s="146">
        <v>8</v>
      </c>
      <c r="G7" s="155">
        <f>+E7*F7</f>
        <v>5600000</v>
      </c>
    </row>
    <row r="9" spans="4:7" x14ac:dyDescent="0.25">
      <c r="D9" s="189" t="s">
        <v>27</v>
      </c>
      <c r="E9" s="189"/>
      <c r="F9" s="189"/>
      <c r="G9" s="153">
        <f>SUM(G4:G8)</f>
        <v>52100000</v>
      </c>
    </row>
  </sheetData>
  <mergeCells count="1">
    <mergeCell ref="D9:F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55f8b3-d006-41ed-9d54-33591b1cf041">
      <Terms xmlns="http://schemas.microsoft.com/office/infopath/2007/PartnerControls"/>
    </lcf76f155ced4ddcb4097134ff3c332f>
    <TaxCatchAll xmlns="467671a8-1ef1-4b5c-b0f4-f63bfd1f578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A8B3325FA229443A00D1F83E986F966" ma:contentTypeVersion="14" ma:contentTypeDescription="Crear nuevo documento." ma:contentTypeScope="" ma:versionID="0d380240ed4925ddca236f87f4172c4a">
  <xsd:schema xmlns:xsd="http://www.w3.org/2001/XMLSchema" xmlns:xs="http://www.w3.org/2001/XMLSchema" xmlns:p="http://schemas.microsoft.com/office/2006/metadata/properties" xmlns:ns2="d155f8b3-d006-41ed-9d54-33591b1cf041" xmlns:ns3="467671a8-1ef1-4b5c-b0f4-f63bfd1f5787" targetNamespace="http://schemas.microsoft.com/office/2006/metadata/properties" ma:root="true" ma:fieldsID="b62837cccfdf7f6f061ff24106195144" ns2:_="" ns3:_="">
    <xsd:import namespace="d155f8b3-d006-41ed-9d54-33591b1cf041"/>
    <xsd:import namespace="467671a8-1ef1-4b5c-b0f4-f63bfd1f5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5f8b3-d006-41ed-9d54-33591b1c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7671a8-1ef1-4b5c-b0f4-f63bfd1f578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8fbaf4df-b45a-4bac-bcc6-90b7e10b2eca}" ma:internalName="TaxCatchAll" ma:showField="CatchAllData" ma:web="467671a8-1ef1-4b5c-b0f4-f63bfd1f57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46126D-72FF-43C3-B754-1B03FE5D0211}">
  <ds:schemaRefs>
    <ds:schemaRef ds:uri="http://purl.org/dc/terms/"/>
    <ds:schemaRef ds:uri="http://purl.org/dc/dcmitype/"/>
    <ds:schemaRef ds:uri="467671a8-1ef1-4b5c-b0f4-f63bfd1f5787"/>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d155f8b3-d006-41ed-9d54-33591b1cf041"/>
    <ds:schemaRef ds:uri="http://www.w3.org/XML/1998/namespace"/>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3DB414C1-843E-4BEA-AF9E-3199E26E18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5f8b3-d006-41ed-9d54-33591b1cf041"/>
    <ds:schemaRef ds:uri="467671a8-1ef1-4b5c-b0f4-f63bfd1f5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vt:i4>
      </vt:variant>
    </vt:vector>
  </HeadingPairs>
  <TitlesOfParts>
    <vt:vector size="16" baseType="lpstr">
      <vt:lpstr>Menú</vt:lpstr>
      <vt:lpstr>1</vt:lpstr>
      <vt:lpstr>2</vt:lpstr>
      <vt:lpstr>3</vt:lpstr>
      <vt:lpstr>4</vt:lpstr>
      <vt:lpstr>5</vt:lpstr>
      <vt:lpstr>PROPIEDAD PLANTA Y EQUIPO</vt:lpstr>
      <vt:lpstr>MUEBLES Y ENSERES</vt:lpstr>
      <vt:lpstr>EQUIPO DE OFICINA</vt:lpstr>
      <vt:lpstr>GASTOS PUESTA EN MARCHA</vt:lpstr>
      <vt:lpstr>NÓMINA ADMINISTRATIVA</vt:lpstr>
      <vt:lpstr>NÓMINA PROD Y SERVICIOS</vt:lpstr>
      <vt:lpstr>NOMINA VENTAS</vt:lpstr>
      <vt:lpstr>PPTO MARKETING</vt:lpstr>
      <vt:lpstr>GASTOS FIJOS</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CESAR AUGUSTO SUAREZ ABADIA</cp:lastModifiedBy>
  <cp:revision/>
  <dcterms:created xsi:type="dcterms:W3CDTF">2013-07-30T17:19:59Z</dcterms:created>
  <dcterms:modified xsi:type="dcterms:W3CDTF">2024-03-17T11:55:10Z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0x0101005A8B3325FA229443A00D1F83E986F966</vt:lpwstr>
  </property>
  <property fmtid="{D5CDD505-2E9C-101B-9397-08002B2CF9AE}" pid="3" name="MediaServiceImageTags">
    <vt:lpwstr/>
  </property>
</Properties>
</file>