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365" yWindow="0" windowWidth="10185" windowHeight="8085" tabRatio="891" activeTab="1"/>
  </bookViews>
  <sheets>
    <sheet name="Proyecciones" sheetId="64" r:id="rId1"/>
    <sheet name="Proyeccion Indicadores" sheetId="65" r:id="rId2"/>
  </sheets>
  <calcPr calcId="125725"/>
</workbook>
</file>

<file path=xl/calcChain.xml><?xml version="1.0" encoding="utf-8"?>
<calcChain xmlns="http://schemas.openxmlformats.org/spreadsheetml/2006/main">
  <c r="D89" i="64"/>
  <c r="G89"/>
  <c r="E89"/>
  <c r="E103" i="65"/>
  <c r="E89"/>
  <c r="F89"/>
  <c r="G89"/>
  <c r="D89"/>
  <c r="G103"/>
  <c r="F103"/>
  <c r="F102"/>
  <c r="G102" s="1"/>
  <c r="E102"/>
  <c r="D102"/>
  <c r="F101"/>
  <c r="G101" s="1"/>
  <c r="E101"/>
  <c r="E100"/>
  <c r="F100" s="1"/>
  <c r="G100" s="1"/>
  <c r="G99"/>
  <c r="F99"/>
  <c r="E99"/>
  <c r="G98"/>
  <c r="F98"/>
  <c r="E98"/>
  <c r="F89" i="64"/>
  <c r="H89"/>
  <c r="I89"/>
  <c r="J89"/>
  <c r="K89"/>
  <c r="L89"/>
  <c r="M89"/>
  <c r="E103"/>
  <c r="H103"/>
  <c r="L98"/>
  <c r="M98"/>
  <c r="L99"/>
  <c r="M99" s="1"/>
  <c r="L100"/>
  <c r="M100"/>
  <c r="L101"/>
  <c r="M101" s="1"/>
  <c r="L102"/>
  <c r="M102"/>
  <c r="L103"/>
  <c r="M103"/>
  <c r="K103"/>
  <c r="J103"/>
  <c r="I103"/>
  <c r="I102"/>
  <c r="J102" s="1"/>
  <c r="K102" s="1"/>
  <c r="H102"/>
  <c r="I101"/>
  <c r="J101" s="1"/>
  <c r="K101" s="1"/>
  <c r="I100"/>
  <c r="J100" s="1"/>
  <c r="K100" s="1"/>
  <c r="K99"/>
  <c r="J99"/>
  <c r="I99"/>
  <c r="K98"/>
  <c r="J98"/>
  <c r="I98"/>
  <c r="G103"/>
  <c r="F103"/>
  <c r="F102"/>
  <c r="G102" s="1"/>
  <c r="E102"/>
  <c r="D102"/>
  <c r="F101"/>
  <c r="G101" s="1"/>
  <c r="E101"/>
  <c r="E100"/>
  <c r="F100" s="1"/>
  <c r="G100" s="1"/>
  <c r="G99"/>
  <c r="F99"/>
  <c r="E99"/>
  <c r="G98"/>
  <c r="F98"/>
  <c r="E98"/>
  <c r="I9"/>
  <c r="H9"/>
  <c r="G9"/>
  <c r="I35" i="65"/>
  <c r="L63"/>
  <c r="J62" l="1"/>
  <c r="K25"/>
  <c r="L98"/>
  <c r="K98"/>
  <c r="J98"/>
  <c r="I98"/>
  <c r="L97"/>
  <c r="K97"/>
  <c r="J97"/>
  <c r="I97"/>
  <c r="L90"/>
  <c r="K90"/>
  <c r="J90"/>
  <c r="L89"/>
  <c r="K89"/>
  <c r="J89"/>
  <c r="K87"/>
  <c r="J87"/>
  <c r="J86"/>
  <c r="L84"/>
  <c r="K84"/>
  <c r="J84"/>
  <c r="I84"/>
  <c r="L82"/>
  <c r="K82"/>
  <c r="J82"/>
  <c r="I82"/>
  <c r="L81"/>
  <c r="L83" s="1"/>
  <c r="L85" s="1"/>
  <c r="K81"/>
  <c r="K83" s="1"/>
  <c r="K85" s="1"/>
  <c r="J81"/>
  <c r="I81"/>
  <c r="I83" s="1"/>
  <c r="I85" s="1"/>
  <c r="L80"/>
  <c r="K80"/>
  <c r="J80"/>
  <c r="J83" s="1"/>
  <c r="J85" s="1"/>
  <c r="J88" s="1"/>
  <c r="I80"/>
  <c r="L77"/>
  <c r="K77"/>
  <c r="J77"/>
  <c r="I77"/>
  <c r="L76"/>
  <c r="L74" s="1"/>
  <c r="K76"/>
  <c r="J76"/>
  <c r="I76"/>
  <c r="I74" s="1"/>
  <c r="L75"/>
  <c r="K75"/>
  <c r="J75"/>
  <c r="I75"/>
  <c r="K74"/>
  <c r="J74"/>
  <c r="U73"/>
  <c r="T73"/>
  <c r="S73"/>
  <c r="R73"/>
  <c r="Q73"/>
  <c r="P73"/>
  <c r="L73"/>
  <c r="K73"/>
  <c r="J73"/>
  <c r="L72"/>
  <c r="K72"/>
  <c r="J72"/>
  <c r="U70"/>
  <c r="T70"/>
  <c r="S70"/>
  <c r="R70"/>
  <c r="Q70"/>
  <c r="P70"/>
  <c r="O70"/>
  <c r="U69"/>
  <c r="T69"/>
  <c r="S69"/>
  <c r="R69"/>
  <c r="Q69"/>
  <c r="P69"/>
  <c r="O69"/>
  <c r="U68"/>
  <c r="T68"/>
  <c r="S68"/>
  <c r="R68"/>
  <c r="Q68"/>
  <c r="P68"/>
  <c r="O68"/>
  <c r="U67"/>
  <c r="T67"/>
  <c r="S67"/>
  <c r="R67"/>
  <c r="Q67"/>
  <c r="P67"/>
  <c r="O67"/>
  <c r="U66"/>
  <c r="T66"/>
  <c r="T63" s="1"/>
  <c r="T79" s="1"/>
  <c r="S66"/>
  <c r="R66"/>
  <c r="Q66"/>
  <c r="P66"/>
  <c r="P63" s="1"/>
  <c r="P79" s="1"/>
  <c r="O66"/>
  <c r="U65"/>
  <c r="T65"/>
  <c r="S65"/>
  <c r="S63" s="1"/>
  <c r="R65"/>
  <c r="Q65"/>
  <c r="P65"/>
  <c r="O65"/>
  <c r="U64"/>
  <c r="T64"/>
  <c r="S64"/>
  <c r="R64"/>
  <c r="R63" s="1"/>
  <c r="R79" s="1"/>
  <c r="Q64"/>
  <c r="P64"/>
  <c r="O64"/>
  <c r="U63"/>
  <c r="Q63"/>
  <c r="K63"/>
  <c r="J63"/>
  <c r="I63"/>
  <c r="L61"/>
  <c r="K61"/>
  <c r="J61"/>
  <c r="I61"/>
  <c r="U60"/>
  <c r="T60"/>
  <c r="S60"/>
  <c r="R60"/>
  <c r="Q60"/>
  <c r="P60"/>
  <c r="O60"/>
  <c r="L60"/>
  <c r="K60"/>
  <c r="J60"/>
  <c r="I60"/>
  <c r="U59"/>
  <c r="T59"/>
  <c r="S59"/>
  <c r="R59"/>
  <c r="Q59"/>
  <c r="P59"/>
  <c r="O59"/>
  <c r="L59"/>
  <c r="K59"/>
  <c r="J59"/>
  <c r="I59"/>
  <c r="U58"/>
  <c r="T58"/>
  <c r="S58"/>
  <c r="R58"/>
  <c r="Q58"/>
  <c r="P58"/>
  <c r="O58"/>
  <c r="U57"/>
  <c r="T57"/>
  <c r="S57"/>
  <c r="R57"/>
  <c r="Q57"/>
  <c r="P57"/>
  <c r="O57"/>
  <c r="U56"/>
  <c r="T56"/>
  <c r="S56"/>
  <c r="R56"/>
  <c r="Q56"/>
  <c r="P56"/>
  <c r="O56"/>
  <c r="U55"/>
  <c r="T55"/>
  <c r="S55"/>
  <c r="R55"/>
  <c r="Q55"/>
  <c r="P55"/>
  <c r="O55"/>
  <c r="U54"/>
  <c r="U61" s="1"/>
  <c r="T54"/>
  <c r="S54"/>
  <c r="R54"/>
  <c r="R61" s="1"/>
  <c r="Q54"/>
  <c r="Q61" s="1"/>
  <c r="P54"/>
  <c r="O54"/>
  <c r="L54"/>
  <c r="K54"/>
  <c r="J54"/>
  <c r="U53"/>
  <c r="T53"/>
  <c r="T61" s="1"/>
  <c r="S53"/>
  <c r="R53"/>
  <c r="Q53"/>
  <c r="P53"/>
  <c r="P61" s="1"/>
  <c r="O53"/>
  <c r="L53"/>
  <c r="K53"/>
  <c r="J53"/>
  <c r="I53"/>
  <c r="U52"/>
  <c r="T52"/>
  <c r="S52"/>
  <c r="S61" s="1"/>
  <c r="R52"/>
  <c r="Q52"/>
  <c r="P52"/>
  <c r="O52"/>
  <c r="L52"/>
  <c r="K52"/>
  <c r="J52"/>
  <c r="I52"/>
  <c r="L51"/>
  <c r="K51"/>
  <c r="J51"/>
  <c r="I51"/>
  <c r="U50"/>
  <c r="T50"/>
  <c r="S50"/>
  <c r="R50"/>
  <c r="Q50"/>
  <c r="P50"/>
  <c r="O50"/>
  <c r="L50"/>
  <c r="K50"/>
  <c r="J50"/>
  <c r="I50"/>
  <c r="U49"/>
  <c r="T49"/>
  <c r="S49"/>
  <c r="R49"/>
  <c r="Q49"/>
  <c r="P49"/>
  <c r="O49"/>
  <c r="L49"/>
  <c r="K49"/>
  <c r="J49"/>
  <c r="I49"/>
  <c r="Z48"/>
  <c r="Y48"/>
  <c r="X48"/>
  <c r="U48"/>
  <c r="T48"/>
  <c r="S48"/>
  <c r="R48"/>
  <c r="Q48"/>
  <c r="P48"/>
  <c r="O48"/>
  <c r="L48"/>
  <c r="K48"/>
  <c r="J48"/>
  <c r="I48"/>
  <c r="U47"/>
  <c r="T47"/>
  <c r="S47"/>
  <c r="R47"/>
  <c r="Q47"/>
  <c r="P47"/>
  <c r="O47"/>
  <c r="J47"/>
  <c r="I47"/>
  <c r="U46"/>
  <c r="T46"/>
  <c r="S46"/>
  <c r="R46"/>
  <c r="Q46"/>
  <c r="P46"/>
  <c r="O46"/>
  <c r="L46"/>
  <c r="L47" s="1"/>
  <c r="K46"/>
  <c r="K47" s="1"/>
  <c r="J46"/>
  <c r="I46"/>
  <c r="Z45"/>
  <c r="Y45"/>
  <c r="X45"/>
  <c r="U45"/>
  <c r="T45"/>
  <c r="S45"/>
  <c r="R45"/>
  <c r="Q45"/>
  <c r="P45"/>
  <c r="O45"/>
  <c r="Z44"/>
  <c r="Y44"/>
  <c r="X44"/>
  <c r="X46" s="1"/>
  <c r="U44"/>
  <c r="T44"/>
  <c r="S44"/>
  <c r="R44"/>
  <c r="R51" s="1"/>
  <c r="Q44"/>
  <c r="P44"/>
  <c r="O44"/>
  <c r="U43"/>
  <c r="U51" s="1"/>
  <c r="T43"/>
  <c r="T51" s="1"/>
  <c r="S43"/>
  <c r="R43"/>
  <c r="Q43"/>
  <c r="Q51" s="1"/>
  <c r="P43"/>
  <c r="P51" s="1"/>
  <c r="O43"/>
  <c r="L43"/>
  <c r="K43"/>
  <c r="J43"/>
  <c r="I43"/>
  <c r="U42"/>
  <c r="T42"/>
  <c r="S42"/>
  <c r="S51" s="1"/>
  <c r="R42"/>
  <c r="Q42"/>
  <c r="P42"/>
  <c r="O42"/>
  <c r="L42"/>
  <c r="K42"/>
  <c r="J42"/>
  <c r="L41"/>
  <c r="K41"/>
  <c r="J41"/>
  <c r="X40"/>
  <c r="X42" s="1"/>
  <c r="L40"/>
  <c r="K40"/>
  <c r="J40"/>
  <c r="Z39"/>
  <c r="Y39"/>
  <c r="X39"/>
  <c r="W39"/>
  <c r="L39"/>
  <c r="K39"/>
  <c r="J39"/>
  <c r="Y38"/>
  <c r="X38"/>
  <c r="X47" s="1"/>
  <c r="L38"/>
  <c r="K38"/>
  <c r="J38"/>
  <c r="I38"/>
  <c r="Z37"/>
  <c r="Y37"/>
  <c r="X37"/>
  <c r="W37"/>
  <c r="W38" s="1"/>
  <c r="U37"/>
  <c r="T37"/>
  <c r="S37"/>
  <c r="R37"/>
  <c r="Q37"/>
  <c r="P37"/>
  <c r="O37"/>
  <c r="L37"/>
  <c r="Z36"/>
  <c r="Z38" s="1"/>
  <c r="Y36"/>
  <c r="X36"/>
  <c r="W36"/>
  <c r="U36"/>
  <c r="T36"/>
  <c r="S36"/>
  <c r="R36"/>
  <c r="Q36"/>
  <c r="P36"/>
  <c r="O36"/>
  <c r="L36"/>
  <c r="K36"/>
  <c r="K37" s="1"/>
  <c r="J36"/>
  <c r="J37" s="1"/>
  <c r="I36"/>
  <c r="U35"/>
  <c r="T35"/>
  <c r="S35"/>
  <c r="R35"/>
  <c r="Q35"/>
  <c r="P35"/>
  <c r="O35"/>
  <c r="L35"/>
  <c r="K35"/>
  <c r="J35"/>
  <c r="U34"/>
  <c r="T34"/>
  <c r="S34"/>
  <c r="R34"/>
  <c r="Q34"/>
  <c r="P34"/>
  <c r="O34"/>
  <c r="L34"/>
  <c r="K34"/>
  <c r="J34"/>
  <c r="I34"/>
  <c r="I37" s="1"/>
  <c r="U33"/>
  <c r="T33"/>
  <c r="S33"/>
  <c r="R33"/>
  <c r="Q33"/>
  <c r="P33"/>
  <c r="O33"/>
  <c r="U32"/>
  <c r="T32"/>
  <c r="S32"/>
  <c r="R32"/>
  <c r="Q32"/>
  <c r="P32"/>
  <c r="O32"/>
  <c r="Y31"/>
  <c r="Y32" s="1"/>
  <c r="X31"/>
  <c r="X32" s="1"/>
  <c r="X33" s="1"/>
  <c r="U31"/>
  <c r="U38" s="1"/>
  <c r="T31"/>
  <c r="T38" s="1"/>
  <c r="S31"/>
  <c r="S38" s="1"/>
  <c r="R31"/>
  <c r="R38" s="1"/>
  <c r="Q31"/>
  <c r="Q38" s="1"/>
  <c r="P31"/>
  <c r="P38" s="1"/>
  <c r="O31"/>
  <c r="L31"/>
  <c r="L62" s="1"/>
  <c r="K31"/>
  <c r="K62" s="1"/>
  <c r="J31"/>
  <c r="I31"/>
  <c r="L30"/>
  <c r="K30"/>
  <c r="J30"/>
  <c r="I30"/>
  <c r="Z29"/>
  <c r="Y29"/>
  <c r="X29"/>
  <c r="W29"/>
  <c r="U29"/>
  <c r="T29"/>
  <c r="S29"/>
  <c r="R29"/>
  <c r="Q29"/>
  <c r="P29"/>
  <c r="O29"/>
  <c r="L29"/>
  <c r="K29"/>
  <c r="J29"/>
  <c r="I29"/>
  <c r="Z28"/>
  <c r="Y28"/>
  <c r="X28"/>
  <c r="W28"/>
  <c r="U28"/>
  <c r="T28"/>
  <c r="S28"/>
  <c r="R28"/>
  <c r="Q28"/>
  <c r="P28"/>
  <c r="O28"/>
  <c r="L28"/>
  <c r="K28"/>
  <c r="J28"/>
  <c r="I28"/>
  <c r="U27"/>
  <c r="T27"/>
  <c r="S27"/>
  <c r="S30" s="1"/>
  <c r="S77" s="1"/>
  <c r="R27"/>
  <c r="Q27"/>
  <c r="P27"/>
  <c r="O27"/>
  <c r="L27"/>
  <c r="K27"/>
  <c r="J27"/>
  <c r="I27"/>
  <c r="Z26"/>
  <c r="Z31" s="1"/>
  <c r="Z32" s="1"/>
  <c r="Y26"/>
  <c r="X26"/>
  <c r="W26"/>
  <c r="W31" s="1"/>
  <c r="W32" s="1"/>
  <c r="W33" s="1"/>
  <c r="U26"/>
  <c r="T26"/>
  <c r="S26"/>
  <c r="R26"/>
  <c r="R30" s="1"/>
  <c r="Q26"/>
  <c r="P26"/>
  <c r="O26"/>
  <c r="L26"/>
  <c r="K26"/>
  <c r="J26"/>
  <c r="I26"/>
  <c r="Z25"/>
  <c r="L87" s="1"/>
  <c r="Y25"/>
  <c r="X25"/>
  <c r="W25"/>
  <c r="U25"/>
  <c r="U30" s="1"/>
  <c r="T25"/>
  <c r="T30" s="1"/>
  <c r="S25"/>
  <c r="R25"/>
  <c r="Q25"/>
  <c r="Q30" s="1"/>
  <c r="P25"/>
  <c r="P30" s="1"/>
  <c r="O25"/>
  <c r="L25"/>
  <c r="J25"/>
  <c r="I25"/>
  <c r="Z24"/>
  <c r="Y24"/>
  <c r="K86" s="1"/>
  <c r="X24"/>
  <c r="W24"/>
  <c r="L24"/>
  <c r="K24"/>
  <c r="J24"/>
  <c r="I24"/>
  <c r="X23"/>
  <c r="W23"/>
  <c r="Z20"/>
  <c r="Y20"/>
  <c r="X20"/>
  <c r="W20"/>
  <c r="V19"/>
  <c r="Y40" l="1"/>
  <c r="Y42" s="1"/>
  <c r="J91"/>
  <c r="X49"/>
  <c r="Z41"/>
  <c r="Y33"/>
  <c r="U79"/>
  <c r="U80" s="1"/>
  <c r="S79"/>
  <c r="S80" s="1"/>
  <c r="T80"/>
  <c r="Q77"/>
  <c r="U77"/>
  <c r="U78" s="1"/>
  <c r="R77"/>
  <c r="R78" s="1"/>
  <c r="Q79"/>
  <c r="Q80" s="1"/>
  <c r="P77"/>
  <c r="T77"/>
  <c r="K88"/>
  <c r="K91" s="1"/>
  <c r="Y47"/>
  <c r="Y23"/>
  <c r="R71"/>
  <c r="Y41"/>
  <c r="Q71"/>
  <c r="U71"/>
  <c r="Z40"/>
  <c r="Z42" s="1"/>
  <c r="X41"/>
  <c r="Z46"/>
  <c r="P71"/>
  <c r="T71"/>
  <c r="L86"/>
  <c r="L88" s="1"/>
  <c r="L91" s="1"/>
  <c r="Z23"/>
  <c r="Z47" s="1"/>
  <c r="Y46"/>
  <c r="S71"/>
  <c r="G78"/>
  <c r="G87" s="1"/>
  <c r="F78"/>
  <c r="F87" s="1"/>
  <c r="E78"/>
  <c r="E87" s="1"/>
  <c r="D78"/>
  <c r="D87" s="1"/>
  <c r="E72"/>
  <c r="G63"/>
  <c r="F63"/>
  <c r="E63"/>
  <c r="D63"/>
  <c r="G61"/>
  <c r="F61"/>
  <c r="E61"/>
  <c r="D61"/>
  <c r="G51"/>
  <c r="G41" s="1"/>
  <c r="F51"/>
  <c r="E51"/>
  <c r="E41" s="1"/>
  <c r="D51"/>
  <c r="F41"/>
  <c r="G38"/>
  <c r="F38"/>
  <c r="E38"/>
  <c r="D38"/>
  <c r="D23" s="1"/>
  <c r="G30"/>
  <c r="F30"/>
  <c r="E30"/>
  <c r="D30"/>
  <c r="E23"/>
  <c r="G18"/>
  <c r="F18"/>
  <c r="E18"/>
  <c r="J18" i="64"/>
  <c r="K30"/>
  <c r="M30"/>
  <c r="F87"/>
  <c r="F91" s="1"/>
  <c r="F93" s="1"/>
  <c r="M78"/>
  <c r="M87" s="1"/>
  <c r="M91" s="1"/>
  <c r="M93" s="1"/>
  <c r="L78"/>
  <c r="L87" s="1"/>
  <c r="L91" s="1"/>
  <c r="L93" s="1"/>
  <c r="K78"/>
  <c r="K87" s="1"/>
  <c r="K91" s="1"/>
  <c r="K93" s="1"/>
  <c r="J78"/>
  <c r="J87" s="1"/>
  <c r="J91" s="1"/>
  <c r="J93" s="1"/>
  <c r="I78"/>
  <c r="I87" s="1"/>
  <c r="I91" s="1"/>
  <c r="I93" s="1"/>
  <c r="H78"/>
  <c r="H87" s="1"/>
  <c r="H91" s="1"/>
  <c r="H93" s="1"/>
  <c r="G78"/>
  <c r="G87" s="1"/>
  <c r="G91" s="1"/>
  <c r="G93" s="1"/>
  <c r="F78"/>
  <c r="E78"/>
  <c r="E87" s="1"/>
  <c r="E91" s="1"/>
  <c r="E93" s="1"/>
  <c r="D78"/>
  <c r="D87" s="1"/>
  <c r="D91" s="1"/>
  <c r="D93" s="1"/>
  <c r="E72"/>
  <c r="K63"/>
  <c r="L63"/>
  <c r="M63"/>
  <c r="I63"/>
  <c r="J63"/>
  <c r="H63"/>
  <c r="H71" s="1"/>
  <c r="G63"/>
  <c r="F63"/>
  <c r="F71" s="1"/>
  <c r="E63"/>
  <c r="E71" s="1"/>
  <c r="D63"/>
  <c r="D71" s="1"/>
  <c r="L61"/>
  <c r="H61"/>
  <c r="H41" s="1"/>
  <c r="G61"/>
  <c r="F61"/>
  <c r="E61"/>
  <c r="D61"/>
  <c r="D41" s="1"/>
  <c r="M61"/>
  <c r="K61"/>
  <c r="J61"/>
  <c r="I61"/>
  <c r="H51"/>
  <c r="G51"/>
  <c r="F51"/>
  <c r="E51"/>
  <c r="D51"/>
  <c r="K51"/>
  <c r="K41" s="1"/>
  <c r="M51"/>
  <c r="L51"/>
  <c r="J51"/>
  <c r="I51"/>
  <c r="G41"/>
  <c r="G71" s="1"/>
  <c r="F41"/>
  <c r="E41"/>
  <c r="M38"/>
  <c r="I38"/>
  <c r="H38"/>
  <c r="G38"/>
  <c r="F38"/>
  <c r="E38"/>
  <c r="D38"/>
  <c r="L38"/>
  <c r="K38"/>
  <c r="J38"/>
  <c r="I30"/>
  <c r="H30"/>
  <c r="H23" s="1"/>
  <c r="G30"/>
  <c r="F30"/>
  <c r="E30"/>
  <c r="D30"/>
  <c r="L18"/>
  <c r="J30"/>
  <c r="G23"/>
  <c r="G62" s="1"/>
  <c r="F23"/>
  <c r="E23"/>
  <c r="E62" s="1"/>
  <c r="D23"/>
  <c r="K18"/>
  <c r="I18"/>
  <c r="H18"/>
  <c r="G18"/>
  <c r="F18"/>
  <c r="E18"/>
  <c r="Z49" i="65" l="1"/>
  <c r="Y49"/>
  <c r="Y50" s="1"/>
  <c r="P72"/>
  <c r="P75" s="1"/>
  <c r="Q72"/>
  <c r="Q75" s="1"/>
  <c r="P82"/>
  <c r="P78"/>
  <c r="N78" s="1"/>
  <c r="T72"/>
  <c r="T75" s="1"/>
  <c r="T82" s="1"/>
  <c r="U72"/>
  <c r="U75" s="1"/>
  <c r="U82" s="1"/>
  <c r="R72"/>
  <c r="R75" s="1"/>
  <c r="R82" s="1"/>
  <c r="S72"/>
  <c r="S75" s="1"/>
  <c r="P80"/>
  <c r="N80" s="1"/>
  <c r="T78"/>
  <c r="S78"/>
  <c r="Z33"/>
  <c r="Q78"/>
  <c r="R80"/>
  <c r="F23"/>
  <c r="G71"/>
  <c r="F71"/>
  <c r="F62" s="1"/>
  <c r="D41"/>
  <c r="G91"/>
  <c r="G93" s="1"/>
  <c r="F91"/>
  <c r="F93" s="1"/>
  <c r="E91"/>
  <c r="E93" s="1"/>
  <c r="D91"/>
  <c r="D93" s="1"/>
  <c r="E71"/>
  <c r="E62" s="1"/>
  <c r="G23"/>
  <c r="I41" i="64"/>
  <c r="J41"/>
  <c r="J71" s="1"/>
  <c r="M41"/>
  <c r="M71" s="1"/>
  <c r="L41"/>
  <c r="J23"/>
  <c r="M23"/>
  <c r="I23"/>
  <c r="K23"/>
  <c r="H74"/>
  <c r="H73"/>
  <c r="F62"/>
  <c r="F73"/>
  <c r="F74"/>
  <c r="D62"/>
  <c r="I71"/>
  <c r="L71"/>
  <c r="K71"/>
  <c r="D73"/>
  <c r="D74"/>
  <c r="G74"/>
  <c r="G73"/>
  <c r="E73"/>
  <c r="E74"/>
  <c r="L30"/>
  <c r="L23" s="1"/>
  <c r="M18"/>
  <c r="Z50" i="65" l="1"/>
  <c r="Q82"/>
  <c r="S82"/>
  <c r="D71"/>
  <c r="F74"/>
  <c r="F73"/>
  <c r="G62"/>
  <c r="E73"/>
  <c r="E74"/>
  <c r="G73"/>
  <c r="G74"/>
  <c r="M73" i="64"/>
  <c r="M74"/>
  <c r="J73"/>
  <c r="J74"/>
  <c r="L73"/>
  <c r="L74"/>
  <c r="K74"/>
  <c r="K73"/>
  <c r="I73"/>
  <c r="I74"/>
  <c r="D62" i="65" l="1"/>
  <c r="D74"/>
  <c r="D73"/>
</calcChain>
</file>

<file path=xl/sharedStrings.xml><?xml version="1.0" encoding="utf-8"?>
<sst xmlns="http://schemas.openxmlformats.org/spreadsheetml/2006/main" count="315" uniqueCount="163">
  <si>
    <t>MODELO PARA LA MODERNIZACIÓN DE LA GESTION DE LAS ORGANIZACIONES</t>
  </si>
  <si>
    <t>Vicerrectoria de Investigaciones</t>
  </si>
  <si>
    <t>Datos en miles de pesos ($000,00)</t>
  </si>
  <si>
    <t>SUBTOTAL DISPONIBLE</t>
  </si>
  <si>
    <t>TOTAL ACTIVO CORRIENTE</t>
  </si>
  <si>
    <t>PROPIEDADES PLANTA Y EQUIPO</t>
  </si>
  <si>
    <t>SUBTOTAL INTANGIBLES</t>
  </si>
  <si>
    <t>SUBTOTAL OTROS ACTIVOS</t>
  </si>
  <si>
    <t>SUBTOTAL VALORIZACIONES</t>
  </si>
  <si>
    <t>TOTAL ACTIVO NO CORRIENTE</t>
  </si>
  <si>
    <t>TOTAL PASIVO CORRIENTE</t>
  </si>
  <si>
    <t>SUBTOTAL CUENTAS POR PAGAR</t>
  </si>
  <si>
    <t>OBLIGACIONES LABORALES</t>
  </si>
  <si>
    <t>SUBTOTAL PASIVOS ESTIMAD. Y PROVIS.</t>
  </si>
  <si>
    <t>SUBTOTAL  DIFERIDOS</t>
  </si>
  <si>
    <t>SUBTOTAL  OTROS PASIVOS</t>
  </si>
  <si>
    <t xml:space="preserve">Observaciones: Los datos deben corresponder a los mismos cierres, esto es, todos a 31 de Diciembre ó todos a 30 de junio ó todos a 30 de marzo etc. </t>
  </si>
  <si>
    <t>SUBTOTAL BONOS Y PAPELES COMERCIA.</t>
  </si>
  <si>
    <t>TOTAL PASIVO NO CORRIENTE</t>
  </si>
  <si>
    <t>TOTAL PATRIMONIO</t>
  </si>
  <si>
    <t>SUBTOTAL  CAPITAL SOCIAL</t>
  </si>
  <si>
    <t>SUBTOTAL SUPERÁVIT DE CAPITAL</t>
  </si>
  <si>
    <t>REVALORIZACIÓN DEL PATRIMONIO</t>
  </si>
  <si>
    <t>DIVIDEN. O PARTC. DECRET. EN ACC.O CUOTAS</t>
  </si>
  <si>
    <t>RESULTADOS DEL EJERCICIO</t>
  </si>
  <si>
    <t>RESULTADOS DE EJERCICIOS ANTERIORES</t>
  </si>
  <si>
    <t>SUPERÁVIT POR VALORIZACIONES</t>
  </si>
  <si>
    <t>TOTAL PASIVO Y PATRIMONIO</t>
  </si>
  <si>
    <t>INGRESOS OPERACIONALES</t>
  </si>
  <si>
    <t>COSTO DE VENTAS Y DE PREST SERVICIOS</t>
  </si>
  <si>
    <t>UTILIDAD BRUTA</t>
  </si>
  <si>
    <t>GASTOS OPERACIONALES DE ADMINISTRACIÓN</t>
  </si>
  <si>
    <t>GASTOS OPERACIONALES DE VENTAS</t>
  </si>
  <si>
    <t>UTILIDAD OPERACIONAL</t>
  </si>
  <si>
    <t>INGRESOS NO OPERACIONALES</t>
  </si>
  <si>
    <t>GASTOS NO OPERACIONALES</t>
  </si>
  <si>
    <t xml:space="preserve">UTILIDAD ANTES DE IMPUESTOS </t>
  </si>
  <si>
    <t>IMPUESTO DE RENTA Y COMPLEMENTARIOS</t>
  </si>
  <si>
    <t>GANANCIAS Y PERDIDAS</t>
  </si>
  <si>
    <r>
      <t xml:space="preserve">     VERSIÓN especial - </t>
    </r>
    <r>
      <rPr>
        <b/>
        <sz val="12"/>
        <color indexed="12"/>
        <rFont val="Arial"/>
        <family val="2"/>
      </rPr>
      <t>Pentagono de la excelencia vers1.0</t>
    </r>
    <r>
      <rPr>
        <b/>
        <sz val="12"/>
        <rFont val="Arial"/>
        <family val="2"/>
      </rPr>
      <t xml:space="preserve">  /  basado en el </t>
    </r>
    <r>
      <rPr>
        <b/>
        <sz val="12"/>
        <color indexed="12"/>
        <rFont val="Arial"/>
        <family val="2"/>
      </rPr>
      <t>aplicativo 9c</t>
    </r>
  </si>
  <si>
    <t xml:space="preserve">VICERRECTORÍA DE INVESTIGACIONES </t>
  </si>
  <si>
    <t xml:space="preserve">© FICHA - AMBIENTE DE FINANZAS  </t>
  </si>
  <si>
    <t>Herramienta para la captura y análisis de la información financiera.</t>
  </si>
  <si>
    <t xml:space="preserve"> - Depreciación Acumulada</t>
  </si>
  <si>
    <t xml:space="preserve">OBLIGACIONES FINANCIERAS </t>
  </si>
  <si>
    <t xml:space="preserve">PROVEEDORES </t>
  </si>
  <si>
    <t>IMPUESTOS GRAVÁMENES Y TASAS</t>
  </si>
  <si>
    <t xml:space="preserve">SUBTOTAL INVERSIONES </t>
  </si>
  <si>
    <t>SUBTOTAL DEUDORES</t>
  </si>
  <si>
    <t xml:space="preserve"> - Deudores - clientes </t>
  </si>
  <si>
    <t xml:space="preserve">SUBTOTAL INVENTARIOS </t>
  </si>
  <si>
    <t>SUBTOTAL DIFERIDO</t>
  </si>
  <si>
    <t>SUBTOTAL  DEUDORES</t>
  </si>
  <si>
    <t xml:space="preserve">SUBTOTAL DIFERIDO </t>
  </si>
  <si>
    <t xml:space="preserve">OBLIGACIONES FINANCIERAS  </t>
  </si>
  <si>
    <t>DIFERIDOS</t>
  </si>
  <si>
    <t>SUBTOTAL BONOS Y PAPELES COMERCIA</t>
  </si>
  <si>
    <t>RESERVAS</t>
  </si>
  <si>
    <t>ACTIVOS</t>
  </si>
  <si>
    <t>PASIVOS</t>
  </si>
  <si>
    <t>Validación</t>
  </si>
  <si>
    <t xml:space="preserve"> - Gastos de personal</t>
  </si>
  <si>
    <t xml:space="preserve"> - Depreciaciones</t>
  </si>
  <si>
    <t xml:space="preserve"> - Amortizaciones</t>
  </si>
  <si>
    <t xml:space="preserve"> - Gastos Financieros.</t>
  </si>
  <si>
    <t xml:space="preserve">Otra Información derivada </t>
  </si>
  <si>
    <t>Devoluciones y decuentos</t>
  </si>
  <si>
    <t>COMPRAS</t>
  </si>
  <si>
    <t>Estados fiancieros cortados a 31 Dic</t>
  </si>
  <si>
    <t>COSTO estimado del patrimonio</t>
  </si>
  <si>
    <t>DTF</t>
  </si>
  <si>
    <t>TENDENCIA  (base 2007)</t>
  </si>
  <si>
    <t xml:space="preserve">ACTIVOS </t>
  </si>
  <si>
    <t>ACTIVOS  OPERATIVOS</t>
  </si>
  <si>
    <t>PATRIIMONIO</t>
  </si>
  <si>
    <t>VENTAS</t>
  </si>
  <si>
    <t>COSTOS Y GASTOS OPERATIVOS</t>
  </si>
  <si>
    <t>EBITDA</t>
  </si>
  <si>
    <t>CAPITAL DE TRABAJO</t>
  </si>
  <si>
    <t>CAPITAL DE TRABAJO NETO</t>
  </si>
  <si>
    <t>NECESIDADES FTO CAPITAL DE TRABAJO</t>
  </si>
  <si>
    <t>NIVEL SOLVENCIA C.P</t>
  </si>
  <si>
    <t xml:space="preserve">NIVEL DEPENDENCIA De Capital de trabajo </t>
  </si>
  <si>
    <t>INVENTARIOS    (ROTACION )</t>
  </si>
  <si>
    <t>PROVEEDORES (ROTACION )</t>
  </si>
  <si>
    <t>CARTERA          (ROTACION)</t>
  </si>
  <si>
    <t>CTO promedio    (ROTACION)</t>
  </si>
  <si>
    <t xml:space="preserve">RAZÓN FONDO DE MANIOBRA </t>
  </si>
  <si>
    <t>ENDEUDAMIENTO Y COBERTURA</t>
  </si>
  <si>
    <t>NIVEL DE ENDEUDAMIENTO</t>
  </si>
  <si>
    <t>AUTONOMIA</t>
  </si>
  <si>
    <t>NIVEL DE APALANCAMIENTO</t>
  </si>
  <si>
    <t>CAPITALIZACIÓN EXTERNA LP</t>
  </si>
  <si>
    <t>ENDEUDAMIENTO - ACT FIJO</t>
  </si>
  <si>
    <t>Razón PATRIMONIO - ACTIVOS Op.</t>
  </si>
  <si>
    <t>Concentración</t>
  </si>
  <si>
    <t>Concentración Financiera</t>
  </si>
  <si>
    <t>COBERTURA DEL GASTO FINANCIERO</t>
  </si>
  <si>
    <t>MARGENES Y RENTABILIDAD</t>
  </si>
  <si>
    <t>MARGEN EBITDA</t>
  </si>
  <si>
    <t>MARGEN OPERACIONAL</t>
  </si>
  <si>
    <t>MARGEN NETO</t>
  </si>
  <si>
    <t>ROA</t>
  </si>
  <si>
    <t>ROE</t>
  </si>
  <si>
    <t>OTROS Indicadores</t>
  </si>
  <si>
    <t>Variación Ventas / Variación  Inventarios</t>
  </si>
  <si>
    <t>Variación cxc Clientes / Variación  Inventarios</t>
  </si>
  <si>
    <t>Dupont</t>
  </si>
  <si>
    <t>Margen neto</t>
  </si>
  <si>
    <t>Eficiencia del activo</t>
  </si>
  <si>
    <t>Multiplicador del capital</t>
  </si>
  <si>
    <t xml:space="preserve">Análisis de Flujos </t>
  </si>
  <si>
    <t>EBIT</t>
  </si>
  <si>
    <t>(+) Depreciaciones</t>
  </si>
  <si>
    <t>(+) Amortizaciones</t>
  </si>
  <si>
    <t>(-) Tax</t>
  </si>
  <si>
    <t>Flujo de Caja Operativo</t>
  </si>
  <si>
    <t>(-) Variación KWNO</t>
  </si>
  <si>
    <t>(-) CAPEX</t>
  </si>
  <si>
    <t>FCL de la Firma</t>
  </si>
  <si>
    <t>(-) Servicio de la Deuda Capital</t>
  </si>
  <si>
    <t>(-) Servicio de la Deuda Intereses</t>
  </si>
  <si>
    <t>FC de los Accionistas</t>
  </si>
  <si>
    <t>PERFIL FINANCIERO</t>
  </si>
  <si>
    <t xml:space="preserve">EMPRESA: </t>
  </si>
  <si>
    <t>FUENTES Y USOS DE CAPITAL</t>
  </si>
  <si>
    <t>Balance de Situación L.P.</t>
  </si>
  <si>
    <t xml:space="preserve">CIFRAS DE NEGOCIO E  INDICADORES </t>
  </si>
  <si>
    <t>USOS</t>
  </si>
  <si>
    <t>FUENTES</t>
  </si>
  <si>
    <t>F / U</t>
  </si>
  <si>
    <t>Capital de Trabajo Neto Op</t>
  </si>
  <si>
    <t>Capex</t>
  </si>
  <si>
    <t>Activos No Op</t>
  </si>
  <si>
    <t>Patrimonio</t>
  </si>
  <si>
    <t>Utilidad Operacional</t>
  </si>
  <si>
    <t xml:space="preserve">Impuestos </t>
  </si>
  <si>
    <t>Utilidad Operacional + Tx</t>
  </si>
  <si>
    <t xml:space="preserve">Intereses pagados (costos Fcieros) </t>
  </si>
  <si>
    <t>Utilidad operacional + intereses</t>
  </si>
  <si>
    <t>Utilidad Operacional Neta (Tx + Int)</t>
  </si>
  <si>
    <t xml:space="preserve">Utilidad Neta </t>
  </si>
  <si>
    <t>Costo Neto Deuda (1-0,33)</t>
  </si>
  <si>
    <t>Costo Estiamdo Patrimonio</t>
  </si>
  <si>
    <t>CPPC / WACC</t>
  </si>
  <si>
    <t>Rentabilidad Activo Neto - RAN</t>
  </si>
  <si>
    <t>Rentabilidad activo Total - ROA</t>
  </si>
  <si>
    <t>Crea o destruye valor</t>
  </si>
  <si>
    <t>TOTALES</t>
  </si>
  <si>
    <t>SUMAS IGUALES</t>
  </si>
  <si>
    <t>VARIACION DEL DISPONIBLE</t>
  </si>
  <si>
    <t>DIFERENCIAS EN EL BALANCE GENERAL</t>
  </si>
  <si>
    <t>Capital de trabajo</t>
  </si>
  <si>
    <t>Estructura de capital</t>
  </si>
  <si>
    <t>TOTAL ACTIVOS OPERATIVOS</t>
  </si>
  <si>
    <t>Obligaciones Financieras</t>
  </si>
  <si>
    <t>TOTAL PASIVO + PATRIMONIO</t>
  </si>
  <si>
    <t>Razon corriente</t>
  </si>
  <si>
    <t>Prueva acida</t>
  </si>
  <si>
    <t>SPREAD</t>
  </si>
  <si>
    <t>COSTO FCIERO ESTIMADO</t>
  </si>
  <si>
    <t>Promedio de deuda</t>
  </si>
  <si>
    <t>EMPRESA: TREFIACEROS</t>
  </si>
</sst>
</file>

<file path=xl/styles.xml><?xml version="1.0" encoding="utf-8"?>
<styleSheet xmlns="http://schemas.openxmlformats.org/spreadsheetml/2006/main">
  <numFmts count="11">
    <numFmt numFmtId="44" formatCode="_(&quot;$&quot;\ * #,##0.00_);_(&quot;$&quot;\ * \(#,##0.00\);_(&quot;$&quot;\ * &quot;-&quot;??_);_(@_)"/>
    <numFmt numFmtId="164" formatCode="_ * #,##0.00_ ;_ * \-#,##0.00_ ;_ * &quot;-&quot;??_ ;_ @_ "/>
    <numFmt numFmtId="165" formatCode="_ * #,##0.0_ ;_ * \-#,##0.0_ ;_ * &quot;-&quot;??_ ;_ @_ "/>
    <numFmt numFmtId="166" formatCode="0.0%"/>
    <numFmt numFmtId="167" formatCode="_ * #,##0_ ;_ * \-#,##0_ ;_ * &quot;-&quot;??_ ;_ @_ "/>
    <numFmt numFmtId="168" formatCode="_(* #,##0.0_);_(* \(#,##0.0\);_(* &quot;-&quot;?_);_(@_)"/>
    <numFmt numFmtId="169" formatCode="_(* #,##0_);_(* \(#,##0\);_(* &quot;-&quot;?_);_(@_)"/>
    <numFmt numFmtId="170" formatCode="_ * #,##0.000_ ;_ * \-#,##0.000_ ;_ * &quot;-&quot;??_ ;_ @_ "/>
    <numFmt numFmtId="171" formatCode="#,##0.0"/>
    <numFmt numFmtId="172" formatCode="0.0000"/>
    <numFmt numFmtId="173" formatCode="_(&quot;$&quot;\ * #,##0_);_(&quot;$&quot;\ * \(#,##0\);_(&quot;$&quot;\ * &quot;-&quot;??_);_(@_)"/>
  </numFmts>
  <fonts count="3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color indexed="56"/>
      <name val="Arial"/>
      <family val="2"/>
    </font>
    <font>
      <b/>
      <sz val="18"/>
      <name val="Arial"/>
      <family val="2"/>
    </font>
    <font>
      <b/>
      <sz val="12"/>
      <color indexed="12"/>
      <name val="Arial"/>
      <family val="2"/>
    </font>
    <font>
      <sz val="9"/>
      <name val="Arial"/>
      <family val="2"/>
    </font>
    <font>
      <b/>
      <sz val="10"/>
      <color rgb="FF0000FF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rgb="FFFFFF00"/>
      <name val="Arial"/>
      <family val="2"/>
    </font>
    <font>
      <sz val="9"/>
      <color rgb="FFFFFF00"/>
      <name val="Arial"/>
      <family val="2"/>
    </font>
    <font>
      <sz val="9"/>
      <color theme="1"/>
      <name val="Arial"/>
      <family val="2"/>
    </font>
    <font>
      <b/>
      <sz val="8"/>
      <color rgb="FF0000FF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8"/>
      <color rgb="FF0000FF"/>
      <name val="Arial"/>
      <family val="2"/>
    </font>
    <font>
      <b/>
      <sz val="12"/>
      <color rgb="FFFFFF00"/>
      <name val="Arial"/>
      <family val="2"/>
    </font>
    <font>
      <b/>
      <sz val="9"/>
      <color rgb="FFFFFF00"/>
      <name val="Arial"/>
      <family val="2"/>
    </font>
    <font>
      <b/>
      <sz val="8"/>
      <color theme="0" tint="-0.34998626667073579"/>
      <name val="Arial"/>
      <family val="2"/>
    </font>
    <font>
      <b/>
      <sz val="9"/>
      <color rgb="FF0000FF"/>
      <name val="Arial"/>
      <family val="2"/>
    </font>
    <font>
      <b/>
      <sz val="9"/>
      <name val="Arial"/>
      <family val="2"/>
    </font>
    <font>
      <b/>
      <sz val="12"/>
      <color rgb="FF0000FF"/>
      <name val="Arial"/>
      <family val="2"/>
    </font>
    <font>
      <b/>
      <sz val="11"/>
      <color rgb="FFFFFF00"/>
      <name val="Arial"/>
      <family val="2"/>
    </font>
    <font>
      <b/>
      <sz val="9"/>
      <color theme="0" tint="-0.14999847407452621"/>
      <name val="Arial"/>
      <family val="2"/>
    </font>
    <font>
      <b/>
      <sz val="10"/>
      <color rgb="FFFFFF00"/>
      <name val="Arial"/>
      <family val="2"/>
    </font>
    <font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57"/>
      </right>
      <top style="double">
        <color indexed="57"/>
      </top>
      <bottom/>
      <diagonal/>
    </border>
    <border>
      <left style="hair">
        <color indexed="57"/>
      </left>
      <right style="hair">
        <color indexed="57"/>
      </right>
      <top style="double">
        <color indexed="57"/>
      </top>
      <bottom/>
      <diagonal/>
    </border>
    <border>
      <left style="hair">
        <color indexed="57"/>
      </left>
      <right style="double">
        <color indexed="57"/>
      </right>
      <top style="double">
        <color indexed="57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14996795556505021"/>
      </bottom>
      <diagonal/>
    </border>
    <border>
      <left/>
      <right/>
      <top style="double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 applyFont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1" fillId="0" borderId="0"/>
    <xf numFmtId="44" fontId="36" fillId="0" borderId="0" applyFont="0" applyFill="0" applyBorder="0" applyAlignment="0" applyProtection="0"/>
  </cellStyleXfs>
  <cellXfs count="318">
    <xf numFmtId="0" fontId="0" fillId="0" borderId="0" xfId="0"/>
    <xf numFmtId="0" fontId="0" fillId="2" borderId="0" xfId="0" applyFill="1"/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14" fillId="4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4" fillId="3" borderId="5" xfId="2" applyFont="1" applyFill="1" applyBorder="1" applyAlignment="1" applyProtection="1">
      <alignment horizontal="left" vertical="center" wrapText="1"/>
    </xf>
    <xf numFmtId="0" fontId="4" fillId="3" borderId="4" xfId="2" applyFont="1" applyFill="1" applyBorder="1" applyAlignment="1" applyProtection="1">
      <alignment horizontal="left" vertical="center" wrapText="1"/>
    </xf>
    <xf numFmtId="0" fontId="4" fillId="3" borderId="6" xfId="2" applyFont="1" applyFill="1" applyBorder="1" applyAlignment="1" applyProtection="1">
      <alignment horizontal="left" vertical="center" wrapText="1"/>
    </xf>
    <xf numFmtId="0" fontId="14" fillId="4" borderId="1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6" fillId="6" borderId="7" xfId="0" applyFont="1" applyFill="1" applyBorder="1"/>
    <xf numFmtId="0" fontId="16" fillId="6" borderId="8" xfId="0" applyFont="1" applyFill="1" applyBorder="1"/>
    <xf numFmtId="0" fontId="16" fillId="6" borderId="9" xfId="0" applyFont="1" applyFill="1" applyBorder="1"/>
    <xf numFmtId="0" fontId="16" fillId="6" borderId="10" xfId="0" applyFont="1" applyFill="1" applyBorder="1"/>
    <xf numFmtId="0" fontId="3" fillId="2" borderId="0" xfId="2" applyFont="1" applyFill="1" applyBorder="1" applyAlignment="1" applyProtection="1">
      <alignment horizontal="left" vertical="center" wrapText="1"/>
    </xf>
    <xf numFmtId="0" fontId="5" fillId="2" borderId="0" xfId="2" applyFill="1" applyProtection="1"/>
    <xf numFmtId="0" fontId="5" fillId="0" borderId="0" xfId="2" applyProtection="1"/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/>
    <xf numFmtId="0" fontId="6" fillId="2" borderId="0" xfId="0" applyFont="1" applyFill="1" applyAlignment="1"/>
    <xf numFmtId="0" fontId="4" fillId="4" borderId="11" xfId="2" applyFont="1" applyFill="1" applyBorder="1" applyAlignment="1" applyProtection="1">
      <alignment horizontal="left" vertical="center" wrapText="1"/>
    </xf>
    <xf numFmtId="0" fontId="3" fillId="8" borderId="12" xfId="2" applyFont="1" applyFill="1" applyBorder="1" applyAlignment="1" applyProtection="1">
      <alignment horizontal="center" vertical="center" wrapText="1"/>
    </xf>
    <xf numFmtId="0" fontId="16" fillId="3" borderId="9" xfId="0" applyFont="1" applyFill="1" applyBorder="1"/>
    <xf numFmtId="0" fontId="16" fillId="3" borderId="13" xfId="0" applyFont="1" applyFill="1" applyBorder="1"/>
    <xf numFmtId="0" fontId="16" fillId="3" borderId="10" xfId="0" applyFont="1" applyFill="1" applyBorder="1"/>
    <xf numFmtId="0" fontId="4" fillId="7" borderId="14" xfId="2" applyFont="1" applyFill="1" applyBorder="1" applyAlignment="1" applyProtection="1">
      <alignment horizontal="left" vertical="center" wrapText="1"/>
    </xf>
    <xf numFmtId="165" fontId="8" fillId="7" borderId="15" xfId="1" applyNumberFormat="1" applyFont="1" applyFill="1" applyBorder="1"/>
    <xf numFmtId="0" fontId="16" fillId="4" borderId="8" xfId="0" applyFont="1" applyFill="1" applyBorder="1"/>
    <xf numFmtId="0" fontId="17" fillId="9" borderId="12" xfId="2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>
      <alignment horizontal="center"/>
    </xf>
    <xf numFmtId="165" fontId="16" fillId="6" borderId="12" xfId="1" applyNumberFormat="1" applyFont="1" applyFill="1" applyBorder="1"/>
    <xf numFmtId="0" fontId="16" fillId="10" borderId="7" xfId="0" applyFont="1" applyFill="1" applyBorder="1"/>
    <xf numFmtId="165" fontId="16" fillId="10" borderId="12" xfId="1" applyNumberFormat="1" applyFont="1" applyFill="1" applyBorder="1"/>
    <xf numFmtId="0" fontId="14" fillId="7" borderId="8" xfId="0" applyFont="1" applyFill="1" applyBorder="1" applyAlignment="1">
      <alignment horizontal="left" vertical="center" wrapText="1"/>
    </xf>
    <xf numFmtId="0" fontId="16" fillId="7" borderId="8" xfId="0" applyFont="1" applyFill="1" applyBorder="1"/>
    <xf numFmtId="0" fontId="16" fillId="7" borderId="16" xfId="0" applyFont="1" applyFill="1" applyBorder="1"/>
    <xf numFmtId="0" fontId="16" fillId="7" borderId="0" xfId="0" applyFont="1" applyFill="1" applyBorder="1"/>
    <xf numFmtId="165" fontId="16" fillId="6" borderId="11" xfId="1" applyNumberFormat="1" applyFont="1" applyFill="1" applyBorder="1"/>
    <xf numFmtId="165" fontId="16" fillId="6" borderId="5" xfId="1" applyNumberFormat="1" applyFont="1" applyFill="1" applyBorder="1"/>
    <xf numFmtId="165" fontId="16" fillId="6" borderId="6" xfId="1" applyNumberFormat="1" applyFont="1" applyFill="1" applyBorder="1"/>
    <xf numFmtId="165" fontId="18" fillId="9" borderId="7" xfId="1" applyNumberFormat="1" applyFont="1" applyFill="1" applyBorder="1"/>
    <xf numFmtId="165" fontId="18" fillId="9" borderId="12" xfId="1" applyNumberFormat="1" applyFont="1" applyFill="1" applyBorder="1"/>
    <xf numFmtId="165" fontId="18" fillId="9" borderId="17" xfId="1" applyNumberFormat="1" applyFont="1" applyFill="1" applyBorder="1"/>
    <xf numFmtId="165" fontId="12" fillId="3" borderId="9" xfId="1" applyNumberFormat="1" applyFont="1" applyFill="1" applyBorder="1"/>
    <xf numFmtId="165" fontId="12" fillId="3" borderId="5" xfId="1" applyNumberFormat="1" applyFont="1" applyFill="1" applyBorder="1"/>
    <xf numFmtId="165" fontId="12" fillId="8" borderId="7" xfId="1" applyNumberFormat="1" applyFont="1" applyFill="1" applyBorder="1"/>
    <xf numFmtId="165" fontId="12" fillId="8" borderId="12" xfId="1" applyNumberFormat="1" applyFont="1" applyFill="1" applyBorder="1"/>
    <xf numFmtId="165" fontId="12" fillId="8" borderId="17" xfId="1" applyNumberFormat="1" applyFont="1" applyFill="1" applyBorder="1"/>
    <xf numFmtId="165" fontId="12" fillId="7" borderId="15" xfId="1" applyNumberFormat="1" applyFont="1" applyFill="1" applyBorder="1"/>
    <xf numFmtId="165" fontId="19" fillId="3" borderId="5" xfId="1" applyNumberFormat="1" applyFont="1" applyFill="1" applyBorder="1"/>
    <xf numFmtId="165" fontId="12" fillId="8" borderId="18" xfId="1" applyNumberFormat="1" applyFont="1" applyFill="1" applyBorder="1"/>
    <xf numFmtId="165" fontId="18" fillId="9" borderId="18" xfId="1" applyNumberFormat="1" applyFont="1" applyFill="1" applyBorder="1"/>
    <xf numFmtId="165" fontId="16" fillId="10" borderId="19" xfId="1" applyNumberFormat="1" applyFont="1" applyFill="1" applyBorder="1"/>
    <xf numFmtId="168" fontId="0" fillId="4" borderId="0" xfId="0" applyNumberFormat="1" applyFill="1" applyBorder="1"/>
    <xf numFmtId="0" fontId="20" fillId="4" borderId="0" xfId="0" applyFont="1" applyFill="1" applyBorder="1" applyAlignment="1">
      <alignment horizontal="center"/>
    </xf>
    <xf numFmtId="0" fontId="20" fillId="4" borderId="8" xfId="2" applyFont="1" applyFill="1" applyBorder="1" applyAlignment="1" applyProtection="1">
      <alignment horizontal="left" vertical="center" wrapText="1"/>
    </xf>
    <xf numFmtId="0" fontId="21" fillId="4" borderId="0" xfId="0" applyFont="1" applyFill="1"/>
    <xf numFmtId="165" fontId="13" fillId="4" borderId="0" xfId="1" applyNumberFormat="1" applyFont="1" applyFill="1" applyBorder="1" applyAlignment="1">
      <alignment horizontal="center"/>
    </xf>
    <xf numFmtId="165" fontId="22" fillId="7" borderId="15" xfId="1" applyNumberFormat="1" applyFont="1" applyFill="1" applyBorder="1"/>
    <xf numFmtId="169" fontId="0" fillId="2" borderId="0" xfId="0" applyNumberFormat="1" applyFill="1"/>
    <xf numFmtId="169" fontId="0" fillId="4" borderId="0" xfId="0" applyNumberFormat="1" applyFill="1"/>
    <xf numFmtId="165" fontId="0" fillId="4" borderId="0" xfId="0" applyNumberFormat="1" applyFill="1"/>
    <xf numFmtId="168" fontId="23" fillId="4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/>
    <xf numFmtId="167" fontId="0" fillId="4" borderId="0" xfId="1" applyNumberFormat="1" applyFont="1" applyFill="1"/>
    <xf numFmtId="167" fontId="0" fillId="4" borderId="0" xfId="0" applyNumberFormat="1" applyFill="1"/>
    <xf numFmtId="10" fontId="0" fillId="4" borderId="0" xfId="3" applyNumberFormat="1" applyFont="1" applyFill="1"/>
    <xf numFmtId="170" fontId="16" fillId="6" borderId="11" xfId="1" applyNumberFormat="1" applyFont="1" applyFill="1" applyBorder="1"/>
    <xf numFmtId="0" fontId="0" fillId="5" borderId="22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3" fillId="5" borderId="27" xfId="0" applyFont="1" applyFill="1" applyBorder="1" applyAlignment="1">
      <alignment horizontal="left"/>
    </xf>
    <xf numFmtId="0" fontId="2" fillId="5" borderId="24" xfId="0" applyFont="1" applyFill="1" applyBorder="1" applyAlignment="1">
      <alignment horizontal="left"/>
    </xf>
    <xf numFmtId="0" fontId="9" fillId="4" borderId="0" xfId="2" applyFont="1" applyFill="1" applyBorder="1" applyAlignment="1" applyProtection="1">
      <alignment horizontal="left" vertical="center" wrapText="1"/>
    </xf>
    <xf numFmtId="165" fontId="12" fillId="7" borderId="8" xfId="1" applyNumberFormat="1" applyFont="1" applyFill="1" applyBorder="1"/>
    <xf numFmtId="0" fontId="3" fillId="5" borderId="0" xfId="0" applyFont="1" applyFill="1" applyBorder="1" applyAlignment="1">
      <alignment horizontal="left"/>
    </xf>
    <xf numFmtId="0" fontId="2" fillId="5" borderId="0" xfId="2" applyFont="1" applyFill="1" applyBorder="1" applyAlignment="1" applyProtection="1">
      <alignment horizontal="center" vertical="center" wrapText="1"/>
    </xf>
    <xf numFmtId="0" fontId="2" fillId="5" borderId="28" xfId="2" applyFont="1" applyFill="1" applyBorder="1" applyAlignment="1" applyProtection="1">
      <alignment horizontal="center" vertical="center" wrapText="1"/>
    </xf>
    <xf numFmtId="0" fontId="2" fillId="5" borderId="27" xfId="0" applyFont="1" applyFill="1" applyBorder="1"/>
    <xf numFmtId="0" fontId="2" fillId="5" borderId="29" xfId="0" applyFont="1" applyFill="1" applyBorder="1"/>
    <xf numFmtId="0" fontId="1" fillId="4" borderId="0" xfId="0" applyFont="1" applyFill="1"/>
    <xf numFmtId="165" fontId="3" fillId="4" borderId="31" xfId="1" applyNumberFormat="1" applyFont="1" applyFill="1" applyBorder="1" applyAlignment="1" applyProtection="1">
      <alignment vertical="center" wrapText="1"/>
      <protection locked="0"/>
    </xf>
    <xf numFmtId="165" fontId="3" fillId="4" borderId="4" xfId="1" applyNumberFormat="1" applyFont="1" applyFill="1" applyBorder="1" applyAlignment="1" applyProtection="1">
      <alignment vertical="center" wrapText="1"/>
      <protection locked="0"/>
    </xf>
    <xf numFmtId="10" fontId="3" fillId="4" borderId="4" xfId="3" applyNumberFormat="1" applyFont="1" applyFill="1" applyBorder="1" applyAlignment="1" applyProtection="1">
      <alignment horizontal="center" vertical="center" wrapText="1"/>
      <protection locked="0"/>
    </xf>
    <xf numFmtId="165" fontId="3" fillId="4" borderId="4" xfId="3" applyNumberFormat="1" applyFont="1" applyFill="1" applyBorder="1" applyAlignment="1" applyProtection="1">
      <alignment vertical="center" wrapText="1"/>
      <protection locked="0"/>
    </xf>
    <xf numFmtId="0" fontId="4" fillId="4" borderId="0" xfId="0" applyFont="1" applyFill="1"/>
    <xf numFmtId="164" fontId="2" fillId="4" borderId="4" xfId="1" applyNumberFormat="1" applyFont="1" applyFill="1" applyBorder="1" applyAlignment="1" applyProtection="1">
      <alignment vertical="center" wrapText="1"/>
      <protection locked="0"/>
    </xf>
    <xf numFmtId="166" fontId="3" fillId="4" borderId="4" xfId="3" applyNumberFormat="1" applyFont="1" applyFill="1" applyBorder="1" applyAlignment="1" applyProtection="1">
      <alignment horizontal="center" vertical="center" wrapText="1"/>
      <protection locked="0"/>
    </xf>
    <xf numFmtId="168" fontId="0" fillId="4" borderId="0" xfId="0" applyNumberFormat="1" applyFill="1"/>
    <xf numFmtId="171" fontId="3" fillId="4" borderId="4" xfId="1" applyNumberFormat="1" applyFont="1" applyFill="1" applyBorder="1" applyAlignment="1" applyProtection="1">
      <alignment horizontal="center" vertical="center" wrapText="1"/>
      <protection locked="0"/>
    </xf>
    <xf numFmtId="166" fontId="0" fillId="4" borderId="0" xfId="0" applyNumberFormat="1" applyFill="1"/>
    <xf numFmtId="165" fontId="1" fillId="7" borderId="15" xfId="1" applyNumberFormat="1" applyFont="1" applyFill="1" applyBorder="1"/>
    <xf numFmtId="172" fontId="3" fillId="4" borderId="4" xfId="1" applyNumberFormat="1" applyFont="1" applyFill="1" applyBorder="1" applyAlignment="1" applyProtection="1">
      <alignment vertical="center" wrapText="1"/>
      <protection locked="0"/>
    </xf>
    <xf numFmtId="172" fontId="3" fillId="4" borderId="4" xfId="3" applyNumberFormat="1" applyFont="1" applyFill="1" applyBorder="1" applyAlignment="1" applyProtection="1">
      <alignment horizontal="center" vertical="center" wrapText="1"/>
      <protection locked="0"/>
    </xf>
    <xf numFmtId="165" fontId="0" fillId="4" borderId="0" xfId="0" applyNumberFormat="1" applyFill="1" applyBorder="1"/>
    <xf numFmtId="165" fontId="1" fillId="4" borderId="0" xfId="1" applyNumberFormat="1" applyFont="1" applyFill="1" applyBorder="1"/>
    <xf numFmtId="165" fontId="0" fillId="4" borderId="0" xfId="1" applyNumberFormat="1" applyFont="1" applyFill="1" applyBorder="1"/>
    <xf numFmtId="0" fontId="25" fillId="0" borderId="0" xfId="0" applyFont="1"/>
    <xf numFmtId="0" fontId="1" fillId="0" borderId="0" xfId="0" applyFont="1"/>
    <xf numFmtId="0" fontId="1" fillId="2" borderId="0" xfId="2" applyFont="1" applyFill="1" applyProtection="1"/>
    <xf numFmtId="0" fontId="1" fillId="0" borderId="0" xfId="2" applyFont="1" applyProtection="1"/>
    <xf numFmtId="168" fontId="0" fillId="2" borderId="0" xfId="0" applyNumberFormat="1" applyFill="1"/>
    <xf numFmtId="9" fontId="0" fillId="2" borderId="0" xfId="3" applyFont="1" applyFill="1"/>
    <xf numFmtId="167" fontId="12" fillId="2" borderId="0" xfId="1" applyNumberFormat="1" applyFont="1" applyFill="1"/>
    <xf numFmtId="164" fontId="0" fillId="2" borderId="0" xfId="1" applyFont="1" applyFill="1"/>
    <xf numFmtId="10" fontId="1" fillId="4" borderId="0" xfId="3" applyNumberFormat="1" applyFont="1" applyFill="1"/>
    <xf numFmtId="165" fontId="1" fillId="4" borderId="0" xfId="1" applyNumberFormat="1" applyFont="1" applyFill="1"/>
    <xf numFmtId="164" fontId="1" fillId="4" borderId="0" xfId="1" applyFont="1" applyFill="1"/>
    <xf numFmtId="0" fontId="0" fillId="5" borderId="2" xfId="0" applyFill="1" applyBorder="1" applyAlignment="1">
      <alignment horizontal="center"/>
    </xf>
    <xf numFmtId="0" fontId="2" fillId="5" borderId="2" xfId="0" applyFont="1" applyFill="1" applyBorder="1" applyAlignment="1"/>
    <xf numFmtId="0" fontId="2" fillId="5" borderId="36" xfId="0" applyFont="1" applyFill="1" applyBorder="1" applyAlignment="1"/>
    <xf numFmtId="0" fontId="0" fillId="5" borderId="3" xfId="0" applyFill="1" applyBorder="1" applyAlignment="1">
      <alignment horizontal="center"/>
    </xf>
    <xf numFmtId="0" fontId="3" fillId="5" borderId="41" xfId="0" applyFont="1" applyFill="1" applyBorder="1" applyAlignment="1">
      <alignment horizontal="left"/>
    </xf>
    <xf numFmtId="0" fontId="2" fillId="5" borderId="4" xfId="2" applyFont="1" applyFill="1" applyBorder="1" applyAlignment="1" applyProtection="1">
      <alignment horizontal="center" vertical="center" wrapText="1"/>
    </xf>
    <xf numFmtId="0" fontId="2" fillId="5" borderId="42" xfId="2" applyFont="1" applyFill="1" applyBorder="1" applyAlignment="1" applyProtection="1">
      <alignment horizontal="center" vertical="center" wrapText="1"/>
    </xf>
    <xf numFmtId="0" fontId="3" fillId="5" borderId="41" xfId="0" applyFont="1" applyFill="1" applyBorder="1" applyAlignment="1">
      <alignment horizontal="center"/>
    </xf>
    <xf numFmtId="0" fontId="3" fillId="5" borderId="44" xfId="0" applyFont="1" applyFill="1" applyBorder="1" applyAlignment="1">
      <alignment horizontal="left"/>
    </xf>
    <xf numFmtId="0" fontId="2" fillId="5" borderId="41" xfId="0" applyFont="1" applyFill="1" applyBorder="1"/>
    <xf numFmtId="0" fontId="0" fillId="4" borderId="3" xfId="0" applyFill="1" applyBorder="1"/>
    <xf numFmtId="0" fontId="0" fillId="5" borderId="1" xfId="0" applyFill="1" applyBorder="1" applyAlignment="1">
      <alignment horizontal="center"/>
    </xf>
    <xf numFmtId="0" fontId="2" fillId="5" borderId="48" xfId="0" applyFont="1" applyFill="1" applyBorder="1"/>
    <xf numFmtId="0" fontId="2" fillId="5" borderId="49" xfId="0" applyFont="1" applyFill="1" applyBorder="1"/>
    <xf numFmtId="0" fontId="2" fillId="5" borderId="1" xfId="0" applyFont="1" applyFill="1" applyBorder="1" applyAlignment="1">
      <alignment horizontal="left"/>
    </xf>
    <xf numFmtId="0" fontId="2" fillId="5" borderId="50" xfId="0" applyFont="1" applyFill="1" applyBorder="1"/>
    <xf numFmtId="0" fontId="3" fillId="5" borderId="51" xfId="0" applyFont="1" applyFill="1" applyBorder="1" applyAlignment="1">
      <alignment horizontal="center"/>
    </xf>
    <xf numFmtId="0" fontId="3" fillId="5" borderId="49" xfId="0" applyFont="1" applyFill="1" applyBorder="1" applyAlignment="1">
      <alignment horizontal="center"/>
    </xf>
    <xf numFmtId="0" fontId="3" fillId="5" borderId="52" xfId="0" applyFont="1" applyFill="1" applyBorder="1" applyAlignment="1">
      <alignment horizontal="center"/>
    </xf>
    <xf numFmtId="0" fontId="2" fillId="5" borderId="51" xfId="0" applyFont="1" applyFill="1" applyBorder="1"/>
    <xf numFmtId="0" fontId="0" fillId="4" borderId="54" xfId="0" applyFill="1" applyBorder="1"/>
    <xf numFmtId="0" fontId="0" fillId="4" borderId="55" xfId="0" applyFill="1" applyBorder="1"/>
    <xf numFmtId="0" fontId="0" fillId="4" borderId="16" xfId="0" applyFill="1" applyBorder="1"/>
    <xf numFmtId="0" fontId="0" fillId="4" borderId="56" xfId="0" applyFill="1" applyBorder="1"/>
    <xf numFmtId="165" fontId="28" fillId="9" borderId="7" xfId="1" applyNumberFormat="1" applyFont="1" applyFill="1" applyBorder="1"/>
    <xf numFmtId="165" fontId="28" fillId="9" borderId="12" xfId="1" applyNumberFormat="1" applyFont="1" applyFill="1" applyBorder="1"/>
    <xf numFmtId="165" fontId="28" fillId="9" borderId="17" xfId="1" applyNumberFormat="1" applyFont="1" applyFill="1" applyBorder="1"/>
    <xf numFmtId="165" fontId="4" fillId="4" borderId="54" xfId="1" applyNumberFormat="1" applyFont="1" applyFill="1" applyBorder="1" applyAlignment="1" applyProtection="1">
      <alignment horizontal="center" vertical="center" wrapText="1"/>
    </xf>
    <xf numFmtId="165" fontId="4" fillId="4" borderId="55" xfId="1" applyNumberFormat="1" applyFont="1" applyFill="1" applyBorder="1" applyAlignment="1" applyProtection="1">
      <alignment horizontal="center" vertical="center" wrapText="1"/>
    </xf>
    <xf numFmtId="165" fontId="4" fillId="4" borderId="16" xfId="1" applyNumberFormat="1" applyFont="1" applyFill="1" applyBorder="1" applyAlignment="1" applyProtection="1">
      <alignment horizontal="center" vertical="center" wrapText="1"/>
    </xf>
    <xf numFmtId="165" fontId="29" fillId="4" borderId="54" xfId="1" applyNumberFormat="1" applyFont="1" applyFill="1" applyBorder="1" applyAlignment="1" applyProtection="1">
      <alignment horizontal="center" vertical="center" wrapText="1"/>
    </xf>
    <xf numFmtId="165" fontId="29" fillId="4" borderId="3" xfId="1" applyNumberFormat="1" applyFont="1" applyFill="1" applyBorder="1" applyAlignment="1" applyProtection="1">
      <alignment horizontal="center" vertical="center" wrapText="1"/>
    </xf>
    <xf numFmtId="165" fontId="0" fillId="4" borderId="3" xfId="0" applyNumberFormat="1" applyFill="1" applyBorder="1"/>
    <xf numFmtId="168" fontId="23" fillId="4" borderId="0" xfId="0" applyNumberFormat="1" applyFont="1" applyFill="1" applyBorder="1"/>
    <xf numFmtId="168" fontId="23" fillId="4" borderId="56" xfId="0" applyNumberFormat="1" applyFont="1" applyFill="1" applyBorder="1"/>
    <xf numFmtId="165" fontId="20" fillId="4" borderId="54" xfId="1" applyNumberFormat="1" applyFont="1" applyFill="1" applyBorder="1" applyAlignment="1" applyProtection="1">
      <alignment horizontal="center" vertical="center" wrapText="1"/>
    </xf>
    <xf numFmtId="165" fontId="20" fillId="4" borderId="55" xfId="1" applyNumberFormat="1" applyFont="1" applyFill="1" applyBorder="1" applyAlignment="1" applyProtection="1">
      <alignment horizontal="center" vertical="center" wrapText="1"/>
    </xf>
    <xf numFmtId="165" fontId="0" fillId="4" borderId="1" xfId="0" applyNumberFormat="1" applyFill="1" applyBorder="1"/>
    <xf numFmtId="168" fontId="23" fillId="4" borderId="50" xfId="0" applyNumberFormat="1" applyFont="1" applyFill="1" applyBorder="1"/>
    <xf numFmtId="168" fontId="23" fillId="4" borderId="57" xfId="0" applyNumberFormat="1" applyFont="1" applyFill="1" applyBorder="1"/>
    <xf numFmtId="165" fontId="0" fillId="4" borderId="2" xfId="0" applyNumberFormat="1" applyFill="1" applyBorder="1"/>
    <xf numFmtId="168" fontId="30" fillId="4" borderId="55" xfId="0" applyNumberFormat="1" applyFont="1" applyFill="1" applyBorder="1"/>
    <xf numFmtId="168" fontId="31" fillId="4" borderId="55" xfId="0" applyNumberFormat="1" applyFont="1" applyFill="1" applyBorder="1"/>
    <xf numFmtId="166" fontId="1" fillId="4" borderId="0" xfId="3" applyNumberFormat="1" applyFont="1" applyFill="1" applyAlignment="1">
      <alignment horizontal="center"/>
    </xf>
    <xf numFmtId="165" fontId="28" fillId="9" borderId="0" xfId="1" applyNumberFormat="1" applyFont="1" applyFill="1" applyBorder="1" applyAlignment="1" applyProtection="1">
      <alignment horizontal="center" vertical="center" wrapText="1"/>
    </xf>
    <xf numFmtId="168" fontId="23" fillId="4" borderId="0" xfId="0" applyNumberFormat="1" applyFont="1" applyFill="1"/>
    <xf numFmtId="168" fontId="0" fillId="4" borderId="8" xfId="0" applyNumberFormat="1" applyFill="1" applyBorder="1"/>
    <xf numFmtId="168" fontId="35" fillId="11" borderId="59" xfId="0" applyNumberFormat="1" applyFont="1" applyFill="1" applyBorder="1"/>
    <xf numFmtId="168" fontId="35" fillId="11" borderId="49" xfId="0" applyNumberFormat="1" applyFont="1" applyFill="1" applyBorder="1"/>
    <xf numFmtId="168" fontId="35" fillId="11" borderId="51" xfId="0" applyNumberFormat="1" applyFont="1" applyFill="1" applyBorder="1"/>
    <xf numFmtId="0" fontId="1" fillId="12" borderId="2" xfId="0" applyFont="1" applyFill="1" applyBorder="1"/>
    <xf numFmtId="0" fontId="0" fillId="12" borderId="36" xfId="0" applyFill="1" applyBorder="1"/>
    <xf numFmtId="165" fontId="12" fillId="12" borderId="36" xfId="0" applyNumberFormat="1" applyFont="1" applyFill="1" applyBorder="1"/>
    <xf numFmtId="165" fontId="12" fillId="12" borderId="37" xfId="0" applyNumberFormat="1" applyFont="1" applyFill="1" applyBorder="1"/>
    <xf numFmtId="165" fontId="12" fillId="13" borderId="36" xfId="0" applyNumberFormat="1" applyFont="1" applyFill="1" applyBorder="1"/>
    <xf numFmtId="165" fontId="12" fillId="13" borderId="37" xfId="0" applyNumberFormat="1" applyFont="1" applyFill="1" applyBorder="1"/>
    <xf numFmtId="0" fontId="13" fillId="12" borderId="1" xfId="0" applyFont="1" applyFill="1" applyBorder="1"/>
    <xf numFmtId="0" fontId="13" fillId="12" borderId="50" xfId="0" applyFont="1" applyFill="1" applyBorder="1"/>
    <xf numFmtId="168" fontId="30" fillId="12" borderId="50" xfId="0" applyNumberFormat="1" applyFont="1" applyFill="1" applyBorder="1"/>
    <xf numFmtId="168" fontId="30" fillId="12" borderId="57" xfId="0" applyNumberFormat="1" applyFont="1" applyFill="1" applyBorder="1"/>
    <xf numFmtId="168" fontId="30" fillId="13" borderId="50" xfId="0" applyNumberFormat="1" applyFont="1" applyFill="1" applyBorder="1"/>
    <xf numFmtId="168" fontId="30" fillId="13" borderId="57" xfId="0" applyNumberFormat="1" applyFont="1" applyFill="1" applyBorder="1"/>
    <xf numFmtId="168" fontId="12" fillId="12" borderId="36" xfId="0" applyNumberFormat="1" applyFont="1" applyFill="1" applyBorder="1"/>
    <xf numFmtId="168" fontId="12" fillId="12" borderId="37" xfId="0" applyNumberFormat="1" applyFont="1" applyFill="1" applyBorder="1"/>
    <xf numFmtId="168" fontId="12" fillId="13" borderId="36" xfId="0" applyNumberFormat="1" applyFont="1" applyFill="1" applyBorder="1"/>
    <xf numFmtId="168" fontId="12" fillId="13" borderId="37" xfId="0" applyNumberFormat="1" applyFont="1" applyFill="1" applyBorder="1"/>
    <xf numFmtId="0" fontId="2" fillId="12" borderId="1" xfId="0" applyFont="1" applyFill="1" applyBorder="1"/>
    <xf numFmtId="0" fontId="2" fillId="12" borderId="50" xfId="0" applyFont="1" applyFill="1" applyBorder="1"/>
    <xf numFmtId="168" fontId="31" fillId="12" borderId="50" xfId="0" applyNumberFormat="1" applyFont="1" applyFill="1" applyBorder="1"/>
    <xf numFmtId="168" fontId="31" fillId="12" borderId="57" xfId="0" applyNumberFormat="1" applyFont="1" applyFill="1" applyBorder="1"/>
    <xf numFmtId="168" fontId="31" fillId="13" borderId="50" xfId="0" applyNumberFormat="1" applyFont="1" applyFill="1" applyBorder="1"/>
    <xf numFmtId="168" fontId="31" fillId="13" borderId="57" xfId="0" applyNumberFormat="1" applyFont="1" applyFill="1" applyBorder="1"/>
    <xf numFmtId="0" fontId="2" fillId="13" borderId="1" xfId="0" applyFont="1" applyFill="1" applyBorder="1"/>
    <xf numFmtId="0" fontId="2" fillId="13" borderId="50" xfId="0" applyFont="1" applyFill="1" applyBorder="1"/>
    <xf numFmtId="0" fontId="16" fillId="7" borderId="56" xfId="0" applyFont="1" applyFill="1" applyBorder="1"/>
    <xf numFmtId="10" fontId="3" fillId="8" borderId="4" xfId="3" applyNumberFormat="1" applyFont="1" applyFill="1" applyBorder="1" applyAlignment="1" applyProtection="1">
      <alignment horizontal="center" vertical="center" wrapText="1"/>
      <protection locked="0"/>
    </xf>
    <xf numFmtId="165" fontId="3" fillId="8" borderId="4" xfId="1" applyNumberFormat="1" applyFont="1" applyFill="1" applyBorder="1" applyAlignment="1" applyProtection="1">
      <alignment vertical="center" wrapText="1"/>
      <protection locked="0"/>
    </xf>
    <xf numFmtId="166" fontId="3" fillId="8" borderId="4" xfId="3" applyNumberFormat="1" applyFont="1" applyFill="1" applyBorder="1" applyAlignment="1" applyProtection="1">
      <alignment horizontal="center" vertical="center" wrapText="1"/>
      <protection locked="0"/>
    </xf>
    <xf numFmtId="165" fontId="3" fillId="6" borderId="4" xfId="1" applyNumberFormat="1" applyFont="1" applyFill="1" applyBorder="1" applyAlignment="1" applyProtection="1">
      <alignment vertical="center" wrapText="1"/>
      <protection locked="0"/>
    </xf>
    <xf numFmtId="166" fontId="3" fillId="6" borderId="4" xfId="3" applyNumberFormat="1" applyFont="1" applyFill="1" applyBorder="1" applyAlignment="1" applyProtection="1">
      <alignment horizontal="center" vertical="center" wrapText="1"/>
      <protection locked="0"/>
    </xf>
    <xf numFmtId="165" fontId="0" fillId="8" borderId="0" xfId="0" applyNumberFormat="1" applyFill="1" applyBorder="1"/>
    <xf numFmtId="168" fontId="0" fillId="8" borderId="0" xfId="0" applyNumberFormat="1" applyFill="1"/>
    <xf numFmtId="9" fontId="0" fillId="4" borderId="0" xfId="3" applyFont="1" applyFill="1"/>
    <xf numFmtId="0" fontId="1" fillId="2" borderId="0" xfId="6" applyFont="1" applyFill="1" applyProtection="1"/>
    <xf numFmtId="0" fontId="1" fillId="0" borderId="0" xfId="6" applyFont="1" applyProtection="1"/>
    <xf numFmtId="0" fontId="10" fillId="7" borderId="0" xfId="6" applyFont="1" applyFill="1" applyAlignment="1" applyProtection="1">
      <alignment horizontal="center" vertical="center" wrapText="1"/>
    </xf>
    <xf numFmtId="0" fontId="10" fillId="7" borderId="0" xfId="6" applyFont="1" applyFill="1" applyAlignment="1" applyProtection="1">
      <alignment horizontal="center"/>
    </xf>
    <xf numFmtId="0" fontId="0" fillId="5" borderId="2" xfId="0" applyFill="1" applyBorder="1"/>
    <xf numFmtId="0" fontId="2" fillId="5" borderId="43" xfId="6" applyFont="1" applyFill="1" applyBorder="1" applyAlignment="1" applyProtection="1">
      <alignment horizontal="center" vertical="center" wrapText="1"/>
    </xf>
    <xf numFmtId="0" fontId="2" fillId="5" borderId="30" xfId="6" applyFont="1" applyFill="1" applyBorder="1" applyAlignment="1" applyProtection="1">
      <alignment horizontal="center" vertical="center" wrapText="1"/>
    </xf>
    <xf numFmtId="0" fontId="2" fillId="5" borderId="61" xfId="6" applyFont="1" applyFill="1" applyBorder="1" applyAlignment="1" applyProtection="1">
      <alignment horizontal="center" vertical="center" wrapText="1"/>
    </xf>
    <xf numFmtId="0" fontId="1" fillId="4" borderId="53" xfId="6" applyFont="1" applyFill="1" applyBorder="1" applyProtection="1"/>
    <xf numFmtId="0" fontId="2" fillId="4" borderId="43" xfId="6" applyFont="1" applyFill="1" applyBorder="1" applyAlignment="1" applyProtection="1">
      <alignment horizontal="center" vertical="center" wrapText="1"/>
    </xf>
    <xf numFmtId="0" fontId="26" fillId="4" borderId="30" xfId="6" applyFont="1" applyFill="1" applyBorder="1" applyAlignment="1" applyProtection="1">
      <alignment horizontal="left" vertical="center" wrapText="1"/>
    </xf>
    <xf numFmtId="0" fontId="17" fillId="9" borderId="12" xfId="6" applyFont="1" applyFill="1" applyBorder="1" applyAlignment="1" applyProtection="1">
      <alignment horizontal="center" vertical="center" wrapText="1"/>
    </xf>
    <xf numFmtId="0" fontId="17" fillId="9" borderId="0" xfId="6" applyFont="1" applyFill="1" applyBorder="1" applyAlignment="1" applyProtection="1">
      <alignment horizontal="center" vertical="center" wrapText="1"/>
    </xf>
    <xf numFmtId="165" fontId="28" fillId="9" borderId="62" xfId="1" applyNumberFormat="1" applyFont="1" applyFill="1" applyBorder="1"/>
    <xf numFmtId="0" fontId="4" fillId="4" borderId="32" xfId="6" applyFont="1" applyFill="1" applyBorder="1" applyAlignment="1" applyProtection="1">
      <alignment horizontal="left" vertical="center" wrapText="1"/>
    </xf>
    <xf numFmtId="0" fontId="4" fillId="4" borderId="5" xfId="6" applyFont="1" applyFill="1" applyBorder="1" applyAlignment="1" applyProtection="1">
      <alignment horizontal="left" vertical="center" wrapText="1"/>
    </xf>
    <xf numFmtId="0" fontId="4" fillId="4" borderId="0" xfId="6" applyFont="1" applyFill="1" applyBorder="1" applyAlignment="1" applyProtection="1">
      <alignment horizontal="center" vertical="center" wrapText="1"/>
    </xf>
    <xf numFmtId="168" fontId="4" fillId="4" borderId="54" xfId="6" applyNumberFormat="1" applyFont="1" applyFill="1" applyBorder="1" applyAlignment="1" applyProtection="1">
      <alignment horizontal="center" vertical="center" wrapText="1"/>
    </xf>
    <xf numFmtId="0" fontId="1" fillId="4" borderId="63" xfId="0" applyFont="1" applyFill="1" applyBorder="1"/>
    <xf numFmtId="168" fontId="0" fillId="4" borderId="64" xfId="0" applyNumberFormat="1" applyFill="1" applyBorder="1"/>
    <xf numFmtId="168" fontId="0" fillId="4" borderId="65" xfId="0" applyNumberFormat="1" applyFill="1" applyBorder="1"/>
    <xf numFmtId="0" fontId="4" fillId="4" borderId="30" xfId="6" applyFont="1" applyFill="1" applyBorder="1" applyAlignment="1" applyProtection="1">
      <alignment horizontal="left" vertical="center" wrapText="1"/>
    </xf>
    <xf numFmtId="0" fontId="4" fillId="3" borderId="4" xfId="6" applyFont="1" applyFill="1" applyBorder="1" applyAlignment="1" applyProtection="1">
      <alignment horizontal="left" vertical="center" wrapText="1"/>
    </xf>
    <xf numFmtId="0" fontId="4" fillId="3" borderId="0" xfId="6" applyFont="1" applyFill="1" applyBorder="1" applyAlignment="1" applyProtection="1">
      <alignment horizontal="center" vertical="center" wrapText="1"/>
    </xf>
    <xf numFmtId="0" fontId="1" fillId="4" borderId="66" xfId="0" applyFont="1" applyFill="1" applyBorder="1"/>
    <xf numFmtId="165" fontId="0" fillId="4" borderId="67" xfId="0" applyNumberFormat="1" applyFill="1" applyBorder="1"/>
    <xf numFmtId="165" fontId="0" fillId="4" borderId="68" xfId="0" applyNumberFormat="1" applyFill="1" applyBorder="1"/>
    <xf numFmtId="0" fontId="23" fillId="4" borderId="66" xfId="0" applyFont="1" applyFill="1" applyBorder="1"/>
    <xf numFmtId="168" fontId="23" fillId="4" borderId="67" xfId="0" applyNumberFormat="1" applyFont="1" applyFill="1" applyBorder="1"/>
    <xf numFmtId="168" fontId="23" fillId="4" borderId="68" xfId="0" applyNumberFormat="1" applyFont="1" applyFill="1" applyBorder="1"/>
    <xf numFmtId="0" fontId="20" fillId="3" borderId="0" xfId="6" applyFont="1" applyFill="1" applyBorder="1" applyAlignment="1" applyProtection="1">
      <alignment horizontal="center" vertical="center" wrapText="1"/>
    </xf>
    <xf numFmtId="164" fontId="1" fillId="4" borderId="66" xfId="1" applyFont="1" applyFill="1" applyBorder="1"/>
    <xf numFmtId="10" fontId="1" fillId="4" borderId="67" xfId="3" applyNumberFormat="1" applyFont="1" applyFill="1" applyBorder="1"/>
    <xf numFmtId="10" fontId="1" fillId="4" borderId="68" xfId="3" applyNumberFormat="1" applyFont="1" applyFill="1" applyBorder="1"/>
    <xf numFmtId="0" fontId="0" fillId="4" borderId="66" xfId="0" applyFill="1" applyBorder="1"/>
    <xf numFmtId="0" fontId="4" fillId="3" borderId="6" xfId="6" applyFont="1" applyFill="1" applyBorder="1" applyAlignment="1" applyProtection="1">
      <alignment horizontal="left" vertical="center" wrapText="1"/>
    </xf>
    <xf numFmtId="168" fontId="0" fillId="4" borderId="67" xfId="0" applyNumberFormat="1" applyFill="1" applyBorder="1"/>
    <xf numFmtId="168" fontId="0" fillId="4" borderId="68" xfId="0" applyNumberFormat="1" applyFill="1" applyBorder="1"/>
    <xf numFmtId="0" fontId="3" fillId="8" borderId="12" xfId="6" applyFont="1" applyFill="1" applyBorder="1" applyAlignment="1" applyProtection="1">
      <alignment horizontal="center" vertical="center" wrapText="1"/>
    </xf>
    <xf numFmtId="0" fontId="3" fillId="8" borderId="0" xfId="6" applyFont="1" applyFill="1" applyBorder="1" applyAlignment="1" applyProtection="1">
      <alignment horizontal="center" vertical="center" wrapText="1"/>
    </xf>
    <xf numFmtId="165" fontId="20" fillId="8" borderId="0" xfId="6" applyNumberFormat="1" applyFont="1" applyFill="1" applyBorder="1" applyAlignment="1" applyProtection="1">
      <alignment horizontal="center" vertical="center" wrapText="1"/>
    </xf>
    <xf numFmtId="0" fontId="4" fillId="3" borderId="5" xfId="6" applyFont="1" applyFill="1" applyBorder="1" applyAlignment="1" applyProtection="1">
      <alignment horizontal="left" vertical="center" wrapText="1"/>
    </xf>
    <xf numFmtId="0" fontId="1" fillId="4" borderId="69" xfId="0" applyFont="1" applyFill="1" applyBorder="1"/>
    <xf numFmtId="165" fontId="0" fillId="4" borderId="70" xfId="0" applyNumberFormat="1" applyFill="1" applyBorder="1"/>
    <xf numFmtId="165" fontId="0" fillId="4" borderId="71" xfId="0" applyNumberFormat="1" applyFill="1" applyBorder="1"/>
    <xf numFmtId="0" fontId="1" fillId="4" borderId="72" xfId="0" applyFont="1" applyFill="1" applyBorder="1"/>
    <xf numFmtId="165" fontId="0" fillId="4" borderId="73" xfId="0" applyNumberFormat="1" applyFill="1" applyBorder="1"/>
    <xf numFmtId="165" fontId="0" fillId="4" borderId="74" xfId="0" applyNumberFormat="1" applyFill="1" applyBorder="1"/>
    <xf numFmtId="0" fontId="4" fillId="4" borderId="10" xfId="6" applyFont="1" applyFill="1" applyBorder="1" applyAlignment="1" applyProtection="1">
      <alignment horizontal="left" vertical="center" wrapText="1"/>
    </xf>
    <xf numFmtId="165" fontId="3" fillId="8" borderId="0" xfId="6" applyNumberFormat="1" applyFont="1" applyFill="1" applyBorder="1" applyAlignment="1" applyProtection="1">
      <alignment horizontal="center" vertical="center" wrapText="1"/>
    </xf>
    <xf numFmtId="0" fontId="4" fillId="4" borderId="58" xfId="6" applyFont="1" applyFill="1" applyBorder="1" applyAlignment="1" applyProtection="1">
      <alignment horizontal="left" vertical="center" wrapText="1"/>
    </xf>
    <xf numFmtId="0" fontId="4" fillId="4" borderId="0" xfId="6" applyFont="1" applyFill="1" applyBorder="1" applyAlignment="1" applyProtection="1">
      <alignment horizontal="left" vertical="center" wrapText="1"/>
    </xf>
    <xf numFmtId="0" fontId="4" fillId="4" borderId="11" xfId="6" applyFont="1" applyFill="1" applyBorder="1" applyAlignment="1" applyProtection="1">
      <alignment horizontal="left" vertical="center" wrapText="1"/>
    </xf>
    <xf numFmtId="168" fontId="0" fillId="4" borderId="70" xfId="0" applyNumberFormat="1" applyFill="1" applyBorder="1"/>
    <xf numFmtId="168" fontId="0" fillId="4" borderId="71" xfId="0" applyNumberFormat="1" applyFill="1" applyBorder="1"/>
    <xf numFmtId="0" fontId="0" fillId="4" borderId="75" xfId="0" applyFill="1" applyBorder="1"/>
    <xf numFmtId="168" fontId="4" fillId="4" borderId="30" xfId="6" applyNumberFormat="1" applyFont="1" applyFill="1" applyBorder="1" applyAlignment="1" applyProtection="1">
      <alignment horizontal="left" vertical="center" wrapText="1"/>
    </xf>
    <xf numFmtId="166" fontId="1" fillId="4" borderId="73" xfId="3" applyNumberFormat="1" applyFont="1" applyFill="1" applyBorder="1" applyAlignment="1">
      <alignment horizontal="center"/>
    </xf>
    <xf numFmtId="166" fontId="1" fillId="4" borderId="74" xfId="3" applyNumberFormat="1" applyFont="1" applyFill="1" applyBorder="1" applyAlignment="1">
      <alignment horizontal="center"/>
    </xf>
    <xf numFmtId="166" fontId="0" fillId="4" borderId="67" xfId="0" applyNumberFormat="1" applyFill="1" applyBorder="1" applyAlignment="1">
      <alignment horizontal="center"/>
    </xf>
    <xf numFmtId="166" fontId="0" fillId="4" borderId="68" xfId="0" applyNumberFormat="1" applyFill="1" applyBorder="1" applyAlignment="1">
      <alignment horizontal="center"/>
    </xf>
    <xf numFmtId="166" fontId="1" fillId="4" borderId="67" xfId="3" applyNumberFormat="1" applyFont="1" applyFill="1" applyBorder="1" applyAlignment="1">
      <alignment horizontal="center"/>
    </xf>
    <xf numFmtId="166" fontId="1" fillId="4" borderId="68" xfId="3" applyNumberFormat="1" applyFont="1" applyFill="1" applyBorder="1" applyAlignment="1">
      <alignment horizontal="center"/>
    </xf>
    <xf numFmtId="166" fontId="33" fillId="9" borderId="67" xfId="3" applyNumberFormat="1" applyFont="1" applyFill="1" applyBorder="1" applyAlignment="1">
      <alignment horizontal="center"/>
    </xf>
    <xf numFmtId="166" fontId="33" fillId="9" borderId="68" xfId="3" applyNumberFormat="1" applyFont="1" applyFill="1" applyBorder="1" applyAlignment="1">
      <alignment horizontal="center"/>
    </xf>
    <xf numFmtId="166" fontId="33" fillId="9" borderId="70" xfId="3" applyNumberFormat="1" applyFont="1" applyFill="1" applyBorder="1" applyAlignment="1">
      <alignment horizontal="center"/>
    </xf>
    <xf numFmtId="166" fontId="33" fillId="9" borderId="71" xfId="3" applyNumberFormat="1" applyFont="1" applyFill="1" applyBorder="1" applyAlignment="1">
      <alignment horizontal="center"/>
    </xf>
    <xf numFmtId="0" fontId="0" fillId="4" borderId="36" xfId="0" applyFill="1" applyBorder="1"/>
    <xf numFmtId="0" fontId="3" fillId="4" borderId="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/>
    <xf numFmtId="0" fontId="22" fillId="4" borderId="0" xfId="0" applyFont="1" applyFill="1" applyBorder="1"/>
    <xf numFmtId="0" fontId="28" fillId="9" borderId="0" xfId="6" applyFont="1" applyFill="1" applyBorder="1" applyAlignment="1" applyProtection="1">
      <alignment horizontal="center" vertical="center" wrapText="1"/>
    </xf>
    <xf numFmtId="0" fontId="34" fillId="9" borderId="0" xfId="6" applyFont="1" applyFill="1" applyBorder="1" applyAlignment="1" applyProtection="1">
      <alignment horizontal="center" vertical="center" wrapText="1"/>
    </xf>
    <xf numFmtId="0" fontId="23" fillId="4" borderId="0" xfId="0" applyFont="1" applyFill="1" applyBorder="1"/>
    <xf numFmtId="0" fontId="17" fillId="11" borderId="0" xfId="6" applyFont="1" applyFill="1" applyBorder="1" applyAlignment="1" applyProtection="1">
      <alignment horizontal="center" vertical="center" wrapText="1"/>
    </xf>
    <xf numFmtId="2" fontId="3" fillId="4" borderId="4" xfId="1" applyNumberFormat="1" applyFont="1" applyFill="1" applyBorder="1" applyAlignment="1" applyProtection="1">
      <alignment horizontal="center" vertical="center" wrapText="1"/>
      <protection locked="0"/>
    </xf>
    <xf numFmtId="0" fontId="27" fillId="9" borderId="35" xfId="6" applyFont="1" applyFill="1" applyBorder="1" applyAlignment="1" applyProtection="1">
      <alignment vertical="center" wrapText="1"/>
    </xf>
    <xf numFmtId="0" fontId="17" fillId="4" borderId="35" xfId="6" applyFont="1" applyFill="1" applyBorder="1" applyAlignment="1" applyProtection="1">
      <alignment vertical="center" wrapText="1"/>
    </xf>
    <xf numFmtId="0" fontId="17" fillId="4" borderId="18" xfId="6" applyFont="1" applyFill="1" applyBorder="1" applyAlignment="1" applyProtection="1">
      <alignment vertical="center" wrapText="1"/>
    </xf>
    <xf numFmtId="0" fontId="2" fillId="4" borderId="0" xfId="0" applyFont="1" applyFill="1"/>
    <xf numFmtId="2" fontId="2" fillId="4" borderId="0" xfId="0" applyNumberFormat="1" applyFont="1" applyFill="1"/>
    <xf numFmtId="9" fontId="3" fillId="0" borderId="0" xfId="3" applyFont="1"/>
    <xf numFmtId="173" fontId="16" fillId="7" borderId="6" xfId="7" applyNumberFormat="1" applyFont="1" applyFill="1" applyBorder="1"/>
    <xf numFmtId="166" fontId="16" fillId="7" borderId="6" xfId="3" applyNumberFormat="1" applyFont="1" applyFill="1" applyBorder="1" applyAlignment="1">
      <alignment horizontal="center" vertical="center"/>
    </xf>
    <xf numFmtId="9" fontId="16" fillId="7" borderId="6" xfId="3" applyFont="1" applyFill="1" applyBorder="1" applyAlignment="1">
      <alignment horizontal="center" vertical="center"/>
    </xf>
    <xf numFmtId="166" fontId="16" fillId="7" borderId="60" xfId="3" applyNumberFormat="1" applyFont="1" applyFill="1" applyBorder="1" applyAlignment="1">
      <alignment horizontal="center" vertical="center"/>
    </xf>
    <xf numFmtId="0" fontId="4" fillId="6" borderId="8" xfId="0" applyFont="1" applyFill="1" applyBorder="1"/>
    <xf numFmtId="165" fontId="4" fillId="6" borderId="11" xfId="1" applyNumberFormat="1" applyFont="1" applyFill="1" applyBorder="1"/>
    <xf numFmtId="164" fontId="16" fillId="7" borderId="6" xfId="1" applyFont="1" applyFill="1" applyBorder="1"/>
    <xf numFmtId="166" fontId="16" fillId="7" borderId="6" xfId="0" applyNumberFormat="1" applyFont="1" applyFill="1" applyBorder="1" applyAlignment="1">
      <alignment horizontal="center" vertical="center"/>
    </xf>
    <xf numFmtId="164" fontId="16" fillId="7" borderId="6" xfId="1" applyFont="1" applyFill="1" applyBorder="1" applyAlignment="1">
      <alignment horizontal="center"/>
    </xf>
    <xf numFmtId="173" fontId="16" fillId="7" borderId="60" xfId="7" applyNumberFormat="1" applyFont="1" applyFill="1" applyBorder="1"/>
    <xf numFmtId="0" fontId="9" fillId="4" borderId="20" xfId="2" applyFont="1" applyFill="1" applyBorder="1" applyAlignment="1" applyProtection="1">
      <alignment horizontal="left" vertical="center" wrapText="1"/>
    </xf>
    <xf numFmtId="0" fontId="9" fillId="4" borderId="21" xfId="2" applyFont="1" applyFill="1" applyBorder="1" applyAlignment="1" applyProtection="1">
      <alignment horizontal="left" vertical="center" wrapText="1"/>
    </xf>
    <xf numFmtId="0" fontId="9" fillId="4" borderId="3" xfId="2" applyFont="1" applyFill="1" applyBorder="1" applyAlignment="1" applyProtection="1">
      <alignment horizontal="left" vertical="center" wrapText="1"/>
    </xf>
    <xf numFmtId="0" fontId="9" fillId="4" borderId="0" xfId="2" applyFont="1" applyFill="1" applyBorder="1" applyAlignment="1" applyProtection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0" fillId="7" borderId="0" xfId="2" applyFont="1" applyFill="1" applyAlignment="1" applyProtection="1">
      <alignment horizontal="center" vertical="center" wrapText="1"/>
    </xf>
    <xf numFmtId="0" fontId="10" fillId="7" borderId="0" xfId="2" applyFont="1" applyFill="1" applyAlignment="1" applyProtection="1">
      <alignment horizontal="center"/>
    </xf>
    <xf numFmtId="0" fontId="2" fillId="5" borderId="23" xfId="0" applyFont="1" applyFill="1" applyBorder="1" applyAlignment="1">
      <alignment horizontal="left"/>
    </xf>
    <xf numFmtId="0" fontId="2" fillId="5" borderId="36" xfId="0" applyFont="1" applyFill="1" applyBorder="1" applyAlignment="1">
      <alignment horizontal="left"/>
    </xf>
    <xf numFmtId="0" fontId="2" fillId="5" borderId="37" xfId="0" applyFont="1" applyFill="1" applyBorder="1" applyAlignment="1">
      <alignment horizontal="left"/>
    </xf>
    <xf numFmtId="0" fontId="2" fillId="5" borderId="38" xfId="6" applyFont="1" applyFill="1" applyBorder="1" applyAlignment="1" applyProtection="1">
      <alignment horizontal="center"/>
    </xf>
    <xf numFmtId="0" fontId="2" fillId="5" borderId="39" xfId="6" applyFont="1" applyFill="1" applyBorder="1" applyAlignment="1" applyProtection="1">
      <alignment horizontal="center"/>
    </xf>
    <xf numFmtId="0" fontId="2" fillId="5" borderId="40" xfId="6" applyFont="1" applyFill="1" applyBorder="1" applyAlignment="1" applyProtection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45" xfId="6" applyFont="1" applyFill="1" applyBorder="1" applyAlignment="1" applyProtection="1">
      <alignment horizontal="center" vertical="center" wrapText="1"/>
    </xf>
    <xf numFmtId="0" fontId="2" fillId="5" borderId="46" xfId="6" applyFont="1" applyFill="1" applyBorder="1" applyAlignment="1" applyProtection="1">
      <alignment horizontal="center" vertical="center" wrapText="1"/>
    </xf>
    <xf numFmtId="0" fontId="2" fillId="5" borderId="47" xfId="6" applyFont="1" applyFill="1" applyBorder="1" applyAlignment="1" applyProtection="1">
      <alignment horizontal="center" vertical="center" wrapText="1"/>
    </xf>
    <xf numFmtId="166" fontId="28" fillId="9" borderId="67" xfId="3" applyNumberFormat="1" applyFont="1" applyFill="1" applyBorder="1" applyAlignment="1">
      <alignment horizontal="center"/>
    </xf>
    <xf numFmtId="166" fontId="28" fillId="9" borderId="70" xfId="3" applyNumberFormat="1" applyFont="1" applyFill="1" applyBorder="1" applyAlignment="1">
      <alignment horizontal="center"/>
    </xf>
    <xf numFmtId="0" fontId="17" fillId="9" borderId="19" xfId="6" applyFont="1" applyFill="1" applyBorder="1" applyAlignment="1" applyProtection="1">
      <alignment horizontal="center" vertical="center" wrapText="1"/>
    </xf>
    <xf numFmtId="0" fontId="17" fillId="9" borderId="18" xfId="6" applyFont="1" applyFill="1" applyBorder="1" applyAlignment="1" applyProtection="1">
      <alignment horizontal="center" vertical="center" wrapText="1"/>
    </xf>
    <xf numFmtId="0" fontId="17" fillId="9" borderId="7" xfId="6" applyFont="1" applyFill="1" applyBorder="1" applyAlignment="1" applyProtection="1">
      <alignment horizontal="center" vertical="center" wrapText="1"/>
    </xf>
    <xf numFmtId="0" fontId="17" fillId="9" borderId="35" xfId="6" applyFont="1" applyFill="1" applyBorder="1" applyAlignment="1" applyProtection="1">
      <alignment horizontal="center" vertical="center" wrapText="1"/>
    </xf>
    <xf numFmtId="0" fontId="4" fillId="4" borderId="33" xfId="6" applyFont="1" applyFill="1" applyBorder="1" applyAlignment="1" applyProtection="1">
      <alignment horizontal="left" vertical="center" wrapText="1"/>
    </xf>
    <xf numFmtId="0" fontId="4" fillId="4" borderId="34" xfId="6" applyFont="1" applyFill="1" applyBorder="1" applyAlignment="1" applyProtection="1">
      <alignment horizontal="left" vertical="center" wrapText="1"/>
    </xf>
    <xf numFmtId="166" fontId="32" fillId="9" borderId="66" xfId="3" applyNumberFormat="1" applyFont="1" applyFill="1" applyBorder="1" applyAlignment="1">
      <alignment horizontal="left" vertical="center" wrapText="1"/>
    </xf>
    <xf numFmtId="166" fontId="32" fillId="9" borderId="69" xfId="3" applyNumberFormat="1" applyFont="1" applyFill="1" applyBorder="1" applyAlignment="1">
      <alignment horizontal="left" vertical="center" wrapText="1"/>
    </xf>
    <xf numFmtId="166" fontId="6" fillId="4" borderId="0" xfId="3" applyNumberFormat="1" applyFont="1" applyFill="1" applyBorder="1" applyAlignment="1">
      <alignment horizontal="left" vertical="center" wrapText="1"/>
    </xf>
  </cellXfs>
  <cellStyles count="8">
    <cellStyle name="Millares" xfId="1" builtinId="3"/>
    <cellStyle name="Moneda" xfId="7" builtinId="4"/>
    <cellStyle name="Normal" xfId="0" builtinId="0"/>
    <cellStyle name="Normal 2" xfId="4"/>
    <cellStyle name="Normal_HAVA_FICHA FCIERA - última versión 09 - 2007" xfId="2"/>
    <cellStyle name="Normal_HAVA_FICHA FCIERA - última versión 09 - 2007 2" xfId="6"/>
    <cellStyle name="Porcentual" xfId="3" builtinId="5"/>
    <cellStyle name="Porcentual 2" xfId="5"/>
  </cellStyles>
  <dxfs count="0"/>
  <tableStyles count="0" defaultTableStyle="TableStyleMedium2" defaultPivotStyle="PivotStyleLight16"/>
  <colors>
    <mruColors>
      <color rgb="FF669900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152400</xdr:rowOff>
    </xdr:from>
    <xdr:to>
      <xdr:col>2</xdr:col>
      <xdr:colOff>9525</xdr:colOff>
      <xdr:row>5</xdr:row>
      <xdr:rowOff>28575</xdr:rowOff>
    </xdr:to>
    <xdr:pic>
      <xdr:nvPicPr>
        <xdr:cNvPr id="2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152400"/>
          <a:ext cx="7524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</xdr:row>
      <xdr:rowOff>28575</xdr:rowOff>
    </xdr:from>
    <xdr:to>
      <xdr:col>2</xdr:col>
      <xdr:colOff>1209676</xdr:colOff>
      <xdr:row>6</xdr:row>
      <xdr:rowOff>9525</xdr:rowOff>
    </xdr:to>
    <xdr:pic>
      <xdr:nvPicPr>
        <xdr:cNvPr id="3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190500"/>
          <a:ext cx="1181101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152400</xdr:rowOff>
    </xdr:from>
    <xdr:to>
      <xdr:col>2</xdr:col>
      <xdr:colOff>1143000</xdr:colOff>
      <xdr:row>5</xdr:row>
      <xdr:rowOff>200025</xdr:rowOff>
    </xdr:to>
    <xdr:pic>
      <xdr:nvPicPr>
        <xdr:cNvPr id="2" name="Picture 1" descr="EA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608" y="152400"/>
          <a:ext cx="1133475" cy="989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828675</xdr:colOff>
      <xdr:row>6</xdr:row>
      <xdr:rowOff>123825</xdr:rowOff>
    </xdr:from>
    <xdr:to>
      <xdr:col>7</xdr:col>
      <xdr:colOff>766329</xdr:colOff>
      <xdr:row>11</xdr:row>
      <xdr:rowOff>47625</xdr:rowOff>
    </xdr:to>
    <xdr:pic>
      <xdr:nvPicPr>
        <xdr:cNvPr id="3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0" y="1295400"/>
          <a:ext cx="1013979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455083</xdr:colOff>
      <xdr:row>6</xdr:row>
      <xdr:rowOff>123825</xdr:rowOff>
    </xdr:from>
    <xdr:to>
      <xdr:col>7</xdr:col>
      <xdr:colOff>1439333</xdr:colOff>
      <xdr:row>11</xdr:row>
      <xdr:rowOff>47625</xdr:rowOff>
    </xdr:to>
    <xdr:pic>
      <xdr:nvPicPr>
        <xdr:cNvPr id="4" name="4 Imagen" descr="mmgofccFINN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46308" y="1295400"/>
          <a:ext cx="20605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W108"/>
  <sheetViews>
    <sheetView workbookViewId="0">
      <selection activeCell="C12" sqref="C12"/>
    </sheetView>
  </sheetViews>
  <sheetFormatPr baseColWidth="10" defaultColWidth="0" defaultRowHeight="12.75"/>
  <cols>
    <col min="1" max="1" width="2.42578125" style="4" customWidth="1"/>
    <col min="2" max="2" width="4.42578125" style="5" bestFit="1" customWidth="1"/>
    <col min="3" max="3" width="34.7109375" style="4" customWidth="1"/>
    <col min="4" max="13" width="14.5703125" style="4" customWidth="1"/>
    <col min="14" max="14" width="1.42578125" style="4" customWidth="1"/>
    <col min="15" max="34" width="11.42578125" style="4" hidden="1" customWidth="1"/>
    <col min="35" max="127" width="0" style="4" hidden="1" customWidth="1"/>
    <col min="128" max="16384" width="11.42578125" style="4" hidden="1"/>
  </cols>
  <sheetData>
    <row r="1" spans="1:127" s="21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</row>
    <row r="2" spans="1:127" s="21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</row>
    <row r="3" spans="1:127" s="21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</row>
    <row r="4" spans="1:127" s="21" customFormat="1" ht="18">
      <c r="A4" s="1"/>
      <c r="B4" s="1"/>
      <c r="C4" s="23"/>
      <c r="D4" s="23" t="s">
        <v>0</v>
      </c>
      <c r="E4" s="23"/>
      <c r="F4" s="23"/>
      <c r="G4" s="23"/>
      <c r="H4" s="23"/>
      <c r="I4" s="23"/>
      <c r="J4" s="23"/>
      <c r="K4" s="23"/>
      <c r="L4" s="23"/>
      <c r="M4" s="23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</row>
    <row r="5" spans="1:127" s="21" customFormat="1" ht="18">
      <c r="A5" s="1"/>
      <c r="B5" s="1"/>
      <c r="C5" s="22"/>
      <c r="D5" s="292" t="s">
        <v>41</v>
      </c>
      <c r="E5" s="292"/>
      <c r="F5" s="292"/>
      <c r="G5" s="292"/>
      <c r="H5" s="292"/>
      <c r="I5" s="292"/>
      <c r="J5" s="292"/>
      <c r="K5" s="292"/>
      <c r="L5" s="292"/>
      <c r="M5" s="292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</row>
    <row r="6" spans="1:127" s="21" customFormat="1" ht="18">
      <c r="A6" s="1"/>
      <c r="B6" s="3"/>
      <c r="C6" s="22"/>
      <c r="D6" s="24" t="s">
        <v>39</v>
      </c>
      <c r="E6" s="24"/>
      <c r="F6" s="24"/>
      <c r="G6" s="24"/>
      <c r="H6" s="24"/>
      <c r="I6" s="24"/>
      <c r="J6" s="24"/>
      <c r="K6" s="24"/>
      <c r="L6" s="24"/>
      <c r="M6" s="24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</row>
    <row r="7" spans="1:127" s="21" customFormat="1" ht="15.75">
      <c r="A7" s="1"/>
      <c r="B7" s="3"/>
      <c r="C7" s="3" t="s">
        <v>1</v>
      </c>
      <c r="D7" s="1"/>
      <c r="E7" s="1"/>
      <c r="F7" s="2"/>
      <c r="G7" s="1"/>
      <c r="H7" s="1"/>
      <c r="I7" s="1"/>
      <c r="J7" s="1"/>
      <c r="K7" s="1"/>
      <c r="L7" s="1"/>
      <c r="M7" s="1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</row>
    <row r="8" spans="1:127" s="21" customFormat="1">
      <c r="A8" s="1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</row>
    <row r="9" spans="1:127" s="21" customFormat="1">
      <c r="A9" s="1"/>
      <c r="B9" s="3"/>
      <c r="C9" s="3"/>
      <c r="D9" s="68"/>
      <c r="E9" s="68"/>
      <c r="F9" s="68"/>
      <c r="G9" s="277">
        <f>H77/G77-1</f>
        <v>0.19345335981211464</v>
      </c>
      <c r="H9" s="277">
        <f>L77/H77-1</f>
        <v>0.74359181374423167</v>
      </c>
      <c r="I9" s="277">
        <f>H9/4</f>
        <v>0.18589795343605792</v>
      </c>
      <c r="J9" s="68"/>
      <c r="K9" s="68"/>
      <c r="L9" s="68"/>
      <c r="M9" s="68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</row>
    <row r="10" spans="1:127" s="21" customFormat="1">
      <c r="A10" s="1"/>
      <c r="B10" s="1"/>
      <c r="C10" s="1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</row>
    <row r="11" spans="1:127" s="21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</row>
    <row r="12" spans="1:127" s="21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</row>
    <row r="13" spans="1:127" s="21" customFormat="1">
      <c r="A13" s="19"/>
      <c r="B13" s="293" t="s">
        <v>40</v>
      </c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</row>
    <row r="14" spans="1:127" s="21" customFormat="1">
      <c r="A14" s="19"/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</row>
    <row r="15" spans="1:127" s="21" customFormat="1">
      <c r="A15" s="19"/>
      <c r="B15" s="294" t="s">
        <v>42</v>
      </c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</row>
    <row r="16" spans="1:127" s="21" customFormat="1">
      <c r="A16" s="20"/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</row>
    <row r="17" spans="1:13">
      <c r="A17" s="1"/>
      <c r="B17" s="1"/>
      <c r="C17" s="1"/>
      <c r="D17" s="64"/>
      <c r="E17" s="64"/>
      <c r="F17" s="64"/>
      <c r="G17" s="64"/>
      <c r="H17" s="64"/>
      <c r="I17" s="64"/>
      <c r="J17" s="64"/>
      <c r="K17" s="64"/>
      <c r="L17" s="64"/>
      <c r="M17" s="64"/>
    </row>
    <row r="18" spans="1:13" ht="13.5" thickBot="1">
      <c r="D18" s="65"/>
      <c r="E18" s="65">
        <f>+E24-D24</f>
        <v>-70907</v>
      </c>
      <c r="F18" s="65">
        <f>+F24-E24</f>
        <v>-28694</v>
      </c>
      <c r="G18" s="65">
        <f>+G24-F24</f>
        <v>87711</v>
      </c>
      <c r="H18" s="65">
        <f t="shared" ref="H18:M18" si="0">+H24-G24</f>
        <v>-9718</v>
      </c>
      <c r="I18" s="65">
        <f t="shared" si="0"/>
        <v>-14452.900000000001</v>
      </c>
      <c r="J18" s="65">
        <f t="shared" si="0"/>
        <v>1580.0999999999985</v>
      </c>
      <c r="K18" s="65">
        <f t="shared" si="0"/>
        <v>1580.1000000000058</v>
      </c>
      <c r="L18" s="65">
        <f t="shared" si="0"/>
        <v>1580.0999999999913</v>
      </c>
      <c r="M18" s="65">
        <f t="shared" si="0"/>
        <v>1580.1000000000058</v>
      </c>
    </row>
    <row r="19" spans="1:13">
      <c r="B19" s="73"/>
      <c r="C19" s="295" t="s">
        <v>162</v>
      </c>
      <c r="D19" s="295"/>
      <c r="E19" s="295"/>
      <c r="F19" s="295"/>
      <c r="G19" s="295"/>
      <c r="H19" s="295"/>
      <c r="I19" s="295"/>
      <c r="J19" s="295"/>
      <c r="K19" s="295"/>
      <c r="L19" s="295"/>
      <c r="M19" s="77"/>
    </row>
    <row r="20" spans="1:13">
      <c r="B20" s="74"/>
      <c r="C20" s="80" t="s">
        <v>68</v>
      </c>
      <c r="D20" s="81">
        <v>2007</v>
      </c>
      <c r="E20" s="81">
        <v>2008</v>
      </c>
      <c r="F20" s="81">
        <v>2009</v>
      </c>
      <c r="G20" s="81">
        <v>2010</v>
      </c>
      <c r="H20" s="81">
        <v>2011</v>
      </c>
      <c r="I20" s="81">
        <v>2012</v>
      </c>
      <c r="J20" s="81">
        <v>2013</v>
      </c>
      <c r="K20" s="81">
        <v>2014</v>
      </c>
      <c r="L20" s="81">
        <v>2015</v>
      </c>
      <c r="M20" s="82">
        <v>2016</v>
      </c>
    </row>
    <row r="21" spans="1:13" ht="13.5" thickBot="1">
      <c r="B21" s="75"/>
      <c r="C21" s="76" t="s">
        <v>2</v>
      </c>
      <c r="D21" s="83"/>
      <c r="E21" s="83"/>
      <c r="F21" s="83"/>
      <c r="G21" s="83"/>
      <c r="H21" s="83"/>
      <c r="I21" s="83"/>
      <c r="J21" s="83"/>
      <c r="K21" s="83"/>
      <c r="L21" s="83"/>
      <c r="M21" s="84"/>
    </row>
    <row r="22" spans="1:13">
      <c r="B22" s="6"/>
      <c r="C22" s="7"/>
      <c r="D22" s="58"/>
      <c r="E22" s="58"/>
      <c r="F22" s="58"/>
      <c r="G22" s="58"/>
      <c r="H22" s="58"/>
      <c r="I22" s="58">
        <v>6</v>
      </c>
      <c r="J22" s="58">
        <v>7</v>
      </c>
      <c r="K22" s="58">
        <v>8</v>
      </c>
      <c r="L22" s="58">
        <v>9</v>
      </c>
      <c r="M22" s="58">
        <v>10</v>
      </c>
    </row>
    <row r="23" spans="1:13" ht="13.5" thickBot="1">
      <c r="B23" s="8">
        <v>10</v>
      </c>
      <c r="C23" s="33" t="s">
        <v>58</v>
      </c>
      <c r="D23" s="45">
        <f>+D30+D38</f>
        <v>962313</v>
      </c>
      <c r="E23" s="46">
        <f>+E30+E38</f>
        <v>1745541</v>
      </c>
      <c r="F23" s="46">
        <f>+F30+F38</f>
        <v>3493342</v>
      </c>
      <c r="G23" s="47">
        <f>+G30+G38</f>
        <v>4557497</v>
      </c>
      <c r="H23" s="47">
        <f>+H30+H38</f>
        <v>6261700</v>
      </c>
      <c r="I23" s="47">
        <f t="shared" ref="I23:M23" si="1">+I30+I38</f>
        <v>7427297.6000000006</v>
      </c>
      <c r="J23" s="47">
        <f t="shared" si="1"/>
        <v>8768370.5999999996</v>
      </c>
      <c r="K23" s="47">
        <f t="shared" si="1"/>
        <v>10109443.6</v>
      </c>
      <c r="L23" s="47">
        <f t="shared" si="1"/>
        <v>11450516.6</v>
      </c>
      <c r="M23" s="47">
        <f t="shared" si="1"/>
        <v>12791589.6</v>
      </c>
    </row>
    <row r="24" spans="1:13" ht="13.5" thickTop="1">
      <c r="B24" s="9">
        <v>11</v>
      </c>
      <c r="C24" s="10" t="s">
        <v>3</v>
      </c>
      <c r="D24" s="48">
        <v>99601</v>
      </c>
      <c r="E24" s="48">
        <v>28694</v>
      </c>
      <c r="F24" s="48">
        <v>0</v>
      </c>
      <c r="G24" s="48">
        <v>87711</v>
      </c>
      <c r="H24" s="48">
        <v>77993</v>
      </c>
      <c r="I24" s="48">
        <v>63540.1</v>
      </c>
      <c r="J24" s="48">
        <v>65120.2</v>
      </c>
      <c r="K24" s="48">
        <v>66700.3</v>
      </c>
      <c r="L24" s="48">
        <v>68280.399999999994</v>
      </c>
      <c r="M24" s="48">
        <v>69860.5</v>
      </c>
    </row>
    <row r="25" spans="1:13">
      <c r="B25" s="9">
        <v>12</v>
      </c>
      <c r="C25" s="11" t="s">
        <v>47</v>
      </c>
      <c r="D25" s="48">
        <v>0</v>
      </c>
      <c r="E25" s="48">
        <v>0</v>
      </c>
      <c r="F25" s="48">
        <v>0</v>
      </c>
      <c r="G25" s="48">
        <v>0</v>
      </c>
      <c r="H25" s="48">
        <v>300000</v>
      </c>
      <c r="I25" s="48">
        <v>240000</v>
      </c>
      <c r="J25" s="48">
        <v>300000</v>
      </c>
      <c r="K25" s="48">
        <v>360000</v>
      </c>
      <c r="L25" s="48">
        <v>420000</v>
      </c>
      <c r="M25" s="48">
        <v>480000</v>
      </c>
    </row>
    <row r="26" spans="1:13">
      <c r="B26" s="9">
        <v>13</v>
      </c>
      <c r="C26" s="11" t="s">
        <v>48</v>
      </c>
      <c r="D26" s="48">
        <v>408190</v>
      </c>
      <c r="E26" s="48">
        <v>675614</v>
      </c>
      <c r="F26" s="48">
        <v>1348456</v>
      </c>
      <c r="G26" s="48">
        <v>2550385</v>
      </c>
      <c r="H26" s="48">
        <v>2757004</v>
      </c>
      <c r="I26" s="48">
        <v>3519649.5</v>
      </c>
      <c r="J26" s="48">
        <v>4176889.4</v>
      </c>
      <c r="K26" s="48">
        <v>4834129.3</v>
      </c>
      <c r="L26" s="48">
        <v>5491369.2000000002</v>
      </c>
      <c r="M26" s="48">
        <v>6148609.0999999996</v>
      </c>
    </row>
    <row r="27" spans="1:13">
      <c r="B27" s="9">
        <v>1305</v>
      </c>
      <c r="C27" s="11" t="s">
        <v>49</v>
      </c>
      <c r="D27" s="48">
        <v>239733</v>
      </c>
      <c r="E27" s="48">
        <v>389070</v>
      </c>
      <c r="F27" s="48">
        <v>894615</v>
      </c>
      <c r="G27" s="48">
        <v>1439579</v>
      </c>
      <c r="H27" s="48">
        <v>1608488</v>
      </c>
      <c r="I27" s="48">
        <v>2050702.7</v>
      </c>
      <c r="J27" s="48">
        <v>2429504.6</v>
      </c>
      <c r="K27" s="48">
        <v>2808306.5</v>
      </c>
      <c r="L27" s="48">
        <v>3187108.4</v>
      </c>
      <c r="M27" s="48">
        <v>3565910.3</v>
      </c>
    </row>
    <row r="28" spans="1:13">
      <c r="B28" s="9">
        <v>14</v>
      </c>
      <c r="C28" s="11" t="s">
        <v>50</v>
      </c>
      <c r="D28" s="48">
        <v>219002</v>
      </c>
      <c r="E28" s="48">
        <v>594576</v>
      </c>
      <c r="F28" s="48">
        <v>1828512</v>
      </c>
      <c r="G28" s="48">
        <v>1253986</v>
      </c>
      <c r="H28" s="48">
        <v>2217541</v>
      </c>
      <c r="I28" s="48">
        <v>2619669.7999999998</v>
      </c>
      <c r="J28" s="48">
        <v>3085318.6</v>
      </c>
      <c r="K28" s="48">
        <v>3550967.4</v>
      </c>
      <c r="L28" s="48">
        <v>4016616.2</v>
      </c>
      <c r="M28" s="48">
        <v>4482265</v>
      </c>
    </row>
    <row r="29" spans="1:13">
      <c r="B29" s="9">
        <v>17</v>
      </c>
      <c r="C29" s="12" t="s">
        <v>51</v>
      </c>
      <c r="D29" s="48">
        <v>0</v>
      </c>
      <c r="E29" s="48">
        <v>155155</v>
      </c>
      <c r="F29" s="48">
        <v>6704</v>
      </c>
      <c r="G29" s="48">
        <v>95642</v>
      </c>
      <c r="H29" s="48">
        <v>64562</v>
      </c>
      <c r="I29" s="48">
        <v>85295.9</v>
      </c>
      <c r="J29" s="48">
        <v>92257</v>
      </c>
      <c r="K29" s="48">
        <v>99218.1</v>
      </c>
      <c r="L29" s="48">
        <v>106179.2</v>
      </c>
      <c r="M29" s="48">
        <v>113140.3</v>
      </c>
    </row>
    <row r="30" spans="1:13" ht="13.5" thickBot="1">
      <c r="B30" s="9"/>
      <c r="C30" s="26" t="s">
        <v>4</v>
      </c>
      <c r="D30" s="50">
        <f>+D24+D25+D26+D28+D29</f>
        <v>726793</v>
      </c>
      <c r="E30" s="51">
        <f>+E24+E25+E26+E28+E29</f>
        <v>1454039</v>
      </c>
      <c r="F30" s="51">
        <f>+F24+F25+F26+F28+F29</f>
        <v>3183672</v>
      </c>
      <c r="G30" s="52">
        <f>+G24+G25+G26+G28+G29</f>
        <v>3987724</v>
      </c>
      <c r="H30" s="52">
        <f>+H24+H25+H26+H28+H29</f>
        <v>5417100</v>
      </c>
      <c r="I30" s="52">
        <f t="shared" ref="I30:M30" si="2">+I24+I25+I26+I28+I29</f>
        <v>6528155.3000000007</v>
      </c>
      <c r="J30" s="52">
        <f t="shared" si="2"/>
        <v>7719585.1999999993</v>
      </c>
      <c r="K30" s="52">
        <f t="shared" si="2"/>
        <v>8911015.0999999996</v>
      </c>
      <c r="L30" s="52">
        <f t="shared" si="2"/>
        <v>10102445</v>
      </c>
      <c r="M30" s="52">
        <f t="shared" si="2"/>
        <v>11293874.9</v>
      </c>
    </row>
    <row r="31" spans="1:13" ht="13.5" thickTop="1">
      <c r="B31" s="9">
        <v>12</v>
      </c>
      <c r="C31" s="10" t="s">
        <v>47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</row>
    <row r="32" spans="1:13">
      <c r="B32" s="9">
        <v>13</v>
      </c>
      <c r="C32" s="11" t="s">
        <v>52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</row>
    <row r="33" spans="2:13">
      <c r="B33" s="9">
        <v>15</v>
      </c>
      <c r="C33" s="11" t="s">
        <v>5</v>
      </c>
      <c r="D33" s="48">
        <v>235520</v>
      </c>
      <c r="E33" s="48">
        <v>291502</v>
      </c>
      <c r="F33" s="48">
        <v>309670</v>
      </c>
      <c r="G33" s="48">
        <v>569773</v>
      </c>
      <c r="H33" s="48">
        <v>618600</v>
      </c>
      <c r="I33" s="48">
        <v>718342.3</v>
      </c>
      <c r="J33" s="48">
        <v>822785.4</v>
      </c>
      <c r="K33" s="48">
        <v>927228.5</v>
      </c>
      <c r="L33" s="48">
        <v>1031671.6</v>
      </c>
      <c r="M33" s="48">
        <v>1136114.7</v>
      </c>
    </row>
    <row r="34" spans="2:13">
      <c r="B34" s="9"/>
      <c r="C34" s="11" t="s">
        <v>43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</row>
    <row r="35" spans="2:13">
      <c r="B35" s="9">
        <v>16</v>
      </c>
      <c r="C35" s="11" t="s">
        <v>6</v>
      </c>
      <c r="D35" s="48">
        <v>0</v>
      </c>
      <c r="E35" s="48">
        <v>0</v>
      </c>
      <c r="F35" s="48">
        <v>0</v>
      </c>
      <c r="G35" s="48">
        <v>0</v>
      </c>
      <c r="H35" s="48">
        <v>226000</v>
      </c>
      <c r="I35" s="48">
        <v>180800</v>
      </c>
      <c r="J35" s="48">
        <v>226000</v>
      </c>
      <c r="K35" s="48">
        <v>271200</v>
      </c>
      <c r="L35" s="48">
        <v>316400</v>
      </c>
      <c r="M35" s="48">
        <v>361600</v>
      </c>
    </row>
    <row r="36" spans="2:13">
      <c r="B36" s="9">
        <v>17</v>
      </c>
      <c r="C36" s="11" t="s">
        <v>53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</row>
    <row r="37" spans="2:13">
      <c r="B37" s="9">
        <v>18</v>
      </c>
      <c r="C37" s="12" t="s">
        <v>7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</row>
    <row r="38" spans="2:13" ht="13.5" thickBot="1">
      <c r="B38" s="9"/>
      <c r="C38" s="26" t="s">
        <v>9</v>
      </c>
      <c r="D38" s="50">
        <f>+D31+D32+D33+D35+D36+D37</f>
        <v>235520</v>
      </c>
      <c r="E38" s="50">
        <f>+E31+E32+E33+E35+E36+E37</f>
        <v>291502</v>
      </c>
      <c r="F38" s="50">
        <f>+F31+F32+F33+F35+F36+F37</f>
        <v>309670</v>
      </c>
      <c r="G38" s="50">
        <f>+G31+G32+G33+G35+G36+G37</f>
        <v>569773</v>
      </c>
      <c r="H38" s="50">
        <f>+H31+H32+H33+H35+H36+H37</f>
        <v>844600</v>
      </c>
      <c r="I38" s="50">
        <f t="shared" ref="I38:M38" si="3">+I31+I32+I33+I35+I36+I37</f>
        <v>899142.3</v>
      </c>
      <c r="J38" s="50">
        <f t="shared" si="3"/>
        <v>1048785.3999999999</v>
      </c>
      <c r="K38" s="50">
        <f t="shared" si="3"/>
        <v>1198428.5</v>
      </c>
      <c r="L38" s="50">
        <f t="shared" si="3"/>
        <v>1348071.6</v>
      </c>
      <c r="M38" s="50">
        <f t="shared" si="3"/>
        <v>1497714.7</v>
      </c>
    </row>
    <row r="39" spans="2:13" ht="13.5" thickTop="1">
      <c r="B39" s="13">
        <v>19</v>
      </c>
      <c r="C39" s="30" t="s">
        <v>8</v>
      </c>
      <c r="D39" s="53">
        <v>0</v>
      </c>
      <c r="E39" s="53"/>
      <c r="F39" s="53">
        <v>0</v>
      </c>
      <c r="G39" s="53"/>
      <c r="H39" s="53"/>
      <c r="I39" s="79"/>
      <c r="J39" s="79"/>
      <c r="K39" s="79"/>
      <c r="L39" s="79"/>
      <c r="M39" s="79"/>
    </row>
    <row r="40" spans="2:13">
      <c r="B40" s="6"/>
      <c r="C40" s="25"/>
      <c r="D40" s="7"/>
      <c r="E40" s="7"/>
      <c r="F40" s="58"/>
      <c r="G40" s="7"/>
      <c r="H40" s="7"/>
      <c r="I40" s="7"/>
      <c r="J40" s="7"/>
      <c r="K40" s="7"/>
      <c r="L40" s="7"/>
      <c r="M40" s="7"/>
    </row>
    <row r="41" spans="2:13" ht="13.5" thickBot="1">
      <c r="B41" s="8">
        <v>20</v>
      </c>
      <c r="C41" s="26" t="s">
        <v>59</v>
      </c>
      <c r="D41" s="50">
        <f>+D51+D61</f>
        <v>661094</v>
      </c>
      <c r="E41" s="50">
        <f>+E51+E61</f>
        <v>1213075</v>
      </c>
      <c r="F41" s="50">
        <f>+F51+F61</f>
        <v>2616054</v>
      </c>
      <c r="G41" s="50">
        <f>+G51+G61</f>
        <v>2879381</v>
      </c>
      <c r="H41" s="50">
        <f>+H51+H61</f>
        <v>4254269</v>
      </c>
      <c r="I41" s="50">
        <f t="shared" ref="I41:M41" si="4">+I51+I61</f>
        <v>4980571.4000000004</v>
      </c>
      <c r="J41" s="50">
        <f t="shared" si="4"/>
        <v>5865837</v>
      </c>
      <c r="K41" s="50">
        <f t="shared" si="4"/>
        <v>6751102.5999999987</v>
      </c>
      <c r="L41" s="50">
        <f t="shared" si="4"/>
        <v>7636368.1999999993</v>
      </c>
      <c r="M41" s="50">
        <f t="shared" si="4"/>
        <v>8521633.7999999989</v>
      </c>
    </row>
    <row r="42" spans="2:13" ht="13.5" thickTop="1">
      <c r="B42" s="9">
        <v>21</v>
      </c>
      <c r="C42" s="10" t="s">
        <v>54</v>
      </c>
      <c r="D42" s="49">
        <v>238470</v>
      </c>
      <c r="E42" s="49">
        <v>722918</v>
      </c>
      <c r="F42" s="49">
        <v>1196056</v>
      </c>
      <c r="G42" s="49">
        <v>1695070</v>
      </c>
      <c r="H42" s="48">
        <v>2050086</v>
      </c>
      <c r="I42" s="49">
        <v>2559135.2000000002</v>
      </c>
      <c r="J42" s="49">
        <v>3018673.6</v>
      </c>
      <c r="K42" s="49">
        <v>3478212</v>
      </c>
      <c r="L42" s="49">
        <v>3937750.4</v>
      </c>
      <c r="M42" s="48">
        <v>4397288.8</v>
      </c>
    </row>
    <row r="43" spans="2:13">
      <c r="B43" s="9">
        <v>22</v>
      </c>
      <c r="C43" s="11" t="s">
        <v>45</v>
      </c>
      <c r="D43" s="49">
        <v>264896</v>
      </c>
      <c r="E43" s="49">
        <v>422337</v>
      </c>
      <c r="F43" s="49">
        <v>1342431</v>
      </c>
      <c r="G43" s="49">
        <v>627073</v>
      </c>
      <c r="H43" s="48">
        <v>1295457</v>
      </c>
      <c r="I43" s="49">
        <v>1470196.2</v>
      </c>
      <c r="J43" s="49">
        <v>1696782</v>
      </c>
      <c r="K43" s="49">
        <v>1923367.8</v>
      </c>
      <c r="L43" s="49">
        <v>2149953.6</v>
      </c>
      <c r="M43" s="48">
        <v>2376539.4</v>
      </c>
    </row>
    <row r="44" spans="2:13">
      <c r="B44" s="9">
        <v>23</v>
      </c>
      <c r="C44" s="11" t="s">
        <v>11</v>
      </c>
      <c r="D44" s="49">
        <v>23984</v>
      </c>
      <c r="E44" s="49">
        <v>64636</v>
      </c>
      <c r="F44" s="49">
        <v>39149</v>
      </c>
      <c r="G44" s="49">
        <v>522977</v>
      </c>
      <c r="H44" s="48">
        <v>144767</v>
      </c>
      <c r="I44" s="49">
        <v>369074.7</v>
      </c>
      <c r="J44" s="49">
        <v>439065.4</v>
      </c>
      <c r="K44" s="49">
        <v>509056.1</v>
      </c>
      <c r="L44" s="49">
        <v>579046.80000000005</v>
      </c>
      <c r="M44" s="48">
        <v>649037.5</v>
      </c>
    </row>
    <row r="45" spans="2:13">
      <c r="B45" s="9">
        <v>24</v>
      </c>
      <c r="C45" s="11" t="s">
        <v>46</v>
      </c>
      <c r="D45" s="49">
        <v>109156</v>
      </c>
      <c r="E45" s="49">
        <v>2879</v>
      </c>
      <c r="F45" s="49">
        <v>0</v>
      </c>
      <c r="G45" s="49">
        <v>4559</v>
      </c>
      <c r="H45" s="49">
        <v>9580</v>
      </c>
      <c r="I45" s="49">
        <v>-34006.799999999901</v>
      </c>
      <c r="J45" s="49">
        <v>-53754</v>
      </c>
      <c r="K45" s="49">
        <v>-73501.2</v>
      </c>
      <c r="L45" s="49">
        <v>-93248.4</v>
      </c>
      <c r="M45" s="49">
        <v>-112995.6</v>
      </c>
    </row>
    <row r="46" spans="2:13">
      <c r="B46" s="9">
        <v>25</v>
      </c>
      <c r="C46" s="11" t="s">
        <v>12</v>
      </c>
      <c r="D46" s="49">
        <v>7099</v>
      </c>
      <c r="E46" s="49">
        <v>0</v>
      </c>
      <c r="F46" s="49">
        <v>3220</v>
      </c>
      <c r="G46" s="49">
        <v>2018</v>
      </c>
      <c r="H46" s="49">
        <v>5728</v>
      </c>
      <c r="I46" s="49">
        <v>3395.8</v>
      </c>
      <c r="J46" s="49">
        <v>3323.4</v>
      </c>
      <c r="K46" s="49">
        <v>3251</v>
      </c>
      <c r="L46" s="49">
        <v>3178.6</v>
      </c>
      <c r="M46" s="49">
        <v>3106.2</v>
      </c>
    </row>
    <row r="47" spans="2:13">
      <c r="B47" s="9">
        <v>26</v>
      </c>
      <c r="C47" s="11" t="s">
        <v>13</v>
      </c>
      <c r="D47" s="49">
        <v>0</v>
      </c>
      <c r="E47" s="49">
        <v>0</v>
      </c>
      <c r="F47" s="49">
        <v>35198</v>
      </c>
      <c r="G47" s="49">
        <v>0</v>
      </c>
      <c r="H47" s="49">
        <v>0</v>
      </c>
      <c r="I47" s="49">
        <v>7039.6</v>
      </c>
      <c r="J47" s="49">
        <v>7039.6</v>
      </c>
      <c r="K47" s="49">
        <v>7039.6</v>
      </c>
      <c r="L47" s="49">
        <v>7039.6</v>
      </c>
      <c r="M47" s="49">
        <v>7039.6</v>
      </c>
    </row>
    <row r="48" spans="2:13">
      <c r="B48" s="9">
        <v>27</v>
      </c>
      <c r="C48" s="11" t="s">
        <v>55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</row>
    <row r="49" spans="2:13">
      <c r="B49" s="9">
        <v>28</v>
      </c>
      <c r="C49" s="11" t="s">
        <v>15</v>
      </c>
      <c r="D49" s="49">
        <v>17489</v>
      </c>
      <c r="E49" s="49">
        <v>305</v>
      </c>
      <c r="F49" s="49">
        <v>0</v>
      </c>
      <c r="G49" s="49">
        <v>27684</v>
      </c>
      <c r="H49" s="49">
        <v>284648</v>
      </c>
      <c r="I49" s="49">
        <v>234534.3</v>
      </c>
      <c r="J49" s="49">
        <v>290704</v>
      </c>
      <c r="K49" s="49">
        <v>346873.7</v>
      </c>
      <c r="L49" s="49">
        <v>403043.4</v>
      </c>
      <c r="M49" s="49">
        <v>459213.1</v>
      </c>
    </row>
    <row r="50" spans="2:13">
      <c r="B50" s="9">
        <v>29</v>
      </c>
      <c r="C50" s="12" t="s">
        <v>56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</row>
    <row r="51" spans="2:13" ht="13.5" thickBot="1">
      <c r="B51" s="9">
        <v>0</v>
      </c>
      <c r="C51" s="26" t="s">
        <v>10</v>
      </c>
      <c r="D51" s="50">
        <f>SUM(D42:D50)</f>
        <v>661094</v>
      </c>
      <c r="E51" s="50">
        <f>SUM(E42:E50)</f>
        <v>1213075</v>
      </c>
      <c r="F51" s="50">
        <f>SUM(F42:F50)</f>
        <v>2616054</v>
      </c>
      <c r="G51" s="50">
        <f>SUM(G42:G50)</f>
        <v>2879381</v>
      </c>
      <c r="H51" s="50">
        <f>SUM(H42:H50)</f>
        <v>3790266</v>
      </c>
      <c r="I51" s="50">
        <f t="shared" ref="I51:M51" si="5">SUM(I42:I50)</f>
        <v>4609369</v>
      </c>
      <c r="J51" s="50">
        <f t="shared" si="5"/>
        <v>5401834</v>
      </c>
      <c r="K51" s="50">
        <f t="shared" si="5"/>
        <v>6194298.9999999991</v>
      </c>
      <c r="L51" s="50">
        <f t="shared" si="5"/>
        <v>6986763.9999999991</v>
      </c>
      <c r="M51" s="50">
        <f t="shared" si="5"/>
        <v>7779228.9999999991</v>
      </c>
    </row>
    <row r="52" spans="2:13" ht="13.5" thickTop="1">
      <c r="B52" s="9">
        <v>21</v>
      </c>
      <c r="C52" s="10" t="s">
        <v>44</v>
      </c>
      <c r="D52" s="49">
        <v>0</v>
      </c>
      <c r="E52" s="49">
        <v>0</v>
      </c>
      <c r="F52" s="49">
        <v>0</v>
      </c>
      <c r="G52" s="49">
        <v>0</v>
      </c>
      <c r="H52" s="48">
        <v>464003</v>
      </c>
      <c r="I52" s="49">
        <v>371202.4</v>
      </c>
      <c r="J52" s="49">
        <v>464003</v>
      </c>
      <c r="K52" s="49">
        <v>556803.6</v>
      </c>
      <c r="L52" s="49">
        <v>649604.19999999995</v>
      </c>
      <c r="M52" s="48">
        <v>742404.8</v>
      </c>
    </row>
    <row r="53" spans="2:13">
      <c r="B53" s="9">
        <v>22</v>
      </c>
      <c r="C53" s="11" t="s">
        <v>45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</row>
    <row r="54" spans="2:13">
      <c r="B54" s="9">
        <v>23</v>
      </c>
      <c r="C54" s="11" t="s">
        <v>11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</row>
    <row r="55" spans="2:13">
      <c r="B55" s="13">
        <v>24</v>
      </c>
      <c r="C55" s="11" t="s">
        <v>46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</row>
    <row r="56" spans="2:13">
      <c r="B56" s="8">
        <v>25</v>
      </c>
      <c r="C56" s="11" t="s">
        <v>12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</row>
    <row r="57" spans="2:13">
      <c r="B57" s="9">
        <v>26</v>
      </c>
      <c r="C57" s="11" t="s">
        <v>13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</row>
    <row r="58" spans="2:13">
      <c r="B58" s="9">
        <v>27</v>
      </c>
      <c r="C58" s="11" t="s">
        <v>14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</row>
    <row r="59" spans="2:13">
      <c r="B59" s="9">
        <v>28</v>
      </c>
      <c r="C59" s="11" t="s">
        <v>15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</row>
    <row r="60" spans="2:13">
      <c r="B60" s="9">
        <v>29</v>
      </c>
      <c r="C60" s="12" t="s">
        <v>17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</row>
    <row r="61" spans="2:13" ht="13.5" thickBot="1">
      <c r="B61" s="13">
        <v>0</v>
      </c>
      <c r="C61" s="26" t="s">
        <v>18</v>
      </c>
      <c r="D61" s="50">
        <f>SUM(D52:D60)</f>
        <v>0</v>
      </c>
      <c r="E61" s="50">
        <f>SUM(E52:E60)</f>
        <v>0</v>
      </c>
      <c r="F61" s="50">
        <f>SUM(F52:F60)</f>
        <v>0</v>
      </c>
      <c r="G61" s="50">
        <f>SUM(G52:G60)</f>
        <v>0</v>
      </c>
      <c r="H61" s="50">
        <f>SUM(H52:H60)</f>
        <v>464003</v>
      </c>
      <c r="I61" s="50">
        <f t="shared" ref="I61:M61" si="6">SUM(I52:I60)</f>
        <v>371202.4</v>
      </c>
      <c r="J61" s="50">
        <f t="shared" si="6"/>
        <v>464003</v>
      </c>
      <c r="K61" s="50">
        <f t="shared" si="6"/>
        <v>556803.6</v>
      </c>
      <c r="L61" s="50">
        <f t="shared" si="6"/>
        <v>649604.19999999995</v>
      </c>
      <c r="M61" s="50">
        <f t="shared" si="6"/>
        <v>742404.8</v>
      </c>
    </row>
    <row r="62" spans="2:13" ht="13.5" thickTop="1">
      <c r="B62" s="6"/>
      <c r="C62" s="7"/>
      <c r="D62" s="58">
        <f>+D23-D71</f>
        <v>0</v>
      </c>
      <c r="E62" s="58">
        <f>+E23-E71</f>
        <v>0</v>
      </c>
      <c r="F62" s="58">
        <f>+F23-F71</f>
        <v>0</v>
      </c>
      <c r="G62" s="58">
        <f>+G23-G71</f>
        <v>0</v>
      </c>
      <c r="H62" s="58"/>
      <c r="I62" s="58"/>
      <c r="J62" s="58"/>
      <c r="K62" s="58"/>
      <c r="L62" s="58"/>
      <c r="M62" s="58"/>
    </row>
    <row r="63" spans="2:13" ht="13.5" thickBot="1">
      <c r="B63" s="8">
        <v>30</v>
      </c>
      <c r="C63" s="26" t="s">
        <v>19</v>
      </c>
      <c r="D63" s="50">
        <f>SUM(D64:D70)</f>
        <v>301219</v>
      </c>
      <c r="E63" s="50">
        <f>SUM(E64:E70)</f>
        <v>532466</v>
      </c>
      <c r="F63" s="50">
        <f>SUM(F64:F70)</f>
        <v>877288</v>
      </c>
      <c r="G63" s="55">
        <f>SUM(G64:G70)</f>
        <v>1678116</v>
      </c>
      <c r="H63" s="55">
        <f>SUM(H64:H70)</f>
        <v>2007431</v>
      </c>
      <c r="I63" s="55">
        <f t="shared" ref="I63:M63" si="7">SUM(I64:I70)</f>
        <v>2446726.2000000002</v>
      </c>
      <c r="J63" s="55">
        <f t="shared" si="7"/>
        <v>2902533.6</v>
      </c>
      <c r="K63" s="55">
        <f t="shared" si="7"/>
        <v>3358340.9999999995</v>
      </c>
      <c r="L63" s="55">
        <f t="shared" si="7"/>
        <v>3814148.4000000004</v>
      </c>
      <c r="M63" s="55">
        <f t="shared" si="7"/>
        <v>4269955.8</v>
      </c>
    </row>
    <row r="64" spans="2:13" ht="13.5" thickTop="1">
      <c r="B64" s="9">
        <v>31</v>
      </c>
      <c r="C64" s="27" t="s">
        <v>20</v>
      </c>
      <c r="D64" s="54">
        <v>100000</v>
      </c>
      <c r="E64" s="54">
        <v>100000</v>
      </c>
      <c r="F64" s="54">
        <v>100000</v>
      </c>
      <c r="G64" s="54">
        <v>300000</v>
      </c>
      <c r="H64" s="54">
        <v>300000</v>
      </c>
      <c r="I64" s="54">
        <v>360000</v>
      </c>
      <c r="J64" s="54">
        <v>420000</v>
      </c>
      <c r="K64" s="54">
        <v>480000</v>
      </c>
      <c r="L64" s="54">
        <v>540000</v>
      </c>
      <c r="M64" s="54">
        <v>600000</v>
      </c>
    </row>
    <row r="65" spans="2:13">
      <c r="B65" s="9">
        <v>32</v>
      </c>
      <c r="C65" s="28" t="s">
        <v>21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</row>
    <row r="66" spans="2:13">
      <c r="B66" s="9">
        <v>33</v>
      </c>
      <c r="C66" s="28" t="s">
        <v>57</v>
      </c>
      <c r="D66" s="54">
        <v>6351</v>
      </c>
      <c r="E66" s="54">
        <v>6351</v>
      </c>
      <c r="F66" s="54">
        <v>19988</v>
      </c>
      <c r="G66" s="54">
        <v>19988</v>
      </c>
      <c r="H66" s="54">
        <v>105397</v>
      </c>
      <c r="I66" s="54">
        <v>95133.7</v>
      </c>
      <c r="J66" s="54">
        <v>116306.6</v>
      </c>
      <c r="K66" s="54">
        <v>137479.5</v>
      </c>
      <c r="L66" s="54">
        <v>158652.4</v>
      </c>
      <c r="M66" s="54">
        <v>179825.3</v>
      </c>
    </row>
    <row r="67" spans="2:13">
      <c r="B67" s="9">
        <v>34</v>
      </c>
      <c r="C67" s="28" t="s">
        <v>22</v>
      </c>
      <c r="D67" s="54">
        <v>0</v>
      </c>
      <c r="E67" s="54">
        <v>0</v>
      </c>
      <c r="F67" s="54">
        <v>0</v>
      </c>
      <c r="G67" s="54">
        <v>301981</v>
      </c>
      <c r="H67" s="54">
        <v>301981</v>
      </c>
      <c r="I67" s="54">
        <v>392575.3</v>
      </c>
      <c r="J67" s="54">
        <v>483169.6</v>
      </c>
      <c r="K67" s="54">
        <v>573763.9</v>
      </c>
      <c r="L67" s="54">
        <v>664358.19999999995</v>
      </c>
      <c r="M67" s="54">
        <v>754952.5</v>
      </c>
    </row>
    <row r="68" spans="2:13">
      <c r="B68" s="9">
        <v>35</v>
      </c>
      <c r="C68" s="28" t="s">
        <v>23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</row>
    <row r="69" spans="2:13">
      <c r="B69" s="9">
        <v>36</v>
      </c>
      <c r="C69" s="28" t="s">
        <v>24</v>
      </c>
      <c r="D69" s="54">
        <v>120379</v>
      </c>
      <c r="E69" s="54">
        <v>231247</v>
      </c>
      <c r="F69" s="54">
        <v>321962</v>
      </c>
      <c r="G69" s="54">
        <v>491207</v>
      </c>
      <c r="H69" s="54">
        <v>585621</v>
      </c>
      <c r="I69" s="54">
        <v>707216.4</v>
      </c>
      <c r="J69" s="54">
        <v>826260.8</v>
      </c>
      <c r="K69" s="54">
        <v>945305.2</v>
      </c>
      <c r="L69" s="54">
        <v>1064349.6000000001</v>
      </c>
      <c r="M69" s="54">
        <v>1183394</v>
      </c>
    </row>
    <row r="70" spans="2:13">
      <c r="B70" s="9">
        <v>37</v>
      </c>
      <c r="C70" s="29" t="s">
        <v>25</v>
      </c>
      <c r="D70" s="54">
        <v>74489</v>
      </c>
      <c r="E70" s="54">
        <v>194868</v>
      </c>
      <c r="F70" s="54">
        <v>435338</v>
      </c>
      <c r="G70" s="54">
        <v>564940</v>
      </c>
      <c r="H70" s="54">
        <v>714432</v>
      </c>
      <c r="I70" s="54">
        <v>891800.8</v>
      </c>
      <c r="J70" s="54">
        <v>1056796.6000000001</v>
      </c>
      <c r="K70" s="54">
        <v>1221792.3999999999</v>
      </c>
      <c r="L70" s="54">
        <v>1386788.2</v>
      </c>
      <c r="M70" s="54">
        <v>1551784</v>
      </c>
    </row>
    <row r="71" spans="2:13" ht="13.5" thickBot="1">
      <c r="B71" s="9"/>
      <c r="C71" s="33" t="s">
        <v>27</v>
      </c>
      <c r="D71" s="45">
        <f>+D63+D41</f>
        <v>962313</v>
      </c>
      <c r="E71" s="45">
        <f>+E63+E41</f>
        <v>1745541</v>
      </c>
      <c r="F71" s="45">
        <f>+F63+F41</f>
        <v>3493342</v>
      </c>
      <c r="G71" s="56">
        <f>+G63+G41</f>
        <v>4557497</v>
      </c>
      <c r="H71" s="56">
        <f>+H63+H41</f>
        <v>6261700</v>
      </c>
      <c r="I71" s="56">
        <f t="shared" ref="I71:M71" si="8">+I63+I41</f>
        <v>7427297.6000000006</v>
      </c>
      <c r="J71" s="56">
        <f t="shared" si="8"/>
        <v>8768370.5999999996</v>
      </c>
      <c r="K71" s="56">
        <f t="shared" si="8"/>
        <v>10109443.599999998</v>
      </c>
      <c r="L71" s="56">
        <f t="shared" si="8"/>
        <v>11450516.6</v>
      </c>
      <c r="M71" s="56">
        <f t="shared" si="8"/>
        <v>12791589.599999998</v>
      </c>
    </row>
    <row r="72" spans="2:13" ht="13.5" thickTop="1">
      <c r="B72" s="13">
        <v>38</v>
      </c>
      <c r="C72" s="30" t="s">
        <v>26</v>
      </c>
      <c r="D72" s="31">
        <v>0</v>
      </c>
      <c r="E72" s="63">
        <f>+E39</f>
        <v>0</v>
      </c>
      <c r="F72" s="31">
        <v>301981</v>
      </c>
      <c r="G72" s="63">
        <v>0</v>
      </c>
      <c r="H72" s="63"/>
      <c r="I72" s="63"/>
      <c r="J72" s="63"/>
      <c r="K72" s="63"/>
      <c r="L72" s="63"/>
      <c r="M72" s="63"/>
    </row>
    <row r="73" spans="2:13" s="61" customFormat="1">
      <c r="B73" s="59"/>
      <c r="C73" s="60" t="s">
        <v>60</v>
      </c>
      <c r="D73" s="62" t="str">
        <f>+IF(D71=D23,"OK","ERROR")</f>
        <v>OK</v>
      </c>
      <c r="E73" s="62" t="str">
        <f>+IF(E71=E23,"OK","ERROR")</f>
        <v>OK</v>
      </c>
      <c r="F73" s="62" t="str">
        <f>+IF(F71=F23,"OK","ERROR")</f>
        <v>OK</v>
      </c>
      <c r="G73" s="62" t="str">
        <f>+IF(G71=G23,"OK","ERROR")</f>
        <v>OK</v>
      </c>
      <c r="H73" s="62" t="str">
        <f>+IF(H71=H23,"OK","ERROR")</f>
        <v>OK</v>
      </c>
      <c r="I73" s="62" t="str">
        <f t="shared" ref="I73:M73" si="9">+IF(I71=I23,"OK","ERROR")</f>
        <v>OK</v>
      </c>
      <c r="J73" s="62" t="str">
        <f t="shared" si="9"/>
        <v>OK</v>
      </c>
      <c r="K73" s="62" t="str">
        <f t="shared" si="9"/>
        <v>OK</v>
      </c>
      <c r="L73" s="62" t="str">
        <f t="shared" si="9"/>
        <v>OK</v>
      </c>
      <c r="M73" s="62" t="str">
        <f t="shared" si="9"/>
        <v>OK</v>
      </c>
    </row>
    <row r="74" spans="2:13">
      <c r="B74" s="14"/>
      <c r="C74" s="32"/>
      <c r="D74" s="67">
        <f>+D71-D23</f>
        <v>0</v>
      </c>
      <c r="E74" s="67">
        <f>+E71-E23</f>
        <v>0</v>
      </c>
      <c r="F74" s="67">
        <f>+F71-F23</f>
        <v>0</v>
      </c>
      <c r="G74" s="67">
        <f>+G71-G23</f>
        <v>0</v>
      </c>
      <c r="H74" s="67">
        <f t="shared" ref="H74:M74" si="10">+H71-H23</f>
        <v>0</v>
      </c>
      <c r="I74" s="67">
        <f>+I71-I23</f>
        <v>0</v>
      </c>
      <c r="J74" s="67">
        <f t="shared" si="10"/>
        <v>0</v>
      </c>
      <c r="K74" s="67">
        <f t="shared" si="10"/>
        <v>0</v>
      </c>
      <c r="L74" s="67">
        <f t="shared" si="10"/>
        <v>0</v>
      </c>
      <c r="M74" s="67">
        <f t="shared" si="10"/>
        <v>0</v>
      </c>
    </row>
    <row r="75" spans="2:13" ht="13.5" thickBot="1">
      <c r="B75" s="8">
        <v>41</v>
      </c>
      <c r="C75" s="15" t="s">
        <v>28</v>
      </c>
      <c r="D75" s="35">
        <v>3516622</v>
      </c>
      <c r="E75" s="35">
        <v>6222536</v>
      </c>
      <c r="F75" s="35">
        <v>8650756</v>
      </c>
      <c r="G75" s="35">
        <v>10591546</v>
      </c>
      <c r="H75" s="35">
        <v>13160236</v>
      </c>
      <c r="I75" s="35">
        <v>15525210.6</v>
      </c>
      <c r="J75" s="35">
        <v>17890834.399999999</v>
      </c>
      <c r="K75" s="35">
        <v>20256458.199999999</v>
      </c>
      <c r="L75" s="35">
        <v>22622082</v>
      </c>
      <c r="M75" s="35">
        <v>24987705.800000001</v>
      </c>
    </row>
    <row r="76" spans="2:13" ht="13.5" thickTop="1">
      <c r="B76" s="9"/>
      <c r="C76" s="16" t="s">
        <v>66</v>
      </c>
      <c r="D76" s="42"/>
      <c r="E76" s="42"/>
      <c r="F76" s="42"/>
      <c r="G76" s="42"/>
      <c r="H76" s="42"/>
      <c r="I76" s="42"/>
      <c r="J76" s="42"/>
      <c r="K76" s="42"/>
      <c r="L76" s="42"/>
      <c r="M76" s="42"/>
    </row>
    <row r="77" spans="2:13">
      <c r="B77" s="9">
        <v>61</v>
      </c>
      <c r="C77" s="16" t="s">
        <v>29</v>
      </c>
      <c r="D77" s="42">
        <v>3021260</v>
      </c>
      <c r="E77" s="42">
        <v>5401125</v>
      </c>
      <c r="F77" s="42">
        <v>7543650</v>
      </c>
      <c r="G77" s="42">
        <v>9419366</v>
      </c>
      <c r="H77" s="42">
        <v>11241574</v>
      </c>
      <c r="I77" s="42">
        <v>13463055.699999999</v>
      </c>
      <c r="J77" s="42">
        <v>15508942.6</v>
      </c>
      <c r="K77" s="42">
        <v>17554829.5</v>
      </c>
      <c r="L77" s="42">
        <v>19600716.399999999</v>
      </c>
      <c r="M77" s="42">
        <v>21646603.300000001</v>
      </c>
    </row>
    <row r="78" spans="2:13" ht="13.5" thickBot="1">
      <c r="B78" s="9"/>
      <c r="C78" s="36" t="s">
        <v>30</v>
      </c>
      <c r="D78" s="37">
        <f>+D75-D77</f>
        <v>495362</v>
      </c>
      <c r="E78" s="37">
        <f>+E75-E77</f>
        <v>821411</v>
      </c>
      <c r="F78" s="37">
        <f>+F75-F77</f>
        <v>1107106</v>
      </c>
      <c r="G78" s="57">
        <f>+G75-G77</f>
        <v>1172180</v>
      </c>
      <c r="H78" s="57">
        <f>+H75-H77</f>
        <v>1918662</v>
      </c>
      <c r="I78" s="57">
        <f t="shared" ref="I78:M78" si="11">+I75-I77</f>
        <v>2062154.9000000004</v>
      </c>
      <c r="J78" s="57">
        <f t="shared" si="11"/>
        <v>2381891.7999999989</v>
      </c>
      <c r="K78" s="57">
        <f t="shared" si="11"/>
        <v>2701628.6999999993</v>
      </c>
      <c r="L78" s="57">
        <f t="shared" si="11"/>
        <v>3021365.6000000015</v>
      </c>
      <c r="M78" s="57">
        <f t="shared" si="11"/>
        <v>3341102.5</v>
      </c>
    </row>
    <row r="79" spans="2:13" ht="13.5" thickTop="1">
      <c r="B79" s="9">
        <v>51</v>
      </c>
      <c r="C79" s="17" t="s">
        <v>31</v>
      </c>
      <c r="D79" s="43">
        <v>209214</v>
      </c>
      <c r="E79" s="43">
        <v>312940</v>
      </c>
      <c r="F79" s="43">
        <v>464515</v>
      </c>
      <c r="G79" s="43">
        <v>483867</v>
      </c>
      <c r="H79" s="43">
        <v>719700</v>
      </c>
      <c r="I79" s="43">
        <v>795616.9</v>
      </c>
      <c r="J79" s="43">
        <v>914806.8</v>
      </c>
      <c r="K79" s="43">
        <v>1033996.7</v>
      </c>
      <c r="L79" s="43">
        <v>1153186.6000000001</v>
      </c>
      <c r="M79" s="43">
        <v>1272376.5</v>
      </c>
    </row>
    <row r="80" spans="2:13">
      <c r="B80" s="9">
        <v>5105</v>
      </c>
      <c r="C80" s="16" t="s">
        <v>61</v>
      </c>
      <c r="D80" s="72"/>
      <c r="E80" s="72"/>
      <c r="F80" s="72"/>
      <c r="G80" s="42"/>
      <c r="H80" s="42"/>
      <c r="I80" s="72"/>
      <c r="J80" s="72"/>
      <c r="K80" s="72"/>
      <c r="L80" s="42"/>
      <c r="M80" s="42"/>
    </row>
    <row r="81" spans="2:13">
      <c r="B81" s="9">
        <v>5160</v>
      </c>
      <c r="C81" s="16" t="s">
        <v>62</v>
      </c>
      <c r="D81" s="72">
        <v>29024</v>
      </c>
      <c r="E81" s="72">
        <v>26736</v>
      </c>
      <c r="F81" s="72">
        <v>51473</v>
      </c>
      <c r="G81" s="42">
        <v>48107</v>
      </c>
      <c r="H81" s="72">
        <v>59331.5</v>
      </c>
      <c r="I81" s="72">
        <v>67530.100000000006</v>
      </c>
      <c r="J81" s="72">
        <v>75728.7</v>
      </c>
      <c r="K81" s="42">
        <v>83927.3</v>
      </c>
      <c r="L81" s="72">
        <v>92125.9</v>
      </c>
      <c r="M81" s="72">
        <v>100324.5</v>
      </c>
    </row>
    <row r="82" spans="2:13">
      <c r="B82" s="9">
        <v>5165</v>
      </c>
      <c r="C82" s="16" t="s">
        <v>63</v>
      </c>
      <c r="D82" s="42">
        <v>0</v>
      </c>
      <c r="E82" s="42">
        <v>0</v>
      </c>
      <c r="F82" s="42">
        <v>28490</v>
      </c>
      <c r="G82" s="42">
        <v>31080</v>
      </c>
      <c r="H82" s="42">
        <v>45325</v>
      </c>
      <c r="I82" s="42">
        <v>57498</v>
      </c>
      <c r="J82" s="42">
        <v>69671</v>
      </c>
      <c r="K82" s="42">
        <v>81844</v>
      </c>
      <c r="L82" s="42">
        <v>94017</v>
      </c>
      <c r="M82" s="42">
        <v>106190</v>
      </c>
    </row>
    <row r="83" spans="2:13">
      <c r="B83" s="9">
        <v>52</v>
      </c>
      <c r="C83" s="18" t="s">
        <v>32</v>
      </c>
      <c r="D83" s="44">
        <v>23934</v>
      </c>
      <c r="E83" s="44">
        <v>24588</v>
      </c>
      <c r="F83" s="44">
        <v>90667</v>
      </c>
      <c r="G83" s="44">
        <v>22701</v>
      </c>
      <c r="H83" s="44">
        <v>330878</v>
      </c>
      <c r="I83" s="44">
        <v>282153.90000000002</v>
      </c>
      <c r="J83" s="44">
        <v>343354</v>
      </c>
      <c r="K83" s="44">
        <v>404554.1</v>
      </c>
      <c r="L83" s="44">
        <v>465754.2</v>
      </c>
      <c r="M83" s="44">
        <v>526954.30000000005</v>
      </c>
    </row>
    <row r="84" spans="2:13">
      <c r="B84" s="9">
        <v>5205</v>
      </c>
      <c r="C84" s="16" t="s">
        <v>61</v>
      </c>
      <c r="D84" s="42"/>
      <c r="E84" s="42"/>
      <c r="F84" s="42"/>
      <c r="G84" s="42"/>
      <c r="H84" s="42"/>
      <c r="I84" s="42"/>
      <c r="J84" s="42"/>
      <c r="K84" s="42"/>
      <c r="L84" s="42"/>
      <c r="M84" s="42"/>
    </row>
    <row r="85" spans="2:13">
      <c r="B85" s="9">
        <v>5260</v>
      </c>
      <c r="C85" s="16" t="s">
        <v>62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</row>
    <row r="86" spans="2:13">
      <c r="B86" s="9">
        <v>5265</v>
      </c>
      <c r="C86" s="16" t="s">
        <v>63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</row>
    <row r="87" spans="2:13" ht="13.5" thickBot="1">
      <c r="B87" s="9"/>
      <c r="C87" s="36" t="s">
        <v>33</v>
      </c>
      <c r="D87" s="37">
        <f>+D78-D79-D83</f>
        <v>262214</v>
      </c>
      <c r="E87" s="37">
        <f>+E78-E79-E83</f>
        <v>483883</v>
      </c>
      <c r="F87" s="37">
        <f>+F78-F79-F83</f>
        <v>551924</v>
      </c>
      <c r="G87" s="37">
        <f>+G78-G79-G83</f>
        <v>665612</v>
      </c>
      <c r="H87" s="37">
        <f>+H78-H79-H83</f>
        <v>868084</v>
      </c>
      <c r="I87" s="37">
        <f t="shared" ref="I87:M87" si="12">+I78-I79-I83</f>
        <v>984384.10000000044</v>
      </c>
      <c r="J87" s="37">
        <f t="shared" si="12"/>
        <v>1123730.9999999988</v>
      </c>
      <c r="K87" s="37">
        <f t="shared" si="12"/>
        <v>1263077.8999999994</v>
      </c>
      <c r="L87" s="37">
        <f t="shared" si="12"/>
        <v>1402424.8000000014</v>
      </c>
      <c r="M87" s="37">
        <f t="shared" si="12"/>
        <v>1541771.7</v>
      </c>
    </row>
    <row r="88" spans="2:13" ht="13.5" thickTop="1">
      <c r="B88" s="9">
        <v>42</v>
      </c>
      <c r="C88" s="17" t="s">
        <v>34</v>
      </c>
      <c r="D88" s="43">
        <v>6962</v>
      </c>
      <c r="E88" s="43">
        <v>13728</v>
      </c>
      <c r="F88" s="43">
        <v>62575</v>
      </c>
      <c r="G88" s="43">
        <v>63954</v>
      </c>
      <c r="H88" s="43">
        <v>92609</v>
      </c>
      <c r="I88" s="43">
        <v>114421.6</v>
      </c>
      <c r="J88" s="43">
        <v>136573.6</v>
      </c>
      <c r="K88" s="43">
        <v>158725.6</v>
      </c>
      <c r="L88" s="43">
        <v>180877.6</v>
      </c>
      <c r="M88" s="43">
        <v>203029.6</v>
      </c>
    </row>
    <row r="89" spans="2:13">
      <c r="B89" s="9"/>
      <c r="C89" s="282" t="s">
        <v>64</v>
      </c>
      <c r="D89" s="283">
        <f>+D103*D102</f>
        <v>0</v>
      </c>
      <c r="E89" s="283">
        <f>+E103*E102</f>
        <v>76939.881640000051</v>
      </c>
      <c r="F89" s="283">
        <f t="shared" ref="F89:M89" si="13">+F103*F102</f>
        <v>153575.48922000008</v>
      </c>
      <c r="G89" s="283">
        <f>+G103*G102</f>
        <v>231376.81378000014</v>
      </c>
      <c r="H89" s="283">
        <f t="shared" si="13"/>
        <v>336858.99477000016</v>
      </c>
      <c r="I89" s="283">
        <f t="shared" si="13"/>
        <v>435717.46079800028</v>
      </c>
      <c r="J89" s="283">
        <f t="shared" si="13"/>
        <v>513233.5264260004</v>
      </c>
      <c r="K89" s="283">
        <f t="shared" si="13"/>
        <v>601640.90676600032</v>
      </c>
      <c r="L89" s="283">
        <f t="shared" si="13"/>
        <v>690048.28710600035</v>
      </c>
      <c r="M89" s="283">
        <f t="shared" si="13"/>
        <v>778455.66744600039</v>
      </c>
    </row>
    <row r="90" spans="2:13">
      <c r="B90" s="9">
        <v>53</v>
      </c>
      <c r="C90" s="18" t="s">
        <v>35</v>
      </c>
      <c r="D90" s="44">
        <v>59297</v>
      </c>
      <c r="E90" s="44">
        <v>241028</v>
      </c>
      <c r="F90" s="44">
        <v>257337</v>
      </c>
      <c r="G90" s="44">
        <v>238359</v>
      </c>
      <c r="H90" s="44">
        <v>375072</v>
      </c>
      <c r="I90" s="44">
        <v>422882.9</v>
      </c>
      <c r="J90" s="44">
        <v>485771</v>
      </c>
      <c r="K90" s="44">
        <v>548659.1</v>
      </c>
      <c r="L90" s="44">
        <v>611547.19999999995</v>
      </c>
      <c r="M90" s="44">
        <v>674435.3</v>
      </c>
    </row>
    <row r="91" spans="2:13" ht="13.5" thickBot="1">
      <c r="B91" s="9"/>
      <c r="C91" s="36" t="s">
        <v>36</v>
      </c>
      <c r="D91" s="37">
        <f>+D87+D88-D90</f>
        <v>209879</v>
      </c>
      <c r="E91" s="37">
        <f>+E87+E88-E90</f>
        <v>256583</v>
      </c>
      <c r="F91" s="37">
        <f>+F87+F88-F90</f>
        <v>357162</v>
      </c>
      <c r="G91" s="37">
        <f>+G87+G88-G90</f>
        <v>491207</v>
      </c>
      <c r="H91" s="37">
        <f>+H87+H88-H90</f>
        <v>585621</v>
      </c>
      <c r="I91" s="37">
        <f t="shared" ref="I91:M91" si="14">+I87+I88-I90</f>
        <v>675922.8000000004</v>
      </c>
      <c r="J91" s="37">
        <f t="shared" si="14"/>
        <v>774533.59999999893</v>
      </c>
      <c r="K91" s="37">
        <f t="shared" si="14"/>
        <v>873144.39999999956</v>
      </c>
      <c r="L91" s="37">
        <f t="shared" si="14"/>
        <v>971755.20000000158</v>
      </c>
      <c r="M91" s="37">
        <f t="shared" si="14"/>
        <v>1070366</v>
      </c>
    </row>
    <row r="92" spans="2:13" ht="13.5" thickTop="1">
      <c r="B92" s="9">
        <v>54</v>
      </c>
      <c r="C92" s="16" t="s">
        <v>37</v>
      </c>
      <c r="D92" s="42">
        <v>89500</v>
      </c>
      <c r="E92" s="42">
        <v>25336</v>
      </c>
      <c r="F92" s="42">
        <v>35200</v>
      </c>
      <c r="G92" s="42">
        <v>0</v>
      </c>
      <c r="H92" s="42">
        <v>0</v>
      </c>
      <c r="I92" s="42">
        <v>-31293.599999999999</v>
      </c>
      <c r="J92" s="42">
        <v>-51727.199999999997</v>
      </c>
      <c r="K92" s="42">
        <v>-72160.800000000003</v>
      </c>
      <c r="L92" s="42">
        <v>-92594.4</v>
      </c>
      <c r="M92" s="42">
        <v>-113028</v>
      </c>
    </row>
    <row r="93" spans="2:13" ht="13.5" thickBot="1">
      <c r="B93" s="13">
        <v>59</v>
      </c>
      <c r="C93" s="36" t="s">
        <v>38</v>
      </c>
      <c r="D93" s="37">
        <f>+D91-D92</f>
        <v>120379</v>
      </c>
      <c r="E93" s="37">
        <f>+E91-E92</f>
        <v>231247</v>
      </c>
      <c r="F93" s="37">
        <f>+F91-F92</f>
        <v>321962</v>
      </c>
      <c r="G93" s="37">
        <f>+G91-G92</f>
        <v>491207</v>
      </c>
      <c r="H93" s="37">
        <f>+H91-H92</f>
        <v>585621</v>
      </c>
      <c r="I93" s="37">
        <f t="shared" ref="I93:M93" si="15">+I91-I92</f>
        <v>707216.40000000037</v>
      </c>
      <c r="J93" s="37">
        <f t="shared" si="15"/>
        <v>826260.79999999888</v>
      </c>
      <c r="K93" s="37">
        <f t="shared" si="15"/>
        <v>945305.1999999996</v>
      </c>
      <c r="L93" s="37">
        <f t="shared" si="15"/>
        <v>1064349.6000000015</v>
      </c>
      <c r="M93" s="37">
        <f t="shared" si="15"/>
        <v>1183394</v>
      </c>
    </row>
    <row r="94" spans="2:13" ht="13.5" thickTop="1">
      <c r="B94" s="34"/>
      <c r="C94" s="288" t="s">
        <v>16</v>
      </c>
      <c r="D94" s="289"/>
      <c r="E94" s="289"/>
      <c r="F94" s="289"/>
      <c r="G94" s="289"/>
      <c r="H94" s="78"/>
      <c r="I94" s="78"/>
      <c r="J94" s="78"/>
      <c r="K94" s="78"/>
      <c r="L94" s="78"/>
      <c r="M94" s="78"/>
    </row>
    <row r="95" spans="2:13">
      <c r="B95" s="34"/>
      <c r="C95" s="290"/>
      <c r="D95" s="291"/>
      <c r="E95" s="291"/>
      <c r="F95" s="291"/>
      <c r="G95" s="291"/>
      <c r="H95" s="78"/>
      <c r="I95" s="78"/>
      <c r="J95" s="78"/>
      <c r="K95" s="78"/>
      <c r="L95" s="78"/>
      <c r="M95" s="78"/>
    </row>
    <row r="97" spans="3:13">
      <c r="C97" s="38" t="s">
        <v>65</v>
      </c>
      <c r="D97" s="40"/>
      <c r="E97" s="41"/>
      <c r="F97" s="41"/>
      <c r="G97" s="41"/>
      <c r="H97" s="41"/>
      <c r="I97" s="41"/>
      <c r="J97" s="41"/>
      <c r="K97" s="41"/>
      <c r="L97" s="41"/>
      <c r="M97" s="41"/>
    </row>
    <row r="98" spans="3:13">
      <c r="C98" s="39" t="s">
        <v>67</v>
      </c>
      <c r="D98" s="284">
        <v>0</v>
      </c>
      <c r="E98" s="278">
        <f>+E77-D28+E28</f>
        <v>5776699</v>
      </c>
      <c r="F98" s="278">
        <f>+F77-E28+F28</f>
        <v>8777586</v>
      </c>
      <c r="G98" s="278">
        <f>+G77-F28+G28</f>
        <v>8844840</v>
      </c>
      <c r="H98" s="278"/>
      <c r="I98" s="278">
        <f>+I77-H28+I28</f>
        <v>13865184.5</v>
      </c>
      <c r="J98" s="278">
        <f>+J77-I28+J28</f>
        <v>15974591.4</v>
      </c>
      <c r="K98" s="278">
        <f>+K77-J28+K28</f>
        <v>18020478.300000001</v>
      </c>
      <c r="L98" s="278">
        <f t="shared" ref="L98:M98" si="16">+L77-K28+L28</f>
        <v>20066365.199999999</v>
      </c>
      <c r="M98" s="278">
        <f t="shared" si="16"/>
        <v>22112252.100000001</v>
      </c>
    </row>
    <row r="99" spans="3:13">
      <c r="C99" s="39" t="s">
        <v>69</v>
      </c>
      <c r="D99" s="279">
        <v>2.5000000000000001E-3</v>
      </c>
      <c r="E99" s="285">
        <f t="shared" ref="E99:G102" si="17">+D99</f>
        <v>2.5000000000000001E-3</v>
      </c>
      <c r="F99" s="285">
        <f t="shared" si="17"/>
        <v>2.5000000000000001E-3</v>
      </c>
      <c r="G99" s="285">
        <f t="shared" si="17"/>
        <v>2.5000000000000001E-3</v>
      </c>
      <c r="H99" s="285">
        <v>2.5000000000000001E-3</v>
      </c>
      <c r="I99" s="285">
        <f t="shared" ref="I99:K102" si="18">+H99</f>
        <v>2.5000000000000001E-3</v>
      </c>
      <c r="J99" s="285">
        <f t="shared" si="18"/>
        <v>2.5000000000000001E-3</v>
      </c>
      <c r="K99" s="285">
        <f t="shared" si="18"/>
        <v>2.5000000000000001E-3</v>
      </c>
      <c r="L99" s="285">
        <f t="shared" ref="L99:L102" si="19">+K99</f>
        <v>2.5000000000000001E-3</v>
      </c>
      <c r="M99" s="285">
        <f t="shared" ref="M99:M102" si="20">+L99</f>
        <v>2.5000000000000001E-3</v>
      </c>
    </row>
    <row r="100" spans="3:13">
      <c r="C100" s="39" t="s">
        <v>70</v>
      </c>
      <c r="D100" s="280">
        <v>5.4600000000000003E-2</v>
      </c>
      <c r="E100" s="280">
        <f t="shared" si="17"/>
        <v>5.4600000000000003E-2</v>
      </c>
      <c r="F100" s="280">
        <f t="shared" si="17"/>
        <v>5.4600000000000003E-2</v>
      </c>
      <c r="G100" s="280">
        <f t="shared" si="17"/>
        <v>5.4600000000000003E-2</v>
      </c>
      <c r="H100" s="280">
        <v>5.4600000000000003E-2</v>
      </c>
      <c r="I100" s="280">
        <f t="shared" si="18"/>
        <v>5.4600000000000003E-2</v>
      </c>
      <c r="J100" s="280">
        <f t="shared" si="18"/>
        <v>5.4600000000000003E-2</v>
      </c>
      <c r="K100" s="280">
        <f t="shared" si="18"/>
        <v>5.4600000000000003E-2</v>
      </c>
      <c r="L100" s="280">
        <f t="shared" si="19"/>
        <v>5.4600000000000003E-2</v>
      </c>
      <c r="M100" s="280">
        <f t="shared" si="20"/>
        <v>5.4600000000000003E-2</v>
      </c>
    </row>
    <row r="101" spans="3:13">
      <c r="C101" s="39" t="s">
        <v>159</v>
      </c>
      <c r="D101" s="280">
        <v>0.1</v>
      </c>
      <c r="E101" s="280">
        <f t="shared" si="17"/>
        <v>0.1</v>
      </c>
      <c r="F101" s="280">
        <f t="shared" si="17"/>
        <v>0.1</v>
      </c>
      <c r="G101" s="280">
        <f t="shared" si="17"/>
        <v>0.1</v>
      </c>
      <c r="H101" s="280">
        <v>0.1</v>
      </c>
      <c r="I101" s="280">
        <f t="shared" si="18"/>
        <v>0.1</v>
      </c>
      <c r="J101" s="280">
        <f t="shared" si="18"/>
        <v>0.1</v>
      </c>
      <c r="K101" s="280">
        <f t="shared" si="18"/>
        <v>0.1</v>
      </c>
      <c r="L101" s="280">
        <f t="shared" si="19"/>
        <v>0.1</v>
      </c>
      <c r="M101" s="280">
        <f t="shared" si="20"/>
        <v>0.1</v>
      </c>
    </row>
    <row r="102" spans="3:13">
      <c r="C102" s="39" t="s">
        <v>160</v>
      </c>
      <c r="D102" s="280">
        <f>+(1+D100)*(1+D101)-1</f>
        <v>0.16006000000000009</v>
      </c>
      <c r="E102" s="280">
        <f t="shared" si="17"/>
        <v>0.16006000000000009</v>
      </c>
      <c r="F102" s="280">
        <f t="shared" si="17"/>
        <v>0.16006000000000009</v>
      </c>
      <c r="G102" s="280">
        <f t="shared" si="17"/>
        <v>0.16006000000000009</v>
      </c>
      <c r="H102" s="280">
        <f>+(1+H100)*(1+H101)-1</f>
        <v>0.16006000000000009</v>
      </c>
      <c r="I102" s="280">
        <f t="shared" si="18"/>
        <v>0.16006000000000009</v>
      </c>
      <c r="J102" s="280">
        <f t="shared" si="18"/>
        <v>0.16006000000000009</v>
      </c>
      <c r="K102" s="280">
        <f t="shared" si="18"/>
        <v>0.16006000000000009</v>
      </c>
      <c r="L102" s="280">
        <f t="shared" si="19"/>
        <v>0.16006000000000009</v>
      </c>
      <c r="M102" s="280">
        <f t="shared" si="20"/>
        <v>0.16006000000000009</v>
      </c>
    </row>
    <row r="103" spans="3:13">
      <c r="C103" s="39" t="s">
        <v>161</v>
      </c>
      <c r="D103" s="284">
        <v>0</v>
      </c>
      <c r="E103" s="278">
        <f t="shared" ref="E103:K103" si="21">+(D42+E42+D52+E52+D60+E60)/2</f>
        <v>480694</v>
      </c>
      <c r="F103" s="278">
        <f t="shared" si="21"/>
        <v>959487</v>
      </c>
      <c r="G103" s="278">
        <f t="shared" si="21"/>
        <v>1445563</v>
      </c>
      <c r="H103" s="278">
        <f t="shared" si="21"/>
        <v>2104579.5</v>
      </c>
      <c r="I103" s="278">
        <f t="shared" si="21"/>
        <v>2722213.3000000003</v>
      </c>
      <c r="J103" s="278">
        <f t="shared" si="21"/>
        <v>3206507.1000000006</v>
      </c>
      <c r="K103" s="278">
        <f t="shared" si="21"/>
        <v>3758846.0999999996</v>
      </c>
      <c r="L103" s="278">
        <f t="shared" ref="L103:M103" si="22">+(K42+L42+K52+L52+K60+L60)/2</f>
        <v>4311185.0999999996</v>
      </c>
      <c r="M103" s="278">
        <f t="shared" si="22"/>
        <v>4863524.0999999996</v>
      </c>
    </row>
    <row r="105" spans="3:13">
      <c r="D105" s="69"/>
      <c r="E105" s="69"/>
      <c r="F105" s="69"/>
      <c r="G105" s="69"/>
      <c r="H105" s="69"/>
      <c r="I105" s="69"/>
      <c r="J105" s="69"/>
      <c r="K105" s="69"/>
      <c r="L105" s="69"/>
      <c r="M105" s="69"/>
    </row>
    <row r="106" spans="3:13">
      <c r="E106" s="70"/>
      <c r="F106" s="70"/>
      <c r="G106" s="70"/>
      <c r="H106" s="70"/>
      <c r="I106" s="70"/>
      <c r="J106" s="70"/>
      <c r="K106" s="70"/>
      <c r="L106" s="70"/>
      <c r="M106" s="70"/>
    </row>
    <row r="107" spans="3:13">
      <c r="C107" s="85"/>
      <c r="E107" s="66"/>
      <c r="F107" s="66"/>
      <c r="G107" s="66"/>
      <c r="H107" s="66"/>
      <c r="I107" s="66"/>
      <c r="J107" s="66"/>
      <c r="K107" s="66"/>
      <c r="L107" s="66"/>
      <c r="M107" s="66"/>
    </row>
    <row r="108" spans="3:13">
      <c r="E108" s="71"/>
      <c r="F108" s="71"/>
      <c r="G108" s="71"/>
      <c r="H108" s="71"/>
      <c r="I108" s="71"/>
      <c r="J108" s="71"/>
      <c r="K108" s="71"/>
      <c r="L108" s="71"/>
      <c r="M108" s="71"/>
    </row>
  </sheetData>
  <mergeCells count="6">
    <mergeCell ref="C94:G95"/>
    <mergeCell ref="D5:M5"/>
    <mergeCell ref="B13:M14"/>
    <mergeCell ref="B15:M16"/>
    <mergeCell ref="C19:G19"/>
    <mergeCell ref="H19:L1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R108"/>
  <sheetViews>
    <sheetView tabSelected="1" topLeftCell="A99" zoomScale="90" zoomScaleNormal="90" workbookViewId="0">
      <selection activeCell="A129" sqref="A129"/>
    </sheetView>
  </sheetViews>
  <sheetFormatPr baseColWidth="10" defaultColWidth="11.42578125" defaultRowHeight="12.75" outlineLevelCol="1"/>
  <cols>
    <col min="1" max="1" width="2.42578125" style="4" customWidth="1"/>
    <col min="2" max="2" width="4.42578125" style="5" bestFit="1" customWidth="1"/>
    <col min="3" max="3" width="34.7109375" style="4" customWidth="1"/>
    <col min="4" max="4" width="14.85546875" style="4" customWidth="1"/>
    <col min="5" max="5" width="16.42578125" style="4" customWidth="1"/>
    <col min="6" max="7" width="16.140625" style="4" bestFit="1" customWidth="1"/>
    <col min="8" max="8" width="32" style="4" customWidth="1" outlineLevel="1"/>
    <col min="9" max="9" width="13.42578125" style="4" customWidth="1" outlineLevel="1"/>
    <col min="10" max="10" width="14.42578125" style="4" customWidth="1" outlineLevel="1"/>
    <col min="11" max="11" width="17.5703125" style="4" customWidth="1" outlineLevel="1"/>
    <col min="12" max="12" width="15.42578125" style="4" customWidth="1" outlineLevel="1"/>
    <col min="13" max="13" width="1.7109375" style="4" customWidth="1"/>
    <col min="14" max="14" width="41.42578125" style="4" customWidth="1" outlineLevel="1"/>
    <col min="15" max="15" width="9.5703125" style="4" customWidth="1" outlineLevel="1"/>
    <col min="16" max="16" width="13.42578125" style="4" customWidth="1" outlineLevel="1"/>
    <col min="17" max="19" width="14.85546875" style="4" customWidth="1" outlineLevel="1"/>
    <col min="20" max="21" width="15" style="4" customWidth="1" outlineLevel="1"/>
    <col min="22" max="22" width="34.28515625" style="4" customWidth="1"/>
    <col min="23" max="23" width="14" style="4" customWidth="1"/>
    <col min="24" max="24" width="14.85546875" style="4" bestFit="1" customWidth="1"/>
    <col min="25" max="26" width="15.42578125" style="4" bestFit="1" customWidth="1"/>
    <col min="27" max="27" width="12.42578125" style="4" bestFit="1" customWidth="1"/>
    <col min="28" max="28" width="13" style="4" customWidth="1"/>
    <col min="29" max="16384" width="11.42578125" style="4"/>
  </cols>
  <sheetData>
    <row r="1" spans="1:148" s="105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</row>
    <row r="2" spans="1:148" s="105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</row>
    <row r="3" spans="1:148" s="105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</row>
    <row r="4" spans="1:148" s="105" customFormat="1" ht="18">
      <c r="A4" s="1"/>
      <c r="B4" s="1"/>
      <c r="C4" s="23"/>
      <c r="D4" s="23" t="s">
        <v>0</v>
      </c>
      <c r="E4" s="23"/>
      <c r="F4" s="23"/>
      <c r="G4" s="23"/>
      <c r="H4" s="23"/>
      <c r="I4" s="23"/>
      <c r="J4" s="23"/>
      <c r="K4" s="23"/>
      <c r="L4" s="23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</row>
    <row r="5" spans="1:148" s="105" customFormat="1" ht="18" customHeight="1">
      <c r="A5" s="1"/>
      <c r="B5" s="1"/>
      <c r="C5" s="22"/>
      <c r="D5" s="292" t="s">
        <v>41</v>
      </c>
      <c r="E5" s="292"/>
      <c r="F5" s="292"/>
      <c r="G5" s="292"/>
      <c r="H5" s="292"/>
      <c r="I5" s="292"/>
      <c r="J5" s="292"/>
      <c r="K5" s="292"/>
      <c r="L5" s="22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</row>
    <row r="6" spans="1:148" s="105" customFormat="1" ht="18" customHeight="1">
      <c r="A6" s="1"/>
      <c r="B6" s="3"/>
      <c r="C6" s="22"/>
      <c r="D6" s="24" t="s">
        <v>39</v>
      </c>
      <c r="E6" s="24"/>
      <c r="F6" s="24"/>
      <c r="G6" s="24"/>
      <c r="H6" s="24"/>
      <c r="I6" s="24"/>
      <c r="J6" s="24"/>
      <c r="K6" s="24"/>
      <c r="L6" s="22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</row>
    <row r="7" spans="1:148" s="105" customFormat="1" ht="15.75">
      <c r="A7" s="1"/>
      <c r="B7" s="3"/>
      <c r="C7" s="3" t="s">
        <v>1</v>
      </c>
      <c r="D7" s="1"/>
      <c r="E7" s="1"/>
      <c r="F7" s="2"/>
      <c r="G7" s="1"/>
      <c r="H7" s="1"/>
      <c r="I7" s="1"/>
      <c r="J7" s="1"/>
      <c r="K7" s="1"/>
      <c r="L7" s="197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</row>
    <row r="8" spans="1:148" s="105" customFormat="1">
      <c r="A8" s="1"/>
      <c r="C8" s="3"/>
      <c r="D8" s="1"/>
      <c r="E8" s="1"/>
      <c r="F8" s="1"/>
      <c r="G8" s="1"/>
      <c r="H8" s="1"/>
      <c r="I8" s="1"/>
      <c r="J8" s="1"/>
      <c r="K8" s="1"/>
      <c r="L8" s="1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</row>
    <row r="9" spans="1:148" s="105" customFormat="1">
      <c r="A9" s="1"/>
      <c r="B9" s="3"/>
      <c r="C9" s="3"/>
      <c r="D9" s="68"/>
      <c r="E9" s="68"/>
      <c r="F9" s="68"/>
      <c r="G9" s="68"/>
      <c r="H9" s="1"/>
      <c r="I9" s="1"/>
      <c r="J9" s="1"/>
      <c r="K9" s="1"/>
      <c r="L9" s="1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</row>
    <row r="10" spans="1:148" s="105" customFormat="1">
      <c r="A10" s="1"/>
      <c r="B10" s="1"/>
      <c r="C10" s="1"/>
      <c r="D10" s="64"/>
      <c r="E10" s="64"/>
      <c r="F10" s="64"/>
      <c r="G10" s="64"/>
      <c r="H10" s="1"/>
      <c r="I10" s="1"/>
      <c r="J10" s="1"/>
      <c r="K10" s="1"/>
      <c r="L10" s="1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</row>
    <row r="11" spans="1:148" s="105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4"/>
      <c r="EL11" s="104"/>
      <c r="EM11" s="104"/>
      <c r="EN11" s="104"/>
      <c r="EO11" s="104"/>
      <c r="EP11" s="104"/>
      <c r="EQ11" s="104"/>
      <c r="ER11" s="104"/>
    </row>
    <row r="12" spans="1:148" s="105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</row>
    <row r="13" spans="1:148" s="105" customFormat="1" ht="12.75" customHeight="1">
      <c r="A13" s="19"/>
      <c r="B13" s="293" t="s">
        <v>40</v>
      </c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198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</row>
    <row r="14" spans="1:148" s="105" customFormat="1" ht="12.75" customHeight="1">
      <c r="A14" s="19"/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198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</row>
    <row r="15" spans="1:148" s="105" customFormat="1" ht="6.75" customHeight="1">
      <c r="A15" s="19"/>
      <c r="B15" s="294" t="s">
        <v>42</v>
      </c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199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</row>
    <row r="16" spans="1:148" s="105" customFormat="1" ht="12.75" customHeight="1">
      <c r="A16" s="104"/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199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</row>
    <row r="17" spans="1:26">
      <c r="A17" s="1"/>
      <c r="B17" s="1"/>
      <c r="C17" s="1"/>
      <c r="D17" s="64"/>
      <c r="E17" s="64"/>
      <c r="F17" s="64"/>
      <c r="G17" s="64"/>
      <c r="H17" s="106"/>
      <c r="I17" s="107"/>
      <c r="J17" s="108"/>
      <c r="K17" s="109"/>
      <c r="L17" s="107"/>
    </row>
    <row r="18" spans="1:26" ht="13.5" thickBot="1">
      <c r="D18" s="65"/>
      <c r="E18" s="65">
        <f>+E24-D24</f>
        <v>1580.0999999999985</v>
      </c>
      <c r="F18" s="65">
        <f>+F24-E24</f>
        <v>1580.1000000000058</v>
      </c>
      <c r="G18" s="65">
        <f>+G24-F24</f>
        <v>1580.0999999999913</v>
      </c>
      <c r="H18" s="93"/>
      <c r="I18" s="93"/>
      <c r="J18" s="93"/>
      <c r="K18" s="110"/>
      <c r="L18" s="111"/>
      <c r="V18" s="112"/>
    </row>
    <row r="19" spans="1:26" ht="13.5" thickTop="1">
      <c r="B19" s="113"/>
      <c r="C19" s="296" t="s">
        <v>162</v>
      </c>
      <c r="D19" s="296"/>
      <c r="E19" s="296"/>
      <c r="F19" s="296"/>
      <c r="G19" s="297"/>
      <c r="H19" s="298" t="s">
        <v>123</v>
      </c>
      <c r="I19" s="299"/>
      <c r="J19" s="299"/>
      <c r="K19" s="299"/>
      <c r="L19" s="300"/>
      <c r="N19" s="114" t="s">
        <v>124</v>
      </c>
      <c r="O19" s="115"/>
      <c r="P19" s="301" t="s">
        <v>125</v>
      </c>
      <c r="Q19" s="301"/>
      <c r="R19" s="301"/>
      <c r="S19" s="301"/>
      <c r="T19" s="301"/>
      <c r="U19" s="301"/>
      <c r="V19" s="200" t="str">
        <f>+C19</f>
        <v>EMPRESA: TREFIACEROS</v>
      </c>
      <c r="W19" s="302" t="s">
        <v>126</v>
      </c>
      <c r="X19" s="301"/>
      <c r="Y19" s="301"/>
      <c r="Z19" s="303"/>
    </row>
    <row r="20" spans="1:26">
      <c r="B20" s="116"/>
      <c r="C20" s="117" t="s">
        <v>68</v>
      </c>
      <c r="D20" s="118">
        <v>2012</v>
      </c>
      <c r="E20" s="118">
        <v>2013</v>
      </c>
      <c r="F20" s="118">
        <v>2014</v>
      </c>
      <c r="G20" s="119">
        <v>2015</v>
      </c>
      <c r="H20" s="120" t="s">
        <v>2</v>
      </c>
      <c r="I20" s="201">
        <v>2012</v>
      </c>
      <c r="J20" s="201">
        <v>2013</v>
      </c>
      <c r="K20" s="201">
        <v>2014</v>
      </c>
      <c r="L20" s="201">
        <v>2015</v>
      </c>
      <c r="N20" s="121" t="s">
        <v>2</v>
      </c>
      <c r="O20" s="122"/>
      <c r="P20" s="304">
        <v>2008</v>
      </c>
      <c r="Q20" s="305"/>
      <c r="R20" s="304">
        <v>2009</v>
      </c>
      <c r="S20" s="305"/>
      <c r="T20" s="304">
        <v>2010</v>
      </c>
      <c r="U20" s="306"/>
      <c r="V20" s="117" t="s">
        <v>68</v>
      </c>
      <c r="W20" s="202">
        <f>+D20</f>
        <v>2012</v>
      </c>
      <c r="X20" s="202">
        <f>+E20</f>
        <v>2013</v>
      </c>
      <c r="Y20" s="202">
        <f>+F20</f>
        <v>2014</v>
      </c>
      <c r="Z20" s="203">
        <f>+G20</f>
        <v>2015</v>
      </c>
    </row>
    <row r="21" spans="1:26" ht="13.5" thickBot="1">
      <c r="B21" s="124"/>
      <c r="C21" s="117" t="s">
        <v>2</v>
      </c>
      <c r="D21" s="125"/>
      <c r="E21" s="125"/>
      <c r="F21" s="125"/>
      <c r="G21" s="126"/>
      <c r="H21" s="312" t="s">
        <v>127</v>
      </c>
      <c r="I21" s="310"/>
      <c r="J21" s="310"/>
      <c r="K21" s="310"/>
      <c r="L21" s="310"/>
      <c r="N21" s="127" t="s">
        <v>2</v>
      </c>
      <c r="O21" s="128"/>
      <c r="P21" s="129" t="s">
        <v>128</v>
      </c>
      <c r="Q21" s="130" t="s">
        <v>129</v>
      </c>
      <c r="R21" s="129" t="s">
        <v>128</v>
      </c>
      <c r="S21" s="130" t="s">
        <v>129</v>
      </c>
      <c r="T21" s="129" t="s">
        <v>128</v>
      </c>
      <c r="U21" s="131" t="s">
        <v>129</v>
      </c>
      <c r="V21" s="117" t="s">
        <v>2</v>
      </c>
      <c r="W21" s="132"/>
      <c r="X21" s="125"/>
      <c r="Y21" s="125"/>
      <c r="Z21" s="126"/>
    </row>
    <row r="22" spans="1:26" ht="13.5" thickTop="1">
      <c r="B22" s="6"/>
      <c r="C22" s="7"/>
      <c r="D22" s="58"/>
      <c r="E22" s="58"/>
      <c r="F22" s="58"/>
      <c r="G22" s="58"/>
      <c r="H22" s="204"/>
      <c r="I22" s="205"/>
      <c r="J22" s="205"/>
      <c r="K22" s="205"/>
      <c r="L22" s="205"/>
      <c r="P22" s="133"/>
      <c r="Q22" s="134"/>
      <c r="R22" s="133"/>
      <c r="S22" s="134"/>
      <c r="T22" s="133"/>
      <c r="U22" s="135"/>
      <c r="V22" s="123"/>
      <c r="W22" s="7"/>
      <c r="X22" s="7"/>
      <c r="Y22" s="7"/>
      <c r="Z22" s="136"/>
    </row>
    <row r="23" spans="1:26" ht="13.5" customHeight="1" thickBot="1">
      <c r="B23" s="8">
        <v>10</v>
      </c>
      <c r="C23" s="33" t="s">
        <v>58</v>
      </c>
      <c r="D23" s="45">
        <f>+D30+D38</f>
        <v>7427297.6000000006</v>
      </c>
      <c r="E23" s="46">
        <f>+E30+E38</f>
        <v>8768370.5999999996</v>
      </c>
      <c r="F23" s="46">
        <f>+F30+F38</f>
        <v>10109443.6</v>
      </c>
      <c r="G23" s="47">
        <f>+G30+G38</f>
        <v>11450516.6</v>
      </c>
      <c r="H23" s="206"/>
      <c r="I23" s="86"/>
      <c r="J23" s="309" t="s">
        <v>71</v>
      </c>
      <c r="K23" s="310"/>
      <c r="L23" s="311"/>
      <c r="N23" s="207" t="s">
        <v>58</v>
      </c>
      <c r="O23" s="208" t="s">
        <v>130</v>
      </c>
      <c r="P23" s="133"/>
      <c r="Q23" s="134"/>
      <c r="R23" s="133"/>
      <c r="S23" s="134"/>
      <c r="T23" s="133"/>
      <c r="U23" s="135"/>
      <c r="V23" s="209" t="s">
        <v>154</v>
      </c>
      <c r="W23" s="137">
        <f>+W24+W25</f>
        <v>5196263.8000000007</v>
      </c>
      <c r="X23" s="138">
        <f>+X24+X25</f>
        <v>6159210.1999999993</v>
      </c>
      <c r="Y23" s="138">
        <f>+Y24+Y25</f>
        <v>7122156.6000000006</v>
      </c>
      <c r="Z23" s="139">
        <f>+Z24+Z25</f>
        <v>8085103</v>
      </c>
    </row>
    <row r="24" spans="1:26" ht="13.5" thickTop="1">
      <c r="B24" s="9">
        <v>11</v>
      </c>
      <c r="C24" s="10" t="s">
        <v>3</v>
      </c>
      <c r="D24" s="48">
        <v>63540.1</v>
      </c>
      <c r="E24" s="48">
        <v>65120.2</v>
      </c>
      <c r="F24" s="48">
        <v>66700.3</v>
      </c>
      <c r="G24" s="48">
        <v>68280.399999999994</v>
      </c>
      <c r="H24" s="210" t="s">
        <v>72</v>
      </c>
      <c r="I24" s="87">
        <f>+D23</f>
        <v>7427297.6000000006</v>
      </c>
      <c r="J24" s="188">
        <f>+E23/D23-1</f>
        <v>0.18056001956889389</v>
      </c>
      <c r="K24" s="188">
        <f>+F23/E23-1</f>
        <v>0.15294437942666339</v>
      </c>
      <c r="L24" s="188">
        <f>+G23/F23-1</f>
        <v>0.13265547077190276</v>
      </c>
      <c r="N24" s="211"/>
      <c r="O24" s="212"/>
      <c r="P24" s="213"/>
      <c r="Q24" s="134"/>
      <c r="R24" s="133"/>
      <c r="S24" s="134"/>
      <c r="T24" s="133"/>
      <c r="U24" s="135"/>
      <c r="V24" s="214" t="s">
        <v>131</v>
      </c>
      <c r="W24" s="215">
        <f>+D30-D51+D42+D50</f>
        <v>4477921.5000000009</v>
      </c>
      <c r="X24" s="215">
        <f>+E30-E51+E42+E50</f>
        <v>5336424.7999999989</v>
      </c>
      <c r="Y24" s="215">
        <f>+F30-F51+F42+F50</f>
        <v>6194928.1000000006</v>
      </c>
      <c r="Z24" s="216">
        <f>+G30-G51+G42+G50</f>
        <v>7053431.4000000004</v>
      </c>
    </row>
    <row r="25" spans="1:26">
      <c r="B25" s="9">
        <v>12</v>
      </c>
      <c r="C25" s="11" t="s">
        <v>47</v>
      </c>
      <c r="D25" s="48">
        <v>240000</v>
      </c>
      <c r="E25" s="48">
        <v>300000</v>
      </c>
      <c r="F25" s="48">
        <v>360000</v>
      </c>
      <c r="G25" s="48">
        <v>420000</v>
      </c>
      <c r="H25" s="217" t="s">
        <v>73</v>
      </c>
      <c r="I25" s="87">
        <f>+D27+D28+D33</f>
        <v>5388714.7999999998</v>
      </c>
      <c r="J25" s="188">
        <f>(E27+E28+E33)/(+D27+D28+D33)-1</f>
        <v>0.1760890741517811</v>
      </c>
      <c r="K25" s="188">
        <f>(F27+F28+F33)/(+E27+E28+E33)-1</f>
        <v>0.14972426665793148</v>
      </c>
      <c r="L25" s="188">
        <f>(G27+G28+G33)/(+F27+F28+F33)-1</f>
        <v>0.13022623858601889</v>
      </c>
      <c r="N25" s="218" t="s">
        <v>47</v>
      </c>
      <c r="O25" s="219" t="str">
        <f>IF(E25-D25&lt;0,"F","U")</f>
        <v>U</v>
      </c>
      <c r="P25" s="140">
        <f>IF(E25-D25&lt;0,0,ABS(E25-D25))</f>
        <v>60000</v>
      </c>
      <c r="Q25" s="141">
        <f>IF(E25-D25&gt;0,0,ABS(E25-D25))</f>
        <v>0</v>
      </c>
      <c r="R25" s="140">
        <f>IF(F25-E25&lt;0,0,ABS(F25-E25))</f>
        <v>60000</v>
      </c>
      <c r="S25" s="141">
        <f>IF(F25-E25&gt;0,0,ABS(F25-E25))</f>
        <v>0</v>
      </c>
      <c r="T25" s="140">
        <f>IF(G25-F25&lt;0,0,ABS(G25-F25))</f>
        <v>60000</v>
      </c>
      <c r="U25" s="142">
        <f>IF(G25-F25&gt;0,0,ABS(G25-F25))</f>
        <v>0</v>
      </c>
      <c r="V25" s="220" t="s">
        <v>132</v>
      </c>
      <c r="W25" s="221">
        <f>+D33+D34</f>
        <v>718342.3</v>
      </c>
      <c r="X25" s="221">
        <f>+E33+E34</f>
        <v>822785.4</v>
      </c>
      <c r="Y25" s="221">
        <f>+F33+F34</f>
        <v>927228.5</v>
      </c>
      <c r="Z25" s="222">
        <f>+G33+G34</f>
        <v>1031671.6</v>
      </c>
    </row>
    <row r="26" spans="1:26">
      <c r="B26" s="9">
        <v>13</v>
      </c>
      <c r="C26" s="11" t="s">
        <v>48</v>
      </c>
      <c r="D26" s="48">
        <v>3519649.5</v>
      </c>
      <c r="E26" s="48">
        <v>4176889.4</v>
      </c>
      <c r="F26" s="48">
        <v>4834129.3</v>
      </c>
      <c r="G26" s="48">
        <v>5491369.2000000002</v>
      </c>
      <c r="H26" s="217" t="s">
        <v>59</v>
      </c>
      <c r="I26" s="87">
        <f>+D41</f>
        <v>4980571.4000000004</v>
      </c>
      <c r="J26" s="88">
        <f>+E41/D41-1</f>
        <v>0.17774378257081103</v>
      </c>
      <c r="K26" s="88">
        <f>+F41/E41-1</f>
        <v>0.15091888847235246</v>
      </c>
      <c r="L26" s="88">
        <f>+G41/F41-1</f>
        <v>0.13112903957347655</v>
      </c>
      <c r="N26" s="218" t="s">
        <v>48</v>
      </c>
      <c r="O26" s="219" t="str">
        <f>IF(E26-D26&lt;0,"F","U")</f>
        <v>U</v>
      </c>
      <c r="P26" s="140">
        <f>IF(E26-D26&lt;0,0,ABS(E26-D26))</f>
        <v>657239.89999999991</v>
      </c>
      <c r="Q26" s="141">
        <f>IF(E26-D26&gt;0,0,ABS(E26-D26))</f>
        <v>0</v>
      </c>
      <c r="R26" s="140">
        <f>IF(F26-E26&lt;0,0,ABS(F26-E26))</f>
        <v>657239.89999999991</v>
      </c>
      <c r="S26" s="141">
        <f>IF(F26-E26&gt;0,0,ABS(F26-E26))</f>
        <v>0</v>
      </c>
      <c r="T26" s="140">
        <f>IF(G26-F26&lt;0,0,ABS(G26-F26))</f>
        <v>657239.90000000037</v>
      </c>
      <c r="U26" s="142">
        <f>IF(G26-F26&gt;0,0,ABS(G26-F26))</f>
        <v>0</v>
      </c>
      <c r="V26" s="223" t="s">
        <v>133</v>
      </c>
      <c r="W26" s="224">
        <f>SUM(D35:D37)+D31</f>
        <v>180800</v>
      </c>
      <c r="X26" s="224">
        <f>SUM(E35:E37)+E31</f>
        <v>226000</v>
      </c>
      <c r="Y26" s="224">
        <f>SUM(F35:F37)+F31</f>
        <v>271200</v>
      </c>
      <c r="Z26" s="225">
        <f>SUM(G35:G37)+G31</f>
        <v>316400</v>
      </c>
    </row>
    <row r="27" spans="1:26">
      <c r="B27" s="9">
        <v>1305</v>
      </c>
      <c r="C27" s="11" t="s">
        <v>49</v>
      </c>
      <c r="D27" s="48">
        <v>2050702.7</v>
      </c>
      <c r="E27" s="48">
        <v>2429504.6</v>
      </c>
      <c r="F27" s="48">
        <v>2808306.5</v>
      </c>
      <c r="G27" s="48">
        <v>3187108.4</v>
      </c>
      <c r="H27" s="217" t="s">
        <v>74</v>
      </c>
      <c r="I27" s="87">
        <f>+D63</f>
        <v>2446726.2000000002</v>
      </c>
      <c r="J27" s="88">
        <f>+E63/D63-1</f>
        <v>0.18629276949746143</v>
      </c>
      <c r="K27" s="88">
        <f>+F63/E63-1</f>
        <v>0.15703776865838837</v>
      </c>
      <c r="L27" s="88">
        <f>+G63/F63-1</f>
        <v>0.13572397799985203</v>
      </c>
      <c r="N27" s="218" t="s">
        <v>49</v>
      </c>
      <c r="O27" s="226" t="str">
        <f>IF(E27-D27&lt;0,"F","U")</f>
        <v>U</v>
      </c>
      <c r="P27" s="143">
        <f>IF(E27-D27&lt;0,0,ABS(E27-D27))</f>
        <v>378801.90000000014</v>
      </c>
      <c r="Q27" s="143">
        <f>IF(E27-D27&gt;0,0,ABS(E27-D27))</f>
        <v>0</v>
      </c>
      <c r="R27" s="143">
        <f>IF(F27-E27&lt;0,0,ABS(F27-E27))</f>
        <v>378801.89999999991</v>
      </c>
      <c r="S27" s="143">
        <f>IF(F27-E27&gt;0,0,ABS(F27-E27))</f>
        <v>0</v>
      </c>
      <c r="T27" s="143">
        <f>IF(G27-F27&lt;0,0,ABS(G27-F27))</f>
        <v>378801.89999999991</v>
      </c>
      <c r="U27" s="144">
        <f>IF(G27-F27&gt;0,0,ABS(G27-F27))</f>
        <v>0</v>
      </c>
      <c r="V27" s="227"/>
      <c r="W27" s="228"/>
      <c r="X27" s="228"/>
      <c r="Y27" s="228"/>
      <c r="Z27" s="229"/>
    </row>
    <row r="28" spans="1:26">
      <c r="B28" s="9">
        <v>14</v>
      </c>
      <c r="C28" s="11" t="s">
        <v>50</v>
      </c>
      <c r="D28" s="48">
        <v>2619669.7999999998</v>
      </c>
      <c r="E28" s="48">
        <v>3085318.6</v>
      </c>
      <c r="F28" s="48">
        <v>3550967.4</v>
      </c>
      <c r="G28" s="48">
        <v>4016616.2</v>
      </c>
      <c r="H28" s="217" t="s">
        <v>75</v>
      </c>
      <c r="I28" s="87">
        <f>+D75</f>
        <v>15525210.6</v>
      </c>
      <c r="J28" s="88">
        <f>+E75/D75-1</f>
        <v>0.15237305701991555</v>
      </c>
      <c r="K28" s="88">
        <f>+F75/E75-1</f>
        <v>0.13222545953474363</v>
      </c>
      <c r="L28" s="88">
        <f>+G75/F75-1</f>
        <v>0.11678368333907452</v>
      </c>
      <c r="N28" s="218" t="s">
        <v>50</v>
      </c>
      <c r="O28" s="219" t="str">
        <f>IF(E28-D28&lt;0,"F","U")</f>
        <v>U</v>
      </c>
      <c r="P28" s="140">
        <f>IF(E28-D28&lt;0,0,ABS(E28-D28))</f>
        <v>465648.80000000028</v>
      </c>
      <c r="Q28" s="141">
        <f>IF(E28-D28&gt;0,0,ABS(E28-D28))</f>
        <v>0</v>
      </c>
      <c r="R28" s="140">
        <f>IF(F28-E28&lt;0,0,ABS(F28-E28))</f>
        <v>465648.79999999981</v>
      </c>
      <c r="S28" s="141">
        <f>IF(F28-E28&gt;0,0,ABS(F28-E28))</f>
        <v>0</v>
      </c>
      <c r="T28" s="140">
        <f>IF(G28-F28&lt;0,0,ABS(G28-F28))</f>
        <v>465648.80000000028</v>
      </c>
      <c r="U28" s="142">
        <f>IF(G28-F28&gt;0,0,ABS(G28-F28))</f>
        <v>0</v>
      </c>
      <c r="V28" s="230"/>
      <c r="W28" s="221">
        <f>SUM(W58:W61)</f>
        <v>0</v>
      </c>
      <c r="X28" s="221">
        <f>SUM(X58:X61)</f>
        <v>0</v>
      </c>
      <c r="Y28" s="221">
        <f>SUM(Y58:Y61)</f>
        <v>0</v>
      </c>
      <c r="Z28" s="222">
        <f>SUM(Z58:Z61)</f>
        <v>0</v>
      </c>
    </row>
    <row r="29" spans="1:26">
      <c r="B29" s="9">
        <v>17</v>
      </c>
      <c r="C29" s="12" t="s">
        <v>51</v>
      </c>
      <c r="D29" s="48">
        <v>85295.9</v>
      </c>
      <c r="E29" s="48">
        <v>92257</v>
      </c>
      <c r="F29" s="48">
        <v>99218.1</v>
      </c>
      <c r="G29" s="48">
        <v>106179.2</v>
      </c>
      <c r="H29" s="217" t="s">
        <v>76</v>
      </c>
      <c r="I29" s="87">
        <f>+D77+D79+D83</f>
        <v>14540826.5</v>
      </c>
      <c r="J29" s="88">
        <f>+(E77+E79+E83)/(D77+D79+D83)-1</f>
        <v>0.15310525161688715</v>
      </c>
      <c r="K29" s="88">
        <f>+(F77+F79+F83)/(E77+E79+E83)-1</f>
        <v>0.13277647587000629</v>
      </c>
      <c r="L29" s="88">
        <f>+(G77+G79+G83)/(F77+F79+F83)-1</f>
        <v>0.11721330615382874</v>
      </c>
      <c r="N29" s="231" t="s">
        <v>51</v>
      </c>
      <c r="O29" s="219" t="str">
        <f>IF(E29-D29&lt;0,"F","U")</f>
        <v>U</v>
      </c>
      <c r="P29" s="140">
        <f>IF(E29-D29&lt;0,0,ABS(E29-D29))</f>
        <v>6961.1000000000058</v>
      </c>
      <c r="Q29" s="141">
        <f>IF(E29-D29&gt;0,0,ABS(E29-D29))</f>
        <v>0</v>
      </c>
      <c r="R29" s="140">
        <f>IF(F29-E29&lt;0,0,ABS(F29-E29))</f>
        <v>6961.1000000000058</v>
      </c>
      <c r="S29" s="141">
        <f>IF(F29-E29&gt;0,0,ABS(F29-E29))</f>
        <v>0</v>
      </c>
      <c r="T29" s="140">
        <f>IF(G29-F29&lt;0,0,ABS(G29-F29))</f>
        <v>6961.0999999999913</v>
      </c>
      <c r="U29" s="142">
        <f>IF(G29-F29&gt;0,0,ABS(G29-F29))</f>
        <v>0</v>
      </c>
      <c r="V29" s="220" t="s">
        <v>155</v>
      </c>
      <c r="W29" s="232">
        <f>+D42+D52</f>
        <v>2930337.6</v>
      </c>
      <c r="X29" s="232">
        <f>+E42+E52</f>
        <v>3482676.6</v>
      </c>
      <c r="Y29" s="232">
        <f>+F42+F52</f>
        <v>4035015.6</v>
      </c>
      <c r="Z29" s="233">
        <f>+G42+G52</f>
        <v>4587354.5999999996</v>
      </c>
    </row>
    <row r="30" spans="1:26" ht="13.5" thickBot="1">
      <c r="B30" s="9"/>
      <c r="C30" s="26" t="s">
        <v>4</v>
      </c>
      <c r="D30" s="50">
        <f>+D24+D25+D26+D28+D29</f>
        <v>6528155.3000000007</v>
      </c>
      <c r="E30" s="51">
        <f>+E24+E25+E26+E28+E29</f>
        <v>7719585.1999999993</v>
      </c>
      <c r="F30" s="51">
        <f>+F24+F25+F26+F28+F29</f>
        <v>8911015.0999999996</v>
      </c>
      <c r="G30" s="52">
        <f>+G24+G25+G26+G28+G29</f>
        <v>10102445</v>
      </c>
      <c r="H30" s="217" t="s">
        <v>33</v>
      </c>
      <c r="I30" s="87">
        <f>+D87</f>
        <v>984384.10000000044</v>
      </c>
      <c r="J30" s="188">
        <f>+E87/D87-1</f>
        <v>0.14155744693560002</v>
      </c>
      <c r="K30" s="188">
        <f>+F87/E87-1</f>
        <v>0.12400378738328022</v>
      </c>
      <c r="L30" s="188">
        <f>+G87/F87-1</f>
        <v>0.11032328251488055</v>
      </c>
      <c r="N30" s="234" t="s">
        <v>4</v>
      </c>
      <c r="O30" s="235"/>
      <c r="P30" s="236">
        <f t="shared" ref="P30:U30" si="0">SUM(P25:P29)</f>
        <v>1568651.7000000004</v>
      </c>
      <c r="Q30" s="236">
        <f t="shared" si="0"/>
        <v>0</v>
      </c>
      <c r="R30" s="236">
        <f t="shared" si="0"/>
        <v>1568651.6999999997</v>
      </c>
      <c r="S30" s="236">
        <f t="shared" si="0"/>
        <v>0</v>
      </c>
      <c r="T30" s="236">
        <f t="shared" si="0"/>
        <v>1568651.7000000007</v>
      </c>
      <c r="U30" s="236">
        <f t="shared" si="0"/>
        <v>0</v>
      </c>
      <c r="V30" s="220"/>
      <c r="W30" s="221"/>
      <c r="X30" s="221"/>
      <c r="Y30" s="221"/>
      <c r="Z30" s="222"/>
    </row>
    <row r="31" spans="1:26" ht="13.5" thickTop="1">
      <c r="B31" s="9">
        <v>12</v>
      </c>
      <c r="C31" s="10" t="s">
        <v>47</v>
      </c>
      <c r="D31" s="48">
        <v>0</v>
      </c>
      <c r="E31" s="48">
        <v>0</v>
      </c>
      <c r="F31" s="48">
        <v>0</v>
      </c>
      <c r="G31" s="48">
        <v>0</v>
      </c>
      <c r="H31" s="217" t="s">
        <v>77</v>
      </c>
      <c r="I31" s="89">
        <f>+(D87+D81+D82+D85+D86)</f>
        <v>1109412.2000000004</v>
      </c>
      <c r="J31" s="188">
        <f>+(E87+E81+E82+E85+E86)/(D87+D81+D82+D85+D86)-1</f>
        <v>0.14396677808302294</v>
      </c>
      <c r="K31" s="188">
        <f>+(F87+F81+F82+F85+F86)/(E87+E81+E82+E85+E86)-1</f>
        <v>0.12584874040159999</v>
      </c>
      <c r="L31" s="188">
        <f>+(G87+G81+G82+G85+G86)/(F87+F81+F82+F85+F86)-1</f>
        <v>0.11178121526050599</v>
      </c>
      <c r="N31" s="237" t="s">
        <v>47</v>
      </c>
      <c r="O31" s="219" t="str">
        <f t="shared" ref="O31:O37" si="1">IF(E31-D31&lt;0,"F","U")</f>
        <v>U</v>
      </c>
      <c r="P31" s="140">
        <f t="shared" ref="P31:P37" si="2">IF(E31-D31&lt;0,0,ABS(E31-D31))</f>
        <v>0</v>
      </c>
      <c r="Q31" s="141">
        <f t="shared" ref="Q31:Q37" si="3">IF(E31-D31&gt;0,0,ABS(E31-D31))</f>
        <v>0</v>
      </c>
      <c r="R31" s="140">
        <f t="shared" ref="R31:R37" si="4">IF(F31-E31&lt;0,0,ABS(F31-E31))</f>
        <v>0</v>
      </c>
      <c r="S31" s="141">
        <f t="shared" ref="S31:S37" si="5">IF(F31-E31&gt;0,0,ABS(F31-E31))</f>
        <v>0</v>
      </c>
      <c r="T31" s="140">
        <f t="shared" ref="T31:T37" si="6">IF(G31-F31&lt;0,0,ABS(G31-F31))</f>
        <v>0</v>
      </c>
      <c r="U31" s="142">
        <f t="shared" ref="U31:U37" si="7">IF(G31-F31&gt;0,0,ABS(G31-F31))</f>
        <v>0</v>
      </c>
      <c r="V31" s="238" t="s">
        <v>134</v>
      </c>
      <c r="W31" s="239">
        <f>+D63-W26</f>
        <v>2265926.2000000002</v>
      </c>
      <c r="X31" s="239">
        <f>+E63-X26</f>
        <v>2676533.6</v>
      </c>
      <c r="Y31" s="239">
        <f>+F63-Y26</f>
        <v>3087140.9999999995</v>
      </c>
      <c r="Z31" s="240">
        <f>+G63-Z26</f>
        <v>3497748.4000000004</v>
      </c>
    </row>
    <row r="32" spans="1:26" ht="13.5" thickBot="1">
      <c r="B32" s="9">
        <v>13</v>
      </c>
      <c r="C32" s="11" t="s">
        <v>52</v>
      </c>
      <c r="D32" s="48">
        <v>0</v>
      </c>
      <c r="E32" s="48">
        <v>0</v>
      </c>
      <c r="F32" s="48">
        <v>0</v>
      </c>
      <c r="G32" s="48">
        <v>0</v>
      </c>
      <c r="H32" s="217"/>
      <c r="I32" s="87"/>
      <c r="J32" s="87"/>
      <c r="K32" s="87"/>
      <c r="L32" s="87"/>
      <c r="N32" s="218" t="s">
        <v>52</v>
      </c>
      <c r="O32" s="219" t="str">
        <f t="shared" si="1"/>
        <v>U</v>
      </c>
      <c r="P32" s="140">
        <f t="shared" si="2"/>
        <v>0</v>
      </c>
      <c r="Q32" s="141">
        <f t="shared" si="3"/>
        <v>0</v>
      </c>
      <c r="R32" s="140">
        <f t="shared" si="4"/>
        <v>0</v>
      </c>
      <c r="S32" s="141">
        <f t="shared" si="5"/>
        <v>0</v>
      </c>
      <c r="T32" s="140">
        <f t="shared" si="6"/>
        <v>0</v>
      </c>
      <c r="U32" s="142">
        <f t="shared" si="7"/>
        <v>0</v>
      </c>
      <c r="V32" s="209" t="s">
        <v>156</v>
      </c>
      <c r="W32" s="137">
        <f>+W31+W30+W29</f>
        <v>5196263.8000000007</v>
      </c>
      <c r="X32" s="138">
        <f>+X31+X30+X29</f>
        <v>6159210.2000000002</v>
      </c>
      <c r="Y32" s="138">
        <f>+Y31+Y30+Y29</f>
        <v>7122156.5999999996</v>
      </c>
      <c r="Z32" s="139">
        <f>+Z31+Z30+Z29</f>
        <v>8085103</v>
      </c>
    </row>
    <row r="33" spans="2:29" ht="14.25" customHeight="1" thickTop="1" thickBot="1">
      <c r="B33" s="9">
        <v>15</v>
      </c>
      <c r="C33" s="11" t="s">
        <v>5</v>
      </c>
      <c r="D33" s="48">
        <v>718342.3</v>
      </c>
      <c r="E33" s="48">
        <v>822785.4</v>
      </c>
      <c r="F33" s="48">
        <v>927228.5</v>
      </c>
      <c r="G33" s="48">
        <v>1031671.6</v>
      </c>
      <c r="H33" s="90"/>
      <c r="J33" s="309" t="s">
        <v>78</v>
      </c>
      <c r="K33" s="310"/>
      <c r="L33" s="311"/>
      <c r="N33" s="218" t="s">
        <v>5</v>
      </c>
      <c r="O33" s="219" t="str">
        <f t="shared" si="1"/>
        <v>U</v>
      </c>
      <c r="P33" s="140">
        <f t="shared" si="2"/>
        <v>104443.09999999998</v>
      </c>
      <c r="Q33" s="141">
        <f t="shared" si="3"/>
        <v>0</v>
      </c>
      <c r="R33" s="140">
        <f t="shared" si="4"/>
        <v>104443.09999999998</v>
      </c>
      <c r="S33" s="141">
        <f t="shared" si="5"/>
        <v>0</v>
      </c>
      <c r="T33" s="140">
        <f t="shared" si="6"/>
        <v>104443.09999999998</v>
      </c>
      <c r="U33" s="142">
        <f t="shared" si="7"/>
        <v>0</v>
      </c>
      <c r="V33" s="145"/>
      <c r="W33" s="146">
        <f>+W32-W23</f>
        <v>0</v>
      </c>
      <c r="X33" s="146">
        <f>+X32-X23</f>
        <v>0</v>
      </c>
      <c r="Y33" s="146">
        <f>+Y32-Y23</f>
        <v>0</v>
      </c>
      <c r="Z33" s="147">
        <f>+Z32-Z23</f>
        <v>0</v>
      </c>
    </row>
    <row r="34" spans="2:29" ht="13.5" thickTop="1">
      <c r="B34" s="9"/>
      <c r="C34" s="11" t="s">
        <v>43</v>
      </c>
      <c r="D34" s="48">
        <v>0</v>
      </c>
      <c r="E34" s="48">
        <v>0</v>
      </c>
      <c r="F34" s="48">
        <v>0</v>
      </c>
      <c r="G34" s="48">
        <v>0</v>
      </c>
      <c r="H34" s="313" t="s">
        <v>79</v>
      </c>
      <c r="I34" s="87">
        <f>+D30-D51</f>
        <v>1918786.3000000007</v>
      </c>
      <c r="J34" s="189">
        <f>+E30-E51</f>
        <v>2317751.1999999993</v>
      </c>
      <c r="K34" s="189">
        <f>+F30-F51</f>
        <v>2716716.1000000006</v>
      </c>
      <c r="L34" s="189">
        <f>+G30-G51</f>
        <v>3115681.0000000009</v>
      </c>
      <c r="N34" s="218" t="s">
        <v>43</v>
      </c>
      <c r="O34" s="226" t="str">
        <f t="shared" si="1"/>
        <v>U</v>
      </c>
      <c r="P34" s="148">
        <f t="shared" si="2"/>
        <v>0</v>
      </c>
      <c r="Q34" s="149">
        <f t="shared" si="3"/>
        <v>0</v>
      </c>
      <c r="R34" s="140">
        <f t="shared" si="4"/>
        <v>0</v>
      </c>
      <c r="S34" s="141">
        <f t="shared" si="5"/>
        <v>0</v>
      </c>
      <c r="T34" s="140">
        <f t="shared" si="6"/>
        <v>0</v>
      </c>
      <c r="U34" s="142">
        <f t="shared" si="7"/>
        <v>0</v>
      </c>
      <c r="V34" s="150"/>
      <c r="W34" s="151"/>
      <c r="X34" s="151"/>
      <c r="Y34" s="151"/>
      <c r="Z34" s="152"/>
    </row>
    <row r="35" spans="2:29">
      <c r="B35" s="9">
        <v>16</v>
      </c>
      <c r="C35" s="11" t="s">
        <v>6</v>
      </c>
      <c r="D35" s="48">
        <v>180800</v>
      </c>
      <c r="E35" s="48">
        <v>226000</v>
      </c>
      <c r="F35" s="48">
        <v>271200</v>
      </c>
      <c r="G35" s="48">
        <v>316400</v>
      </c>
      <c r="H35" s="314"/>
      <c r="I35" s="91">
        <f>+D30/D51</f>
        <v>1.4162796035639587</v>
      </c>
      <c r="J35" s="91">
        <f>+E30/E51</f>
        <v>1.4290674611622645</v>
      </c>
      <c r="K35" s="91">
        <f>+F30/F51</f>
        <v>1.4385833005478104</v>
      </c>
      <c r="L35" s="91">
        <f>+G30/G51</f>
        <v>1.4459404954854638</v>
      </c>
      <c r="N35" s="218" t="s">
        <v>6</v>
      </c>
      <c r="O35" s="219" t="str">
        <f t="shared" si="1"/>
        <v>U</v>
      </c>
      <c r="P35" s="140">
        <f t="shared" si="2"/>
        <v>45200</v>
      </c>
      <c r="Q35" s="141">
        <f t="shared" si="3"/>
        <v>0</v>
      </c>
      <c r="R35" s="140">
        <f t="shared" si="4"/>
        <v>45200</v>
      </c>
      <c r="S35" s="141">
        <f t="shared" si="5"/>
        <v>0</v>
      </c>
      <c r="T35" s="140">
        <f t="shared" si="6"/>
        <v>45200</v>
      </c>
      <c r="U35" s="142">
        <f t="shared" si="7"/>
        <v>0</v>
      </c>
      <c r="V35" s="153"/>
    </row>
    <row r="36" spans="2:29">
      <c r="B36" s="9">
        <v>17</v>
      </c>
      <c r="C36" s="11" t="s">
        <v>53</v>
      </c>
      <c r="D36" s="48">
        <v>0</v>
      </c>
      <c r="E36" s="48">
        <v>0</v>
      </c>
      <c r="F36" s="48">
        <v>0</v>
      </c>
      <c r="G36" s="48">
        <v>0</v>
      </c>
      <c r="H36" s="217" t="s">
        <v>80</v>
      </c>
      <c r="I36" s="87">
        <f>(D27+D28)-(D43+D44+D46)</f>
        <v>2827705.8</v>
      </c>
      <c r="J36" s="87">
        <f>(E27+E28)-(E43+E44+E46)</f>
        <v>3375652.4000000004</v>
      </c>
      <c r="K36" s="87">
        <f>(F27+F28)-(F43+F44+F46)</f>
        <v>3923599.0000000005</v>
      </c>
      <c r="L36" s="87">
        <f>(G27+G28)-(G43+G44+G46)</f>
        <v>4471545.5999999996</v>
      </c>
      <c r="N36" s="218" t="s">
        <v>53</v>
      </c>
      <c r="O36" s="219" t="str">
        <f t="shared" si="1"/>
        <v>U</v>
      </c>
      <c r="P36" s="140">
        <f t="shared" si="2"/>
        <v>0</v>
      </c>
      <c r="Q36" s="141">
        <f t="shared" si="3"/>
        <v>0</v>
      </c>
      <c r="R36" s="140">
        <f t="shared" si="4"/>
        <v>0</v>
      </c>
      <c r="S36" s="141">
        <f t="shared" si="5"/>
        <v>0</v>
      </c>
      <c r="T36" s="140">
        <f t="shared" si="6"/>
        <v>0</v>
      </c>
      <c r="U36" s="142">
        <f t="shared" si="7"/>
        <v>0</v>
      </c>
      <c r="V36" s="241" t="s">
        <v>135</v>
      </c>
      <c r="W36" s="242">
        <f>+D87</f>
        <v>984384.10000000044</v>
      </c>
      <c r="X36" s="242">
        <f>+E87</f>
        <v>1123730.9999999988</v>
      </c>
      <c r="Y36" s="242">
        <f>+F87</f>
        <v>1263077.8999999994</v>
      </c>
      <c r="Z36" s="243">
        <f>+G87</f>
        <v>1402424.8000000014</v>
      </c>
    </row>
    <row r="37" spans="2:29">
      <c r="B37" s="9">
        <v>18</v>
      </c>
      <c r="C37" s="12" t="s">
        <v>7</v>
      </c>
      <c r="D37" s="48">
        <v>0</v>
      </c>
      <c r="E37" s="48">
        <v>0</v>
      </c>
      <c r="F37" s="48">
        <v>0</v>
      </c>
      <c r="G37" s="48">
        <v>0</v>
      </c>
      <c r="H37" s="217" t="s">
        <v>81</v>
      </c>
      <c r="I37" s="87">
        <f>+I34-I36</f>
        <v>-908919.49999999907</v>
      </c>
      <c r="J37" s="87">
        <f>+J34-J36</f>
        <v>-1057901.2000000011</v>
      </c>
      <c r="K37" s="87">
        <f>+K34-K36</f>
        <v>-1206882.8999999999</v>
      </c>
      <c r="L37" s="87">
        <f>+L34-L36</f>
        <v>-1355864.5999999987</v>
      </c>
      <c r="N37" s="231" t="s">
        <v>7</v>
      </c>
      <c r="O37" s="219" t="str">
        <f t="shared" si="1"/>
        <v>U</v>
      </c>
      <c r="P37" s="140">
        <f t="shared" si="2"/>
        <v>0</v>
      </c>
      <c r="Q37" s="141">
        <f t="shared" si="3"/>
        <v>0</v>
      </c>
      <c r="R37" s="140">
        <f t="shared" si="4"/>
        <v>0</v>
      </c>
      <c r="S37" s="141">
        <f t="shared" si="5"/>
        <v>0</v>
      </c>
      <c r="T37" s="140">
        <f t="shared" si="6"/>
        <v>0</v>
      </c>
      <c r="U37" s="142">
        <f t="shared" si="7"/>
        <v>0</v>
      </c>
      <c r="V37" s="220" t="s">
        <v>136</v>
      </c>
      <c r="W37" s="221">
        <f>+D92</f>
        <v>0</v>
      </c>
      <c r="X37" s="221">
        <f>+E92</f>
        <v>0</v>
      </c>
      <c r="Y37" s="221">
        <f>+F92</f>
        <v>0</v>
      </c>
      <c r="Z37" s="222">
        <f>+G92</f>
        <v>0</v>
      </c>
    </row>
    <row r="38" spans="2:29" ht="13.5" thickBot="1">
      <c r="B38" s="9"/>
      <c r="C38" s="26" t="s">
        <v>9</v>
      </c>
      <c r="D38" s="50">
        <f>+D31+D32+D33+D35+D36+D37</f>
        <v>899142.3</v>
      </c>
      <c r="E38" s="50">
        <f>+E31+E32+E33+E35+E36+E37</f>
        <v>1048785.3999999999</v>
      </c>
      <c r="F38" s="50">
        <f>+F31+F32+F33+F35+F36+F37</f>
        <v>1198428.5</v>
      </c>
      <c r="G38" s="50">
        <f>+G31+G32+G33+G35+G36+G37</f>
        <v>1348071.6</v>
      </c>
      <c r="H38" s="244" t="s">
        <v>82</v>
      </c>
      <c r="I38" s="190">
        <f>D51/(D27+D28)</f>
        <v>0.98693819390209236</v>
      </c>
      <c r="J38" s="190">
        <f>E51/(E27+E28)</f>
        <v>0.97951172759264515</v>
      </c>
      <c r="K38" s="190">
        <f>F51/(F27+F28)</f>
        <v>0.97405758855582536</v>
      </c>
      <c r="L38" s="190">
        <f>G51/(G27+G28)</f>
        <v>0.969882163457498</v>
      </c>
      <c r="N38" s="234" t="s">
        <v>9</v>
      </c>
      <c r="O38" s="235"/>
      <c r="P38" s="245">
        <f t="shared" ref="P38:U38" si="8">SUM(P31:P37)</f>
        <v>149643.09999999998</v>
      </c>
      <c r="Q38" s="245">
        <f t="shared" si="8"/>
        <v>0</v>
      </c>
      <c r="R38" s="245">
        <f t="shared" si="8"/>
        <v>149643.09999999998</v>
      </c>
      <c r="S38" s="245">
        <f t="shared" si="8"/>
        <v>0</v>
      </c>
      <c r="T38" s="245">
        <f t="shared" si="8"/>
        <v>149643.09999999998</v>
      </c>
      <c r="U38" s="245">
        <f t="shared" si="8"/>
        <v>0</v>
      </c>
      <c r="V38" s="220" t="s">
        <v>137</v>
      </c>
      <c r="W38" s="221">
        <f>+W36-W37</f>
        <v>984384.10000000044</v>
      </c>
      <c r="X38" s="221">
        <f>+X36-X37</f>
        <v>1123730.9999999988</v>
      </c>
      <c r="Y38" s="221">
        <f>+Y36-Y37</f>
        <v>1263077.8999999994</v>
      </c>
      <c r="Z38" s="222">
        <f>+Z36-Z37</f>
        <v>1402424.8000000014</v>
      </c>
    </row>
    <row r="39" spans="2:29" ht="13.5" thickTop="1">
      <c r="B39" s="13">
        <v>19</v>
      </c>
      <c r="C39" s="30" t="s">
        <v>8</v>
      </c>
      <c r="D39" s="53">
        <v>0</v>
      </c>
      <c r="E39" s="53"/>
      <c r="F39" s="53">
        <v>0</v>
      </c>
      <c r="G39" s="53"/>
      <c r="H39" s="217" t="s">
        <v>83</v>
      </c>
      <c r="I39" s="87"/>
      <c r="J39" s="189">
        <f>360/(E77/(AVERAGE(D28:E28)))</f>
        <v>66.213276977374335</v>
      </c>
      <c r="K39" s="189">
        <f>360/(F77/(AVERAGE(E28:F28)))</f>
        <v>68.045746613488902</v>
      </c>
      <c r="L39" s="189">
        <f>360/(G77/(AVERAGE(F28:G28)))</f>
        <v>69.495676596800308</v>
      </c>
      <c r="N39" s="246"/>
      <c r="O39" s="247"/>
      <c r="P39" s="133"/>
      <c r="Q39" s="154"/>
      <c r="R39" s="140"/>
      <c r="S39" s="134"/>
      <c r="T39" s="133"/>
      <c r="U39" s="135"/>
      <c r="V39" s="220" t="s">
        <v>138</v>
      </c>
      <c r="W39" s="232">
        <f>+D89</f>
        <v>0</v>
      </c>
      <c r="X39" s="232">
        <f>+E89</f>
        <v>513233.5264260004</v>
      </c>
      <c r="Y39" s="232">
        <f>+F89</f>
        <v>601640.90676600032</v>
      </c>
      <c r="Z39" s="233">
        <f>+G89</f>
        <v>690048.28710600035</v>
      </c>
    </row>
    <row r="40" spans="2:29">
      <c r="B40" s="6"/>
      <c r="C40" s="25"/>
      <c r="D40" s="7"/>
      <c r="E40" s="7"/>
      <c r="F40" s="58"/>
      <c r="G40" s="7"/>
      <c r="H40" s="217" t="s">
        <v>84</v>
      </c>
      <c r="I40" s="87"/>
      <c r="J40" s="189">
        <f>360/(E98/(AVERAGE(D43:E43)))</f>
        <v>35.685174144735875</v>
      </c>
      <c r="K40" s="189">
        <f>360/(F98/(AVERAGE(E43:F43)))</f>
        <v>36.160358962281258</v>
      </c>
      <c r="L40" s="189">
        <f>360/(G98/(AVERAGE(F43:G43)))</f>
        <v>36.538647866331068</v>
      </c>
      <c r="N40" s="248"/>
      <c r="O40" s="247"/>
      <c r="P40" s="154"/>
      <c r="Q40" s="155"/>
      <c r="R40" s="140"/>
      <c r="S40" s="134"/>
      <c r="T40" s="133"/>
      <c r="U40" s="135"/>
      <c r="V40" s="220" t="s">
        <v>139</v>
      </c>
      <c r="W40" s="232"/>
      <c r="X40" s="232">
        <f>+X36-X39</f>
        <v>610497.47357399843</v>
      </c>
      <c r="Y40" s="232">
        <f>+Y36-Y39</f>
        <v>661436.99323399912</v>
      </c>
      <c r="Z40" s="233">
        <f>+Z36-Z39</f>
        <v>712376.51289400109</v>
      </c>
    </row>
    <row r="41" spans="2:29" ht="13.5" thickBot="1">
      <c r="B41" s="8">
        <v>20</v>
      </c>
      <c r="C41" s="26" t="s">
        <v>59</v>
      </c>
      <c r="D41" s="50">
        <f>+D51+D61</f>
        <v>4980571.4000000004</v>
      </c>
      <c r="E41" s="50">
        <f>+E51+E61</f>
        <v>5865837</v>
      </c>
      <c r="F41" s="50">
        <f>+F51+F61</f>
        <v>6751102.5999999987</v>
      </c>
      <c r="G41" s="50">
        <f>+G51+G61</f>
        <v>7636368.1999999993</v>
      </c>
      <c r="H41" s="217" t="s">
        <v>85</v>
      </c>
      <c r="I41" s="87"/>
      <c r="J41" s="189">
        <f>360/(E75/(AVERAGE(D27:E27)))</f>
        <v>45.075444552770556</v>
      </c>
      <c r="K41" s="189">
        <f>360/(F75/(AVERAGE(E27:F27)))</f>
        <v>46.54347708228677</v>
      </c>
      <c r="L41" s="189">
        <f>360/(G75/(AVERAGE(F27:G27)))</f>
        <v>47.704481046439497</v>
      </c>
      <c r="N41" s="234" t="s">
        <v>59</v>
      </c>
      <c r="O41" s="235"/>
      <c r="P41" s="235"/>
      <c r="Q41" s="235"/>
      <c r="R41" s="235"/>
      <c r="S41" s="235"/>
      <c r="T41" s="235"/>
      <c r="U41" s="235"/>
      <c r="V41" s="220" t="s">
        <v>140</v>
      </c>
      <c r="W41" s="221"/>
      <c r="X41" s="221">
        <f>+X38-X39</f>
        <v>610497.47357399843</v>
      </c>
      <c r="Y41" s="221">
        <f>+Y38-Y39</f>
        <v>661436.99323399912</v>
      </c>
      <c r="Z41" s="222">
        <f>+Z38-Z39</f>
        <v>712376.51289400109</v>
      </c>
      <c r="AA41" s="93"/>
      <c r="AB41" s="93"/>
      <c r="AC41" s="93"/>
    </row>
    <row r="42" spans="2:29" ht="13.5" thickTop="1">
      <c r="B42" s="9">
        <v>21</v>
      </c>
      <c r="C42" s="10" t="s">
        <v>54</v>
      </c>
      <c r="D42" s="49">
        <v>2559135.2000000002</v>
      </c>
      <c r="E42" s="49">
        <v>3018673.6</v>
      </c>
      <c r="F42" s="49">
        <v>3478212</v>
      </c>
      <c r="G42" s="49">
        <v>3937750.4</v>
      </c>
      <c r="H42" s="217" t="s">
        <v>86</v>
      </c>
      <c r="I42" s="92"/>
      <c r="J42" s="191">
        <f>360/(E$75/(AVERAGE(D$27:E$27)+AVERAGE(D$28:E$28)))</f>
        <v>102.47343332404888</v>
      </c>
      <c r="K42" s="191">
        <f>360/(F75/(AVERAGE(E27:F27)+AVERAGE(E28:F28)))</f>
        <v>105.51387892677111</v>
      </c>
      <c r="L42" s="191">
        <f>360/(G75/(AVERAGE(F27:G27)+AVERAGE(F28:G28)))</f>
        <v>107.91843695023296</v>
      </c>
      <c r="N42" s="237" t="s">
        <v>54</v>
      </c>
      <c r="O42" s="219" t="str">
        <f t="shared" ref="O42:O50" si="9">IF(E42-D42&gt;0,"F","U")</f>
        <v>F</v>
      </c>
      <c r="P42" s="140">
        <f t="shared" ref="P42:P50" si="10">IF(E42-D42&gt;0,0,ABS(E42-D42))</f>
        <v>0</v>
      </c>
      <c r="Q42" s="141">
        <f t="shared" ref="Q42:Q50" si="11">IF(E42-D42&lt;0,0,ABS(E42-D42))</f>
        <v>459538.39999999991</v>
      </c>
      <c r="R42" s="140">
        <f t="shared" ref="R42:R50" si="12">IF(F42-E42&gt;0,0,ABS(F42-E42))</f>
        <v>0</v>
      </c>
      <c r="S42" s="141">
        <f t="shared" ref="S42:S50" si="13">IF(F42-E42&lt;0,0,ABS(F42-E42))</f>
        <v>459538.39999999991</v>
      </c>
      <c r="T42" s="140">
        <f t="shared" ref="T42:T50" si="14">IF(G42-F42&gt;0,0,ABS(G42-F42))</f>
        <v>0</v>
      </c>
      <c r="U42" s="142">
        <f t="shared" ref="U42:U50" si="15">IF(G42-F42&lt;0,0,ABS(G42-F42))</f>
        <v>459538.39999999991</v>
      </c>
      <c r="V42" s="238" t="s">
        <v>141</v>
      </c>
      <c r="W42" s="249"/>
      <c r="X42" s="249">
        <f>+X40-X37</f>
        <v>610497.47357399843</v>
      </c>
      <c r="Y42" s="249">
        <f>+Y40-Y37</f>
        <v>661436.99323399912</v>
      </c>
      <c r="Z42" s="250">
        <f>+Z40-Z37</f>
        <v>712376.51289400109</v>
      </c>
    </row>
    <row r="43" spans="2:29">
      <c r="B43" s="9">
        <v>22</v>
      </c>
      <c r="C43" s="11" t="s">
        <v>45</v>
      </c>
      <c r="D43" s="49">
        <v>1470196.2</v>
      </c>
      <c r="E43" s="49">
        <v>1696782</v>
      </c>
      <c r="F43" s="49">
        <v>1923367.8</v>
      </c>
      <c r="G43" s="49">
        <v>2149953.6</v>
      </c>
      <c r="H43" s="217" t="s">
        <v>87</v>
      </c>
      <c r="I43" s="92">
        <f>(D30/D23)</f>
        <v>0.87894085461177696</v>
      </c>
      <c r="J43" s="92">
        <f>+E30/E23</f>
        <v>0.88038993242370478</v>
      </c>
      <c r="K43" s="92">
        <f>+F30/F23</f>
        <v>0.88145455403697981</v>
      </c>
      <c r="L43" s="92">
        <f>+G30/G23</f>
        <v>0.88226980082278561</v>
      </c>
      <c r="N43" s="218" t="s">
        <v>45</v>
      </c>
      <c r="O43" s="219" t="str">
        <f t="shared" si="9"/>
        <v>F</v>
      </c>
      <c r="P43" s="140">
        <f t="shared" si="10"/>
        <v>0</v>
      </c>
      <c r="Q43" s="141">
        <f t="shared" si="11"/>
        <v>226585.80000000005</v>
      </c>
      <c r="R43" s="140">
        <f t="shared" si="12"/>
        <v>0</v>
      </c>
      <c r="S43" s="141">
        <f t="shared" si="13"/>
        <v>226585.80000000005</v>
      </c>
      <c r="T43" s="140">
        <f t="shared" si="14"/>
        <v>0</v>
      </c>
      <c r="U43" s="142">
        <f t="shared" si="15"/>
        <v>226585.80000000005</v>
      </c>
      <c r="V43" s="251"/>
    </row>
    <row r="44" spans="2:29">
      <c r="B44" s="9">
        <v>23</v>
      </c>
      <c r="C44" s="11" t="s">
        <v>11</v>
      </c>
      <c r="D44" s="49">
        <v>369074.7</v>
      </c>
      <c r="E44" s="49">
        <v>439065.4</v>
      </c>
      <c r="F44" s="49">
        <v>509056.1</v>
      </c>
      <c r="G44" s="49">
        <v>579046.80000000005</v>
      </c>
      <c r="H44" s="252"/>
      <c r="I44" s="92"/>
      <c r="J44" s="87"/>
      <c r="K44" s="87"/>
      <c r="L44" s="87"/>
      <c r="N44" s="218" t="s">
        <v>11</v>
      </c>
      <c r="O44" s="219" t="str">
        <f t="shared" si="9"/>
        <v>F</v>
      </c>
      <c r="P44" s="140">
        <f t="shared" si="10"/>
        <v>0</v>
      </c>
      <c r="Q44" s="141">
        <f t="shared" si="11"/>
        <v>69990.700000000012</v>
      </c>
      <c r="R44" s="140">
        <f t="shared" si="12"/>
        <v>0</v>
      </c>
      <c r="S44" s="141">
        <f t="shared" si="13"/>
        <v>69990.699999999953</v>
      </c>
      <c r="T44" s="140">
        <f t="shared" si="14"/>
        <v>0</v>
      </c>
      <c r="U44" s="142">
        <f t="shared" si="15"/>
        <v>69990.70000000007</v>
      </c>
      <c r="V44" s="241" t="s">
        <v>142</v>
      </c>
      <c r="W44" s="253"/>
      <c r="X44" s="253">
        <f>(E89/((E42+D42+E52+D52)/2))*(1-0.33)</f>
        <v>0.10724020000000005</v>
      </c>
      <c r="Y44" s="253">
        <f>(F89/((F42+E42+F52+E52)/2))*(1-0.33)</f>
        <v>0.10724020000000005</v>
      </c>
      <c r="Z44" s="254">
        <f>(G89/((G42+F42+G52+F52)/2))*(1-0.33)</f>
        <v>0.10724020000000004</v>
      </c>
    </row>
    <row r="45" spans="2:29" ht="13.5" customHeight="1" thickBot="1">
      <c r="B45" s="9">
        <v>24</v>
      </c>
      <c r="C45" s="11" t="s">
        <v>46</v>
      </c>
      <c r="D45" s="49">
        <v>-34006.799999999901</v>
      </c>
      <c r="E45" s="49">
        <v>-53754</v>
      </c>
      <c r="F45" s="49">
        <v>-73501.2</v>
      </c>
      <c r="G45" s="49">
        <v>-93248.4</v>
      </c>
      <c r="H45" s="93"/>
      <c r="I45" s="93"/>
      <c r="J45" s="309" t="s">
        <v>88</v>
      </c>
      <c r="K45" s="310"/>
      <c r="L45" s="311"/>
      <c r="N45" s="218" t="s">
        <v>46</v>
      </c>
      <c r="O45" s="219" t="str">
        <f t="shared" si="9"/>
        <v>U</v>
      </c>
      <c r="P45" s="140">
        <f t="shared" si="10"/>
        <v>19747.200000000099</v>
      </c>
      <c r="Q45" s="141">
        <f t="shared" si="11"/>
        <v>0</v>
      </c>
      <c r="R45" s="140">
        <f t="shared" si="12"/>
        <v>19747.199999999997</v>
      </c>
      <c r="S45" s="141">
        <f t="shared" si="13"/>
        <v>0</v>
      </c>
      <c r="T45" s="140">
        <f t="shared" si="14"/>
        <v>19747.199999999997</v>
      </c>
      <c r="U45" s="142">
        <f t="shared" si="15"/>
        <v>0</v>
      </c>
      <c r="V45" s="220" t="s">
        <v>143</v>
      </c>
      <c r="W45" s="255"/>
      <c r="X45" s="255">
        <f>+E99</f>
        <v>2.5000000000000001E-3</v>
      </c>
      <c r="Y45" s="255">
        <f>+F99</f>
        <v>2.5000000000000001E-3</v>
      </c>
      <c r="Z45" s="256">
        <f>+G99</f>
        <v>2.5000000000000001E-3</v>
      </c>
    </row>
    <row r="46" spans="2:29" ht="13.5" thickTop="1">
      <c r="B46" s="9">
        <v>25</v>
      </c>
      <c r="C46" s="11" t="s">
        <v>12</v>
      </c>
      <c r="D46" s="49">
        <v>3395.8</v>
      </c>
      <c r="E46" s="49">
        <v>3323.4</v>
      </c>
      <c r="F46" s="49">
        <v>3251</v>
      </c>
      <c r="G46" s="49">
        <v>3178.6</v>
      </c>
      <c r="H46" s="217" t="s">
        <v>89</v>
      </c>
      <c r="I46" s="92">
        <f>+D41/D23</f>
        <v>0.67057652301423876</v>
      </c>
      <c r="J46" s="92">
        <f>+E41/E23</f>
        <v>0.66897685642985938</v>
      </c>
      <c r="K46" s="92">
        <f>+F41/F23</f>
        <v>0.66780159889313784</v>
      </c>
      <c r="L46" s="92">
        <f>+G41/G23</f>
        <v>0.66690163132028468</v>
      </c>
      <c r="N46" s="218" t="s">
        <v>12</v>
      </c>
      <c r="O46" s="219" t="str">
        <f t="shared" si="9"/>
        <v>U</v>
      </c>
      <c r="P46" s="140">
        <f t="shared" si="10"/>
        <v>72.400000000000091</v>
      </c>
      <c r="Q46" s="141">
        <f t="shared" si="11"/>
        <v>0</v>
      </c>
      <c r="R46" s="140">
        <f t="shared" si="12"/>
        <v>72.400000000000091</v>
      </c>
      <c r="S46" s="141">
        <f t="shared" si="13"/>
        <v>0</v>
      </c>
      <c r="T46" s="140">
        <f t="shared" si="14"/>
        <v>72.400000000000091</v>
      </c>
      <c r="U46" s="142">
        <f t="shared" si="15"/>
        <v>0</v>
      </c>
      <c r="V46" s="220" t="s">
        <v>144</v>
      </c>
      <c r="W46" s="255"/>
      <c r="X46" s="255">
        <f>(J46*X44)+(1-J46)*X45</f>
        <v>7.2568769737834798E-2</v>
      </c>
      <c r="Y46" s="255">
        <f>(K46*Y44)+(1-K46)*Y45</f>
        <v>7.2445673028387073E-2</v>
      </c>
      <c r="Z46" s="256">
        <f>(L46*Z44)+(1-L46)*Z45</f>
        <v>7.2351410244812897E-2</v>
      </c>
    </row>
    <row r="47" spans="2:29">
      <c r="B47" s="9">
        <v>26</v>
      </c>
      <c r="C47" s="11" t="s">
        <v>13</v>
      </c>
      <c r="D47" s="49">
        <v>7039.6</v>
      </c>
      <c r="E47" s="49">
        <v>7039.6</v>
      </c>
      <c r="F47" s="49">
        <v>7039.6</v>
      </c>
      <c r="G47" s="49">
        <v>7039.6</v>
      </c>
      <c r="H47" s="217" t="s">
        <v>90</v>
      </c>
      <c r="I47" s="92">
        <f>1-I46</f>
        <v>0.32942347698576124</v>
      </c>
      <c r="J47" s="92">
        <f>1-J46</f>
        <v>0.33102314357014062</v>
      </c>
      <c r="K47" s="192">
        <f>1-K46</f>
        <v>0.33219840110686216</v>
      </c>
      <c r="L47" s="92">
        <f>1-L46</f>
        <v>0.33309836867971532</v>
      </c>
      <c r="N47" s="218" t="s">
        <v>13</v>
      </c>
      <c r="O47" s="219" t="str">
        <f t="shared" si="9"/>
        <v>U</v>
      </c>
      <c r="P47" s="140">
        <f t="shared" si="10"/>
        <v>0</v>
      </c>
      <c r="Q47" s="141">
        <f t="shared" si="11"/>
        <v>0</v>
      </c>
      <c r="R47" s="140">
        <f t="shared" si="12"/>
        <v>0</v>
      </c>
      <c r="S47" s="141">
        <f t="shared" si="13"/>
        <v>0</v>
      </c>
      <c r="T47" s="140">
        <f t="shared" si="14"/>
        <v>0</v>
      </c>
      <c r="U47" s="142">
        <f t="shared" si="15"/>
        <v>0</v>
      </c>
      <c r="V47" s="220" t="s">
        <v>145</v>
      </c>
      <c r="W47" s="257"/>
      <c r="X47" s="257">
        <f>+X38/X23</f>
        <v>0.18244725598096961</v>
      </c>
      <c r="Y47" s="257">
        <f>+Y38/Y23</f>
        <v>0.17734486489668022</v>
      </c>
      <c r="Z47" s="258">
        <f>+Z38/Z23</f>
        <v>0.17345787678895389</v>
      </c>
    </row>
    <row r="48" spans="2:29">
      <c r="B48" s="9">
        <v>27</v>
      </c>
      <c r="C48" s="11" t="s">
        <v>55</v>
      </c>
      <c r="D48" s="49">
        <v>0</v>
      </c>
      <c r="E48" s="49">
        <v>0</v>
      </c>
      <c r="F48" s="49">
        <v>0</v>
      </c>
      <c r="G48" s="49">
        <v>0</v>
      </c>
      <c r="H48" s="217" t="s">
        <v>91</v>
      </c>
      <c r="I48" s="94">
        <f>+D41/D63</f>
        <v>2.0356063543194987</v>
      </c>
      <c r="J48" s="94">
        <f>+E41/E63</f>
        <v>2.0209368118942703</v>
      </c>
      <c r="K48" s="94">
        <f>+F41/F63</f>
        <v>2.0102492867758217</v>
      </c>
      <c r="L48" s="94">
        <f>+G41/G63</f>
        <v>2.0021161735605251</v>
      </c>
      <c r="N48" s="218" t="s">
        <v>55</v>
      </c>
      <c r="O48" s="219" t="str">
        <f t="shared" si="9"/>
        <v>U</v>
      </c>
      <c r="P48" s="140">
        <f t="shared" si="10"/>
        <v>0</v>
      </c>
      <c r="Q48" s="141">
        <f t="shared" si="11"/>
        <v>0</v>
      </c>
      <c r="R48" s="140">
        <f t="shared" si="12"/>
        <v>0</v>
      </c>
      <c r="S48" s="141">
        <f t="shared" si="13"/>
        <v>0</v>
      </c>
      <c r="T48" s="140">
        <f t="shared" si="14"/>
        <v>0</v>
      </c>
      <c r="U48" s="142">
        <f t="shared" si="15"/>
        <v>0</v>
      </c>
      <c r="V48" s="220" t="s">
        <v>146</v>
      </c>
      <c r="W48" s="257"/>
      <c r="X48" s="257">
        <f>+E87/E23</f>
        <v>0.1281573340433397</v>
      </c>
      <c r="Y48" s="257">
        <f>+F87/F23</f>
        <v>0.12494039731326059</v>
      </c>
      <c r="Z48" s="258">
        <f>+G87/G23</f>
        <v>0.12247698937880248</v>
      </c>
    </row>
    <row r="49" spans="2:26" ht="15" customHeight="1">
      <c r="B49" s="9">
        <v>28</v>
      </c>
      <c r="C49" s="11" t="s">
        <v>15</v>
      </c>
      <c r="D49" s="49">
        <v>234534.3</v>
      </c>
      <c r="E49" s="49">
        <v>290704</v>
      </c>
      <c r="F49" s="49">
        <v>346873.7</v>
      </c>
      <c r="G49" s="49">
        <v>403043.4</v>
      </c>
      <c r="H49" s="217" t="s">
        <v>92</v>
      </c>
      <c r="I49" s="92">
        <f>+D52/(D63+D52)</f>
        <v>0.13172881669180689</v>
      </c>
      <c r="J49" s="190">
        <f>+E52/(E63+E52)</f>
        <v>0.13782799806780655</v>
      </c>
      <c r="K49" s="190">
        <f>+F52/(F63+F52)</f>
        <v>0.14221788896379461</v>
      </c>
      <c r="L49" s="190">
        <f>+G52/(G63+G52)</f>
        <v>0.1455287194904126</v>
      </c>
      <c r="N49" s="218" t="s">
        <v>15</v>
      </c>
      <c r="O49" s="219" t="str">
        <f t="shared" si="9"/>
        <v>F</v>
      </c>
      <c r="P49" s="140">
        <f t="shared" si="10"/>
        <v>0</v>
      </c>
      <c r="Q49" s="141">
        <f t="shared" si="11"/>
        <v>56169.700000000012</v>
      </c>
      <c r="R49" s="140">
        <f t="shared" si="12"/>
        <v>0</v>
      </c>
      <c r="S49" s="141">
        <f t="shared" si="13"/>
        <v>56169.700000000012</v>
      </c>
      <c r="T49" s="140">
        <f t="shared" si="14"/>
        <v>0</v>
      </c>
      <c r="U49" s="142">
        <f t="shared" si="15"/>
        <v>56169.700000000012</v>
      </c>
      <c r="V49" s="315" t="s">
        <v>147</v>
      </c>
      <c r="W49" s="307"/>
      <c r="X49" s="259">
        <f>+X47-X46</f>
        <v>0.10987848624313482</v>
      </c>
      <c r="Y49" s="259">
        <f>+Y47-Y46</f>
        <v>0.10489919186829315</v>
      </c>
      <c r="Z49" s="260">
        <f>+Z47-Z46</f>
        <v>0.10110646654414099</v>
      </c>
    </row>
    <row r="50" spans="2:26" ht="15.75" customHeight="1">
      <c r="B50" s="9">
        <v>29</v>
      </c>
      <c r="C50" s="12" t="s">
        <v>56</v>
      </c>
      <c r="D50" s="49">
        <v>0</v>
      </c>
      <c r="E50" s="49">
        <v>0</v>
      </c>
      <c r="F50" s="49">
        <v>0</v>
      </c>
      <c r="G50" s="49">
        <v>0</v>
      </c>
      <c r="H50" s="217" t="s">
        <v>93</v>
      </c>
      <c r="I50" s="94">
        <f>+D63/D33</f>
        <v>3.406072842988642</v>
      </c>
      <c r="J50" s="94">
        <f>+E63/E33</f>
        <v>3.5276921539930095</v>
      </c>
      <c r="K50" s="94">
        <f>+F63/F33</f>
        <v>3.6219130451663206</v>
      </c>
      <c r="L50" s="94">
        <f>+G63/G33</f>
        <v>3.6970566990503571</v>
      </c>
      <c r="N50" s="231" t="s">
        <v>56</v>
      </c>
      <c r="O50" s="219" t="str">
        <f t="shared" si="9"/>
        <v>U</v>
      </c>
      <c r="P50" s="140">
        <f t="shared" si="10"/>
        <v>0</v>
      </c>
      <c r="Q50" s="141">
        <f t="shared" si="11"/>
        <v>0</v>
      </c>
      <c r="R50" s="140">
        <f t="shared" si="12"/>
        <v>0</v>
      </c>
      <c r="S50" s="141">
        <f t="shared" si="13"/>
        <v>0</v>
      </c>
      <c r="T50" s="140">
        <f t="shared" si="14"/>
        <v>0</v>
      </c>
      <c r="U50" s="142">
        <f t="shared" si="15"/>
        <v>0</v>
      </c>
      <c r="V50" s="316"/>
      <c r="W50" s="308"/>
      <c r="X50" s="261"/>
      <c r="Y50" s="261">
        <f>+Y49-X49</f>
        <v>-4.9792943748416668E-3</v>
      </c>
      <c r="Z50" s="262">
        <f>+Z49-Y49</f>
        <v>-3.7927253241521602E-3</v>
      </c>
    </row>
    <row r="51" spans="2:26" ht="13.5" thickBot="1">
      <c r="B51" s="9">
        <v>0</v>
      </c>
      <c r="C51" s="26" t="s">
        <v>10</v>
      </c>
      <c r="D51" s="50">
        <f>SUM(D42:D50)</f>
        <v>4609369</v>
      </c>
      <c r="E51" s="50">
        <f>SUM(E42:E50)</f>
        <v>5401834</v>
      </c>
      <c r="F51" s="50">
        <f>SUM(F42:F50)</f>
        <v>6194298.9999999991</v>
      </c>
      <c r="G51" s="50">
        <f>SUM(G42:G50)</f>
        <v>6986763.9999999991</v>
      </c>
      <c r="H51" s="217" t="s">
        <v>94</v>
      </c>
      <c r="I51" s="92">
        <f>+D63/(D27+D28+D33)</f>
        <v>0.45404633401641525</v>
      </c>
      <c r="J51" s="92">
        <f>+E63/(E27+E28+E33)</f>
        <v>0.45798561937068816</v>
      </c>
      <c r="K51" s="92">
        <f>+F63/(F27+F28+F33)</f>
        <v>0.46089890809615314</v>
      </c>
      <c r="L51" s="92">
        <f>+G63/(G27+G28+G33)</f>
        <v>0.46314085046691511</v>
      </c>
      <c r="N51" s="234" t="s">
        <v>10</v>
      </c>
      <c r="O51" s="235"/>
      <c r="P51" s="236">
        <f t="shared" ref="P51:U51" si="16">SUM(P42:P50)</f>
        <v>19819.6000000001</v>
      </c>
      <c r="Q51" s="236">
        <f t="shared" si="16"/>
        <v>812284.59999999986</v>
      </c>
      <c r="R51" s="236">
        <f t="shared" si="16"/>
        <v>19819.599999999999</v>
      </c>
      <c r="S51" s="236">
        <f t="shared" si="16"/>
        <v>812284.59999999986</v>
      </c>
      <c r="T51" s="236">
        <f t="shared" si="16"/>
        <v>19819.599999999999</v>
      </c>
      <c r="U51" s="236">
        <f t="shared" si="16"/>
        <v>812284.60000000009</v>
      </c>
      <c r="V51" s="263"/>
      <c r="W51" s="156"/>
    </row>
    <row r="52" spans="2:26" ht="13.5" thickTop="1">
      <c r="B52" s="9">
        <v>21</v>
      </c>
      <c r="C52" s="10" t="s">
        <v>44</v>
      </c>
      <c r="D52" s="49">
        <v>371202.4</v>
      </c>
      <c r="E52" s="49">
        <v>464003</v>
      </c>
      <c r="F52" s="49">
        <v>556803.6</v>
      </c>
      <c r="G52" s="49">
        <v>649604.19999999995</v>
      </c>
      <c r="H52" s="217" t="s">
        <v>95</v>
      </c>
      <c r="I52" s="92">
        <f>+D51/D41</f>
        <v>0.92546991696575209</v>
      </c>
      <c r="J52" s="92">
        <f>+E51/E41</f>
        <v>0.92089739281879124</v>
      </c>
      <c r="K52" s="92">
        <f>+F51/F41</f>
        <v>0.91752405007146542</v>
      </c>
      <c r="L52" s="92">
        <f>+G51/G41</f>
        <v>0.91493283417109195</v>
      </c>
      <c r="N52" s="237" t="s">
        <v>44</v>
      </c>
      <c r="O52" s="219" t="str">
        <f t="shared" ref="O52:O60" si="17">IF(E52-D52&gt;0,"F","U")</f>
        <v>F</v>
      </c>
      <c r="P52" s="140">
        <f t="shared" ref="P52:P60" si="18">IF(E52-D52&gt;0,0,ABS(E52-D52))</f>
        <v>0</v>
      </c>
      <c r="Q52" s="141">
        <f t="shared" ref="Q52:Q60" si="19">IF(E52-D52&lt;0,0,ABS(E52-D52))</f>
        <v>92800.599999999977</v>
      </c>
      <c r="R52" s="140">
        <f t="shared" ref="R52:R60" si="20">IF(F52-E52&gt;0,0,ABS(F52-E52))</f>
        <v>0</v>
      </c>
      <c r="S52" s="141">
        <f t="shared" ref="S52:S60" si="21">IF(F52-E52&lt;0,0,ABS(F52-E52))</f>
        <v>92800.599999999977</v>
      </c>
      <c r="T52" s="140">
        <f t="shared" ref="T52:T60" si="22">IF(G52-F52&gt;0,0,ABS(G52-F52))</f>
        <v>0</v>
      </c>
      <c r="U52" s="142">
        <f t="shared" ref="U52:U60" si="23">IF(G52-F52&lt;0,0,ABS(G52-F52))</f>
        <v>92800.599999999977</v>
      </c>
      <c r="V52" s="7"/>
    </row>
    <row r="53" spans="2:26">
      <c r="B53" s="9">
        <v>22</v>
      </c>
      <c r="C53" s="11" t="s">
        <v>45</v>
      </c>
      <c r="D53" s="49">
        <v>0</v>
      </c>
      <c r="E53" s="49">
        <v>0</v>
      </c>
      <c r="F53" s="49">
        <v>0</v>
      </c>
      <c r="G53" s="49">
        <v>0</v>
      </c>
      <c r="H53" s="217" t="s">
        <v>96</v>
      </c>
      <c r="I53" s="92">
        <f>+(D42+D52)/D41</f>
        <v>0.58835369773034474</v>
      </c>
      <c r="J53" s="190">
        <f>+(E42+E52)/E41</f>
        <v>0.59372202125630158</v>
      </c>
      <c r="K53" s="190">
        <f>+(F42+F52)/F41</f>
        <v>0.59768245856610158</v>
      </c>
      <c r="L53" s="190">
        <f>+(G42+G52)/G41</f>
        <v>0.60072464813836501</v>
      </c>
      <c r="N53" s="218" t="s">
        <v>45</v>
      </c>
      <c r="O53" s="219" t="str">
        <f t="shared" si="17"/>
        <v>U</v>
      </c>
      <c r="P53" s="140">
        <f t="shared" si="18"/>
        <v>0</v>
      </c>
      <c r="Q53" s="141">
        <f t="shared" si="19"/>
        <v>0</v>
      </c>
      <c r="R53" s="140">
        <f t="shared" si="20"/>
        <v>0</v>
      </c>
      <c r="S53" s="141">
        <f t="shared" si="21"/>
        <v>0</v>
      </c>
      <c r="T53" s="140">
        <f t="shared" si="22"/>
        <v>0</v>
      </c>
      <c r="U53" s="142">
        <f t="shared" si="23"/>
        <v>0</v>
      </c>
      <c r="V53" s="7"/>
    </row>
    <row r="54" spans="2:26">
      <c r="B54" s="9">
        <v>23</v>
      </c>
      <c r="C54" s="11" t="s">
        <v>11</v>
      </c>
      <c r="D54" s="49">
        <v>0</v>
      </c>
      <c r="E54" s="49">
        <v>0</v>
      </c>
      <c r="F54" s="49">
        <v>0</v>
      </c>
      <c r="G54" s="49">
        <v>0</v>
      </c>
      <c r="H54" s="217" t="s">
        <v>97</v>
      </c>
      <c r="I54" s="94"/>
      <c r="J54" s="264">
        <f>+(E87+E81+E82+E85+E86)/E89</f>
        <v>2.4728133191879196</v>
      </c>
      <c r="K54" s="94">
        <f>+(F87+F81+F82+F85+F86)/F89</f>
        <v>2.3749202953643742</v>
      </c>
      <c r="L54" s="94">
        <f>+(G87+G81+G82+G85+G86)/G89</f>
        <v>2.302110924240258</v>
      </c>
      <c r="N54" s="218" t="s">
        <v>11</v>
      </c>
      <c r="O54" s="219" t="str">
        <f t="shared" si="17"/>
        <v>U</v>
      </c>
      <c r="P54" s="140">
        <f t="shared" si="18"/>
        <v>0</v>
      </c>
      <c r="Q54" s="141">
        <f t="shared" si="19"/>
        <v>0</v>
      </c>
      <c r="R54" s="140">
        <f t="shared" si="20"/>
        <v>0</v>
      </c>
      <c r="S54" s="141">
        <f t="shared" si="21"/>
        <v>0</v>
      </c>
      <c r="T54" s="140">
        <f t="shared" si="22"/>
        <v>0</v>
      </c>
      <c r="U54" s="142">
        <f t="shared" si="23"/>
        <v>0</v>
      </c>
      <c r="V54" s="265"/>
    </row>
    <row r="55" spans="2:26">
      <c r="B55" s="13">
        <v>24</v>
      </c>
      <c r="C55" s="11" t="s">
        <v>46</v>
      </c>
      <c r="D55" s="49">
        <v>0</v>
      </c>
      <c r="E55" s="49">
        <v>0</v>
      </c>
      <c r="F55" s="49">
        <v>0</v>
      </c>
      <c r="G55" s="49">
        <v>0</v>
      </c>
      <c r="H55" s="217"/>
      <c r="I55" s="92"/>
      <c r="J55" s="92"/>
      <c r="K55" s="92"/>
      <c r="L55" s="92"/>
      <c r="N55" s="218" t="s">
        <v>46</v>
      </c>
      <c r="O55" s="219" t="str">
        <f t="shared" si="17"/>
        <v>U</v>
      </c>
      <c r="P55" s="140">
        <f t="shared" si="18"/>
        <v>0</v>
      </c>
      <c r="Q55" s="141">
        <f t="shared" si="19"/>
        <v>0</v>
      </c>
      <c r="R55" s="140">
        <f t="shared" si="20"/>
        <v>0</v>
      </c>
      <c r="S55" s="141">
        <f t="shared" si="21"/>
        <v>0</v>
      </c>
      <c r="T55" s="140">
        <f t="shared" si="22"/>
        <v>0</v>
      </c>
      <c r="U55" s="142">
        <f t="shared" si="23"/>
        <v>0</v>
      </c>
      <c r="V55" s="265"/>
    </row>
    <row r="56" spans="2:26">
      <c r="B56" s="8">
        <v>25</v>
      </c>
      <c r="C56" s="11" t="s">
        <v>12</v>
      </c>
      <c r="D56" s="49">
        <v>0</v>
      </c>
      <c r="E56" s="49">
        <v>0</v>
      </c>
      <c r="F56" s="49">
        <v>0</v>
      </c>
      <c r="G56" s="49">
        <v>0</v>
      </c>
      <c r="I56" s="95"/>
      <c r="J56" s="95"/>
      <c r="K56" s="95"/>
      <c r="L56" s="95"/>
      <c r="M56" s="95"/>
      <c r="N56" s="218" t="s">
        <v>12</v>
      </c>
      <c r="O56" s="219" t="str">
        <f t="shared" si="17"/>
        <v>U</v>
      </c>
      <c r="P56" s="140">
        <f t="shared" si="18"/>
        <v>0</v>
      </c>
      <c r="Q56" s="141">
        <f t="shared" si="19"/>
        <v>0</v>
      </c>
      <c r="R56" s="140">
        <f t="shared" si="20"/>
        <v>0</v>
      </c>
      <c r="S56" s="141">
        <f t="shared" si="21"/>
        <v>0</v>
      </c>
      <c r="T56" s="140">
        <f t="shared" si="22"/>
        <v>0</v>
      </c>
      <c r="U56" s="142">
        <f t="shared" si="23"/>
        <v>0</v>
      </c>
      <c r="V56" s="265"/>
    </row>
    <row r="57" spans="2:26" ht="13.5" customHeight="1" thickBot="1">
      <c r="B57" s="9">
        <v>26</v>
      </c>
      <c r="C57" s="11" t="s">
        <v>13</v>
      </c>
      <c r="D57" s="49">
        <v>0</v>
      </c>
      <c r="E57" s="49">
        <v>0</v>
      </c>
      <c r="F57" s="49">
        <v>0</v>
      </c>
      <c r="G57" s="49">
        <v>0</v>
      </c>
      <c r="J57" s="309" t="s">
        <v>98</v>
      </c>
      <c r="K57" s="310"/>
      <c r="L57" s="311"/>
      <c r="N57" s="218" t="s">
        <v>13</v>
      </c>
      <c r="O57" s="219" t="str">
        <f t="shared" si="17"/>
        <v>U</v>
      </c>
      <c r="P57" s="140">
        <f t="shared" si="18"/>
        <v>0</v>
      </c>
      <c r="Q57" s="141">
        <f t="shared" si="19"/>
        <v>0</v>
      </c>
      <c r="R57" s="140">
        <f t="shared" si="20"/>
        <v>0</v>
      </c>
      <c r="S57" s="141">
        <f t="shared" si="21"/>
        <v>0</v>
      </c>
      <c r="T57" s="140">
        <f t="shared" si="22"/>
        <v>0</v>
      </c>
      <c r="U57" s="142">
        <f t="shared" si="23"/>
        <v>0</v>
      </c>
      <c r="V57" s="265"/>
    </row>
    <row r="58" spans="2:26" ht="13.5" thickTop="1">
      <c r="B58" s="9">
        <v>27</v>
      </c>
      <c r="C58" s="11" t="s">
        <v>14</v>
      </c>
      <c r="D58" s="49">
        <v>0</v>
      </c>
      <c r="E58" s="49">
        <v>0</v>
      </c>
      <c r="F58" s="49">
        <v>0</v>
      </c>
      <c r="G58" s="49">
        <v>0</v>
      </c>
      <c r="N58" s="218" t="s">
        <v>14</v>
      </c>
      <c r="O58" s="219" t="str">
        <f t="shared" si="17"/>
        <v>U</v>
      </c>
      <c r="P58" s="140">
        <f t="shared" si="18"/>
        <v>0</v>
      </c>
      <c r="Q58" s="141">
        <f t="shared" si="19"/>
        <v>0</v>
      </c>
      <c r="R58" s="140">
        <f t="shared" si="20"/>
        <v>0</v>
      </c>
      <c r="S58" s="141">
        <f t="shared" si="21"/>
        <v>0</v>
      </c>
      <c r="T58" s="140">
        <f t="shared" si="22"/>
        <v>0</v>
      </c>
      <c r="U58" s="142">
        <f t="shared" si="23"/>
        <v>0</v>
      </c>
      <c r="V58" s="265"/>
      <c r="W58" s="93"/>
      <c r="X58" s="93"/>
      <c r="Y58" s="93"/>
      <c r="Z58" s="93"/>
    </row>
    <row r="59" spans="2:26">
      <c r="B59" s="9">
        <v>28</v>
      </c>
      <c r="C59" s="11" t="s">
        <v>15</v>
      </c>
      <c r="D59" s="49">
        <v>0</v>
      </c>
      <c r="E59" s="49">
        <v>0</v>
      </c>
      <c r="F59" s="49">
        <v>0</v>
      </c>
      <c r="G59" s="49">
        <v>0</v>
      </c>
      <c r="H59" s="217" t="s">
        <v>99</v>
      </c>
      <c r="I59" s="92">
        <f>+(D87+D81+D82+D85+D86)/D75</f>
        <v>7.1458753673847131E-2</v>
      </c>
      <c r="J59" s="190">
        <f>+(E87+E81+E82+E85+E86)/E75</f>
        <v>7.0937479584518362E-2</v>
      </c>
      <c r="K59" s="190">
        <f>+(F87+F81+F82+F85+F86)/F75</f>
        <v>7.053795811155178E-2</v>
      </c>
      <c r="L59" s="190">
        <f>+(G87+G81+G82+G85+G86)/G75</f>
        <v>7.0221993713929662E-2</v>
      </c>
      <c r="N59" s="218" t="s">
        <v>15</v>
      </c>
      <c r="O59" s="219" t="str">
        <f t="shared" si="17"/>
        <v>U</v>
      </c>
      <c r="P59" s="140">
        <f t="shared" si="18"/>
        <v>0</v>
      </c>
      <c r="Q59" s="141">
        <f t="shared" si="19"/>
        <v>0</v>
      </c>
      <c r="R59" s="140">
        <f t="shared" si="20"/>
        <v>0</v>
      </c>
      <c r="S59" s="141">
        <f t="shared" si="21"/>
        <v>0</v>
      </c>
      <c r="T59" s="140">
        <f t="shared" si="22"/>
        <v>0</v>
      </c>
      <c r="U59" s="142">
        <f t="shared" si="23"/>
        <v>0</v>
      </c>
      <c r="V59" s="265"/>
      <c r="W59" s="66"/>
      <c r="X59" s="66"/>
      <c r="Y59" s="66"/>
      <c r="Z59" s="66"/>
    </row>
    <row r="60" spans="2:26">
      <c r="B60" s="9">
        <v>29</v>
      </c>
      <c r="C60" s="12" t="s">
        <v>17</v>
      </c>
      <c r="D60" s="49">
        <v>0</v>
      </c>
      <c r="E60" s="49">
        <v>0</v>
      </c>
      <c r="F60" s="49">
        <v>0</v>
      </c>
      <c r="G60" s="49">
        <v>0</v>
      </c>
      <c r="H60" s="217" t="s">
        <v>100</v>
      </c>
      <c r="I60" s="92">
        <f>+D87/D75</f>
        <v>6.3405523143112819E-2</v>
      </c>
      <c r="J60" s="190">
        <f>+E87/E75</f>
        <v>6.2810429903705264E-2</v>
      </c>
      <c r="K60" s="190">
        <f>+F87/F75</f>
        <v>6.2354331025154211E-2</v>
      </c>
      <c r="L60" s="190">
        <f>+G87/G75</f>
        <v>6.1993621984042027E-2</v>
      </c>
      <c r="N60" s="231" t="s">
        <v>17</v>
      </c>
      <c r="O60" s="219" t="str">
        <f t="shared" si="17"/>
        <v>U</v>
      </c>
      <c r="P60" s="140">
        <f t="shared" si="18"/>
        <v>0</v>
      </c>
      <c r="Q60" s="141">
        <f t="shared" si="19"/>
        <v>0</v>
      </c>
      <c r="R60" s="140">
        <f t="shared" si="20"/>
        <v>0</v>
      </c>
      <c r="S60" s="141">
        <f t="shared" si="21"/>
        <v>0</v>
      </c>
      <c r="T60" s="140">
        <f t="shared" si="22"/>
        <v>0</v>
      </c>
      <c r="U60" s="142">
        <f t="shared" si="23"/>
        <v>0</v>
      </c>
      <c r="V60" s="265"/>
    </row>
    <row r="61" spans="2:26" ht="13.5" thickBot="1">
      <c r="B61" s="13">
        <v>0</v>
      </c>
      <c r="C61" s="26" t="s">
        <v>18</v>
      </c>
      <c r="D61" s="50">
        <f>SUM(D52:D60)</f>
        <v>371202.4</v>
      </c>
      <c r="E61" s="50">
        <f>SUM(E52:E60)</f>
        <v>464003</v>
      </c>
      <c r="F61" s="50">
        <f>SUM(F52:F60)</f>
        <v>556803.6</v>
      </c>
      <c r="G61" s="50">
        <f>SUM(G52:G60)</f>
        <v>649604.19999999995</v>
      </c>
      <c r="H61" s="217" t="s">
        <v>101</v>
      </c>
      <c r="I61" s="92">
        <f>+D93/D75</f>
        <v>4.3537109892731532E-2</v>
      </c>
      <c r="J61" s="190">
        <f>+E93/E75</f>
        <v>4.3292201061343398E-2</v>
      </c>
      <c r="K61" s="190">
        <f>+F93/F75</f>
        <v>4.3104494940778913E-2</v>
      </c>
      <c r="L61" s="190">
        <f>+G93/G75</f>
        <v>4.2956046220679493E-2</v>
      </c>
      <c r="N61" s="234" t="s">
        <v>18</v>
      </c>
      <c r="O61" s="235"/>
      <c r="P61" s="245">
        <f t="shared" ref="P61:U61" si="24">SUM(P52:P60)</f>
        <v>0</v>
      </c>
      <c r="Q61" s="245">
        <f t="shared" si="24"/>
        <v>92800.599999999977</v>
      </c>
      <c r="R61" s="245">
        <f t="shared" si="24"/>
        <v>0</v>
      </c>
      <c r="S61" s="245">
        <f t="shared" si="24"/>
        <v>92800.599999999977</v>
      </c>
      <c r="T61" s="245">
        <f t="shared" si="24"/>
        <v>0</v>
      </c>
      <c r="U61" s="245">
        <f t="shared" si="24"/>
        <v>92800.599999999977</v>
      </c>
      <c r="V61" s="7"/>
    </row>
    <row r="62" spans="2:26" ht="13.5" thickTop="1">
      <c r="B62" s="6"/>
      <c r="C62" s="7"/>
      <c r="D62" s="58">
        <f>+D23-D71</f>
        <v>0</v>
      </c>
      <c r="E62" s="58">
        <f>+E23-E71</f>
        <v>0</v>
      </c>
      <c r="F62" s="58">
        <f>+F23-F71</f>
        <v>0</v>
      </c>
      <c r="G62" s="58">
        <f>+G23-G71</f>
        <v>0</v>
      </c>
      <c r="H62" s="217" t="s">
        <v>102</v>
      </c>
      <c r="I62" s="92"/>
      <c r="J62" s="92">
        <f>+J31/AVERAGE(D23:E23)</f>
        <v>1.7778430170979047E-8</v>
      </c>
      <c r="K62" s="92">
        <f>+K31/AVERAGE(E23:F23)</f>
        <v>1.333297796750219E-8</v>
      </c>
      <c r="L62" s="92">
        <f>+L31/AVERAGE(F23:G23)</f>
        <v>1.0369334101136792E-8</v>
      </c>
      <c r="N62" s="7"/>
      <c r="O62" s="7"/>
      <c r="P62" s="7"/>
      <c r="Q62" s="7"/>
      <c r="R62" s="7"/>
      <c r="S62" s="7"/>
      <c r="T62" s="7"/>
      <c r="U62" s="7"/>
      <c r="V62" s="265"/>
    </row>
    <row r="63" spans="2:26" ht="13.5" thickBot="1">
      <c r="B63" s="8">
        <v>30</v>
      </c>
      <c r="C63" s="26" t="s">
        <v>19</v>
      </c>
      <c r="D63" s="50">
        <f>SUM(D64:D70)</f>
        <v>2446726.2000000002</v>
      </c>
      <c r="E63" s="50">
        <f>SUM(E64:E70)</f>
        <v>2902533.6</v>
      </c>
      <c r="F63" s="50">
        <f>SUM(F64:F70)</f>
        <v>3358340.9999999995</v>
      </c>
      <c r="G63" s="55">
        <f>SUM(G64:G70)</f>
        <v>3814148.4000000004</v>
      </c>
      <c r="H63" s="217" t="s">
        <v>103</v>
      </c>
      <c r="I63" s="92">
        <f>+D93/D63</f>
        <v>0.27625600281715229</v>
      </c>
      <c r="J63" s="92">
        <f>+E93/E63</f>
        <v>0.26684741909619891</v>
      </c>
      <c r="K63" s="92">
        <f>+F93/F63</f>
        <v>0.25999277619515104</v>
      </c>
      <c r="L63" s="92">
        <f>+G93/G63</f>
        <v>0.25477645285117945</v>
      </c>
      <c r="N63" s="234" t="s">
        <v>19</v>
      </c>
      <c r="O63" s="235"/>
      <c r="P63" s="245">
        <f t="shared" ref="P63:U63" si="25">SUM(P64:P70)</f>
        <v>0</v>
      </c>
      <c r="Q63" s="245">
        <f t="shared" si="25"/>
        <v>455807.40000000008</v>
      </c>
      <c r="R63" s="245">
        <f t="shared" si="25"/>
        <v>0</v>
      </c>
      <c r="S63" s="245">
        <f t="shared" si="25"/>
        <v>455807.39999999979</v>
      </c>
      <c r="T63" s="245">
        <f t="shared" si="25"/>
        <v>0</v>
      </c>
      <c r="U63" s="245">
        <f t="shared" si="25"/>
        <v>455807.40000000014</v>
      </c>
      <c r="V63" s="265"/>
    </row>
    <row r="64" spans="2:26" ht="13.5" thickTop="1">
      <c r="B64" s="9">
        <v>31</v>
      </c>
      <c r="C64" s="27" t="s">
        <v>20</v>
      </c>
      <c r="D64" s="54">
        <v>360000</v>
      </c>
      <c r="E64" s="54">
        <v>420000</v>
      </c>
      <c r="F64" s="54">
        <v>480000</v>
      </c>
      <c r="G64" s="54">
        <v>540000</v>
      </c>
      <c r="H64" s="85"/>
      <c r="N64" s="27" t="s">
        <v>20</v>
      </c>
      <c r="O64" s="219" t="str">
        <f t="shared" ref="O64:O70" si="26">IF(E64-D64&gt;0,"F","U")</f>
        <v>F</v>
      </c>
      <c r="P64" s="140">
        <f t="shared" ref="P64:P70" si="27">IF(E64-D64&gt;0,0,ABS(E64-D64))</f>
        <v>0</v>
      </c>
      <c r="Q64" s="141">
        <f t="shared" ref="Q64:Q70" si="28">IF(E64-D64&lt;0,0,ABS(E64-D64))</f>
        <v>60000</v>
      </c>
      <c r="R64" s="140">
        <f t="shared" ref="R64:R70" si="29">IF(F64-E64&gt;0,0,ABS(F64-E64))</f>
        <v>0</v>
      </c>
      <c r="S64" s="141">
        <f t="shared" ref="S64:S70" si="30">IF(F64-E64&lt;0,0,ABS(F64-E64))</f>
        <v>60000</v>
      </c>
      <c r="T64" s="140">
        <f t="shared" ref="T64:T70" si="31">IF(G64-F64&gt;0,0,ABS(G64-F64))</f>
        <v>0</v>
      </c>
      <c r="U64" s="142">
        <f t="shared" ref="U64:U70" si="32">IF(G64-F64&lt;0,0,ABS(G64-F64))</f>
        <v>60000</v>
      </c>
      <c r="V64" s="265"/>
    </row>
    <row r="65" spans="2:26">
      <c r="B65" s="9">
        <v>32</v>
      </c>
      <c r="C65" s="28" t="s">
        <v>21</v>
      </c>
      <c r="D65" s="54">
        <v>0</v>
      </c>
      <c r="E65" s="54">
        <v>0</v>
      </c>
      <c r="F65" s="54">
        <v>0</v>
      </c>
      <c r="G65" s="54">
        <v>0</v>
      </c>
      <c r="H65" s="217"/>
      <c r="I65" s="94"/>
      <c r="J65" s="94"/>
      <c r="K65" s="94"/>
      <c r="L65" s="94"/>
      <c r="N65" s="28" t="s">
        <v>21</v>
      </c>
      <c r="O65" s="219" t="str">
        <f t="shared" si="26"/>
        <v>U</v>
      </c>
      <c r="P65" s="140">
        <f t="shared" si="27"/>
        <v>0</v>
      </c>
      <c r="Q65" s="141">
        <f t="shared" si="28"/>
        <v>0</v>
      </c>
      <c r="R65" s="140">
        <f t="shared" si="29"/>
        <v>0</v>
      </c>
      <c r="S65" s="141">
        <f t="shared" si="30"/>
        <v>0</v>
      </c>
      <c r="T65" s="140">
        <f t="shared" si="31"/>
        <v>0</v>
      </c>
      <c r="U65" s="142">
        <f t="shared" si="32"/>
        <v>0</v>
      </c>
      <c r="V65" s="265"/>
    </row>
    <row r="66" spans="2:26">
      <c r="B66" s="9">
        <v>33</v>
      </c>
      <c r="C66" s="28" t="s">
        <v>57</v>
      </c>
      <c r="D66" s="54">
        <v>95133.7</v>
      </c>
      <c r="E66" s="54">
        <v>116306.6</v>
      </c>
      <c r="F66" s="54">
        <v>137479.5</v>
      </c>
      <c r="G66" s="54">
        <v>158652.4</v>
      </c>
      <c r="H66" s="217"/>
      <c r="I66" s="94"/>
      <c r="J66" s="94"/>
      <c r="K66" s="94"/>
      <c r="L66" s="94"/>
      <c r="N66" s="28" t="s">
        <v>57</v>
      </c>
      <c r="O66" s="219" t="str">
        <f t="shared" si="26"/>
        <v>F</v>
      </c>
      <c r="P66" s="140">
        <f t="shared" si="27"/>
        <v>0</v>
      </c>
      <c r="Q66" s="141">
        <f t="shared" si="28"/>
        <v>21172.900000000009</v>
      </c>
      <c r="R66" s="140">
        <f t="shared" si="29"/>
        <v>0</v>
      </c>
      <c r="S66" s="141">
        <f t="shared" si="30"/>
        <v>21172.899999999994</v>
      </c>
      <c r="T66" s="140">
        <f t="shared" si="31"/>
        <v>0</v>
      </c>
      <c r="U66" s="142">
        <f t="shared" si="32"/>
        <v>21172.899999999994</v>
      </c>
      <c r="V66" s="266"/>
    </row>
    <row r="67" spans="2:26">
      <c r="B67" s="9">
        <v>34</v>
      </c>
      <c r="C67" s="28" t="s">
        <v>22</v>
      </c>
      <c r="D67" s="54">
        <v>392575.3</v>
      </c>
      <c r="E67" s="54">
        <v>483169.6</v>
      </c>
      <c r="F67" s="54">
        <v>573763.9</v>
      </c>
      <c r="G67" s="54">
        <v>664358.19999999995</v>
      </c>
      <c r="H67" s="217"/>
      <c r="I67" s="88"/>
      <c r="J67" s="92"/>
      <c r="K67" s="92"/>
      <c r="L67" s="92"/>
      <c r="N67" s="28" t="s">
        <v>22</v>
      </c>
      <c r="O67" s="219" t="str">
        <f t="shared" si="26"/>
        <v>F</v>
      </c>
      <c r="P67" s="140">
        <f t="shared" si="27"/>
        <v>0</v>
      </c>
      <c r="Q67" s="141">
        <f t="shared" si="28"/>
        <v>90594.299999999988</v>
      </c>
      <c r="R67" s="140">
        <f t="shared" si="29"/>
        <v>0</v>
      </c>
      <c r="S67" s="141">
        <f t="shared" si="30"/>
        <v>90594.300000000047</v>
      </c>
      <c r="T67" s="140">
        <f t="shared" si="31"/>
        <v>0</v>
      </c>
      <c r="U67" s="142">
        <f t="shared" si="32"/>
        <v>90594.29999999993</v>
      </c>
      <c r="V67" s="317"/>
    </row>
    <row r="68" spans="2:26">
      <c r="B68" s="9">
        <v>35</v>
      </c>
      <c r="C68" s="28" t="s">
        <v>23</v>
      </c>
      <c r="D68" s="54">
        <v>0</v>
      </c>
      <c r="E68" s="54">
        <v>0</v>
      </c>
      <c r="F68" s="54">
        <v>0</v>
      </c>
      <c r="G68" s="54">
        <v>0</v>
      </c>
      <c r="H68" s="217"/>
      <c r="I68" s="87"/>
      <c r="J68" s="87"/>
      <c r="K68" s="92"/>
      <c r="L68" s="92"/>
      <c r="N68" s="28" t="s">
        <v>23</v>
      </c>
      <c r="O68" s="219" t="str">
        <f t="shared" si="26"/>
        <v>U</v>
      </c>
      <c r="P68" s="140">
        <f t="shared" si="27"/>
        <v>0</v>
      </c>
      <c r="Q68" s="141">
        <f t="shared" si="28"/>
        <v>0</v>
      </c>
      <c r="R68" s="140">
        <f t="shared" si="29"/>
        <v>0</v>
      </c>
      <c r="S68" s="141">
        <f t="shared" si="30"/>
        <v>0</v>
      </c>
      <c r="T68" s="140">
        <f t="shared" si="31"/>
        <v>0</v>
      </c>
      <c r="U68" s="142">
        <f t="shared" si="32"/>
        <v>0</v>
      </c>
      <c r="V68" s="317"/>
    </row>
    <row r="69" spans="2:26">
      <c r="B69" s="9">
        <v>36</v>
      </c>
      <c r="C69" s="28" t="s">
        <v>24</v>
      </c>
      <c r="D69" s="54">
        <v>707216.4</v>
      </c>
      <c r="E69" s="54">
        <v>826260.8</v>
      </c>
      <c r="F69" s="54">
        <v>945305.2</v>
      </c>
      <c r="G69" s="54">
        <v>1064349.6000000001</v>
      </c>
      <c r="H69" s="217"/>
      <c r="I69" s="87"/>
      <c r="J69" s="92"/>
      <c r="K69" s="92"/>
      <c r="L69" s="92"/>
      <c r="N69" s="28" t="s">
        <v>24</v>
      </c>
      <c r="O69" s="219" t="str">
        <f t="shared" si="26"/>
        <v>F</v>
      </c>
      <c r="P69" s="140">
        <f t="shared" si="27"/>
        <v>0</v>
      </c>
      <c r="Q69" s="141">
        <f t="shared" si="28"/>
        <v>119044.40000000002</v>
      </c>
      <c r="R69" s="140">
        <f t="shared" si="29"/>
        <v>0</v>
      </c>
      <c r="S69" s="141">
        <f t="shared" si="30"/>
        <v>119044.39999999991</v>
      </c>
      <c r="T69" s="140">
        <f t="shared" si="31"/>
        <v>0</v>
      </c>
      <c r="U69" s="142">
        <f t="shared" si="32"/>
        <v>119044.40000000014</v>
      </c>
      <c r="V69" s="7"/>
    </row>
    <row r="70" spans="2:26">
      <c r="B70" s="9">
        <v>37</v>
      </c>
      <c r="C70" s="29" t="s">
        <v>25</v>
      </c>
      <c r="D70" s="54">
        <v>891800.8</v>
      </c>
      <c r="E70" s="54">
        <v>1056796.6000000001</v>
      </c>
      <c r="F70" s="54">
        <v>1221792.3999999999</v>
      </c>
      <c r="G70" s="54">
        <v>1386788.2</v>
      </c>
      <c r="N70" s="29" t="s">
        <v>25</v>
      </c>
      <c r="O70" s="219" t="str">
        <f t="shared" si="26"/>
        <v>F</v>
      </c>
      <c r="P70" s="140">
        <f t="shared" si="27"/>
        <v>0</v>
      </c>
      <c r="Q70" s="141">
        <f t="shared" si="28"/>
        <v>164995.80000000005</v>
      </c>
      <c r="R70" s="140">
        <f t="shared" si="29"/>
        <v>0</v>
      </c>
      <c r="S70" s="141">
        <f t="shared" si="30"/>
        <v>164995.79999999981</v>
      </c>
      <c r="T70" s="140">
        <f t="shared" si="31"/>
        <v>0</v>
      </c>
      <c r="U70" s="142">
        <f t="shared" si="32"/>
        <v>164995.80000000005</v>
      </c>
      <c r="V70" s="7"/>
    </row>
    <row r="71" spans="2:26" ht="13.5" thickBot="1">
      <c r="B71" s="9"/>
      <c r="C71" s="33" t="s">
        <v>27</v>
      </c>
      <c r="D71" s="45">
        <f>+D63+D41</f>
        <v>7427297.6000000006</v>
      </c>
      <c r="E71" s="45">
        <f>+E63+E41</f>
        <v>8768370.5999999996</v>
      </c>
      <c r="F71" s="45">
        <f>+F63+F41</f>
        <v>10109443.599999998</v>
      </c>
      <c r="G71" s="56">
        <f>+G63+G41</f>
        <v>11450516.6</v>
      </c>
      <c r="H71" s="206" t="s">
        <v>104</v>
      </c>
      <c r="I71" s="87"/>
      <c r="J71" s="87"/>
      <c r="K71" s="87"/>
      <c r="L71" s="87"/>
      <c r="N71" s="267" t="s">
        <v>148</v>
      </c>
      <c r="O71" s="268"/>
      <c r="P71" s="157">
        <f t="shared" ref="P71:U71" si="33">+SUM(P25:P29)-P27+SUM(P31:P37)+SUM(P42:P50)+SUM(P52:P60)+SUM(P64:P70)</f>
        <v>1359312.5000000005</v>
      </c>
      <c r="Q71" s="157">
        <f t="shared" si="33"/>
        <v>1360892.5999999999</v>
      </c>
      <c r="R71" s="157">
        <f t="shared" si="33"/>
        <v>1359312.5</v>
      </c>
      <c r="S71" s="157">
        <f t="shared" si="33"/>
        <v>1360892.5999999996</v>
      </c>
      <c r="T71" s="157">
        <f t="shared" si="33"/>
        <v>1359312.5000000009</v>
      </c>
      <c r="U71" s="157">
        <f t="shared" si="33"/>
        <v>1360892.6</v>
      </c>
      <c r="V71" s="7"/>
    </row>
    <row r="72" spans="2:26" ht="13.5" customHeight="1" thickTop="1">
      <c r="B72" s="13">
        <v>38</v>
      </c>
      <c r="C72" s="30" t="s">
        <v>26</v>
      </c>
      <c r="D72" s="96">
        <v>0</v>
      </c>
      <c r="E72" s="63">
        <f>+E39</f>
        <v>0</v>
      </c>
      <c r="F72" s="96">
        <v>301981</v>
      </c>
      <c r="G72" s="63">
        <v>0</v>
      </c>
      <c r="H72" s="217" t="s">
        <v>105</v>
      </c>
      <c r="I72" s="87"/>
      <c r="J72" s="97">
        <f>+((E75-D75)/D75)/((E28-D28)/D28)</f>
        <v>0.85722779873748367</v>
      </c>
      <c r="K72" s="98">
        <f>+((F75-E75)/E75)/((F28-E28)/E28)</f>
        <v>0.8761059186582083</v>
      </c>
      <c r="L72" s="98">
        <f>+((G75-F75)/F75)/((G28-F28)/F28)</f>
        <v>0.89057472582121278</v>
      </c>
      <c r="N72" s="267" t="s">
        <v>149</v>
      </c>
      <c r="O72" s="268"/>
      <c r="P72" s="157" t="str">
        <f>IF($Q$71-$P$71&lt;0,ABS($Q$71-$P$71),"")</f>
        <v/>
      </c>
      <c r="Q72" s="157">
        <f>IF($Q$71-$P$71&gt;0,ABS($Q$71-$P$71),0)</f>
        <v>1580.0999999993946</v>
      </c>
      <c r="R72" s="157">
        <f>IF($S$71-$R$71&lt;0,ABS($S$71-$R$71),0)</f>
        <v>0</v>
      </c>
      <c r="S72" s="157">
        <f>IF($S$71-$R$71&gt;0,ABS($S$71-$R$71),0)</f>
        <v>1580.0999999996275</v>
      </c>
      <c r="T72" s="157">
        <f>IF($U$71-$T$71&lt;0,ABS($U$71-$T$71),0)</f>
        <v>0</v>
      </c>
      <c r="U72" s="157">
        <f>IF($U$71-$T$71&gt;0,ABS($U$71-$T$71),0)</f>
        <v>1580.0999999991618</v>
      </c>
      <c r="V72" s="7"/>
    </row>
    <row r="73" spans="2:26" s="61" customFormat="1" ht="22.5">
      <c r="B73" s="59"/>
      <c r="C73" s="60" t="s">
        <v>60</v>
      </c>
      <c r="D73" s="62" t="str">
        <f>+IF(D71=D23,"OK","ERROR")</f>
        <v>OK</v>
      </c>
      <c r="E73" s="62" t="str">
        <f>+IF(E71=E23,"OK","ERROR")</f>
        <v>OK</v>
      </c>
      <c r="F73" s="62" t="str">
        <f>+IF(F71=F23,"OK","ERROR")</f>
        <v>OK</v>
      </c>
      <c r="G73" s="62" t="str">
        <f>+IF(G71=G23,"OK","ERROR")</f>
        <v>OK</v>
      </c>
      <c r="H73" s="217" t="s">
        <v>106</v>
      </c>
      <c r="I73" s="87"/>
      <c r="J73" s="97">
        <f>+((E27-D27)/D27)/((E28-D28)/D28)</f>
        <v>1.0391961063710893</v>
      </c>
      <c r="K73" s="98">
        <f>+((F27-E27)/E27)/((F28-E28)/E28)</f>
        <v>1.0330847536426484</v>
      </c>
      <c r="L73" s="98">
        <f>+((G27-F27)/F27)/((G28-F28)/F28)</f>
        <v>1.0286220756760978</v>
      </c>
      <c r="N73" s="267" t="s">
        <v>150</v>
      </c>
      <c r="O73" s="268"/>
      <c r="P73" s="157" t="str">
        <f>IF($E$24-$D$24&lt;0,ABS($E$24-$D$24),"")</f>
        <v/>
      </c>
      <c r="Q73" s="157">
        <f>IF($E$24-$D$24&gt;0,ABS($E$24-$D$24),0)</f>
        <v>1580.0999999999985</v>
      </c>
      <c r="R73" s="157">
        <f>IF($F$24-$E$24&lt;0,ABS($F$24-$E$24),0)</f>
        <v>0</v>
      </c>
      <c r="S73" s="157">
        <f>IF($F$24-$E$24&gt;0,ABS($F$24-$E$24),0)</f>
        <v>1580.1000000000058</v>
      </c>
      <c r="T73" s="157">
        <f>IF($G$24-$F$24&lt;0,ABS($G$24-$F$24),0)</f>
        <v>0</v>
      </c>
      <c r="U73" s="157">
        <f>IF($G$24-$F$24&gt;0,ABS($G$24-$F$24),0)</f>
        <v>1580.0999999999913</v>
      </c>
      <c r="V73" s="269"/>
      <c r="W73" s="158"/>
      <c r="X73" s="158"/>
      <c r="Y73" s="158"/>
      <c r="Z73" s="158"/>
    </row>
    <row r="74" spans="2:26">
      <c r="B74" s="14"/>
      <c r="C74" s="32"/>
      <c r="D74" s="67">
        <f>+D71-D23</f>
        <v>0</v>
      </c>
      <c r="E74" s="67">
        <f>+E71-E23</f>
        <v>0</v>
      </c>
      <c r="F74" s="67">
        <f>+F71-F23</f>
        <v>0</v>
      </c>
      <c r="G74" s="67">
        <f>+G71-G23</f>
        <v>0</v>
      </c>
      <c r="H74" s="217" t="s">
        <v>107</v>
      </c>
      <c r="I74" s="92">
        <f>+I75*I76*I77</f>
        <v>0.27625600281715229</v>
      </c>
      <c r="J74" s="92">
        <f>+J75*J76*J77</f>
        <v>0.26684741909619886</v>
      </c>
      <c r="K74" s="92">
        <f>+K75*K76*K77</f>
        <v>0.25999277619515104</v>
      </c>
      <c r="L74" s="92">
        <f>+L75*L76*L77</f>
        <v>0.25477645285117945</v>
      </c>
      <c r="N74" s="7"/>
      <c r="O74" s="7"/>
      <c r="P74" s="159"/>
      <c r="Q74" s="134"/>
      <c r="R74" s="133"/>
      <c r="S74" s="134"/>
      <c r="T74" s="133"/>
      <c r="U74" s="134"/>
      <c r="W74" s="93"/>
      <c r="X74" s="93"/>
      <c r="Y74" s="93"/>
      <c r="Z74" s="93"/>
    </row>
    <row r="75" spans="2:26" ht="13.5" thickBot="1">
      <c r="B75" s="8">
        <v>41</v>
      </c>
      <c r="C75" s="15" t="s">
        <v>28</v>
      </c>
      <c r="D75" s="35">
        <v>15525210.6</v>
      </c>
      <c r="E75" s="35">
        <v>17890834.399999999</v>
      </c>
      <c r="F75" s="35">
        <v>20256458.199999999</v>
      </c>
      <c r="G75" s="35">
        <v>22622082</v>
      </c>
      <c r="H75" s="217" t="s">
        <v>108</v>
      </c>
      <c r="I75" s="92">
        <f>+D93/D75</f>
        <v>4.3537109892731532E-2</v>
      </c>
      <c r="J75" s="92">
        <f>+E93/E75</f>
        <v>4.3292201061343398E-2</v>
      </c>
      <c r="K75" s="92">
        <f>+F93/F75</f>
        <v>4.3104494940778913E-2</v>
      </c>
      <c r="L75" s="92">
        <f>+G93/G75</f>
        <v>4.2956046220679493E-2</v>
      </c>
      <c r="N75" s="270" t="s">
        <v>151</v>
      </c>
      <c r="O75" s="270"/>
      <c r="P75" s="160" t="e">
        <f t="shared" ref="P75:U75" si="34">+P72-P73</f>
        <v>#VALUE!</v>
      </c>
      <c r="Q75" s="161">
        <f t="shared" si="34"/>
        <v>-6.0390448197722435E-10</v>
      </c>
      <c r="R75" s="162">
        <f t="shared" si="34"/>
        <v>0</v>
      </c>
      <c r="S75" s="161">
        <f t="shared" si="34"/>
        <v>-3.7834979593753815E-10</v>
      </c>
      <c r="T75" s="162">
        <f t="shared" si="34"/>
        <v>0</v>
      </c>
      <c r="U75" s="161">
        <f t="shared" si="34"/>
        <v>-8.2945916801691055E-10</v>
      </c>
    </row>
    <row r="76" spans="2:26" ht="13.5" thickTop="1">
      <c r="B76" s="9"/>
      <c r="C76" s="16" t="s">
        <v>66</v>
      </c>
      <c r="D76" s="42">
        <v>0</v>
      </c>
      <c r="E76" s="42">
        <v>0</v>
      </c>
      <c r="F76" s="42"/>
      <c r="G76" s="42">
        <v>0</v>
      </c>
      <c r="H76" s="217" t="s">
        <v>109</v>
      </c>
      <c r="I76" s="271">
        <f>+D75/D23</f>
        <v>2.090290632759888</v>
      </c>
      <c r="J76" s="271">
        <f>+E75/E23</f>
        <v>2.0403830102710301</v>
      </c>
      <c r="K76" s="271">
        <f>+F75/F23</f>
        <v>2.0037164260949041</v>
      </c>
      <c r="L76" s="271">
        <f>+G75/G23</f>
        <v>1.9756385489192689</v>
      </c>
      <c r="N76" s="58"/>
      <c r="O76" s="7"/>
    </row>
    <row r="77" spans="2:26">
      <c r="B77" s="9">
        <v>61</v>
      </c>
      <c r="C77" s="16" t="s">
        <v>29</v>
      </c>
      <c r="D77" s="42">
        <v>13463055.699999999</v>
      </c>
      <c r="E77" s="42">
        <v>15508942.6</v>
      </c>
      <c r="F77" s="42">
        <v>17554829.5</v>
      </c>
      <c r="G77" s="42">
        <v>19600716.399999999</v>
      </c>
      <c r="H77" s="217" t="s">
        <v>110</v>
      </c>
      <c r="I77" s="271">
        <f>+D23/D63</f>
        <v>3.0356063543194987</v>
      </c>
      <c r="J77" s="271">
        <f>+E23/E63</f>
        <v>3.0209368118942703</v>
      </c>
      <c r="K77" s="271">
        <f>+F23/F63</f>
        <v>3.0102492867758222</v>
      </c>
      <c r="L77" s="271">
        <f>+G23/G63</f>
        <v>3.0021161735605251</v>
      </c>
      <c r="N77" s="163" t="s">
        <v>152</v>
      </c>
      <c r="O77" s="164"/>
      <c r="P77" s="165">
        <f t="shared" ref="P77:U77" si="35">+P30+P51</f>
        <v>1588471.3000000005</v>
      </c>
      <c r="Q77" s="166">
        <f t="shared" si="35"/>
        <v>812284.59999999986</v>
      </c>
      <c r="R77" s="167">
        <f t="shared" si="35"/>
        <v>1588471.2999999998</v>
      </c>
      <c r="S77" s="168">
        <f t="shared" si="35"/>
        <v>812284.59999999986</v>
      </c>
      <c r="T77" s="167">
        <f t="shared" si="35"/>
        <v>1588471.3000000007</v>
      </c>
      <c r="U77" s="168">
        <f t="shared" si="35"/>
        <v>812284.60000000009</v>
      </c>
    </row>
    <row r="78" spans="2:26" ht="13.5" thickBot="1">
      <c r="B78" s="9"/>
      <c r="C78" s="36" t="s">
        <v>30</v>
      </c>
      <c r="D78" s="37">
        <f>+D75-D77</f>
        <v>2062154.9000000004</v>
      </c>
      <c r="E78" s="37">
        <f>+E75-E77</f>
        <v>2381891.7999999989</v>
      </c>
      <c r="F78" s="37">
        <f>+F75-F77</f>
        <v>2701628.6999999993</v>
      </c>
      <c r="G78" s="57">
        <f>+G75-G77</f>
        <v>3021365.6000000015</v>
      </c>
      <c r="H78" s="7"/>
      <c r="I78" s="99"/>
      <c r="J78" s="100"/>
      <c r="K78" s="7"/>
      <c r="L78" s="7"/>
      <c r="N78" s="169" t="str">
        <f>+IF(P78&gt;0,"Usos","Fuentes")</f>
        <v>Usos</v>
      </c>
      <c r="O78" s="170"/>
      <c r="P78" s="171">
        <f>IF(P77-Q77&lt;0,0,P77-Q77)</f>
        <v>776186.70000000065</v>
      </c>
      <c r="Q78" s="172">
        <f>IF(Q77-P77&lt;0,0,Q77-P77)</f>
        <v>0</v>
      </c>
      <c r="R78" s="173">
        <f>IF(R77-S77&lt;0,0,R77-S77)</f>
        <v>776186.7</v>
      </c>
      <c r="S78" s="174">
        <f>IF(S77-R77&lt;0,0,S77-R77)</f>
        <v>0</v>
      </c>
      <c r="T78" s="173">
        <f>IF(T77-U77&lt;0,0,T77-U77)</f>
        <v>776186.70000000065</v>
      </c>
      <c r="U78" s="174">
        <f>IF(U77-T77&lt;0,0,U77-T77)</f>
        <v>0</v>
      </c>
    </row>
    <row r="79" spans="2:26" ht="17.25" thickTop="1" thickBot="1">
      <c r="B79" s="9">
        <v>51</v>
      </c>
      <c r="C79" s="17" t="s">
        <v>31</v>
      </c>
      <c r="D79" s="43">
        <v>795616.9</v>
      </c>
      <c r="E79" s="43">
        <v>914806.8</v>
      </c>
      <c r="F79" s="43">
        <v>1033996.7</v>
      </c>
      <c r="G79" s="43">
        <v>1153186.6000000001</v>
      </c>
      <c r="H79" s="272" t="s">
        <v>111</v>
      </c>
      <c r="I79" s="272">
        <v>2007</v>
      </c>
      <c r="J79" s="272">
        <v>2008</v>
      </c>
      <c r="K79" s="272">
        <v>2009</v>
      </c>
      <c r="L79" s="272">
        <v>2010</v>
      </c>
      <c r="N79" s="163" t="s">
        <v>153</v>
      </c>
      <c r="O79" s="164"/>
      <c r="P79" s="175">
        <f t="shared" ref="P79:U79" si="36">+P63+P61+P38</f>
        <v>149643.09999999998</v>
      </c>
      <c r="Q79" s="176">
        <f t="shared" si="36"/>
        <v>548608</v>
      </c>
      <c r="R79" s="177">
        <f t="shared" si="36"/>
        <v>149643.09999999998</v>
      </c>
      <c r="S79" s="178">
        <f t="shared" si="36"/>
        <v>548607.99999999977</v>
      </c>
      <c r="T79" s="177">
        <f t="shared" si="36"/>
        <v>149643.09999999998</v>
      </c>
      <c r="U79" s="178">
        <f t="shared" si="36"/>
        <v>548608.00000000012</v>
      </c>
    </row>
    <row r="80" spans="2:26" ht="13.5" thickTop="1">
      <c r="B80" s="9">
        <v>5105</v>
      </c>
      <c r="C80" s="16" t="s">
        <v>61</v>
      </c>
      <c r="D80" s="42">
        <v>0</v>
      </c>
      <c r="E80" s="42">
        <v>0</v>
      </c>
      <c r="F80" s="42">
        <v>0</v>
      </c>
      <c r="G80" s="42">
        <v>0</v>
      </c>
      <c r="H80" t="s">
        <v>112</v>
      </c>
      <c r="I80" s="101">
        <f>+D87</f>
        <v>984384.10000000044</v>
      </c>
      <c r="J80" s="101">
        <f>+E87</f>
        <v>1123730.9999999988</v>
      </c>
      <c r="K80" s="101">
        <f>+F87</f>
        <v>1263077.8999999994</v>
      </c>
      <c r="L80" s="101">
        <f>+G87</f>
        <v>1402424.8000000014</v>
      </c>
      <c r="N80" s="179" t="str">
        <f>+IF(P80&gt;0,"Usos","Fuentes")</f>
        <v>Fuentes</v>
      </c>
      <c r="O80" s="180"/>
      <c r="P80" s="181">
        <f>IF(P79-Q79&lt;0,0,P79-Q79)</f>
        <v>0</v>
      </c>
      <c r="Q80" s="182">
        <f>IF(Q79-P79&lt;0,0,Q79-P79)</f>
        <v>398964.9</v>
      </c>
      <c r="R80" s="183">
        <f>IF(R79-S79&lt;0,0,R79-S79)</f>
        <v>0</v>
      </c>
      <c r="S80" s="184">
        <f>IF(S79-R79&lt;0,0,S79-R79)</f>
        <v>398964.89999999979</v>
      </c>
      <c r="T80" s="183">
        <f>IF(T79-U79&lt;0,0,T79-U79)</f>
        <v>0</v>
      </c>
      <c r="U80" s="184">
        <f>IF(U79-T79&lt;0,0,U79-T79)</f>
        <v>398964.90000000014</v>
      </c>
    </row>
    <row r="81" spans="2:23">
      <c r="B81" s="9">
        <v>5160</v>
      </c>
      <c r="C81" s="16" t="s">
        <v>62</v>
      </c>
      <c r="D81" s="42">
        <v>67530.100000000006</v>
      </c>
      <c r="E81" s="42">
        <v>75728.7</v>
      </c>
      <c r="F81" s="42">
        <v>83927.3</v>
      </c>
      <c r="G81" s="42">
        <v>92125.9</v>
      </c>
      <c r="H81" t="s">
        <v>113</v>
      </c>
      <c r="I81" s="99">
        <f t="shared" ref="I81:L82" si="37">+D81+D85</f>
        <v>67530.100000000006</v>
      </c>
      <c r="J81" s="99">
        <f t="shared" si="37"/>
        <v>75728.7</v>
      </c>
      <c r="K81" s="99">
        <f t="shared" si="37"/>
        <v>83927.3</v>
      </c>
      <c r="L81" s="99">
        <f t="shared" si="37"/>
        <v>92125.9</v>
      </c>
    </row>
    <row r="82" spans="2:23">
      <c r="B82" s="9">
        <v>5165</v>
      </c>
      <c r="C82" s="16" t="s">
        <v>63</v>
      </c>
      <c r="D82" s="42">
        <v>57498</v>
      </c>
      <c r="E82" s="42">
        <v>69671</v>
      </c>
      <c r="F82" s="42">
        <v>81844</v>
      </c>
      <c r="G82" s="42">
        <v>94017</v>
      </c>
      <c r="H82" t="s">
        <v>114</v>
      </c>
      <c r="I82" s="99">
        <f t="shared" si="37"/>
        <v>57498</v>
      </c>
      <c r="J82" s="99">
        <f t="shared" si="37"/>
        <v>69671</v>
      </c>
      <c r="K82" s="99">
        <f t="shared" si="37"/>
        <v>81844</v>
      </c>
      <c r="L82" s="99">
        <f t="shared" si="37"/>
        <v>94017</v>
      </c>
      <c r="N82" s="185" t="s">
        <v>148</v>
      </c>
      <c r="O82" s="186"/>
      <c r="P82" s="183">
        <f>+P77+P79</f>
        <v>1738114.4000000004</v>
      </c>
      <c r="Q82" s="184">
        <f>+SUM(Q36:Q40)-Q38+SUM(Q42:Q48)+SUM(Q53:Q61)+SUM(Q63:Q71)+SUM(Q75:Q81)</f>
        <v>4881280.3999999985</v>
      </c>
      <c r="R82" s="183">
        <f>+SUM(R36:R40)-R38+SUM(R42:R48)+SUM(R53:R61)+SUM(R63:R71)+SUM(R75:R81)</f>
        <v>3893433.2</v>
      </c>
      <c r="S82" s="184">
        <f>+SUM(S36:S40)-S38+SUM(S42:S48)+SUM(S53:S61)+SUM(S63:S71)+SUM(S75:S81)</f>
        <v>4881280.3999999985</v>
      </c>
      <c r="T82" s="183">
        <f>+SUM(T36:T40)-T38+SUM(T42:T48)+SUM(T53:T61)+SUM(T63:T71)+SUM(T75:T81)</f>
        <v>3893433.2000000025</v>
      </c>
      <c r="U82" s="184">
        <f>+SUM(U36:U40)-U38+SUM(U42:U48)+SUM(U53:U61)+SUM(U63:U71)+SUM(U75:U81)</f>
        <v>4881280.4000000004</v>
      </c>
    </row>
    <row r="83" spans="2:23" ht="15">
      <c r="B83" s="9">
        <v>52</v>
      </c>
      <c r="C83" s="18" t="s">
        <v>32</v>
      </c>
      <c r="D83" s="44">
        <v>282153.90000000002</v>
      </c>
      <c r="E83" s="44">
        <v>343354</v>
      </c>
      <c r="F83" s="44">
        <v>404554.1</v>
      </c>
      <c r="G83" s="44">
        <v>465754.2</v>
      </c>
      <c r="H83" s="102" t="s">
        <v>77</v>
      </c>
      <c r="I83" s="99">
        <f>+I80+I81+I82</f>
        <v>1109412.2000000004</v>
      </c>
      <c r="J83" s="99">
        <f>+J80+J81+J82</f>
        <v>1269130.6999999988</v>
      </c>
      <c r="K83" s="99">
        <f>+K80+K81+K82</f>
        <v>1428849.1999999995</v>
      </c>
      <c r="L83" s="99">
        <f>+L80+L81+L82</f>
        <v>1588567.7000000014</v>
      </c>
      <c r="P83" s="93"/>
    </row>
    <row r="84" spans="2:23">
      <c r="B84" s="9">
        <v>5205</v>
      </c>
      <c r="C84" s="16" t="s">
        <v>61</v>
      </c>
      <c r="D84" s="42">
        <v>0</v>
      </c>
      <c r="E84" s="42">
        <v>0</v>
      </c>
      <c r="F84" s="42">
        <v>0</v>
      </c>
      <c r="G84" s="42">
        <v>0</v>
      </c>
      <c r="H84" t="s">
        <v>115</v>
      </c>
      <c r="I84" s="99">
        <f>+D92</f>
        <v>0</v>
      </c>
      <c r="J84" s="99">
        <f>+E92</f>
        <v>0</v>
      </c>
      <c r="K84" s="99">
        <f>+F92</f>
        <v>0</v>
      </c>
      <c r="L84" s="99">
        <f>+G92</f>
        <v>0</v>
      </c>
    </row>
    <row r="85" spans="2:23" ht="15">
      <c r="B85" s="9">
        <v>5260</v>
      </c>
      <c r="C85" s="16" t="s">
        <v>62</v>
      </c>
      <c r="D85" s="42">
        <v>0</v>
      </c>
      <c r="E85" s="42">
        <v>0</v>
      </c>
      <c r="F85" s="42">
        <v>0</v>
      </c>
      <c r="G85" s="42">
        <v>0</v>
      </c>
      <c r="H85" s="102" t="s">
        <v>116</v>
      </c>
      <c r="I85" s="99">
        <f>+I83-I84</f>
        <v>1109412.2000000004</v>
      </c>
      <c r="J85" s="99">
        <f>+J83-J84</f>
        <v>1269130.6999999988</v>
      </c>
      <c r="K85" s="99">
        <f>+K83-K84</f>
        <v>1428849.1999999995</v>
      </c>
      <c r="L85" s="99">
        <f>+L83-L84</f>
        <v>1588567.7000000014</v>
      </c>
    </row>
    <row r="86" spans="2:23">
      <c r="B86" s="9">
        <v>5265</v>
      </c>
      <c r="C86" s="16" t="s">
        <v>63</v>
      </c>
      <c r="D86" s="42">
        <v>0</v>
      </c>
      <c r="E86" s="42">
        <v>0</v>
      </c>
      <c r="F86" s="42">
        <v>0</v>
      </c>
      <c r="G86" s="42">
        <v>0</v>
      </c>
      <c r="H86" t="s">
        <v>117</v>
      </c>
      <c r="I86" s="7"/>
      <c r="J86" s="193">
        <f t="shared" ref="J86:L87" si="38">+X24-W24</f>
        <v>858503.29999999795</v>
      </c>
      <c r="K86" s="193">
        <f t="shared" si="38"/>
        <v>858503.30000000168</v>
      </c>
      <c r="L86" s="193">
        <f t="shared" si="38"/>
        <v>858503.29999999981</v>
      </c>
    </row>
    <row r="87" spans="2:23" ht="13.5" thickBot="1">
      <c r="B87" s="9"/>
      <c r="C87" s="36" t="s">
        <v>33</v>
      </c>
      <c r="D87" s="37">
        <f>+D78-D79-D83</f>
        <v>984384.10000000044</v>
      </c>
      <c r="E87" s="37">
        <f>+E78-E79-E83</f>
        <v>1123730.9999999988</v>
      </c>
      <c r="F87" s="37">
        <f>+F78-F79-F83</f>
        <v>1263077.8999999994</v>
      </c>
      <c r="G87" s="37">
        <f>+G78-G79-G83</f>
        <v>1402424.8000000014</v>
      </c>
      <c r="H87" t="s">
        <v>118</v>
      </c>
      <c r="I87" s="7"/>
      <c r="J87" s="99">
        <f t="shared" si="38"/>
        <v>104443.09999999998</v>
      </c>
      <c r="K87" s="99">
        <f t="shared" si="38"/>
        <v>104443.09999999998</v>
      </c>
      <c r="L87" s="99">
        <f t="shared" si="38"/>
        <v>104443.09999999998</v>
      </c>
    </row>
    <row r="88" spans="2:23" ht="18.75" thickTop="1">
      <c r="B88" s="9">
        <v>42</v>
      </c>
      <c r="C88" s="17" t="s">
        <v>34</v>
      </c>
      <c r="D88" s="43">
        <v>114421.6</v>
      </c>
      <c r="E88" s="43">
        <v>136573.6</v>
      </c>
      <c r="F88" s="43">
        <v>158725.6</v>
      </c>
      <c r="G88" s="43">
        <v>180877.6</v>
      </c>
      <c r="H88" s="102" t="s">
        <v>119</v>
      </c>
      <c r="I88" s="22"/>
      <c r="J88" s="99">
        <f>+J85-J86-J87</f>
        <v>306184.30000000086</v>
      </c>
      <c r="K88" s="99">
        <f>+K85-K86-K87</f>
        <v>465902.79999999783</v>
      </c>
      <c r="L88" s="99">
        <f>+L85-L86-L87</f>
        <v>625621.30000000156</v>
      </c>
    </row>
    <row r="89" spans="2:23">
      <c r="B89" s="9"/>
      <c r="C89" s="16" t="s">
        <v>64</v>
      </c>
      <c r="D89" s="42">
        <f>D103*D102</f>
        <v>0</v>
      </c>
      <c r="E89" s="42">
        <f t="shared" ref="E89:G89" si="39">E103*E102</f>
        <v>513233.5264260004</v>
      </c>
      <c r="F89" s="42">
        <f t="shared" si="39"/>
        <v>601640.90676600032</v>
      </c>
      <c r="G89" s="42">
        <f t="shared" si="39"/>
        <v>690048.28710600035</v>
      </c>
      <c r="H89" t="s">
        <v>120</v>
      </c>
      <c r="J89" s="99">
        <f>-E42-E52+D52+D42</f>
        <v>-552339</v>
      </c>
      <c r="K89" s="99">
        <f>-F42-F52+E52+E42</f>
        <v>-552339</v>
      </c>
      <c r="L89" s="99">
        <f>-G42-G52+F52+F42</f>
        <v>-552338.99999999953</v>
      </c>
    </row>
    <row r="90" spans="2:23">
      <c r="B90" s="9">
        <v>53</v>
      </c>
      <c r="C90" s="18" t="s">
        <v>35</v>
      </c>
      <c r="D90" s="44">
        <v>422882.9</v>
      </c>
      <c r="E90" s="44">
        <v>485771</v>
      </c>
      <c r="F90" s="44">
        <v>548659.1</v>
      </c>
      <c r="G90" s="44">
        <v>611547.19999999995</v>
      </c>
      <c r="H90" t="s">
        <v>121</v>
      </c>
      <c r="J90" s="66">
        <f>+E89</f>
        <v>513233.5264260004</v>
      </c>
      <c r="K90" s="66">
        <f>+F89</f>
        <v>601640.90676600032</v>
      </c>
      <c r="L90" s="66">
        <f>+G89</f>
        <v>690048.28710600035</v>
      </c>
    </row>
    <row r="91" spans="2:23" ht="13.5" thickBot="1">
      <c r="B91" s="9"/>
      <c r="C91" s="36" t="s">
        <v>36</v>
      </c>
      <c r="D91" s="37">
        <f>+D87+D88-D90</f>
        <v>675922.8000000004</v>
      </c>
      <c r="E91" s="37">
        <f>+E87+E88-E90</f>
        <v>774533.59999999893</v>
      </c>
      <c r="F91" s="37">
        <f>+F87+F88-F90</f>
        <v>873144.39999999956</v>
      </c>
      <c r="G91" s="37">
        <f>+G87+G88-G90</f>
        <v>971755.20000000158</v>
      </c>
      <c r="H91" s="103" t="s">
        <v>122</v>
      </c>
      <c r="J91" s="194">
        <f>+J88-J89-J90</f>
        <v>345289.77357400046</v>
      </c>
      <c r="K91" s="194">
        <f>+K88-K89-K90</f>
        <v>416600.89323399751</v>
      </c>
      <c r="L91" s="194">
        <f>+L88-L89-L90</f>
        <v>487912.01289400086</v>
      </c>
    </row>
    <row r="92" spans="2:23" ht="13.5" thickTop="1">
      <c r="B92" s="9">
        <v>54</v>
      </c>
      <c r="C92" s="16" t="s">
        <v>37</v>
      </c>
      <c r="D92" s="42">
        <v>0</v>
      </c>
      <c r="E92" s="42">
        <v>0</v>
      </c>
      <c r="F92" s="42">
        <v>0</v>
      </c>
      <c r="G92" s="42">
        <v>0</v>
      </c>
      <c r="W92" s="85"/>
    </row>
    <row r="93" spans="2:23" ht="13.5" thickBot="1">
      <c r="B93" s="13">
        <v>59</v>
      </c>
      <c r="C93" s="36" t="s">
        <v>38</v>
      </c>
      <c r="D93" s="37">
        <f>+D91-D92</f>
        <v>675922.8000000004</v>
      </c>
      <c r="E93" s="37">
        <f>+E91-E92</f>
        <v>774533.59999999893</v>
      </c>
      <c r="F93" s="37">
        <f>+F91-F92</f>
        <v>873144.39999999956</v>
      </c>
      <c r="G93" s="37">
        <f>+G91-G92</f>
        <v>971755.20000000158</v>
      </c>
      <c r="H93" s="273"/>
      <c r="I93" s="274"/>
      <c r="J93" s="274"/>
      <c r="K93" s="274"/>
      <c r="L93" s="274"/>
    </row>
    <row r="94" spans="2:23" ht="13.5" thickTop="1">
      <c r="B94" s="34"/>
      <c r="C94" s="288" t="s">
        <v>16</v>
      </c>
      <c r="D94" s="289"/>
      <c r="E94" s="289"/>
      <c r="F94" s="289"/>
      <c r="G94" s="289"/>
    </row>
    <row r="95" spans="2:23">
      <c r="B95" s="34"/>
      <c r="C95" s="290"/>
      <c r="D95" s="291"/>
      <c r="E95" s="291"/>
      <c r="F95" s="291"/>
      <c r="G95" s="291"/>
      <c r="J95" s="195"/>
      <c r="K95" s="195"/>
      <c r="L95" s="195"/>
    </row>
    <row r="97" spans="3:26">
      <c r="C97" s="38" t="s">
        <v>65</v>
      </c>
      <c r="D97" s="40"/>
      <c r="E97" s="41"/>
      <c r="F97" s="41"/>
      <c r="G97" s="187"/>
      <c r="H97" s="275" t="s">
        <v>157</v>
      </c>
      <c r="I97" s="276">
        <f>D30/D51</f>
        <v>1.4162796035639587</v>
      </c>
      <c r="J97" s="276">
        <f t="shared" ref="J97:L97" si="40">E30/E51</f>
        <v>1.4290674611622645</v>
      </c>
      <c r="K97" s="276">
        <f t="shared" si="40"/>
        <v>1.4385833005478104</v>
      </c>
      <c r="L97" s="276">
        <f t="shared" si="40"/>
        <v>1.4459404954854638</v>
      </c>
    </row>
    <row r="98" spans="3:26">
      <c r="C98" s="39" t="s">
        <v>67</v>
      </c>
      <c r="D98" s="286">
        <v>0</v>
      </c>
      <c r="E98" s="278">
        <f>+E77-D28+E28</f>
        <v>15974591.4</v>
      </c>
      <c r="F98" s="278">
        <f>+F77-E28+F28</f>
        <v>18020478.300000001</v>
      </c>
      <c r="G98" s="278">
        <f>+G77-F28+G28</f>
        <v>20066365.199999999</v>
      </c>
      <c r="H98" s="275" t="s">
        <v>158</v>
      </c>
      <c r="I98" s="276">
        <f>(D30-D28)/D51</f>
        <v>0.84794372071318247</v>
      </c>
      <c r="J98" s="276">
        <f t="shared" ref="J98:L98" si="41">(E30-E28)/E51</f>
        <v>0.85790614817115807</v>
      </c>
      <c r="K98" s="276">
        <f t="shared" si="41"/>
        <v>0.86531949781565276</v>
      </c>
      <c r="L98" s="276">
        <f t="shared" si="41"/>
        <v>0.87105114756989077</v>
      </c>
      <c r="W98" s="93"/>
      <c r="X98" s="93"/>
      <c r="Y98" s="93"/>
      <c r="Z98" s="93"/>
    </row>
    <row r="99" spans="3:26">
      <c r="C99" s="39" t="s">
        <v>69</v>
      </c>
      <c r="D99" s="279">
        <v>2.5000000000000001E-3</v>
      </c>
      <c r="E99" s="279">
        <f t="shared" ref="E99:G102" si="42">+D99</f>
        <v>2.5000000000000001E-3</v>
      </c>
      <c r="F99" s="279">
        <f t="shared" si="42"/>
        <v>2.5000000000000001E-3</v>
      </c>
      <c r="G99" s="279">
        <f t="shared" si="42"/>
        <v>2.5000000000000001E-3</v>
      </c>
    </row>
    <row r="100" spans="3:26">
      <c r="C100" s="39" t="s">
        <v>70</v>
      </c>
      <c r="D100" s="279">
        <v>5.4600000000000003E-2</v>
      </c>
      <c r="E100" s="279">
        <f t="shared" si="42"/>
        <v>5.4600000000000003E-2</v>
      </c>
      <c r="F100" s="279">
        <f t="shared" si="42"/>
        <v>5.4600000000000003E-2</v>
      </c>
      <c r="G100" s="281">
        <f t="shared" si="42"/>
        <v>5.4600000000000003E-2</v>
      </c>
      <c r="W100" s="93"/>
      <c r="X100" s="93"/>
      <c r="Y100" s="93"/>
      <c r="Z100" s="93"/>
    </row>
    <row r="101" spans="3:26">
      <c r="C101" s="39" t="s">
        <v>159</v>
      </c>
      <c r="D101" s="279">
        <v>0.1</v>
      </c>
      <c r="E101" s="279">
        <f t="shared" si="42"/>
        <v>0.1</v>
      </c>
      <c r="F101" s="279">
        <f t="shared" si="42"/>
        <v>0.1</v>
      </c>
      <c r="G101" s="281">
        <f t="shared" si="42"/>
        <v>0.1</v>
      </c>
      <c r="W101" s="93"/>
      <c r="X101" s="93"/>
      <c r="Y101" s="93"/>
      <c r="Z101" s="93"/>
    </row>
    <row r="102" spans="3:26">
      <c r="C102" s="39" t="s">
        <v>160</v>
      </c>
      <c r="D102" s="279">
        <f>+(1+D100)*(1+D101)-1</f>
        <v>0.16006000000000009</v>
      </c>
      <c r="E102" s="279">
        <f t="shared" si="42"/>
        <v>0.16006000000000009</v>
      </c>
      <c r="F102" s="279">
        <f t="shared" si="42"/>
        <v>0.16006000000000009</v>
      </c>
      <c r="G102" s="281">
        <f t="shared" si="42"/>
        <v>0.16006000000000009</v>
      </c>
      <c r="W102" s="93"/>
      <c r="X102" s="93"/>
      <c r="Y102" s="93"/>
      <c r="Z102" s="93"/>
    </row>
    <row r="103" spans="3:26">
      <c r="C103" s="39" t="s">
        <v>161</v>
      </c>
      <c r="D103" s="284">
        <v>0</v>
      </c>
      <c r="E103" s="278">
        <f>+(D42+E42+D52+E52+D60+E60)/2</f>
        <v>3206507.1000000006</v>
      </c>
      <c r="F103" s="278">
        <f>+(E42+F42+E52+F52+E60+F60)/2</f>
        <v>3758846.0999999996</v>
      </c>
      <c r="G103" s="287">
        <f>+(F42+G42+F52+G52+F60+G60)/2</f>
        <v>4311185.0999999996</v>
      </c>
      <c r="W103" s="93"/>
      <c r="X103" s="93"/>
      <c r="Y103" s="93"/>
      <c r="Z103" s="93"/>
    </row>
    <row r="104" spans="3:26">
      <c r="W104" s="93"/>
      <c r="X104" s="93"/>
      <c r="Y104" s="93"/>
      <c r="Z104" s="93"/>
    </row>
    <row r="105" spans="3:26">
      <c r="D105" s="69"/>
      <c r="E105" s="69"/>
      <c r="F105" s="69"/>
      <c r="G105" s="69"/>
    </row>
    <row r="106" spans="3:26">
      <c r="E106" s="70"/>
      <c r="F106" s="70"/>
      <c r="G106" s="70"/>
    </row>
    <row r="107" spans="3:26">
      <c r="E107" s="66"/>
      <c r="F107" s="66"/>
      <c r="G107" s="66"/>
    </row>
    <row r="108" spans="3:26">
      <c r="E108" s="71"/>
      <c r="F108" s="71"/>
      <c r="G108" s="71"/>
    </row>
  </sheetData>
  <mergeCells count="20">
    <mergeCell ref="W49:W50"/>
    <mergeCell ref="J57:L57"/>
    <mergeCell ref="C94:G95"/>
    <mergeCell ref="H21:L21"/>
    <mergeCell ref="J23:L23"/>
    <mergeCell ref="J33:L33"/>
    <mergeCell ref="H34:H35"/>
    <mergeCell ref="J45:L45"/>
    <mergeCell ref="V49:V50"/>
    <mergeCell ref="V67:V68"/>
    <mergeCell ref="P19:U19"/>
    <mergeCell ref="W19:Z19"/>
    <mergeCell ref="P20:Q20"/>
    <mergeCell ref="R20:S20"/>
    <mergeCell ref="T20:U20"/>
    <mergeCell ref="D5:K5"/>
    <mergeCell ref="B13:N14"/>
    <mergeCell ref="B15:N16"/>
    <mergeCell ref="C19:G19"/>
    <mergeCell ref="H19:L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Proyecciones</vt:lpstr>
      <vt:lpstr>Proyeccion Indicadores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Gonzalo Castellanos</dc:creator>
  <cp:lastModifiedBy>Diego</cp:lastModifiedBy>
  <cp:lastPrinted>2005-05-26T00:59:22Z</cp:lastPrinted>
  <dcterms:created xsi:type="dcterms:W3CDTF">2005-04-11T01:28:53Z</dcterms:created>
  <dcterms:modified xsi:type="dcterms:W3CDTF">2012-07-10T00:04:50Z</dcterms:modified>
</cp:coreProperties>
</file>