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ADA POSADA\Documents\ADA\EAN\SEMESTRE III\TRABAJO DE GRADO\DEFINITIVO\ULTIMA VERSIÓN\"/>
    </mc:Choice>
  </mc:AlternateContent>
  <xr:revisionPtr revIDLastSave="0" documentId="13_ncr:1_{CB9343CE-A107-4BD7-86AC-D3381DA9C45C}" xr6:coauthVersionLast="47" xr6:coauthVersionMax="47" xr10:uidLastSave="{00000000-0000-0000-0000-000000000000}"/>
  <bookViews>
    <workbookView xWindow="-98" yWindow="-98" windowWidth="22695" windowHeight="14476" firstSheet="1" activeTab="4" xr2:uid="{00000000-000D-0000-FFFF-FFFF00000000}"/>
  </bookViews>
  <sheets>
    <sheet name="PRESUPUESTO MAESTRO (2)" sheetId="9" state="hidden" r:id="rId1"/>
    <sheet name="ENTREGABLES" sheetId="22" r:id="rId2"/>
    <sheet name="ACTIVIDADES" sheetId="23" r:id="rId3"/>
    <sheet name="ESTIMACIÓN DE COSTOS" sheetId="13" r:id="rId4"/>
    <sheet name="PRESUPUESTO DEL PROYECTO" sheetId="11" r:id="rId5"/>
    <sheet name="RESUMEN PRESUPUESTO" sheetId="25" state="hidden" r:id="rId6"/>
    <sheet name="RESUMEN PRESUPUESTO." sheetId="26" r:id="rId7"/>
    <sheet name="Hoja3" sheetId="10" state="hidden" r:id="rId8"/>
    <sheet name="Hoja1" sheetId="12" state="hidden" r:id="rId9"/>
    <sheet name="PRESUPUESTO NOMINA PERSONAL con" sheetId="6" state="hidden" r:id="rId10"/>
    <sheet name="PRESUPUESTO MAESTRO contingenci" sheetId="7" state="hidden" r:id="rId11"/>
  </sheets>
  <externalReferences>
    <externalReference r:id="rId12"/>
  </externalReferences>
  <definedNames>
    <definedName name="_xlnm._FilterDatabase" localSheetId="4" hidden="1">'PRESUPUESTO DEL PROYECTO'!$A$5:$P$76</definedName>
    <definedName name="ENTREGABLE">[1]Entregables!$C$5:$C$24</definedName>
    <definedName name="RECURSO_HORAS">'[1]Definición Recursos'!$C$5:$C$34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0" i="26" l="1"/>
  <c r="C9" i="26"/>
  <c r="C8" i="26"/>
  <c r="C7" i="26"/>
  <c r="C6" i="26"/>
  <c r="C5" i="26"/>
  <c r="C4" i="26"/>
  <c r="C10" i="25"/>
  <c r="C9" i="25"/>
  <c r="C8" i="25"/>
  <c r="C7" i="25"/>
  <c r="C6" i="25"/>
  <c r="C5" i="25"/>
  <c r="C4" i="25"/>
  <c r="K64" i="11"/>
  <c r="L64" i="11"/>
  <c r="M64" i="11"/>
  <c r="N64" i="11"/>
  <c r="O64" i="11"/>
  <c r="J64" i="11"/>
  <c r="H44" i="11"/>
  <c r="H45" i="11"/>
  <c r="M72" i="11"/>
  <c r="M69" i="11"/>
  <c r="O72" i="11"/>
  <c r="N72" i="11"/>
  <c r="J70" i="11"/>
  <c r="P70" i="11" s="1"/>
  <c r="C31" i="13"/>
  <c r="C32" i="13" s="1"/>
  <c r="H66" i="11" s="1"/>
  <c r="C40" i="13"/>
  <c r="C41" i="13" s="1"/>
  <c r="H71" i="11" s="1"/>
  <c r="H67" i="11"/>
  <c r="C21" i="13"/>
  <c r="P64" i="11" l="1"/>
  <c r="G11" i="25" l="1"/>
  <c r="J56" i="11" l="1"/>
  <c r="K56" i="11"/>
  <c r="L56" i="11"/>
  <c r="M56" i="11"/>
  <c r="N56" i="11"/>
  <c r="J43" i="11"/>
  <c r="K43" i="11"/>
  <c r="L43" i="11"/>
  <c r="M43" i="11"/>
  <c r="N43" i="11"/>
  <c r="J35" i="11"/>
  <c r="K35" i="11"/>
  <c r="L35" i="11"/>
  <c r="M35" i="11"/>
  <c r="O35" i="11"/>
  <c r="J21" i="11"/>
  <c r="K21" i="11"/>
  <c r="L21" i="11"/>
  <c r="O21" i="11"/>
  <c r="O15" i="11"/>
  <c r="N15" i="11"/>
  <c r="K15" i="11"/>
  <c r="J15" i="11"/>
  <c r="J10" i="11"/>
  <c r="L10" i="11"/>
  <c r="M10" i="11"/>
  <c r="N10" i="11"/>
  <c r="O10" i="11"/>
  <c r="H9" i="11"/>
  <c r="O6" i="11"/>
  <c r="N6" i="11"/>
  <c r="M6" i="11"/>
  <c r="L6" i="11"/>
  <c r="K6" i="11"/>
  <c r="E8" i="13"/>
  <c r="I60" i="11" l="1"/>
  <c r="I45" i="11"/>
  <c r="O45" i="11" s="1"/>
  <c r="P45" i="11" s="1"/>
  <c r="H32" i="11"/>
  <c r="H24" i="11"/>
  <c r="H14" i="11"/>
  <c r="H54" i="11"/>
  <c r="H46" i="11"/>
  <c r="H37" i="11"/>
  <c r="H19" i="11"/>
  <c r="J63" i="11"/>
  <c r="M63" i="11"/>
  <c r="E21" i="11"/>
  <c r="N63" i="11"/>
  <c r="H29" i="11"/>
  <c r="H20" i="11"/>
  <c r="K63" i="11"/>
  <c r="J65" i="11"/>
  <c r="N65" i="11"/>
  <c r="H25" i="11"/>
  <c r="L63" i="11"/>
  <c r="G21" i="11"/>
  <c r="O63" i="11"/>
  <c r="O65" i="11"/>
  <c r="G43" i="11"/>
  <c r="G10" i="11"/>
  <c r="H33" i="11"/>
  <c r="H60" i="11"/>
  <c r="H58" i="11"/>
  <c r="H49" i="11"/>
  <c r="H40" i="11"/>
  <c r="H31" i="11"/>
  <c r="H23" i="11"/>
  <c r="H13" i="11"/>
  <c r="H12" i="11"/>
  <c r="H57" i="11"/>
  <c r="H52" i="11"/>
  <c r="H34" i="11"/>
  <c r="H26" i="11"/>
  <c r="H17" i="11"/>
  <c r="H55" i="11"/>
  <c r="H47" i="11"/>
  <c r="H38" i="11"/>
  <c r="H53" i="11"/>
  <c r="H36" i="11"/>
  <c r="H27" i="11"/>
  <c r="G56" i="11"/>
  <c r="F21" i="11"/>
  <c r="E56" i="11"/>
  <c r="G15" i="11"/>
  <c r="H11" i="11"/>
  <c r="F15" i="11"/>
  <c r="H28" i="11"/>
  <c r="G6" i="11"/>
  <c r="E35" i="11"/>
  <c r="H18" i="11"/>
  <c r="E43" i="11"/>
  <c r="G35" i="11"/>
  <c r="H16" i="11"/>
  <c r="F35" i="11"/>
  <c r="I8" i="11"/>
  <c r="I28" i="11"/>
  <c r="I37" i="11"/>
  <c r="I25" i="11"/>
  <c r="I52" i="11"/>
  <c r="I58" i="11"/>
  <c r="F10" i="11"/>
  <c r="H48" i="11"/>
  <c r="H39" i="11"/>
  <c r="H30" i="11"/>
  <c r="H22" i="11"/>
  <c r="F43" i="11"/>
  <c r="H51" i="11"/>
  <c r="H42" i="11"/>
  <c r="H59" i="11"/>
  <c r="H50" i="11"/>
  <c r="H41" i="11"/>
  <c r="H61" i="11"/>
  <c r="E10" i="11"/>
  <c r="E15" i="11"/>
  <c r="F56" i="11"/>
  <c r="E6" i="11"/>
  <c r="F6" i="11"/>
  <c r="H8" i="11"/>
  <c r="H7" i="11"/>
  <c r="O60" i="11" l="1"/>
  <c r="P60" i="11" s="1"/>
  <c r="N37" i="11"/>
  <c r="P37" i="11" s="1"/>
  <c r="M25" i="11"/>
  <c r="P25" i="11" s="1"/>
  <c r="M66" i="11"/>
  <c r="M71" i="11"/>
  <c r="M67" i="11"/>
  <c r="M62" i="11" s="1"/>
  <c r="H10" i="11"/>
  <c r="K66" i="11" s="1"/>
  <c r="P63" i="11"/>
  <c r="P65" i="11"/>
  <c r="O58" i="11"/>
  <c r="P58" i="11" s="1"/>
  <c r="L66" i="11"/>
  <c r="H15" i="11"/>
  <c r="O52" i="11"/>
  <c r="P52" i="11" s="1"/>
  <c r="H56" i="11"/>
  <c r="J8" i="11"/>
  <c r="P8" i="11" s="1"/>
  <c r="H35" i="11"/>
  <c r="N67" i="11" s="1"/>
  <c r="L67" i="11"/>
  <c r="L71" i="11"/>
  <c r="N28" i="11"/>
  <c r="P28" i="11" s="1"/>
  <c r="H43" i="11"/>
  <c r="H21" i="11"/>
  <c r="H6" i="11"/>
  <c r="J66" i="11" s="1"/>
  <c r="N66" i="11" l="1"/>
  <c r="N62" i="11" s="1"/>
  <c r="K71" i="11"/>
  <c r="K67" i="11"/>
  <c r="K62" i="11" s="1"/>
  <c r="O66" i="11"/>
  <c r="L62" i="11"/>
  <c r="J67" i="11"/>
  <c r="J71" i="11"/>
  <c r="O67" i="11"/>
  <c r="O71" i="11"/>
  <c r="N71" i="11"/>
  <c r="P66" i="11" l="1"/>
  <c r="P71" i="11"/>
  <c r="P67" i="11"/>
  <c r="O62" i="11"/>
  <c r="J62" i="11"/>
  <c r="E15" i="13" l="1"/>
  <c r="E14" i="13"/>
  <c r="E13" i="13"/>
  <c r="E12" i="13"/>
  <c r="E11" i="13"/>
  <c r="E10" i="13"/>
  <c r="E9" i="13"/>
  <c r="E7" i="13"/>
  <c r="I19" i="11" s="1"/>
  <c r="M19" i="11" s="1"/>
  <c r="P19" i="11" s="1"/>
  <c r="E6" i="13"/>
  <c r="I44" i="11" s="1"/>
  <c r="O44" i="11" s="1"/>
  <c r="P44" i="11" s="1"/>
  <c r="I50" i="11" l="1"/>
  <c r="O50" i="11" s="1"/>
  <c r="P50" i="11" s="1"/>
  <c r="I54" i="11"/>
  <c r="O54" i="11" s="1"/>
  <c r="P54" i="11" s="1"/>
  <c r="I51" i="11"/>
  <c r="O51" i="11" s="1"/>
  <c r="P51" i="11" s="1"/>
  <c r="I48" i="11"/>
  <c r="O48" i="11" s="1"/>
  <c r="P48" i="11" s="1"/>
  <c r="I18" i="11"/>
  <c r="M18" i="11" s="1"/>
  <c r="I13" i="11"/>
  <c r="K13" i="11" s="1"/>
  <c r="P13" i="11" s="1"/>
  <c r="I49" i="11"/>
  <c r="O49" i="11" s="1"/>
  <c r="P49" i="11" s="1"/>
  <c r="I16" i="11"/>
  <c r="I32" i="11"/>
  <c r="N32" i="11" s="1"/>
  <c r="P32" i="11" s="1"/>
  <c r="I29" i="11"/>
  <c r="N29" i="11" s="1"/>
  <c r="I26" i="11"/>
  <c r="M26" i="11" s="1"/>
  <c r="P26" i="11" s="1"/>
  <c r="I24" i="11"/>
  <c r="M24" i="11" s="1"/>
  <c r="P24" i="11" s="1"/>
  <c r="I17" i="11"/>
  <c r="L17" i="11" s="1"/>
  <c r="P17" i="11" s="1"/>
  <c r="I36" i="11"/>
  <c r="I34" i="11"/>
  <c r="N34" i="11" s="1"/>
  <c r="P34" i="11" s="1"/>
  <c r="I22" i="11"/>
  <c r="I59" i="11"/>
  <c r="O59" i="11" s="1"/>
  <c r="P59" i="11" s="1"/>
  <c r="I12" i="11"/>
  <c r="K12" i="11" s="1"/>
  <c r="P12" i="11" s="1"/>
  <c r="I57" i="11"/>
  <c r="I11" i="11"/>
  <c r="I46" i="11"/>
  <c r="O46" i="11" s="1"/>
  <c r="P46" i="11" s="1"/>
  <c r="I7" i="11"/>
  <c r="J7" i="11" s="1"/>
  <c r="I42" i="11"/>
  <c r="N42" i="11" s="1"/>
  <c r="P42" i="11" s="1"/>
  <c r="I41" i="11"/>
  <c r="N41" i="11" s="1"/>
  <c r="P41" i="11" s="1"/>
  <c r="I23" i="11"/>
  <c r="M23" i="11" s="1"/>
  <c r="P23" i="11" s="1"/>
  <c r="I33" i="11"/>
  <c r="N33" i="11" s="1"/>
  <c r="P33" i="11" s="1"/>
  <c r="I30" i="11"/>
  <c r="N30" i="11" s="1"/>
  <c r="P30" i="11" s="1"/>
  <c r="I27" i="11"/>
  <c r="M27" i="11" s="1"/>
  <c r="P27" i="11" s="1"/>
  <c r="I20" i="11"/>
  <c r="M20" i="11" s="1"/>
  <c r="P20" i="11" s="1"/>
  <c r="I39" i="11"/>
  <c r="N39" i="11" s="1"/>
  <c r="P39" i="11" s="1"/>
  <c r="I14" i="11"/>
  <c r="K14" i="11" s="1"/>
  <c r="P14" i="11" s="1"/>
  <c r="I9" i="11"/>
  <c r="I61" i="11"/>
  <c r="O61" i="11" s="1"/>
  <c r="P61" i="11" s="1"/>
  <c r="I31" i="11"/>
  <c r="N31" i="11" s="1"/>
  <c r="P31" i="11" s="1"/>
  <c r="I55" i="11"/>
  <c r="O55" i="11" s="1"/>
  <c r="P55" i="11" s="1"/>
  <c r="I53" i="11"/>
  <c r="O53" i="11" s="1"/>
  <c r="P53" i="11" s="1"/>
  <c r="I47" i="11"/>
  <c r="O47" i="11" s="1"/>
  <c r="P47" i="11" s="1"/>
  <c r="I40" i="11"/>
  <c r="N40" i="11" s="1"/>
  <c r="P40" i="11" s="1"/>
  <c r="I38" i="11"/>
  <c r="N38" i="11" s="1"/>
  <c r="P38" i="11" s="1"/>
  <c r="L36" i="9"/>
  <c r="L38" i="9"/>
  <c r="J37" i="9"/>
  <c r="K37" i="9"/>
  <c r="E37" i="9"/>
  <c r="H37" i="9" s="1"/>
  <c r="L72" i="11"/>
  <c r="K72" i="11"/>
  <c r="J72" i="11"/>
  <c r="I40" i="9"/>
  <c r="J40" i="9"/>
  <c r="K40" i="9"/>
  <c r="H40" i="9"/>
  <c r="G27" i="9"/>
  <c r="J33" i="9"/>
  <c r="H33" i="9"/>
  <c r="P62" i="11"/>
  <c r="L9" i="9"/>
  <c r="L13" i="9"/>
  <c r="L17" i="9"/>
  <c r="L22" i="9"/>
  <c r="L26" i="9"/>
  <c r="L32" i="9"/>
  <c r="L34" i="9"/>
  <c r="K39" i="9"/>
  <c r="J39" i="9"/>
  <c r="I39" i="9"/>
  <c r="H39" i="9"/>
  <c r="K35" i="9"/>
  <c r="J35" i="9"/>
  <c r="H35" i="9"/>
  <c r="K33" i="9"/>
  <c r="I33" i="9"/>
  <c r="G31" i="9"/>
  <c r="F31" i="9"/>
  <c r="G30" i="9"/>
  <c r="F30" i="9"/>
  <c r="G29" i="9"/>
  <c r="F29" i="9"/>
  <c r="G28" i="9"/>
  <c r="F28" i="9"/>
  <c r="F27" i="9"/>
  <c r="G25" i="9"/>
  <c r="F25" i="9"/>
  <c r="G24" i="9"/>
  <c r="F24" i="9"/>
  <c r="G23" i="9"/>
  <c r="F23" i="9"/>
  <c r="G21" i="9"/>
  <c r="F21" i="9"/>
  <c r="G20" i="9"/>
  <c r="F20" i="9"/>
  <c r="G19" i="9"/>
  <c r="F19" i="9"/>
  <c r="G18" i="9"/>
  <c r="F18" i="9"/>
  <c r="G16" i="9"/>
  <c r="F16" i="9"/>
  <c r="G15" i="9"/>
  <c r="F15" i="9"/>
  <c r="G14" i="9"/>
  <c r="F14" i="9"/>
  <c r="G12" i="9"/>
  <c r="F12" i="9"/>
  <c r="G11" i="9"/>
  <c r="F11" i="9"/>
  <c r="G10" i="9"/>
  <c r="F10" i="9"/>
  <c r="G8" i="9"/>
  <c r="F8" i="9"/>
  <c r="G7" i="9"/>
  <c r="F7" i="9"/>
  <c r="G6" i="9"/>
  <c r="F6" i="9"/>
  <c r="J17" i="10"/>
  <c r="J21" i="10"/>
  <c r="K21" i="10" s="1"/>
  <c r="J7" i="10"/>
  <c r="J22" i="10"/>
  <c r="J20" i="10"/>
  <c r="J19" i="10"/>
  <c r="J18" i="10"/>
  <c r="I22" i="10"/>
  <c r="K22" i="10" s="1"/>
  <c r="I21" i="10"/>
  <c r="I20" i="10"/>
  <c r="K20" i="10" s="1"/>
  <c r="I19" i="10"/>
  <c r="K19" i="10" s="1"/>
  <c r="I18" i="10"/>
  <c r="K18" i="10" s="1"/>
  <c r="J14" i="10"/>
  <c r="I17" i="10"/>
  <c r="J16" i="10"/>
  <c r="I16" i="10"/>
  <c r="J15" i="10"/>
  <c r="I15" i="10"/>
  <c r="I14" i="10"/>
  <c r="J13" i="10"/>
  <c r="J12" i="10"/>
  <c r="J11" i="10"/>
  <c r="I13" i="10"/>
  <c r="I12" i="10"/>
  <c r="I11" i="10"/>
  <c r="I10" i="10"/>
  <c r="I9" i="10"/>
  <c r="I8" i="10"/>
  <c r="I7" i="10"/>
  <c r="I6" i="10"/>
  <c r="I5" i="10"/>
  <c r="J8" i="10"/>
  <c r="J6" i="10"/>
  <c r="J5" i="10"/>
  <c r="J10" i="10"/>
  <c r="J9" i="10"/>
  <c r="D18" i="26" l="1"/>
  <c r="D18" i="25"/>
  <c r="P72" i="11"/>
  <c r="K69" i="11"/>
  <c r="K68" i="11" s="1"/>
  <c r="N69" i="11"/>
  <c r="N68" i="11" s="1"/>
  <c r="O69" i="11"/>
  <c r="O68" i="11" s="1"/>
  <c r="J69" i="11"/>
  <c r="I6" i="11"/>
  <c r="J9" i="11"/>
  <c r="P9" i="11" s="1"/>
  <c r="I21" i="11"/>
  <c r="M22" i="11"/>
  <c r="I15" i="11"/>
  <c r="L16" i="11"/>
  <c r="P7" i="11"/>
  <c r="I35" i="11"/>
  <c r="N36" i="11"/>
  <c r="P18" i="11"/>
  <c r="M15" i="11"/>
  <c r="I10" i="11"/>
  <c r="K11" i="11"/>
  <c r="I56" i="11"/>
  <c r="O57" i="11"/>
  <c r="I43" i="11"/>
  <c r="P29" i="11"/>
  <c r="N21" i="11"/>
  <c r="M68" i="11"/>
  <c r="L69" i="11"/>
  <c r="L68" i="11" s="1"/>
  <c r="I37" i="9"/>
  <c r="L37" i="9" s="1"/>
  <c r="L40" i="9"/>
  <c r="L35" i="9"/>
  <c r="L33" i="9"/>
  <c r="L39" i="9"/>
  <c r="K27" i="9"/>
  <c r="L27" i="9" s="1"/>
  <c r="K29" i="9"/>
  <c r="L29" i="9" s="1"/>
  <c r="K30" i="9"/>
  <c r="L30" i="9" s="1"/>
  <c r="K28" i="9"/>
  <c r="L28" i="9" s="1"/>
  <c r="K25" i="9"/>
  <c r="L25" i="9" s="1"/>
  <c r="K31" i="9"/>
  <c r="L31" i="9" s="1"/>
  <c r="K23" i="9"/>
  <c r="L23" i="9" s="1"/>
  <c r="J19" i="9"/>
  <c r="L19" i="9" s="1"/>
  <c r="J21" i="9"/>
  <c r="L21" i="9" s="1"/>
  <c r="J18" i="9"/>
  <c r="L18" i="9" s="1"/>
  <c r="K24" i="9"/>
  <c r="L24" i="9" s="1"/>
  <c r="J20" i="9"/>
  <c r="L20" i="9" s="1"/>
  <c r="H7" i="9"/>
  <c r="L7" i="9" s="1"/>
  <c r="I10" i="9"/>
  <c r="L10" i="9" s="1"/>
  <c r="J14" i="9"/>
  <c r="L14" i="9" s="1"/>
  <c r="J15" i="9"/>
  <c r="L15" i="9" s="1"/>
  <c r="I12" i="9"/>
  <c r="L12" i="9" s="1"/>
  <c r="I11" i="9"/>
  <c r="L11" i="9" s="1"/>
  <c r="J16" i="9"/>
  <c r="L16" i="9" s="1"/>
  <c r="H8" i="9"/>
  <c r="L8" i="9" s="1"/>
  <c r="H6" i="9"/>
  <c r="H41" i="9" s="1"/>
  <c r="K17" i="10"/>
  <c r="K15" i="10"/>
  <c r="K14" i="10"/>
  <c r="K13" i="10"/>
  <c r="K16" i="10"/>
  <c r="K12" i="10"/>
  <c r="K7" i="10"/>
  <c r="K23" i="10" s="1"/>
  <c r="K11" i="10"/>
  <c r="K8" i="10"/>
  <c r="K6" i="10"/>
  <c r="K10" i="10"/>
  <c r="K9" i="10"/>
  <c r="K5" i="10"/>
  <c r="E10" i="26" l="1"/>
  <c r="E9" i="26"/>
  <c r="E8" i="25"/>
  <c r="E8" i="26"/>
  <c r="E5" i="26"/>
  <c r="E5" i="25"/>
  <c r="E6" i="25"/>
  <c r="E6" i="26"/>
  <c r="E7" i="25"/>
  <c r="E7" i="26"/>
  <c r="E10" i="25"/>
  <c r="E9" i="25"/>
  <c r="P69" i="11"/>
  <c r="P68" i="11" s="1"/>
  <c r="J68" i="11"/>
  <c r="J6" i="11"/>
  <c r="P6" i="11"/>
  <c r="P57" i="11"/>
  <c r="P56" i="11" s="1"/>
  <c r="O56" i="11"/>
  <c r="L15" i="11"/>
  <c r="L73" i="11" s="1"/>
  <c r="P16" i="11"/>
  <c r="P15" i="11" s="1"/>
  <c r="P22" i="11"/>
  <c r="P21" i="11" s="1"/>
  <c r="M21" i="11"/>
  <c r="M73" i="11" s="1"/>
  <c r="P36" i="11"/>
  <c r="P35" i="11" s="1"/>
  <c r="N35" i="11"/>
  <c r="N73" i="11" s="1"/>
  <c r="P11" i="11"/>
  <c r="P10" i="11" s="1"/>
  <c r="K10" i="11"/>
  <c r="K73" i="11" s="1"/>
  <c r="P43" i="11"/>
  <c r="O43" i="11"/>
  <c r="K41" i="9"/>
  <c r="J41" i="9"/>
  <c r="I41" i="9"/>
  <c r="L6" i="9"/>
  <c r="L41" i="9" s="1"/>
  <c r="D8" i="25" l="1"/>
  <c r="F8" i="25" s="1"/>
  <c r="H8" i="25" s="1"/>
  <c r="D8" i="26"/>
  <c r="F8" i="26" s="1"/>
  <c r="E4" i="25"/>
  <c r="E11" i="25" s="1"/>
  <c r="E4" i="26"/>
  <c r="E11" i="26" s="1"/>
  <c r="D7" i="25"/>
  <c r="F7" i="25" s="1"/>
  <c r="H7" i="25" s="1"/>
  <c r="D7" i="26"/>
  <c r="F7" i="26" s="1"/>
  <c r="D4" i="25"/>
  <c r="D4" i="26"/>
  <c r="D9" i="25"/>
  <c r="F9" i="25" s="1"/>
  <c r="I9" i="25" s="1"/>
  <c r="D9" i="26"/>
  <c r="F9" i="26" s="1"/>
  <c r="D19" i="26"/>
  <c r="D19" i="25"/>
  <c r="D6" i="25"/>
  <c r="F6" i="25" s="1"/>
  <c r="H6" i="25" s="1"/>
  <c r="D6" i="26"/>
  <c r="F6" i="26" s="1"/>
  <c r="D5" i="25"/>
  <c r="F5" i="25" s="1"/>
  <c r="I5" i="25" s="1"/>
  <c r="D5" i="26"/>
  <c r="F5" i="26" s="1"/>
  <c r="D10" i="25"/>
  <c r="F10" i="25" s="1"/>
  <c r="H10" i="25" s="1"/>
  <c r="D10" i="26"/>
  <c r="F10" i="26" s="1"/>
  <c r="J73" i="11"/>
  <c r="O73" i="11"/>
  <c r="P73" i="11"/>
  <c r="L43" i="9"/>
  <c r="L42" i="9"/>
  <c r="L44" i="9" s="1"/>
  <c r="H5" i="25" l="1"/>
  <c r="I6" i="25"/>
  <c r="F4" i="26"/>
  <c r="F11" i="26" s="1"/>
  <c r="D11" i="26"/>
  <c r="D17" i="26" s="1"/>
  <c r="I7" i="25"/>
  <c r="F4" i="25"/>
  <c r="D11" i="25"/>
  <c r="D17" i="25" s="1"/>
  <c r="I10" i="25"/>
  <c r="I8" i="25"/>
  <c r="H9" i="25"/>
  <c r="P74" i="11"/>
  <c r="P75" i="11"/>
  <c r="N14" i="6"/>
  <c r="E82" i="7"/>
  <c r="I71" i="7"/>
  <c r="A69" i="7"/>
  <c r="A68" i="7"/>
  <c r="A67" i="7"/>
  <c r="A66" i="7"/>
  <c r="C50" i="7"/>
  <c r="B50" i="7"/>
  <c r="F50" i="7" s="1"/>
  <c r="C49" i="7"/>
  <c r="B49" i="7"/>
  <c r="F49" i="7" s="1"/>
  <c r="C48" i="7"/>
  <c r="B48" i="7"/>
  <c r="G48" i="7" s="1"/>
  <c r="C47" i="7"/>
  <c r="B47" i="7"/>
  <c r="F47" i="7" s="1"/>
  <c r="C46" i="7"/>
  <c r="B46" i="7"/>
  <c r="G46" i="7" s="1"/>
  <c r="C45" i="7"/>
  <c r="B45" i="7"/>
  <c r="F45" i="7" s="1"/>
  <c r="C44" i="7"/>
  <c r="N37" i="7"/>
  <c r="C37" i="7"/>
  <c r="B37" i="7"/>
  <c r="F37" i="7" s="1"/>
  <c r="C36" i="7"/>
  <c r="B36" i="7"/>
  <c r="F36" i="7" s="1"/>
  <c r="F35" i="7"/>
  <c r="G35" i="7" s="1"/>
  <c r="C35" i="7"/>
  <c r="B35" i="7"/>
  <c r="C34" i="7"/>
  <c r="B34" i="7"/>
  <c r="F34" i="7" s="1"/>
  <c r="C33" i="7"/>
  <c r="B33" i="7"/>
  <c r="F33" i="7" s="1"/>
  <c r="G33" i="7" s="1"/>
  <c r="C32" i="7"/>
  <c r="B32" i="7"/>
  <c r="G32" i="7" s="1"/>
  <c r="C31" i="7"/>
  <c r="B31" i="7"/>
  <c r="F31" i="7" s="1"/>
  <c r="C30" i="7"/>
  <c r="B30" i="7"/>
  <c r="F30" i="7" s="1"/>
  <c r="C29" i="7"/>
  <c r="B29" i="7"/>
  <c r="F29" i="7" s="1"/>
  <c r="F22" i="7"/>
  <c r="G22" i="7" s="1"/>
  <c r="H22" i="7" s="1"/>
  <c r="F21" i="7"/>
  <c r="G21" i="7" s="1"/>
  <c r="H21" i="7" s="1"/>
  <c r="F20" i="7"/>
  <c r="F19" i="7"/>
  <c r="G19" i="7" s="1"/>
  <c r="F18" i="7"/>
  <c r="F17" i="7"/>
  <c r="F16" i="7"/>
  <c r="F15" i="7"/>
  <c r="N14" i="7"/>
  <c r="B14" i="7"/>
  <c r="F14" i="7" s="1"/>
  <c r="B13" i="7"/>
  <c r="F13" i="7" s="1"/>
  <c r="B12" i="7"/>
  <c r="F12" i="7" s="1"/>
  <c r="N11" i="7"/>
  <c r="B11" i="7"/>
  <c r="F11" i="7" s="1"/>
  <c r="N10" i="7"/>
  <c r="B10" i="7"/>
  <c r="F10" i="7" s="1"/>
  <c r="P76" i="11" l="1"/>
  <c r="H4" i="25"/>
  <c r="I4" i="25"/>
  <c r="D20" i="26"/>
  <c r="D20" i="25"/>
  <c r="D21" i="25" s="1"/>
  <c r="H11" i="25"/>
  <c r="D21" i="26"/>
  <c r="F11" i="25"/>
  <c r="I11" i="25" s="1"/>
  <c r="I21" i="7"/>
  <c r="G37" i="7"/>
  <c r="H37" i="7" s="1"/>
  <c r="I37" i="7"/>
  <c r="L37" i="7"/>
  <c r="M37" i="7" s="1"/>
  <c r="G31" i="7"/>
  <c r="H31" i="7" s="1"/>
  <c r="G49" i="7"/>
  <c r="H49" i="7" s="1"/>
  <c r="I49" i="7" s="1"/>
  <c r="L10" i="7"/>
  <c r="M10" i="7" s="1"/>
  <c r="O10" i="7" s="1"/>
  <c r="G10" i="7"/>
  <c r="F23" i="7"/>
  <c r="H32" i="7"/>
  <c r="I32" i="7" s="1"/>
  <c r="G12" i="7"/>
  <c r="H12" i="7" s="1"/>
  <c r="G30" i="7"/>
  <c r="H19" i="7"/>
  <c r="I19" i="7" s="1"/>
  <c r="H33" i="7"/>
  <c r="I33" i="7"/>
  <c r="H35" i="7"/>
  <c r="I35" i="7" s="1"/>
  <c r="G11" i="7"/>
  <c r="H11" i="7" s="1"/>
  <c r="L11" i="7"/>
  <c r="M11" i="7" s="1"/>
  <c r="G13" i="7"/>
  <c r="H13" i="7" s="1"/>
  <c r="L14" i="7"/>
  <c r="M14" i="7" s="1"/>
  <c r="G14" i="7"/>
  <c r="H14" i="7" s="1"/>
  <c r="G34" i="7"/>
  <c r="H34" i="7" s="1"/>
  <c r="G45" i="7"/>
  <c r="H45" i="7" s="1"/>
  <c r="G47" i="7"/>
  <c r="H47" i="7" s="1"/>
  <c r="L36" i="7"/>
  <c r="G36" i="7"/>
  <c r="H36" i="7" s="1"/>
  <c r="I36" i="7"/>
  <c r="F38" i="7"/>
  <c r="H46" i="7"/>
  <c r="I46" i="7" s="1"/>
  <c r="G50" i="7"/>
  <c r="H50" i="7" s="1"/>
  <c r="I29" i="7"/>
  <c r="G17" i="7"/>
  <c r="H17" i="7" s="1"/>
  <c r="H48" i="7"/>
  <c r="I48" i="7" s="1"/>
  <c r="I22" i="7"/>
  <c r="G18" i="7"/>
  <c r="H18" i="7" s="1"/>
  <c r="G16" i="7"/>
  <c r="H16" i="7" s="1"/>
  <c r="G20" i="7"/>
  <c r="H20" i="7" s="1"/>
  <c r="G15" i="7"/>
  <c r="H15" i="7" s="1"/>
  <c r="I20" i="7" l="1"/>
  <c r="I47" i="7"/>
  <c r="I17" i="7"/>
  <c r="I13" i="7"/>
  <c r="I15" i="7"/>
  <c r="I45" i="7"/>
  <c r="I12" i="7"/>
  <c r="O14" i="7"/>
  <c r="P14" i="7"/>
  <c r="Q14" i="7" s="1"/>
  <c r="F67" i="7"/>
  <c r="I67" i="7" s="1"/>
  <c r="I50" i="7"/>
  <c r="I14" i="7"/>
  <c r="F66" i="7"/>
  <c r="I31" i="7"/>
  <c r="I34" i="7"/>
  <c r="I18" i="7"/>
  <c r="G23" i="7"/>
  <c r="G66" i="7" s="1"/>
  <c r="H10" i="7"/>
  <c r="I16" i="7"/>
  <c r="O37" i="7"/>
  <c r="P37" i="7"/>
  <c r="Q37" i="7" s="1"/>
  <c r="N36" i="7"/>
  <c r="M36" i="7"/>
  <c r="O36" i="7" s="1"/>
  <c r="I11" i="7"/>
  <c r="H30" i="7"/>
  <c r="H38" i="7" s="1"/>
  <c r="H67" i="7" s="1"/>
  <c r="G38" i="7"/>
  <c r="G67" i="7" s="1"/>
  <c r="O11" i="7"/>
  <c r="P11" i="7"/>
  <c r="Q11" i="7" s="1"/>
  <c r="I38" i="7" l="1"/>
  <c r="P10" i="7"/>
  <c r="Q10" i="7" s="1"/>
  <c r="H23" i="7"/>
  <c r="I10" i="7"/>
  <c r="P36" i="7"/>
  <c r="Q36" i="7" s="1"/>
  <c r="I30" i="7"/>
  <c r="H66" i="7" l="1"/>
  <c r="I23" i="7"/>
  <c r="J10" i="7" s="1"/>
  <c r="I66" i="7" l="1"/>
  <c r="J21" i="7"/>
  <c r="J20" i="7"/>
  <c r="J19" i="7"/>
  <c r="J17" i="7"/>
  <c r="J22" i="7"/>
  <c r="J13" i="7"/>
  <c r="J15" i="7"/>
  <c r="J14" i="7"/>
  <c r="J12" i="7"/>
  <c r="J16" i="7"/>
  <c r="J18" i="7"/>
  <c r="J11" i="7"/>
  <c r="J23" i="7" l="1"/>
  <c r="B47" i="6" l="1"/>
  <c r="B48" i="6" s="1"/>
  <c r="B44" i="6"/>
  <c r="B45" i="6" s="1"/>
  <c r="B46" i="6" s="1"/>
  <c r="L14" i="6"/>
  <c r="L15" i="6" s="1"/>
  <c r="K14" i="6"/>
  <c r="G14" i="6"/>
  <c r="C14" i="6"/>
  <c r="G13" i="6"/>
  <c r="E13" i="6"/>
  <c r="H13" i="6" s="1"/>
  <c r="G12" i="6"/>
  <c r="E12" i="6"/>
  <c r="H12" i="6" s="1"/>
  <c r="G11" i="6"/>
  <c r="E11" i="6"/>
  <c r="H11" i="6" s="1"/>
  <c r="G10" i="6"/>
  <c r="E10" i="6"/>
  <c r="L9" i="6"/>
  <c r="K9" i="6"/>
  <c r="K15" i="6" s="1"/>
  <c r="F9" i="6"/>
  <c r="C9" i="6"/>
  <c r="G8" i="6"/>
  <c r="G9" i="6" s="1"/>
  <c r="E8" i="6"/>
  <c r="H8" i="6" s="1"/>
  <c r="H7" i="6"/>
  <c r="E7" i="6"/>
  <c r="E6" i="6"/>
  <c r="H6" i="6" s="1"/>
  <c r="H5" i="6"/>
  <c r="E5" i="6"/>
  <c r="E9" i="6" l="1"/>
  <c r="C15" i="6"/>
  <c r="E14" i="6"/>
  <c r="E15" i="6" s="1"/>
  <c r="J12" i="6"/>
  <c r="I12" i="6"/>
  <c r="M12" i="6" s="1"/>
  <c r="N12" i="6" s="1"/>
  <c r="G15" i="6"/>
  <c r="I6" i="6"/>
  <c r="J6" i="6"/>
  <c r="J8" i="6"/>
  <c r="I8" i="6"/>
  <c r="M8" i="6" s="1"/>
  <c r="N8" i="6"/>
  <c r="H10" i="6"/>
  <c r="J13" i="6"/>
  <c r="I13" i="6"/>
  <c r="M13" i="6" s="1"/>
  <c r="N13" i="6" s="1"/>
  <c r="H9" i="6"/>
  <c r="I11" i="6"/>
  <c r="J11" i="6"/>
  <c r="F10" i="6"/>
  <c r="F14" i="6" s="1"/>
  <c r="F15" i="6" s="1"/>
  <c r="I5" i="6"/>
  <c r="I7" i="6"/>
  <c r="J5" i="6"/>
  <c r="J7" i="6"/>
  <c r="J9" i="6" l="1"/>
  <c r="M6" i="6"/>
  <c r="N6" i="6" s="1"/>
  <c r="M11" i="6"/>
  <c r="N11" i="6" s="1"/>
  <c r="J10" i="6"/>
  <c r="J14" i="6" s="1"/>
  <c r="J15" i="6" s="1"/>
  <c r="I10" i="6"/>
  <c r="H14" i="6"/>
  <c r="H15" i="6" s="1"/>
  <c r="M5" i="6"/>
  <c r="I9" i="6"/>
  <c r="M7" i="6"/>
  <c r="N7" i="6" s="1"/>
  <c r="F21" i="6" l="1"/>
  <c r="C24" i="6"/>
  <c r="C23" i="6"/>
  <c r="F19" i="6"/>
  <c r="F22" i="6"/>
  <c r="C22" i="6"/>
  <c r="C25" i="6" s="1"/>
  <c r="M10" i="6"/>
  <c r="I14" i="6"/>
  <c r="I15" i="6" s="1"/>
  <c r="M9" i="6"/>
  <c r="N5" i="6"/>
  <c r="N9" i="6" s="1"/>
  <c r="F20" i="6" l="1"/>
  <c r="F25" i="6" s="1"/>
  <c r="D26" i="6" s="1"/>
  <c r="M14" i="6"/>
  <c r="M15" i="6" s="1"/>
  <c r="N10" i="6"/>
  <c r="N15" i="6" s="1"/>
  <c r="L58" i="7" l="1"/>
  <c r="N58" i="7" l="1"/>
  <c r="M58" i="7"/>
  <c r="T78" i="7"/>
  <c r="B44" i="7"/>
  <c r="F44" i="7" s="1"/>
  <c r="O58" i="7" l="1"/>
  <c r="T79" i="7"/>
  <c r="T80" i="7"/>
  <c r="P58" i="7"/>
  <c r="T82" i="7" s="1"/>
  <c r="F53" i="7"/>
  <c r="T89" i="7" s="1"/>
  <c r="G44" i="7"/>
  <c r="F51" i="7"/>
  <c r="L44" i="7"/>
  <c r="T58" i="7" l="1"/>
  <c r="T81" i="7"/>
  <c r="L62" i="7"/>
  <c r="M44" i="7"/>
  <c r="S56" i="7"/>
  <c r="N44" i="7"/>
  <c r="H44" i="7"/>
  <c r="G51" i="7"/>
  <c r="G68" i="7" s="1"/>
  <c r="G73" i="7" s="1"/>
  <c r="F68" i="7"/>
  <c r="T59" i="7" l="1"/>
  <c r="T85" i="7"/>
  <c r="T86" i="7" s="1"/>
  <c r="N53" i="7"/>
  <c r="T91" i="7" s="1"/>
  <c r="P44" i="7"/>
  <c r="Q44" i="7" s="1"/>
  <c r="N62" i="7"/>
  <c r="F73" i="7"/>
  <c r="H51" i="7"/>
  <c r="I44" i="7"/>
  <c r="O44" i="7"/>
  <c r="M53" i="7"/>
  <c r="T90" i="7" s="1"/>
  <c r="M62" i="7"/>
  <c r="O53" i="7" l="1"/>
  <c r="T92" i="7" s="1"/>
  <c r="T56" i="7"/>
  <c r="O62" i="7"/>
  <c r="H68" i="7"/>
  <c r="I51" i="7"/>
  <c r="Q53" i="7"/>
  <c r="Q62" i="7"/>
  <c r="P62" i="7" s="1"/>
  <c r="Q58" i="7"/>
  <c r="T83" i="7" s="1"/>
  <c r="V56" i="7"/>
  <c r="U56" i="7" s="1"/>
  <c r="O66" i="7" l="1"/>
  <c r="O67" i="7" s="1"/>
  <c r="O68" i="7" s="1"/>
  <c r="H73" i="7"/>
  <c r="I73" i="7" s="1"/>
  <c r="I68" i="7"/>
  <c r="T94" i="7"/>
  <c r="P53" i="7"/>
  <c r="T93" i="7" s="1"/>
  <c r="T96" i="7" s="1"/>
  <c r="T97" i="7" s="1"/>
  <c r="T98" i="7" s="1"/>
  <c r="W58" i="7"/>
  <c r="W59" i="7" s="1"/>
  <c r="W60" i="7" s="1"/>
  <c r="F59" i="7" l="1"/>
  <c r="F58" i="7" l="1"/>
  <c r="F60" i="7" s="1"/>
  <c r="F69" i="7" s="1"/>
  <c r="F70" i="7" l="1"/>
  <c r="G59" i="7" l="1"/>
  <c r="F72" i="7"/>
  <c r="F74" i="7" s="1"/>
  <c r="G58" i="7" l="1"/>
  <c r="G60" i="7" s="1"/>
  <c r="G69" i="7" s="1"/>
  <c r="G70" i="7" l="1"/>
  <c r="G72" i="7" s="1"/>
  <c r="G74" i="7" s="1"/>
  <c r="H59" i="7" l="1"/>
  <c r="I59" i="7" s="1"/>
  <c r="H58" i="7" l="1"/>
  <c r="H60" i="7" s="1"/>
  <c r="H69" i="7" s="1"/>
  <c r="I58" i="7"/>
  <c r="I60" i="7" s="1"/>
  <c r="H70" i="7" l="1"/>
  <c r="I69" i="7"/>
  <c r="I70" i="7" l="1"/>
  <c r="H72" i="7"/>
  <c r="I72" i="7" s="1"/>
  <c r="H74" i="7" l="1"/>
  <c r="I74" i="7"/>
  <c r="J70" i="7" l="1"/>
  <c r="B75" i="7"/>
  <c r="J68" i="7"/>
  <c r="J73" i="7"/>
  <c r="J71" i="7"/>
  <c r="J67" i="7"/>
  <c r="J66" i="7"/>
  <c r="J69" i="7"/>
  <c r="J72" i="7"/>
  <c r="J74" i="7" l="1"/>
  <c r="E81" i="7"/>
  <c r="F81" i="7" s="1"/>
  <c r="B86" i="7" s="1"/>
  <c r="B87" i="7"/>
  <c r="B88" i="7" l="1"/>
  <c r="B89" i="7" s="1"/>
  <c r="B90" i="7" s="1"/>
  <c r="B9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ADA POSADA</author>
  </authors>
  <commentList>
    <comment ref="E8" authorId="0" shapeId="0" xr:uid="{DE1E792D-1FFA-482F-9E31-A5DCAEF36CF6}">
      <text>
        <r>
          <rPr>
            <b/>
            <sz val="9"/>
            <color indexed="81"/>
            <rFont val="Tahoma"/>
            <family val="2"/>
          </rPr>
          <t>ADA POSADA:</t>
        </r>
        <r>
          <rPr>
            <sz val="9"/>
            <color indexed="81"/>
            <rFont val="Tahoma"/>
            <family val="2"/>
          </rPr>
          <t xml:space="preserve">
La idea principal detrás de la centralización de la información es tener un repositorio central o base de datos donde se almacenan todos los datos relevantes de una organización</t>
        </r>
      </text>
    </comment>
    <comment ref="E11" authorId="0" shapeId="0" xr:uid="{0EF84512-268C-4170-9D8F-790DE36B21EB}">
      <text>
        <r>
          <rPr>
            <b/>
            <sz val="9"/>
            <color indexed="81"/>
            <rFont val="Tahoma"/>
            <family val="2"/>
          </rPr>
          <t>ADA POSADA:</t>
        </r>
        <r>
          <rPr>
            <sz val="9"/>
            <color indexed="81"/>
            <rFont val="Tahoma"/>
            <family val="2"/>
          </rPr>
          <t xml:space="preserve">
La normalización de la información se refiere a un proceso en el que se estructuran y organizan los datos de una base de datos para reducir la redundancia y la inconsistencia, permitiendo un almacenamiento eficiente y facilitando la recuperación de la información de manera más rápida y precisa
</t>
        </r>
      </text>
    </comment>
  </commentList>
</comments>
</file>

<file path=xl/sharedStrings.xml><?xml version="1.0" encoding="utf-8"?>
<sst xmlns="http://schemas.openxmlformats.org/spreadsheetml/2006/main" count="864" uniqueCount="398">
  <si>
    <t>Inscripción servicio de transporte público</t>
  </si>
  <si>
    <t>Pago de impuesto de vehículos</t>
  </si>
  <si>
    <t xml:space="preserve">Seguro contratodo </t>
  </si>
  <si>
    <t>Parqueaderos</t>
  </si>
  <si>
    <t>Lavado del vehículo</t>
  </si>
  <si>
    <t>PRESUPUESTO DE NOMINA DE PERSONAL MENSUAL</t>
  </si>
  <si>
    <t>DEVENGADO</t>
  </si>
  <si>
    <t>DEDUCIDO</t>
  </si>
  <si>
    <t>CARGO</t>
  </si>
  <si>
    <t>CANTIDAD</t>
  </si>
  <si>
    <t>SUELDO BASICO</t>
  </si>
  <si>
    <t>DIAS LABORADOS</t>
  </si>
  <si>
    <t xml:space="preserve">TOTAL </t>
  </si>
  <si>
    <t>EXTRA Y RECARGOS</t>
  </si>
  <si>
    <t>AUX DE TRANSPORTE</t>
  </si>
  <si>
    <t>TOTAL DEVENGADO</t>
  </si>
  <si>
    <t>ISS</t>
  </si>
  <si>
    <t>PENSION</t>
  </si>
  <si>
    <t>PRESTAMOS</t>
  </si>
  <si>
    <t>OTROS</t>
  </si>
  <si>
    <t>TOTAL DEDUCIDO</t>
  </si>
  <si>
    <t>NETO PAGADO</t>
  </si>
  <si>
    <t>Gerente General</t>
  </si>
  <si>
    <t>Jefe Administrativo y Financiero</t>
  </si>
  <si>
    <t>Contador Publico</t>
  </si>
  <si>
    <t>TOTAL NOMINA ADMINISTRATIVA</t>
  </si>
  <si>
    <t>Conductores</t>
  </si>
  <si>
    <t>Mecanico</t>
  </si>
  <si>
    <t>Oficios varios</t>
  </si>
  <si>
    <t>TOTAL NOMINA OPERATIVA</t>
  </si>
  <si>
    <t>TOTAL PRESUPUESTO PERSONAL</t>
  </si>
  <si>
    <t>APORTES PARAFISCALES</t>
  </si>
  <si>
    <t>%</t>
  </si>
  <si>
    <t xml:space="preserve">VALOR </t>
  </si>
  <si>
    <t>PROVISIONES</t>
  </si>
  <si>
    <t>VALOR</t>
  </si>
  <si>
    <t>SALUD</t>
  </si>
  <si>
    <t>CESANTIAS</t>
  </si>
  <si>
    <t>El auxilio de transporte debe incluirse para liquidar las prestaciones sociales como las cesantías, intereses a las cesantías y primas de servicios, pero no para la liquidación de las vacaciones ni de los aportes al Sistema de Seguridad Social, señaló el Ministerio de la Protección Social. Explicó que aunque dicho auxilio no hace parte integrante del salario, pues no retribuye directamente los servicios prestados por el trabajador y no constituye ingresos para el mismo, por ficción legal se entiende incluido para efectos de liquidar las prestaciones sociales.</t>
  </si>
  <si>
    <t>ICBF</t>
  </si>
  <si>
    <t>I/CESANTIAS</t>
  </si>
  <si>
    <t>SENA</t>
  </si>
  <si>
    <t>PRIMA  DE SERV.</t>
  </si>
  <si>
    <t>CAJAS DE COMPESACION</t>
  </si>
  <si>
    <t>VACACIONES</t>
  </si>
  <si>
    <t>ARP</t>
  </si>
  <si>
    <t>SUBTOTAL</t>
  </si>
  <si>
    <t>TOTAL APROPIACIONES MENSUALES</t>
  </si>
  <si>
    <t>INDICADORES</t>
  </si>
  <si>
    <t xml:space="preserve">SALARIO MINIMO </t>
  </si>
  <si>
    <t>AUXILIO DE TRANSPORTE</t>
  </si>
  <si>
    <t>Artículo 114-1 del estatuto tributario</t>
  </si>
  <si>
    <t>«Estarán exoneradas del pago de los aportes parafiscales a favor del Servicio Nacional del Aprendizaje (SENA), del Instituto Colombiano de Bienestar Familiar (ICBF) y las cotizaciones al Régimen Contributivo de Salud, las sociedades y personas jurídicas y asimiladas contribuyentes declarantes del impuesto sobre la renta y complementarios, correspondientes a los trabajadores que devenguen, individualmente considerados, menos de diez (10) salarios mínimos mensuales legales vigentes.»</t>
  </si>
  <si>
    <t xml:space="preserve">CALCULO HORAS EXTRAS MES </t>
  </si>
  <si>
    <t>Horario Lunes a sábado de 7 am a 5pm</t>
  </si>
  <si>
    <t>Se laboran 9 horas diarias con derecho a una hora de almuerzo</t>
  </si>
  <si>
    <t>Horas permitidas semanales</t>
  </si>
  <si>
    <t>horas</t>
  </si>
  <si>
    <t>Horas totales semanales trabajadas</t>
  </si>
  <si>
    <t xml:space="preserve">Total horas extras por empleado por semana </t>
  </si>
  <si>
    <t xml:space="preserve">horas semanales </t>
  </si>
  <si>
    <t xml:space="preserve">Total horas extras por dia </t>
  </si>
  <si>
    <t>horas diarias extras</t>
  </si>
  <si>
    <t>Total horas extras mes</t>
  </si>
  <si>
    <t>horas extras mes</t>
  </si>
  <si>
    <t>Valor hora conductores</t>
  </si>
  <si>
    <t>ordinarias</t>
  </si>
  <si>
    <t>Valor hora extra diurna</t>
  </si>
  <si>
    <t>PRESUPUESTO MAESTRO</t>
  </si>
  <si>
    <t>INFLACION AÑO 2022</t>
  </si>
  <si>
    <t>INFLACIÓN ESTIMADA 2023</t>
  </si>
  <si>
    <t>INFLACIÓN ESTIMADA 2024</t>
  </si>
  <si>
    <t>PRESUPUESTO DE GASTOS DE FUNCIONAMIENTO O ADMINISTRATIVOS</t>
  </si>
  <si>
    <t>MESES</t>
  </si>
  <si>
    <t>MONTOS ANUALES</t>
  </si>
  <si>
    <t>TOTAL</t>
  </si>
  <si>
    <t>CONCEPTO</t>
  </si>
  <si>
    <t>Nomina administrativa</t>
  </si>
  <si>
    <t>mensual</t>
  </si>
  <si>
    <t>Nomina de personal operativo</t>
  </si>
  <si>
    <t>Seguridad social</t>
  </si>
  <si>
    <t>mensual valor de la nomina</t>
  </si>
  <si>
    <t>se pagan mensualmente</t>
  </si>
  <si>
    <t>Aportes parafiscales</t>
  </si>
  <si>
    <t>Prestaciones sociales</t>
  </si>
  <si>
    <t>se paga a final de año</t>
  </si>
  <si>
    <t>Arrendamiento de oficinas</t>
  </si>
  <si>
    <t>Licencias de sofware</t>
  </si>
  <si>
    <t>se paga al inicio del año</t>
  </si>
  <si>
    <t>Papeleria y cafetería</t>
  </si>
  <si>
    <t>trimestre vencido</t>
  </si>
  <si>
    <t>Energia</t>
  </si>
  <si>
    <t>Acueducto</t>
  </si>
  <si>
    <t>bimestral</t>
  </si>
  <si>
    <t>Internet</t>
  </si>
  <si>
    <t>Plan de datos para conductores</t>
  </si>
  <si>
    <t>mensual x 20 conductores</t>
  </si>
  <si>
    <t>Reserva para imprevistos</t>
  </si>
  <si>
    <t xml:space="preserve"> </t>
  </si>
  <si>
    <t>PRESUPUESTO DE GASTOS DE OPERACIÓN</t>
  </si>
  <si>
    <t>Matrícula</t>
  </si>
  <si>
    <t>Seguros de accidentes de tránsito -SOAT</t>
  </si>
  <si>
    <t>Seguro de transporte</t>
  </si>
  <si>
    <t>Revisión tecnomecánica y de gases (Si aplica)</t>
  </si>
  <si>
    <t>Tarjetas de operación</t>
  </si>
  <si>
    <t>PRESUPUESTO DE GASTOS DE MANTENIMIENTO</t>
  </si>
  <si>
    <t>Combustibles, lubricantes, refrigerantes y otros insumos</t>
  </si>
  <si>
    <t>Mantenimientos preventivos</t>
  </si>
  <si>
    <t>Cambio de elementos por desgaste: Llantas, pastillas, correas</t>
  </si>
  <si>
    <t>Cambio de aceite</t>
  </si>
  <si>
    <t xml:space="preserve">Peajes </t>
  </si>
  <si>
    <t>PRESUPUESTO DE FINANCIACION</t>
  </si>
  <si>
    <t xml:space="preserve">Abono a capital préstamo Banco </t>
  </si>
  <si>
    <t>Interes a pagar</t>
  </si>
  <si>
    <t>Presupuesto Total</t>
  </si>
  <si>
    <t>Estando en equilibrio los INGRESOS que se requieren</t>
  </si>
  <si>
    <t>Estimación de los Ingresos</t>
  </si>
  <si>
    <t>Tasa impositiva</t>
  </si>
  <si>
    <t>margen de ganancia</t>
  </si>
  <si>
    <t>Estimacion de los INGRESOS =</t>
  </si>
  <si>
    <t>Total costos y gastos * ( 1 - T )</t>
  </si>
  <si>
    <t xml:space="preserve"> ( 1- T - MG )</t>
  </si>
  <si>
    <t>EdR</t>
  </si>
  <si>
    <t>Ventas (INGRESOS)</t>
  </si>
  <si>
    <t xml:space="preserve"> - Costos y Gastos</t>
  </si>
  <si>
    <t xml:space="preserve"> Incluye Inversiones y abonos a capita de la deuda</t>
  </si>
  <si>
    <t>Utilidad antes de impuestos</t>
  </si>
  <si>
    <t xml:space="preserve"> - impuestos</t>
  </si>
  <si>
    <t>Utiidad neta</t>
  </si>
  <si>
    <t>Rentabilidad ROS = Margen neto</t>
  </si>
  <si>
    <t>OPEX</t>
  </si>
  <si>
    <t>CAPEX</t>
  </si>
  <si>
    <t>Total Presupuesto de Gastos de Funcionamiento (TPGA)</t>
  </si>
  <si>
    <t>PRESUPUESTO</t>
  </si>
  <si>
    <t>Total Presupuesto de Gastos de operación (TPGO)</t>
  </si>
  <si>
    <t>Total Presupuesto de mantenimiento (TPGM)</t>
  </si>
  <si>
    <t>Total Presupuesto de financiación (TPF)</t>
  </si>
  <si>
    <t>Presupuesto Subtotal</t>
  </si>
  <si>
    <t>Operario de GPS</t>
  </si>
  <si>
    <t xml:space="preserve">Gps por vehículo </t>
  </si>
  <si>
    <t>Asistente administrativo</t>
  </si>
  <si>
    <t>Varianza</t>
  </si>
  <si>
    <t>Contingencia</t>
  </si>
  <si>
    <t>Reserva de Contingencia (CAPEX)</t>
  </si>
  <si>
    <t>Reserva de Gestión (2% TPGA+TPGO+TPGM)</t>
  </si>
  <si>
    <t>Estimado 3 puntos</t>
  </si>
  <si>
    <t>Reserva de Contingencia (OPEX) (8% TPGA+TPGO+TPGM)</t>
  </si>
  <si>
    <t>Valor Presupuesto</t>
  </si>
  <si>
    <t>Valor Optimista</t>
  </si>
  <si>
    <t>Valor Pesimista</t>
  </si>
  <si>
    <t xml:space="preserve">Desviación </t>
  </si>
  <si>
    <t>Estimación 3 puntos</t>
  </si>
  <si>
    <t>Desviación</t>
  </si>
  <si>
    <t>Valor Presupuesto (A)</t>
  </si>
  <si>
    <t>Valor más probable con 95% de confianza (B)</t>
  </si>
  <si>
    <t>Contingencia CAPEX (A-B)</t>
  </si>
  <si>
    <t>Desviación Estándar</t>
  </si>
  <si>
    <t>Subtotal</t>
  </si>
  <si>
    <t>Contingencia OPEX (A-B)</t>
  </si>
  <si>
    <t>Contingencia OPEX %</t>
  </si>
  <si>
    <t>DICIEMBRE</t>
  </si>
  <si>
    <t xml:space="preserve">ENERO </t>
  </si>
  <si>
    <t xml:space="preserve">FEBRERO </t>
  </si>
  <si>
    <t xml:space="preserve">MARZO </t>
  </si>
  <si>
    <t>PRESUPUESTO DEL PROYECTO</t>
  </si>
  <si>
    <t>RECURSO</t>
  </si>
  <si>
    <t>CALCULO DE HORAS PERSONAL ENCARGADAS DEL SIG</t>
  </si>
  <si>
    <t xml:space="preserve">Gerente del proyecto </t>
  </si>
  <si>
    <t>Colaboradores</t>
  </si>
  <si>
    <t xml:space="preserve">CARGO </t>
  </si>
  <si>
    <t>NOMBRE</t>
  </si>
  <si>
    <t>DEDICACIÓN</t>
  </si>
  <si>
    <t>DIAS</t>
  </si>
  <si>
    <t>Ada Posada</t>
  </si>
  <si>
    <t xml:space="preserve">MES </t>
  </si>
  <si>
    <t>VALOR TOTAL</t>
  </si>
  <si>
    <t>Silvia Cañon</t>
  </si>
  <si>
    <t>Mike Parra</t>
  </si>
  <si>
    <t>Medio Tiempo</t>
  </si>
  <si>
    <t>ACTIVIDAD A DESARROLLAR</t>
  </si>
  <si>
    <t>Levantamiento de la información</t>
  </si>
  <si>
    <t xml:space="preserve">Ejecutivo Contable y Financiero </t>
  </si>
  <si>
    <t>Hingryt Vega</t>
  </si>
  <si>
    <t>Horas</t>
  </si>
  <si>
    <t>Wilson Castillo</t>
  </si>
  <si>
    <t>Ingeniero de sistemas</t>
  </si>
  <si>
    <t>Centralización de información</t>
  </si>
  <si>
    <t>HRA/MES</t>
  </si>
  <si>
    <t xml:space="preserve">HRA/DÍA </t>
  </si>
  <si>
    <t>PRECIO HORA</t>
  </si>
  <si>
    <t>Normalización de la información</t>
  </si>
  <si>
    <t>FEBRERO</t>
  </si>
  <si>
    <t>CRONOGRAMA</t>
  </si>
  <si>
    <t xml:space="preserve">Febrero </t>
  </si>
  <si>
    <t>del 1 al 16</t>
  </si>
  <si>
    <t>Desarrollo del SIG</t>
  </si>
  <si>
    <t xml:space="preserve">del 17 al 29 </t>
  </si>
  <si>
    <t>Pruebas finales</t>
  </si>
  <si>
    <t xml:space="preserve">Entrega del SIG - Capacitación </t>
  </si>
  <si>
    <t>MARZO</t>
  </si>
  <si>
    <t>Capacitación</t>
  </si>
  <si>
    <t>Personal</t>
  </si>
  <si>
    <t>Refrigerios</t>
  </si>
  <si>
    <t xml:space="preserve">CONCEPTO </t>
  </si>
  <si>
    <t xml:space="preserve">Levantamiento de la información </t>
  </si>
  <si>
    <t xml:space="preserve">HRAS AL DÍA </t>
  </si>
  <si>
    <t>HRA AL MES</t>
  </si>
  <si>
    <t>Centralización de la información</t>
  </si>
  <si>
    <t>Pruebas Finales</t>
  </si>
  <si>
    <t>Desarrollo, Configuración, Parametrización</t>
  </si>
  <si>
    <t>Documentación del sistema (Instructivos, formatos, presentación)</t>
  </si>
  <si>
    <t>Formación y Capacitación del sistema (Manejo, alimentación, Generalidades)</t>
  </si>
  <si>
    <t>Otros Gastos Administrativos</t>
  </si>
  <si>
    <t>Materiales</t>
  </si>
  <si>
    <t>Papelería</t>
  </si>
  <si>
    <t>Transportes</t>
  </si>
  <si>
    <t>Diarios por persona</t>
  </si>
  <si>
    <t>Alquiler de medios tecnológicos</t>
  </si>
  <si>
    <t>Equipos tecnológicos</t>
  </si>
  <si>
    <t>Equipos</t>
  </si>
  <si>
    <t>Por hora / persona</t>
  </si>
  <si>
    <t xml:space="preserve">Cargo fijo </t>
  </si>
  <si>
    <t>Gerente del proyecto (Ada Posada)</t>
  </si>
  <si>
    <t>Desarrolladores del SIG (Silvia Cañón)</t>
  </si>
  <si>
    <t>Desarrolladores del SIG (Mike Parra)</t>
  </si>
  <si>
    <t>PRESUPUESTO DEL PROYECTO IMPLEMENTACION DE UN SISTEMA DE INFORMACIÓN GERENCIAL (SIG)</t>
  </si>
  <si>
    <t>Plan celular</t>
  </si>
  <si>
    <t xml:space="preserve">Gerente de proyecto / Cargo fijo </t>
  </si>
  <si>
    <t>Uso de equipo de computo (Luz, internet, vida útil)</t>
  </si>
  <si>
    <t xml:space="preserve">Licencia Power BI Premium </t>
  </si>
  <si>
    <t>Licencia por usuario</t>
  </si>
  <si>
    <t xml:space="preserve">CONTINGENCIA </t>
  </si>
  <si>
    <t xml:space="preserve">Sedebe tener en cuenta los riesgos: </t>
  </si>
  <si>
    <t>Cambios en requerimientos</t>
  </si>
  <si>
    <t>Demoras en el proceso</t>
  </si>
  <si>
    <t>sobre el valor total del proyecto</t>
  </si>
  <si>
    <t xml:space="preserve">Reserva de Contingencia (10%) </t>
  </si>
  <si>
    <t>Total Presupuesto proyecto de implementación</t>
  </si>
  <si>
    <t>Reserva de Gestión (2%)</t>
  </si>
  <si>
    <t xml:space="preserve">Total Presupuesto </t>
  </si>
  <si>
    <t xml:space="preserve">Total Presupuesto proyecto de implementación SIG </t>
  </si>
  <si>
    <t>PRESUPUESTO DEL PROYECTO IMPLEMENTACION DE UN SISTEMA DE INFORMACIÓN GERENCIAL (SIG) EN LA EMPRESA RT SAS</t>
  </si>
  <si>
    <t>Gerente del proyecto</t>
  </si>
  <si>
    <t xml:space="preserve">Ingeniero de seguridad y telecomunicaciones </t>
  </si>
  <si>
    <t xml:space="preserve">Especialista en Arquitectura empresarial y estrategia  </t>
  </si>
  <si>
    <t>Líder de mesa de ayuda</t>
  </si>
  <si>
    <t>Ingeniero de redes</t>
  </si>
  <si>
    <t xml:space="preserve">Administrador de base de datos </t>
  </si>
  <si>
    <t xml:space="preserve">Desarrollador de software/sistema web </t>
  </si>
  <si>
    <t xml:space="preserve">Líder funcional del proyecto </t>
  </si>
  <si>
    <t xml:space="preserve">Analista integral de pruebas </t>
  </si>
  <si>
    <t>Especialista en gestión del cambio</t>
  </si>
  <si>
    <t>NIVEL</t>
  </si>
  <si>
    <t>ENTREGABLE</t>
  </si>
  <si>
    <t>TAREA</t>
  </si>
  <si>
    <t>DURACION
(DÍAS)</t>
  </si>
  <si>
    <t>E1.1</t>
  </si>
  <si>
    <t xml:space="preserve">Levantamiento de información </t>
  </si>
  <si>
    <t>Entrevista con líderes funcionales</t>
  </si>
  <si>
    <t>Líder Funcional</t>
  </si>
  <si>
    <t>E1.2</t>
  </si>
  <si>
    <t>Entevista con líderes técnicos</t>
  </si>
  <si>
    <t>Especialista en arquitectura</t>
  </si>
  <si>
    <t>E1.3</t>
  </si>
  <si>
    <t>Aprobación levantamiento de información</t>
  </si>
  <si>
    <t>E2.1</t>
  </si>
  <si>
    <t xml:space="preserve">Recolección de información </t>
  </si>
  <si>
    <t>E2.2</t>
  </si>
  <si>
    <t>Limpieza de información</t>
  </si>
  <si>
    <t>E2.3</t>
  </si>
  <si>
    <t>Cargue de información</t>
  </si>
  <si>
    <t>Administrador en bases de datos</t>
  </si>
  <si>
    <t>E2.4</t>
  </si>
  <si>
    <t>Aprobación migración de información</t>
  </si>
  <si>
    <t>E3.1</t>
  </si>
  <si>
    <t>Desarrollo, configuración y parametrización</t>
  </si>
  <si>
    <t>Preparación de entorno de desarrollo</t>
  </si>
  <si>
    <t>E3.2</t>
  </si>
  <si>
    <t>Desarrollador de software</t>
  </si>
  <si>
    <t>E3.3</t>
  </si>
  <si>
    <t>Configuración con las bases de datos</t>
  </si>
  <si>
    <t>E3.4</t>
  </si>
  <si>
    <t>Elaboración de protocolos de seguridad</t>
  </si>
  <si>
    <t>Ingeniero de seguridad</t>
  </si>
  <si>
    <t>E4.1</t>
  </si>
  <si>
    <t>Pruebas unitarias</t>
  </si>
  <si>
    <t xml:space="preserve">Analista de pruebas </t>
  </si>
  <si>
    <t>E4.2</t>
  </si>
  <si>
    <t>Pruebas de calidad</t>
  </si>
  <si>
    <t>E4.3</t>
  </si>
  <si>
    <t>Pruebas integrales</t>
  </si>
  <si>
    <t>E4.4</t>
  </si>
  <si>
    <t>Ajuste de pruebas</t>
  </si>
  <si>
    <t>E5.1</t>
  </si>
  <si>
    <t>Formación y capacitación del SIG</t>
  </si>
  <si>
    <t>Diseño y aprobación de capacitación</t>
  </si>
  <si>
    <t>E5.2</t>
  </si>
  <si>
    <t>Ejecución de capacitación</t>
  </si>
  <si>
    <t>E5.3</t>
  </si>
  <si>
    <t>Evaluación de capacitación</t>
  </si>
  <si>
    <t>E6.1</t>
  </si>
  <si>
    <t>Puesta en Producción</t>
  </si>
  <si>
    <t>Preproducción</t>
  </si>
  <si>
    <t>Lider de mesa de ayuda</t>
  </si>
  <si>
    <t>E6.2</t>
  </si>
  <si>
    <t>Salida a producción</t>
  </si>
  <si>
    <t>E6.3</t>
  </si>
  <si>
    <t>Estabilización del producto</t>
  </si>
  <si>
    <t>E7.1</t>
  </si>
  <si>
    <t>Documentación del proyecto</t>
  </si>
  <si>
    <t xml:space="preserve">Diseño de manuales de usuario </t>
  </si>
  <si>
    <t>E7.2</t>
  </si>
  <si>
    <t>Diseño de manuales técnicos</t>
  </si>
  <si>
    <t>E7.3</t>
  </si>
  <si>
    <t>Cierre del proyecto</t>
  </si>
  <si>
    <t>IND</t>
  </si>
  <si>
    <t>RECURSOS EN HORAS</t>
  </si>
  <si>
    <t>RECURSOS GLOBAL</t>
  </si>
  <si>
    <t>PLANEADO</t>
  </si>
  <si>
    <t>EJECUTADO</t>
  </si>
  <si>
    <t>SALDO</t>
  </si>
  <si>
    <t>% EJECUCIÓN</t>
  </si>
  <si>
    <t>SALARIO MES</t>
  </si>
  <si>
    <t>VALOR HORA</t>
  </si>
  <si>
    <t>ESTIMACIÓN DEL COSTO - IMPLEMENTACIÓN DE SISTEMA DE INFORMACIÓN GERENCIAL PARA LA EMPRESA RT SAS</t>
  </si>
  <si>
    <t>TOTAL HORAS</t>
  </si>
  <si>
    <t>ABRIL</t>
  </si>
  <si>
    <t>MAYO</t>
  </si>
  <si>
    <t xml:space="preserve">NIVEL </t>
  </si>
  <si>
    <t>E1</t>
  </si>
  <si>
    <t>E2</t>
  </si>
  <si>
    <t>E3</t>
  </si>
  <si>
    <t>E4</t>
  </si>
  <si>
    <t>E5</t>
  </si>
  <si>
    <t>E6</t>
  </si>
  <si>
    <t>E7</t>
  </si>
  <si>
    <t>Centralización de Información</t>
  </si>
  <si>
    <t>ESTIMACIÓN DE COSTO DE SERVICIO DE ENERGÍA</t>
  </si>
  <si>
    <t>VALOR KILOVATIO / HORA</t>
  </si>
  <si>
    <t xml:space="preserve">CONSUMO HRA EQUIPO DE COMPUTO </t>
  </si>
  <si>
    <t>VATIOS HRA</t>
  </si>
  <si>
    <t xml:space="preserve">VALOR DEL VATIO </t>
  </si>
  <si>
    <t xml:space="preserve">UN KILOWATIO EQUIVALE A </t>
  </si>
  <si>
    <t>VATIOS</t>
  </si>
  <si>
    <t>VALOR DEL VATIO HORA</t>
  </si>
  <si>
    <t>VALOR DEL CONSUMO DEL EQUIPO POR HORA</t>
  </si>
  <si>
    <t>Consumo de energía equipos</t>
  </si>
  <si>
    <t>Servicio</t>
  </si>
  <si>
    <t xml:space="preserve">por hora </t>
  </si>
  <si>
    <t xml:space="preserve">ESTIMACIÓN COSTO DE USO EQUIPO DE COMPUTO </t>
  </si>
  <si>
    <t xml:space="preserve">COSTO DEL EQUIPO </t>
  </si>
  <si>
    <t xml:space="preserve">VIDA UTIL DEL EQUIPO </t>
  </si>
  <si>
    <t>AÑOS</t>
  </si>
  <si>
    <t>DIAS HABILES EN UN AÑO</t>
  </si>
  <si>
    <t>HORAS TRABAJADAS EN UN DIA</t>
  </si>
  <si>
    <t>HORAS</t>
  </si>
  <si>
    <t xml:space="preserve">VALOR HORA DEL EQUIPO </t>
  </si>
  <si>
    <t>Uso de equipo de computo (Vida útil)</t>
  </si>
  <si>
    <t>Consumo de internet</t>
  </si>
  <si>
    <t>ESTIMACIÓN DE COSTO DE SERVICIO DE INTERNET</t>
  </si>
  <si>
    <t>PLAN DE INTERNET CLARO 400 MB</t>
  </si>
  <si>
    <t>DIAS HABILES EN MES</t>
  </si>
  <si>
    <t>TOTAL HORAS VIDA UTIL APROX EQUIPO</t>
  </si>
  <si>
    <t>TOTAL HORAS CONSUMIDAS DE INTERNET AL MES</t>
  </si>
  <si>
    <t xml:space="preserve">VALOR HORA DEL SERVICIO </t>
  </si>
  <si>
    <t>Unidad</t>
  </si>
  <si>
    <t>por hora</t>
  </si>
  <si>
    <t>FASE</t>
  </si>
  <si>
    <t>DEFINICIÓN DE ENTREGABLES</t>
  </si>
  <si>
    <t>ID</t>
  </si>
  <si>
    <t>DESCRIPCIÓN</t>
  </si>
  <si>
    <t>E8</t>
  </si>
  <si>
    <t>E9</t>
  </si>
  <si>
    <t>E10</t>
  </si>
  <si>
    <t>E11</t>
  </si>
  <si>
    <t>E12</t>
  </si>
  <si>
    <t>E13</t>
  </si>
  <si>
    <t>E14</t>
  </si>
  <si>
    <t>E15</t>
  </si>
  <si>
    <t>E16</t>
  </si>
  <si>
    <t>E17</t>
  </si>
  <si>
    <t>E18</t>
  </si>
  <si>
    <t>E19</t>
  </si>
  <si>
    <t>E20</t>
  </si>
  <si>
    <t>DEFINICIÓN DE ACTIVIDADES</t>
  </si>
  <si>
    <t>DEFINICIÓN DE RECURSOS</t>
  </si>
  <si>
    <t>Licencia de software</t>
  </si>
  <si>
    <t>Compra de Disco duro de 1 Tera para almacenamiento de datos</t>
  </si>
  <si>
    <t>Licencia por usuario / cantidad 2</t>
  </si>
  <si>
    <t>Por hora / por equipo</t>
  </si>
  <si>
    <t>Proveedor</t>
  </si>
  <si>
    <t>Presupuesto del Proyecto</t>
  </si>
  <si>
    <t>Recurso</t>
  </si>
  <si>
    <t>Asignación</t>
  </si>
  <si>
    <t xml:space="preserve">Personal </t>
  </si>
  <si>
    <t xml:space="preserve">Material </t>
  </si>
  <si>
    <t>Equipo</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</si>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</sst>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quot;$&quot;\ * #,##0_-;\-&quot;$&quot;\ * #,##0_-;_-&quot;$&quot;\ * &quot;-&quot;??_-;_-@_-"/>
    <numFmt numFmtId="166" formatCode="_-* #,##0_-;\-* #,##0_-;_-* &quot;-&quot;??_-;_-@_-"/>
    <numFmt numFmtId="167" formatCode="_(&quot;$&quot;\ * #,##0_);_(&quot;$&quot;\ * \(#,##0\);_(&quot;$&quot;\ * &quot;-&quot;??_);_(@_)"/>
    <numFmt numFmtId="168" formatCode="_(&quot;$&quot;\ * #,##0.00_);_(&quot;$&quot;\ * \(#,##0.00\);_(&quot;$&quot;\ * &quot;-&quot;??_);_(@_)"/>
    <numFmt numFmtId="169" formatCode="0.0%"/>
    <numFmt numFmtId="170" formatCode="&quot;$&quot;\ #,##0.00"/>
    <numFmt numFmtId="171" formatCode="_-* #,##0.00_-;\-* #,##0.00_-;_-* &quot;-&quot;_-;_-@_-"/>
    <numFmt numFmtId="172" formatCode="0.E+00"/>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Light"/>
      <family val="2"/>
      <scheme val="major"/>
    </font>
    <font>
      <b/>
      <sz val="14"/>
      <color theme="1"/>
      <name val="Calibri"/>
      <family val="2"/>
      <scheme val="minor"/>
    </font>
    <font>
      <sz val="9"/>
      <color indexed="81"/>
      <name val="Tahoma"/>
      <family val="2"/>
    </font>
    <font>
      <b/>
      <sz val="9"/>
      <color indexed="81"/>
      <name val="Tahoma"/>
      <family val="2"/>
    </font>
    <font>
      <b/>
      <sz val="8"/>
      <name val="Calibri"/>
      <family val="2"/>
      <scheme val="minor"/>
    </font>
    <font>
      <sz val="10"/>
      <color theme="1"/>
      <name val="Calibri"/>
      <family val="2"/>
      <scheme val="minor"/>
    </font>
    <font>
      <sz val="8"/>
      <name val="Calibri"/>
      <family val="2"/>
      <scheme val="minor"/>
    </font>
    <font>
      <b/>
      <sz val="10"/>
      <name val="Calibri"/>
      <family val="2"/>
      <scheme val="minor"/>
    </font>
    <font>
      <b/>
      <sz val="10"/>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thin">
        <color indexed="64"/>
      </left>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cellStyleXfs>
  <cellXfs count="322">
    <xf numFmtId="0" fontId="0" fillId="0" borderId="0" xfId="0"/>
    <xf numFmtId="0" fontId="4" fillId="0" borderId="0" xfId="0" applyFont="1"/>
    <xf numFmtId="0" fontId="4" fillId="0" borderId="0" xfId="0" applyFont="1" applyAlignment="1">
      <alignment horizontal="center"/>
    </xf>
    <xf numFmtId="0" fontId="0" fillId="0" borderId="0" xfId="0" applyAlignment="1">
      <alignment horizontal="center"/>
    </xf>
    <xf numFmtId="0" fontId="0" fillId="2" borderId="0" xfId="0" applyFill="1"/>
    <xf numFmtId="0" fontId="4" fillId="2" borderId="0" xfId="0" applyFont="1" applyFill="1"/>
    <xf numFmtId="0" fontId="0" fillId="2" borderId="1" xfId="0" applyFill="1" applyBorder="1"/>
    <xf numFmtId="0" fontId="0" fillId="2" borderId="2" xfId="0" applyFill="1" applyBorder="1"/>
    <xf numFmtId="1" fontId="0" fillId="2" borderId="0" xfId="0" applyNumberFormat="1" applyFill="1"/>
    <xf numFmtId="1" fontId="4" fillId="2" borderId="0" xfId="0" applyNumberFormat="1" applyFont="1" applyFill="1"/>
    <xf numFmtId="0" fontId="0" fillId="2" borderId="1" xfId="0" applyFill="1" applyBorder="1" applyAlignment="1">
      <alignment horizontal="left"/>
    </xf>
    <xf numFmtId="1" fontId="0" fillId="2" borderId="1" xfId="0" applyNumberFormat="1" applyFill="1" applyBorder="1" applyAlignment="1">
      <alignment horizontal="center"/>
    </xf>
    <xf numFmtId="167" fontId="0" fillId="2" borderId="1" xfId="0" applyNumberFormat="1" applyFill="1" applyBorder="1" applyAlignment="1">
      <alignment horizontal="left"/>
    </xf>
    <xf numFmtId="41" fontId="0" fillId="2" borderId="1" xfId="2" applyFont="1" applyFill="1" applyBorder="1" applyAlignment="1">
      <alignment horizontal="left"/>
    </xf>
    <xf numFmtId="167" fontId="2" fillId="3" borderId="8" xfId="0" applyNumberFormat="1" applyFont="1" applyFill="1" applyBorder="1"/>
    <xf numFmtId="167" fontId="2" fillId="3" borderId="19" xfId="0" applyNumberFormat="1" applyFont="1" applyFill="1" applyBorder="1"/>
    <xf numFmtId="167" fontId="2" fillId="3" borderId="20" xfId="0" applyNumberFormat="1" applyFont="1" applyFill="1" applyBorder="1"/>
    <xf numFmtId="168" fontId="0" fillId="0" borderId="21" xfId="0" applyNumberFormat="1" applyBorder="1" applyAlignment="1">
      <alignment horizontal="left"/>
    </xf>
    <xf numFmtId="167" fontId="0" fillId="0" borderId="1" xfId="0" applyNumberFormat="1" applyBorder="1" applyAlignment="1">
      <alignment horizontal="left"/>
    </xf>
    <xf numFmtId="168" fontId="0" fillId="2" borderId="0" xfId="0" applyNumberFormat="1" applyFill="1"/>
    <xf numFmtId="0" fontId="2" fillId="3" borderId="8" xfId="0" applyFont="1" applyFill="1" applyBorder="1"/>
    <xf numFmtId="0" fontId="2" fillId="3" borderId="20" xfId="0" applyFont="1" applyFill="1" applyBorder="1" applyAlignment="1">
      <alignment horizontal="center"/>
    </xf>
    <xf numFmtId="1" fontId="2" fillId="3" borderId="20" xfId="0" applyNumberFormat="1" applyFont="1" applyFill="1" applyBorder="1"/>
    <xf numFmtId="0" fontId="2" fillId="3" borderId="20" xfId="0" applyFont="1" applyFill="1" applyBorder="1"/>
    <xf numFmtId="0" fontId="2" fillId="3" borderId="9" xfId="0" applyFont="1" applyFill="1" applyBorder="1"/>
    <xf numFmtId="0" fontId="0" fillId="2" borderId="22" xfId="0" applyFill="1" applyBorder="1"/>
    <xf numFmtId="10" fontId="0" fillId="2" borderId="6" xfId="5" applyNumberFormat="1" applyFont="1" applyFill="1" applyBorder="1"/>
    <xf numFmtId="167" fontId="0" fillId="2" borderId="6" xfId="0" applyNumberFormat="1" applyFill="1" applyBorder="1"/>
    <xf numFmtId="0" fontId="0" fillId="2" borderId="6" xfId="0" applyFill="1" applyBorder="1"/>
    <xf numFmtId="10" fontId="0" fillId="2" borderId="6" xfId="0" applyNumberFormat="1" applyFill="1" applyBorder="1"/>
    <xf numFmtId="167" fontId="0" fillId="2" borderId="7" xfId="0" applyNumberFormat="1" applyFill="1" applyBorder="1"/>
    <xf numFmtId="0" fontId="0" fillId="4" borderId="2" xfId="0" applyFill="1" applyBorder="1"/>
    <xf numFmtId="9" fontId="0" fillId="4" borderId="1" xfId="5" applyFont="1" applyFill="1" applyBorder="1"/>
    <xf numFmtId="167" fontId="0" fillId="4" borderId="1" xfId="0" applyNumberFormat="1" applyFill="1" applyBorder="1"/>
    <xf numFmtId="0" fontId="0" fillId="4" borderId="1" xfId="0" applyFill="1" applyBorder="1"/>
    <xf numFmtId="9" fontId="0" fillId="4" borderId="1" xfId="0" applyNumberFormat="1" applyFill="1" applyBorder="1"/>
    <xf numFmtId="167" fontId="0" fillId="4" borderId="3" xfId="0" applyNumberFormat="1" applyFill="1" applyBorder="1"/>
    <xf numFmtId="9" fontId="0" fillId="2" borderId="1" xfId="5" applyFont="1" applyFill="1" applyBorder="1"/>
    <xf numFmtId="167" fontId="0" fillId="2" borderId="1" xfId="0" applyNumberFormat="1" applyFill="1" applyBorder="1"/>
    <xf numFmtId="10" fontId="0" fillId="2" borderId="1" xfId="0" applyNumberFormat="1" applyFill="1" applyBorder="1"/>
    <xf numFmtId="167" fontId="0" fillId="2" borderId="3" xfId="0" applyNumberFormat="1" applyFill="1" applyBorder="1"/>
    <xf numFmtId="10" fontId="0" fillId="4" borderId="1" xfId="0" applyNumberFormat="1" applyFill="1" applyBorder="1"/>
    <xf numFmtId="0" fontId="0" fillId="4" borderId="23" xfId="0" applyFill="1" applyBorder="1"/>
    <xf numFmtId="169" fontId="0" fillId="5" borderId="24" xfId="5" applyNumberFormat="1" applyFont="1" applyFill="1" applyBorder="1"/>
    <xf numFmtId="167" fontId="0" fillId="4" borderId="24" xfId="0" applyNumberFormat="1" applyFill="1" applyBorder="1"/>
    <xf numFmtId="0" fontId="0" fillId="4" borderId="24" xfId="0" applyFill="1" applyBorder="1"/>
    <xf numFmtId="167" fontId="0" fillId="4" borderId="25" xfId="0" applyNumberFormat="1" applyFill="1" applyBorder="1"/>
    <xf numFmtId="0" fontId="2" fillId="3" borderId="4" xfId="0" applyFont="1" applyFill="1" applyBorder="1"/>
    <xf numFmtId="0" fontId="5" fillId="3" borderId="10" xfId="0" applyFont="1" applyFill="1" applyBorder="1"/>
    <xf numFmtId="167" fontId="2" fillId="3" borderId="10" xfId="0" applyNumberFormat="1" applyFont="1" applyFill="1" applyBorder="1"/>
    <xf numFmtId="167" fontId="2" fillId="3" borderId="4" xfId="0" applyNumberFormat="1" applyFont="1" applyFill="1" applyBorder="1"/>
    <xf numFmtId="167" fontId="2" fillId="3" borderId="5" xfId="0" applyNumberFormat="1" applyFont="1" applyFill="1" applyBorder="1"/>
    <xf numFmtId="42" fontId="0" fillId="2" borderId="0" xfId="4" applyFont="1" applyFill="1"/>
    <xf numFmtId="170" fontId="2" fillId="3" borderId="10" xfId="0" applyNumberFormat="1" applyFont="1" applyFill="1" applyBorder="1"/>
    <xf numFmtId="0" fontId="5" fillId="3" borderId="5" xfId="0" applyFont="1" applyFill="1" applyBorder="1"/>
    <xf numFmtId="167" fontId="0" fillId="2" borderId="0" xfId="0" applyNumberFormat="1" applyFill="1"/>
    <xf numFmtId="42" fontId="0" fillId="2" borderId="0" xfId="0" applyNumberFormat="1" applyFill="1"/>
    <xf numFmtId="0" fontId="4" fillId="6" borderId="26" xfId="0" applyFont="1" applyFill="1" applyBorder="1"/>
    <xf numFmtId="0" fontId="4" fillId="7" borderId="26" xfId="0" applyFont="1" applyFill="1" applyBorder="1" applyAlignment="1">
      <alignment horizontal="center"/>
    </xf>
    <xf numFmtId="0" fontId="4" fillId="0" borderId="14" xfId="0" applyFont="1" applyBorder="1" applyAlignment="1">
      <alignment vertical="center"/>
    </xf>
    <xf numFmtId="42" fontId="0" fillId="0" borderId="0" xfId="4" applyFont="1"/>
    <xf numFmtId="42" fontId="4" fillId="0" borderId="0" xfId="4" applyFont="1"/>
    <xf numFmtId="42" fontId="0" fillId="0" borderId="0" xfId="0" applyNumberFormat="1"/>
    <xf numFmtId="42" fontId="0" fillId="0" borderId="0" xfId="4" applyFont="1" applyBorder="1"/>
    <xf numFmtId="9" fontId="0" fillId="0" borderId="0" xfId="0" applyNumberFormat="1"/>
    <xf numFmtId="0" fontId="4" fillId="7" borderId="26" xfId="0" applyFont="1" applyFill="1" applyBorder="1"/>
    <xf numFmtId="42" fontId="4" fillId="7" borderId="26" xfId="4" applyFont="1" applyFill="1" applyBorder="1"/>
    <xf numFmtId="0" fontId="0" fillId="0" borderId="0" xfId="0" applyAlignment="1">
      <alignment vertical="center"/>
    </xf>
    <xf numFmtId="166" fontId="0" fillId="0" borderId="0" xfId="1" applyNumberFormat="1" applyFont="1" applyBorder="1"/>
    <xf numFmtId="17" fontId="0" fillId="0" borderId="0" xfId="0" applyNumberFormat="1"/>
    <xf numFmtId="0" fontId="4" fillId="7" borderId="27" xfId="0" applyFont="1" applyFill="1" applyBorder="1"/>
    <xf numFmtId="42" fontId="1" fillId="0" borderId="0" xfId="4" applyFont="1" applyFill="1" applyBorder="1" applyAlignment="1">
      <alignment vertical="center"/>
    </xf>
    <xf numFmtId="42" fontId="4" fillId="0" borderId="0" xfId="4" applyFont="1" applyFill="1"/>
    <xf numFmtId="9" fontId="0" fillId="0" borderId="0" xfId="5" applyFont="1"/>
    <xf numFmtId="42" fontId="4" fillId="0" borderId="0" xfId="0" applyNumberFormat="1" applyFont="1"/>
    <xf numFmtId="42" fontId="0" fillId="0" borderId="27" xfId="4" applyFont="1" applyBorder="1"/>
    <xf numFmtId="10" fontId="4" fillId="0" borderId="0" xfId="5" applyNumberFormat="1" applyFont="1"/>
    <xf numFmtId="42" fontId="3" fillId="0" borderId="0" xfId="4" applyFont="1"/>
    <xf numFmtId="0" fontId="7" fillId="2" borderId="0" xfId="0" applyFont="1" applyFill="1"/>
    <xf numFmtId="171" fontId="0" fillId="2" borderId="0" xfId="2" applyNumberFormat="1" applyFont="1" applyFill="1"/>
    <xf numFmtId="10" fontId="0" fillId="2" borderId="0" xfId="5" applyNumberFormat="1" applyFont="1" applyFill="1"/>
    <xf numFmtId="9" fontId="0" fillId="2" borderId="0" xfId="5" applyFont="1" applyFill="1"/>
    <xf numFmtId="0" fontId="4" fillId="2" borderId="14" xfId="0" applyFont="1" applyFill="1" applyBorder="1" applyAlignment="1">
      <alignment vertical="center"/>
    </xf>
    <xf numFmtId="42" fontId="4" fillId="2" borderId="0" xfId="4" applyFont="1" applyFill="1"/>
    <xf numFmtId="165" fontId="0" fillId="2" borderId="0" xfId="0" applyNumberFormat="1" applyFill="1"/>
    <xf numFmtId="0" fontId="4" fillId="6" borderId="26" xfId="0" applyFont="1" applyFill="1" applyBorder="1" applyAlignment="1">
      <alignment horizontal="center"/>
    </xf>
    <xf numFmtId="0" fontId="4" fillId="6" borderId="26" xfId="0" applyFont="1" applyFill="1" applyBorder="1" applyAlignment="1">
      <alignment horizontal="center"/>
    </xf>
    <xf numFmtId="0" fontId="4" fillId="6" borderId="27" xfId="0" applyFont="1" applyFill="1" applyBorder="1" applyAlignment="1">
      <alignment horizontal="center"/>
    </xf>
    <xf numFmtId="0" fontId="0" fillId="0" borderId="0" xfId="0" applyBorder="1"/>
    <xf numFmtId="164" fontId="0" fillId="2" borderId="0" xfId="0" applyNumberFormat="1" applyFill="1"/>
    <xf numFmtId="42" fontId="4" fillId="6" borderId="26" xfId="0" applyNumberFormat="1" applyFont="1" applyFill="1" applyBorder="1" applyAlignment="1">
      <alignment horizontal="center"/>
    </xf>
    <xf numFmtId="0" fontId="0" fillId="2" borderId="21" xfId="0" applyFill="1" applyBorder="1" applyAlignment="1">
      <alignment horizontal="left"/>
    </xf>
    <xf numFmtId="44" fontId="0" fillId="2" borderId="0" xfId="3" applyFont="1" applyFill="1"/>
    <xf numFmtId="0" fontId="2" fillId="3" borderId="15" xfId="0" applyFont="1" applyFill="1" applyBorder="1" applyAlignment="1">
      <alignment horizontal="center" wrapText="1"/>
    </xf>
    <xf numFmtId="0" fontId="2" fillId="3" borderId="16" xfId="0" applyFont="1" applyFill="1" applyBorder="1" applyAlignment="1">
      <alignment horizontal="center" wrapText="1"/>
    </xf>
    <xf numFmtId="0" fontId="2" fillId="3" borderId="17" xfId="0" applyFont="1" applyFill="1" applyBorder="1" applyAlignment="1">
      <alignment horizontal="center" wrapText="1"/>
    </xf>
    <xf numFmtId="1" fontId="2" fillId="3" borderId="17" xfId="0" applyNumberFormat="1" applyFont="1" applyFill="1" applyBorder="1" applyAlignment="1">
      <alignment horizontal="center" wrapText="1"/>
    </xf>
    <xf numFmtId="0" fontId="2" fillId="3" borderId="18" xfId="0" applyFont="1" applyFill="1" applyBorder="1" applyAlignment="1">
      <alignment horizontal="center" wrapText="1"/>
    </xf>
    <xf numFmtId="44" fontId="0" fillId="2" borderId="0" xfId="0" applyNumberFormat="1" applyFill="1"/>
    <xf numFmtId="44" fontId="0" fillId="2" borderId="1" xfId="3" applyFont="1" applyFill="1" applyBorder="1"/>
    <xf numFmtId="44" fontId="4" fillId="2" borderId="1" xfId="3" applyFont="1" applyFill="1" applyBorder="1"/>
    <xf numFmtId="0" fontId="4" fillId="2" borderId="1" xfId="0" applyFont="1" applyFill="1" applyBorder="1"/>
    <xf numFmtId="44" fontId="0" fillId="2" borderId="1" xfId="0" applyNumberFormat="1" applyFill="1" applyBorder="1"/>
    <xf numFmtId="0" fontId="0" fillId="2" borderId="1" xfId="0" applyFill="1" applyBorder="1" applyAlignment="1">
      <alignment wrapText="1"/>
    </xf>
    <xf numFmtId="164" fontId="0" fillId="2" borderId="1" xfId="0" applyNumberFormat="1" applyFill="1" applyBorder="1"/>
    <xf numFmtId="42" fontId="0" fillId="2" borderId="14" xfId="0" applyNumberFormat="1" applyFill="1" applyBorder="1"/>
    <xf numFmtId="42" fontId="0" fillId="2" borderId="0" xfId="4" applyNumberFormat="1" applyFont="1" applyFill="1"/>
    <xf numFmtId="42" fontId="0" fillId="5" borderId="0" xfId="4" applyNumberFormat="1" applyFont="1" applyFill="1"/>
    <xf numFmtId="42" fontId="4" fillId="5" borderId="0" xfId="4" applyNumberFormat="1" applyFont="1" applyFill="1"/>
    <xf numFmtId="42" fontId="0" fillId="5" borderId="0" xfId="5" applyNumberFormat="1" applyFont="1" applyFill="1"/>
    <xf numFmtId="42" fontId="0" fillId="2" borderId="0" xfId="3" applyNumberFormat="1" applyFont="1" applyFill="1"/>
    <xf numFmtId="42" fontId="4" fillId="2" borderId="0" xfId="4" applyNumberFormat="1" applyFont="1" applyFill="1"/>
    <xf numFmtId="42" fontId="0" fillId="2" borderId="0" xfId="5" applyNumberFormat="1" applyFont="1" applyFill="1"/>
    <xf numFmtId="42" fontId="0" fillId="2" borderId="0" xfId="4" applyNumberFormat="1" applyFont="1" applyFill="1" applyBorder="1"/>
    <xf numFmtId="42" fontId="0" fillId="0" borderId="0" xfId="4" applyNumberFormat="1" applyFont="1" applyFill="1" applyBorder="1"/>
    <xf numFmtId="42" fontId="0" fillId="0" borderId="0" xfId="4" applyNumberFormat="1" applyFont="1" applyFill="1"/>
    <xf numFmtId="42" fontId="4" fillId="7" borderId="26" xfId="0" applyNumberFormat="1" applyFont="1" applyFill="1" applyBorder="1"/>
    <xf numFmtId="42" fontId="4" fillId="7" borderId="26" xfId="4" applyNumberFormat="1" applyFont="1" applyFill="1" applyBorder="1"/>
    <xf numFmtId="42" fontId="4" fillId="6" borderId="26" xfId="0" applyNumberFormat="1" applyFont="1" applyFill="1" applyBorder="1"/>
    <xf numFmtId="42" fontId="4" fillId="7" borderId="26" xfId="0" applyNumberFormat="1" applyFont="1" applyFill="1" applyBorder="1" applyAlignment="1">
      <alignment horizontal="center"/>
    </xf>
    <xf numFmtId="42" fontId="4" fillId="0" borderId="14" xfId="0" applyNumberFormat="1" applyFont="1" applyBorder="1" applyAlignment="1">
      <alignment vertical="center"/>
    </xf>
    <xf numFmtId="42" fontId="0" fillId="0" borderId="14" xfId="0" applyNumberFormat="1" applyBorder="1" applyAlignment="1">
      <alignment vertical="center"/>
    </xf>
    <xf numFmtId="42" fontId="0" fillId="0" borderId="0" xfId="4" applyNumberFormat="1" applyFont="1"/>
    <xf numFmtId="42" fontId="4" fillId="0" borderId="0" xfId="4" applyNumberFormat="1" applyFont="1"/>
    <xf numFmtId="42" fontId="0" fillId="0" borderId="14" xfId="0" applyNumberFormat="1" applyBorder="1"/>
    <xf numFmtId="42" fontId="0" fillId="0" borderId="0" xfId="0" applyNumberFormat="1" applyAlignment="1">
      <alignment vertical="center"/>
    </xf>
    <xf numFmtId="42" fontId="4" fillId="7" borderId="28" xfId="0" applyNumberFormat="1" applyFont="1" applyFill="1" applyBorder="1"/>
    <xf numFmtId="42" fontId="4" fillId="7" borderId="28" xfId="4" applyNumberFormat="1" applyFont="1" applyFill="1" applyBorder="1"/>
    <xf numFmtId="42" fontId="0" fillId="0" borderId="0" xfId="0" applyNumberFormat="1" applyBorder="1"/>
    <xf numFmtId="42" fontId="0" fillId="0" borderId="0" xfId="4" applyNumberFormat="1" applyFont="1" applyBorder="1"/>
    <xf numFmtId="42" fontId="4" fillId="0" borderId="0" xfId="0" applyNumberFormat="1" applyFont="1" applyBorder="1" applyAlignment="1">
      <alignment horizontal="right"/>
    </xf>
    <xf numFmtId="42" fontId="4" fillId="2" borderId="0" xfId="3" applyNumberFormat="1" applyFont="1" applyFill="1"/>
    <xf numFmtId="172" fontId="0" fillId="2" borderId="0" xfId="0" applyNumberFormat="1" applyFill="1"/>
    <xf numFmtId="0" fontId="4" fillId="2" borderId="1" xfId="0" applyFont="1" applyFill="1" applyBorder="1" applyAlignment="1">
      <alignment horizontal="center" wrapText="1"/>
    </xf>
    <xf numFmtId="42" fontId="0" fillId="0" borderId="0" xfId="0" applyNumberFormat="1" applyAlignment="1">
      <alignment vertical="center" wrapText="1"/>
    </xf>
    <xf numFmtId="172" fontId="0" fillId="2" borderId="1" xfId="0" applyNumberFormat="1" applyFill="1" applyBorder="1"/>
    <xf numFmtId="44" fontId="0" fillId="0" borderId="0" xfId="3" applyFont="1"/>
    <xf numFmtId="44" fontId="0" fillId="0" borderId="0" xfId="0" applyNumberFormat="1"/>
    <xf numFmtId="44" fontId="4" fillId="0" borderId="0" xfId="0" applyNumberFormat="1" applyFont="1"/>
    <xf numFmtId="0" fontId="0" fillId="8" borderId="0" xfId="0" applyFont="1" applyFill="1"/>
    <xf numFmtId="0" fontId="0" fillId="8" borderId="0" xfId="0" applyFill="1"/>
    <xf numFmtId="44" fontId="0" fillId="8" borderId="0" xfId="3" applyFont="1" applyFill="1"/>
    <xf numFmtId="44" fontId="0" fillId="8" borderId="0" xfId="0" applyNumberFormat="1" applyFill="1"/>
    <xf numFmtId="0" fontId="0" fillId="8" borderId="0" xfId="0" applyFill="1" applyAlignment="1">
      <alignment horizontal="center"/>
    </xf>
    <xf numFmtId="0" fontId="4" fillId="2" borderId="0" xfId="0" applyFont="1" applyFill="1" applyBorder="1" applyAlignment="1">
      <alignment vertical="center"/>
    </xf>
    <xf numFmtId="0" fontId="0" fillId="0" borderId="0" xfId="0" applyFill="1"/>
    <xf numFmtId="0" fontId="4" fillId="2" borderId="14" xfId="0" applyFont="1" applyFill="1" applyBorder="1" applyAlignment="1">
      <alignment vertical="center" wrapText="1"/>
    </xf>
    <xf numFmtId="0" fontId="0" fillId="2" borderId="14" xfId="0" applyFont="1" applyFill="1" applyBorder="1" applyAlignment="1">
      <alignment vertical="center"/>
    </xf>
    <xf numFmtId="0" fontId="0" fillId="0" borderId="0" xfId="0" applyFill="1" applyAlignment="1">
      <alignment horizontal="center"/>
    </xf>
    <xf numFmtId="44" fontId="0" fillId="0" borderId="0" xfId="3" applyFont="1" applyFill="1"/>
    <xf numFmtId="44" fontId="0" fillId="0" borderId="0" xfId="0" applyNumberFormat="1" applyFill="1"/>
    <xf numFmtId="165" fontId="0" fillId="2" borderId="0" xfId="3" applyNumberFormat="1" applyFont="1" applyFill="1"/>
    <xf numFmtId="165" fontId="0" fillId="0" borderId="0" xfId="0" applyNumberFormat="1" applyFill="1"/>
    <xf numFmtId="165" fontId="0" fillId="0" borderId="0" xfId="0" applyNumberFormat="1"/>
    <xf numFmtId="165" fontId="0" fillId="0" borderId="0" xfId="3" applyNumberFormat="1" applyFont="1" applyFill="1" applyAlignment="1">
      <alignment horizontal="center"/>
    </xf>
    <xf numFmtId="0" fontId="0" fillId="0" borderId="0" xfId="0" applyFill="1" applyAlignment="1">
      <alignment horizontal="left"/>
    </xf>
    <xf numFmtId="165" fontId="4" fillId="2" borderId="0" xfId="0" applyNumberFormat="1" applyFont="1" applyFill="1"/>
    <xf numFmtId="165" fontId="0" fillId="0" borderId="0" xfId="3" applyNumberFormat="1" applyFont="1" applyFill="1"/>
    <xf numFmtId="9" fontId="0" fillId="2" borderId="0" xfId="0" applyNumberFormat="1" applyFill="1"/>
    <xf numFmtId="165" fontId="4" fillId="0" borderId="0" xfId="3" applyNumberFormat="1" applyFont="1"/>
    <xf numFmtId="0" fontId="10" fillId="9" borderId="29" xfId="0" applyFont="1" applyFill="1" applyBorder="1" applyAlignment="1">
      <alignment horizontal="center" vertical="center"/>
    </xf>
    <xf numFmtId="0" fontId="10" fillId="9" borderId="30" xfId="0" applyFont="1" applyFill="1" applyBorder="1" applyAlignment="1">
      <alignment horizontal="center" vertical="center"/>
    </xf>
    <xf numFmtId="0" fontId="10" fillId="9" borderId="31" xfId="0" applyFont="1" applyFill="1" applyBorder="1" applyAlignment="1">
      <alignment horizontal="center" vertical="center"/>
    </xf>
    <xf numFmtId="0" fontId="10" fillId="9" borderId="31" xfId="0" applyFont="1" applyFill="1" applyBorder="1" applyAlignment="1">
      <alignment horizontal="center" vertical="center" wrapText="1"/>
    </xf>
    <xf numFmtId="0" fontId="11" fillId="0" borderId="22" xfId="0" applyFont="1" applyBorder="1" applyAlignment="1" applyProtection="1">
      <alignment horizontal="center" vertical="center"/>
      <protection locked="0"/>
    </xf>
    <xf numFmtId="0" fontId="11" fillId="0" borderId="6" xfId="0" applyFont="1" applyBorder="1" applyAlignment="1" applyProtection="1">
      <alignment vertical="center"/>
      <protection locked="0"/>
    </xf>
    <xf numFmtId="165" fontId="0" fillId="0" borderId="0" xfId="3" applyNumberFormat="1" applyFont="1"/>
    <xf numFmtId="0" fontId="11" fillId="0" borderId="2" xfId="0" applyFont="1" applyBorder="1" applyAlignment="1" applyProtection="1">
      <alignment horizontal="center" vertical="center"/>
      <protection locked="0"/>
    </xf>
    <xf numFmtId="0" fontId="11" fillId="0" borderId="1" xfId="0" applyFont="1" applyBorder="1" applyAlignment="1" applyProtection="1">
      <alignment vertical="center"/>
      <protection locked="0"/>
    </xf>
    <xf numFmtId="0" fontId="10" fillId="9" borderId="29" xfId="0" applyFont="1" applyFill="1" applyBorder="1" applyAlignment="1">
      <alignment horizontal="center" vertical="center" wrapText="1"/>
    </xf>
    <xf numFmtId="0" fontId="10" fillId="9" borderId="32" xfId="0" applyFont="1" applyFill="1" applyBorder="1" applyAlignment="1">
      <alignment horizontal="center" vertical="center" wrapText="1"/>
    </xf>
    <xf numFmtId="0" fontId="11" fillId="0" borderId="2" xfId="0" applyFont="1" applyBorder="1" applyAlignment="1" applyProtection="1">
      <alignment horizontal="center" vertical="center"/>
      <protection hidden="1"/>
    </xf>
    <xf numFmtId="0" fontId="11" fillId="0" borderId="1" xfId="0" applyFont="1" applyBorder="1" applyAlignment="1" applyProtection="1">
      <alignment vertical="center"/>
      <protection hidden="1"/>
    </xf>
    <xf numFmtId="44" fontId="11" fillId="0" borderId="1" xfId="3" applyFont="1" applyBorder="1" applyAlignment="1" applyProtection="1">
      <alignment vertical="center"/>
      <protection hidden="1"/>
    </xf>
    <xf numFmtId="9" fontId="11" fillId="0" borderId="3" xfId="5" applyFont="1" applyBorder="1" applyAlignment="1" applyProtection="1">
      <alignment horizontal="center" vertical="center"/>
      <protection hidden="1"/>
    </xf>
    <xf numFmtId="0" fontId="11" fillId="0" borderId="0" xfId="0" applyFont="1" applyProtection="1">
      <protection hidden="1"/>
    </xf>
    <xf numFmtId="0" fontId="11" fillId="10" borderId="8" xfId="0" applyFont="1" applyFill="1" applyBorder="1" applyAlignment="1" applyProtection="1">
      <alignment horizontal="center" vertical="center"/>
      <protection hidden="1"/>
    </xf>
    <xf numFmtId="168" fontId="11" fillId="10" borderId="20" xfId="0" applyNumberFormat="1" applyFont="1" applyFill="1" applyBorder="1" applyAlignment="1" applyProtection="1">
      <alignment horizontal="right" vertical="center"/>
      <protection hidden="1"/>
    </xf>
    <xf numFmtId="9" fontId="11" fillId="10" borderId="9" xfId="5" applyFont="1" applyFill="1" applyBorder="1" applyAlignment="1" applyProtection="1">
      <alignment horizontal="center" vertical="center"/>
      <protection hidden="1"/>
    </xf>
    <xf numFmtId="44" fontId="1" fillId="2" borderId="0" xfId="3" applyFont="1" applyFill="1"/>
    <xf numFmtId="0" fontId="0" fillId="2" borderId="0" xfId="0" applyFill="1" applyAlignment="1">
      <alignment horizontal="center"/>
    </xf>
    <xf numFmtId="0" fontId="4" fillId="2" borderId="36" xfId="0" applyFont="1" applyFill="1" applyBorder="1" applyAlignment="1">
      <alignment horizontal="left" vertical="center" wrapText="1"/>
    </xf>
    <xf numFmtId="0" fontId="0" fillId="2" borderId="37" xfId="0" applyFill="1" applyBorder="1"/>
    <xf numFmtId="44" fontId="0" fillId="2" borderId="38" xfId="3" applyFont="1" applyFill="1" applyBorder="1"/>
    <xf numFmtId="0" fontId="4" fillId="2" borderId="2" xfId="0" applyFont="1" applyFill="1" applyBorder="1" applyAlignment="1">
      <alignment horizontal="left" vertical="center" wrapText="1"/>
    </xf>
    <xf numFmtId="44" fontId="0" fillId="2" borderId="3" xfId="3" applyFont="1" applyFill="1" applyBorder="1"/>
    <xf numFmtId="0" fontId="4" fillId="2" borderId="34" xfId="0" applyFont="1" applyFill="1" applyBorder="1" applyAlignment="1">
      <alignment horizontal="left" vertical="center" wrapText="1"/>
    </xf>
    <xf numFmtId="0" fontId="0" fillId="2" borderId="35" xfId="0" applyFill="1" applyBorder="1"/>
    <xf numFmtId="44" fontId="0" fillId="2" borderId="39" xfId="3" applyFont="1" applyFill="1" applyBorder="1"/>
    <xf numFmtId="165" fontId="1" fillId="2" borderId="37" xfId="3" applyNumberFormat="1" applyFont="1" applyFill="1" applyBorder="1"/>
    <xf numFmtId="165" fontId="1" fillId="2" borderId="1" xfId="3" applyNumberFormat="1" applyFont="1" applyFill="1" applyBorder="1" applyAlignment="1">
      <alignment vertical="center"/>
    </xf>
    <xf numFmtId="165" fontId="1" fillId="2" borderId="1" xfId="3" applyNumberFormat="1" applyFont="1" applyFill="1" applyBorder="1"/>
    <xf numFmtId="165" fontId="1" fillId="2" borderId="35" xfId="3" applyNumberFormat="1" applyFont="1" applyFill="1" applyBorder="1"/>
    <xf numFmtId="0" fontId="4" fillId="11" borderId="11" xfId="0" applyFont="1" applyFill="1" applyBorder="1" applyAlignment="1">
      <alignment horizontal="center"/>
    </xf>
    <xf numFmtId="44" fontId="4" fillId="11" borderId="12" xfId="3" applyFont="1" applyFill="1" applyBorder="1" applyAlignment="1">
      <alignment horizontal="center"/>
    </xf>
    <xf numFmtId="44" fontId="4" fillId="11" borderId="13" xfId="3" applyFont="1" applyFill="1" applyBorder="1" applyAlignment="1">
      <alignment horizontal="center"/>
    </xf>
    <xf numFmtId="9" fontId="0" fillId="2" borderId="0" xfId="0" applyNumberFormat="1" applyFill="1" applyAlignment="1">
      <alignment horizontal="center"/>
    </xf>
    <xf numFmtId="165" fontId="0" fillId="2" borderId="0" xfId="3" applyNumberFormat="1" applyFont="1" applyFill="1" applyBorder="1"/>
    <xf numFmtId="0" fontId="0" fillId="2" borderId="0" xfId="0" applyFont="1" applyFill="1" applyBorder="1" applyAlignment="1">
      <alignment vertical="center"/>
    </xf>
    <xf numFmtId="0" fontId="11" fillId="0" borderId="1" xfId="0" applyFont="1" applyBorder="1" applyAlignment="1" applyProtection="1">
      <alignment vertical="center" wrapText="1"/>
      <protection locked="0"/>
    </xf>
    <xf numFmtId="165" fontId="4" fillId="2" borderId="0" xfId="3" applyNumberFormat="1" applyFont="1" applyFill="1"/>
    <xf numFmtId="165" fontId="0" fillId="2" borderId="0" xfId="3" applyNumberFormat="1" applyFont="1" applyFill="1" applyBorder="1" applyAlignment="1">
      <alignment vertical="center"/>
    </xf>
    <xf numFmtId="165" fontId="3" fillId="0" borderId="0" xfId="3" applyNumberFormat="1" applyFont="1"/>
    <xf numFmtId="166" fontId="0" fillId="2" borderId="0" xfId="1" applyNumberFormat="1" applyFont="1" applyFill="1"/>
    <xf numFmtId="0" fontId="11" fillId="0" borderId="0" xfId="0" applyFont="1" applyAlignment="1">
      <alignment horizontal="center" vertical="center"/>
    </xf>
    <xf numFmtId="0" fontId="11" fillId="0" borderId="0" xfId="0" applyFont="1" applyAlignment="1">
      <alignment vertical="center"/>
    </xf>
    <xf numFmtId="0" fontId="11" fillId="0" borderId="0" xfId="0" applyFont="1"/>
    <xf numFmtId="0" fontId="11" fillId="10" borderId="0" xfId="0" applyFont="1" applyFill="1"/>
    <xf numFmtId="0" fontId="11" fillId="0" borderId="0" xfId="0" applyFont="1" applyAlignment="1">
      <alignment horizontal="center"/>
    </xf>
    <xf numFmtId="0" fontId="11" fillId="0" borderId="0" xfId="0" applyFont="1" applyAlignment="1">
      <alignment horizontal="left"/>
    </xf>
    <xf numFmtId="0" fontId="11" fillId="0" borderId="22" xfId="0" applyFont="1" applyBorder="1" applyAlignment="1">
      <alignment horizontal="center" vertical="center" wrapText="1"/>
    </xf>
    <xf numFmtId="0" fontId="11" fillId="0" borderId="6" xfId="0" applyFont="1" applyBorder="1" applyAlignment="1" applyProtection="1">
      <alignment vertical="center" wrapText="1"/>
      <protection locked="0"/>
    </xf>
    <xf numFmtId="0" fontId="11" fillId="0" borderId="7" xfId="0" applyFont="1" applyBorder="1" applyAlignment="1" applyProtection="1">
      <alignment vertical="center" wrapText="1"/>
      <protection locked="0"/>
    </xf>
    <xf numFmtId="0" fontId="11" fillId="0" borderId="2" xfId="0" applyFont="1" applyBorder="1" applyAlignment="1">
      <alignment horizontal="center" vertical="center" wrapText="1"/>
    </xf>
    <xf numFmtId="0" fontId="11" fillId="0" borderId="3" xfId="0" applyFont="1" applyBorder="1" applyAlignment="1" applyProtection="1">
      <alignment vertical="center" wrapText="1"/>
      <protection locked="0"/>
    </xf>
    <xf numFmtId="0" fontId="11" fillId="0" borderId="34" xfId="0" applyFont="1" applyBorder="1" applyAlignment="1">
      <alignment horizontal="center" vertical="center" wrapText="1"/>
    </xf>
    <xf numFmtId="0" fontId="11" fillId="0" borderId="35" xfId="0" applyFont="1" applyBorder="1" applyAlignment="1" applyProtection="1">
      <alignment vertical="center" wrapText="1"/>
      <protection locked="0"/>
    </xf>
    <xf numFmtId="0" fontId="11" fillId="0" borderId="39" xfId="0" applyFont="1" applyBorder="1" applyAlignment="1" applyProtection="1">
      <alignment vertical="center" wrapText="1"/>
      <protection locked="0"/>
    </xf>
    <xf numFmtId="0" fontId="11" fillId="0" borderId="0" xfId="0" applyFont="1" applyAlignment="1">
      <alignment horizontal="left" vertical="center"/>
    </xf>
    <xf numFmtId="0" fontId="11" fillId="10" borderId="0" xfId="0" applyFont="1" applyFill="1" applyAlignment="1">
      <alignment vertical="center"/>
    </xf>
    <xf numFmtId="0" fontId="11" fillId="0" borderId="33" xfId="0" applyFont="1" applyBorder="1" applyAlignment="1" applyProtection="1">
      <alignment horizontal="left" vertical="center"/>
      <protection locked="0"/>
    </xf>
    <xf numFmtId="0" fontId="11" fillId="0" borderId="7"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21" xfId="0" applyFont="1" applyBorder="1" applyAlignment="1" applyProtection="1">
      <alignment horizontal="left" vertical="center"/>
      <protection locked="0"/>
    </xf>
    <xf numFmtId="0" fontId="11" fillId="0" borderId="34" xfId="0" applyFont="1" applyBorder="1" applyAlignment="1" applyProtection="1">
      <alignment horizontal="center" vertical="center"/>
      <protection locked="0"/>
    </xf>
    <xf numFmtId="0" fontId="11" fillId="0" borderId="40" xfId="0" applyFont="1" applyBorder="1" applyAlignment="1" applyProtection="1">
      <alignment horizontal="left" vertical="center"/>
      <protection locked="0"/>
    </xf>
    <xf numFmtId="0" fontId="11" fillId="0" borderId="35" xfId="0" applyFont="1" applyBorder="1" applyAlignment="1" applyProtection="1">
      <alignment vertical="center"/>
      <protection locked="0"/>
    </xf>
    <xf numFmtId="0" fontId="11" fillId="0" borderId="39" xfId="0" applyFont="1" applyBorder="1" applyAlignment="1" applyProtection="1">
      <alignment horizontal="center" vertical="center"/>
      <protection locked="0"/>
    </xf>
    <xf numFmtId="0" fontId="11" fillId="10" borderId="0" xfId="0" applyFont="1" applyFill="1" applyAlignment="1">
      <alignment horizontal="center" vertical="center"/>
    </xf>
    <xf numFmtId="0" fontId="11" fillId="10" borderId="0" xfId="0" applyFont="1" applyFill="1" applyAlignment="1">
      <alignment horizontal="left" vertical="center"/>
    </xf>
    <xf numFmtId="165" fontId="0" fillId="2" borderId="0" xfId="3" applyNumberFormat="1" applyFont="1" applyFill="1" applyAlignment="1">
      <alignment horizontal="center"/>
    </xf>
    <xf numFmtId="165" fontId="0" fillId="2" borderId="0" xfId="3" applyNumberFormat="1" applyFont="1" applyFill="1" applyAlignment="1"/>
    <xf numFmtId="0" fontId="0" fillId="2" borderId="0" xfId="0" applyFill="1" applyBorder="1"/>
    <xf numFmtId="165" fontId="0" fillId="2" borderId="0" xfId="0" applyNumberFormat="1" applyFill="1" applyAlignment="1">
      <alignment horizontal="center"/>
    </xf>
    <xf numFmtId="165" fontId="0" fillId="2" borderId="0" xfId="3" applyNumberFormat="1" applyFont="1" applyFill="1" applyAlignment="1">
      <alignment horizontal="left"/>
    </xf>
    <xf numFmtId="0" fontId="4" fillId="2" borderId="0" xfId="0" applyFont="1" applyFill="1" applyBorder="1"/>
    <xf numFmtId="165" fontId="4" fillId="2" borderId="0" xfId="3" applyNumberFormat="1" applyFont="1" applyFill="1" applyBorder="1"/>
    <xf numFmtId="0" fontId="11" fillId="2" borderId="0" xfId="0" applyFont="1" applyFill="1" applyBorder="1" applyAlignment="1" applyProtection="1">
      <alignment horizontal="center" vertical="center"/>
      <protection locked="0"/>
    </xf>
    <xf numFmtId="0" fontId="11" fillId="2" borderId="0" xfId="0" applyFont="1" applyFill="1" applyBorder="1" applyAlignment="1" applyProtection="1">
      <alignment vertical="center"/>
      <protection locked="0"/>
    </xf>
    <xf numFmtId="0" fontId="0" fillId="2" borderId="0" xfId="0" applyFill="1" applyBorder="1" applyAlignment="1">
      <alignment horizontal="center"/>
    </xf>
    <xf numFmtId="165" fontId="0" fillId="2" borderId="0" xfId="3" applyNumberFormat="1" applyFont="1" applyFill="1" applyBorder="1" applyAlignment="1">
      <alignment horizontal="center"/>
    </xf>
    <xf numFmtId="42" fontId="0" fillId="2" borderId="0" xfId="4" applyFont="1" applyFill="1" applyBorder="1"/>
    <xf numFmtId="42" fontId="0" fillId="2" borderId="0" xfId="0" applyNumberFormat="1" applyFill="1" applyBorder="1"/>
    <xf numFmtId="0" fontId="0" fillId="2" borderId="0" xfId="0" applyFill="1" applyBorder="1" applyAlignment="1">
      <alignment horizontal="left"/>
    </xf>
    <xf numFmtId="0" fontId="11" fillId="2" borderId="0" xfId="0" applyFont="1" applyFill="1" applyBorder="1" applyAlignment="1" applyProtection="1">
      <alignment horizontal="left" vertical="center"/>
      <protection hidden="1"/>
    </xf>
    <xf numFmtId="0" fontId="0" fillId="2" borderId="0" xfId="0" applyFont="1" applyFill="1" applyBorder="1" applyAlignment="1">
      <alignment horizontal="left"/>
    </xf>
    <xf numFmtId="168" fontId="14" fillId="0" borderId="1" xfId="0" applyNumberFormat="1" applyFont="1" applyBorder="1" applyAlignment="1" applyProtection="1">
      <alignment vertical="center"/>
      <protection hidden="1"/>
    </xf>
    <xf numFmtId="168" fontId="14" fillId="10" borderId="20" xfId="0" applyNumberFormat="1" applyFont="1" applyFill="1" applyBorder="1" applyAlignment="1" applyProtection="1">
      <alignment horizontal="right" vertical="center"/>
      <protection hidden="1"/>
    </xf>
    <xf numFmtId="0" fontId="0" fillId="0" borderId="14" xfId="0" applyBorder="1"/>
    <xf numFmtId="0" fontId="4" fillId="0" borderId="4" xfId="0" applyFont="1" applyBorder="1"/>
    <xf numFmtId="166" fontId="0" fillId="0" borderId="0" xfId="1" applyNumberFormat="1" applyFont="1"/>
    <xf numFmtId="166" fontId="10" fillId="9" borderId="31" xfId="1" applyNumberFormat="1" applyFont="1" applyFill="1" applyBorder="1" applyAlignment="1">
      <alignment horizontal="center" vertical="center" wrapText="1"/>
    </xf>
    <xf numFmtId="166" fontId="11" fillId="0" borderId="1" xfId="1" applyNumberFormat="1" applyFont="1" applyBorder="1" applyAlignment="1" applyProtection="1">
      <alignment vertical="center"/>
      <protection hidden="1"/>
    </xf>
    <xf numFmtId="166" fontId="11" fillId="10" borderId="20" xfId="1" applyNumberFormat="1" applyFont="1" applyFill="1" applyBorder="1" applyAlignment="1" applyProtection="1">
      <alignment horizontal="right" vertical="center"/>
      <protection hidden="1"/>
    </xf>
    <xf numFmtId="166" fontId="4" fillId="0" borderId="5" xfId="1" applyNumberFormat="1" applyFont="1" applyBorder="1"/>
    <xf numFmtId="166" fontId="0" fillId="0" borderId="41" xfId="1" applyNumberFormat="1" applyFont="1" applyBorder="1"/>
    <xf numFmtId="0" fontId="4" fillId="2" borderId="4" xfId="0" applyFont="1" applyFill="1" applyBorder="1"/>
    <xf numFmtId="0" fontId="0" fillId="2" borderId="14" xfId="0" applyFill="1" applyBorder="1"/>
    <xf numFmtId="165" fontId="4" fillId="2" borderId="5" xfId="3" applyNumberFormat="1" applyFont="1" applyFill="1" applyBorder="1"/>
    <xf numFmtId="165" fontId="0" fillId="2" borderId="41" xfId="3" applyNumberFormat="1" applyFont="1" applyFill="1" applyBorder="1"/>
    <xf numFmtId="0" fontId="7" fillId="2" borderId="0" xfId="0" applyFont="1" applyFill="1" applyAlignment="1">
      <alignment horizontal="center"/>
    </xf>
    <xf numFmtId="0" fontId="4" fillId="6" borderId="26" xfId="0" applyFont="1" applyFill="1" applyBorder="1" applyAlignment="1">
      <alignment horizontal="center"/>
    </xf>
    <xf numFmtId="0" fontId="13" fillId="9" borderId="4" xfId="0" applyFont="1" applyFill="1" applyBorder="1" applyAlignment="1">
      <alignment horizontal="center"/>
    </xf>
    <xf numFmtId="0" fontId="13" fillId="9" borderId="10" xfId="0" applyFont="1" applyFill="1" applyBorder="1" applyAlignment="1">
      <alignment horizontal="center"/>
    </xf>
    <xf numFmtId="0" fontId="13" fillId="9" borderId="5" xfId="0" applyFont="1" applyFill="1" applyBorder="1" applyAlignment="1">
      <alignment horizontal="center"/>
    </xf>
    <xf numFmtId="0" fontId="13" fillId="9" borderId="4" xfId="0" applyFont="1" applyFill="1" applyBorder="1" applyAlignment="1">
      <alignment horizontal="center" vertical="center"/>
    </xf>
    <xf numFmtId="0" fontId="13" fillId="9" borderId="10" xfId="0" applyFont="1" applyFill="1" applyBorder="1" applyAlignment="1">
      <alignment horizontal="center" vertical="center"/>
    </xf>
    <xf numFmtId="0" fontId="13" fillId="9" borderId="5" xfId="0" applyFont="1" applyFill="1" applyBorder="1" applyAlignment="1">
      <alignment horizontal="center" vertical="center"/>
    </xf>
    <xf numFmtId="0" fontId="4" fillId="0" borderId="4" xfId="0" applyFont="1" applyBorder="1" applyAlignment="1">
      <alignment horizontal="center"/>
    </xf>
    <xf numFmtId="0" fontId="4" fillId="0" borderId="5" xfId="0" applyFont="1" applyBorder="1" applyAlignment="1">
      <alignment horizontal="center"/>
    </xf>
    <xf numFmtId="0" fontId="0" fillId="0" borderId="0" xfId="0" applyAlignment="1">
      <alignment horizontal="left" wrapText="1"/>
    </xf>
    <xf numFmtId="0" fontId="6" fillId="2" borderId="0" xfId="0" applyFont="1" applyFill="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2" fillId="3" borderId="13" xfId="0" applyFont="1" applyFill="1" applyBorder="1" applyAlignment="1">
      <alignment horizontal="center"/>
    </xf>
    <xf numFmtId="0" fontId="0" fillId="0" borderId="0" xfId="0" applyAlignment="1">
      <alignment horizontal="center" wrapText="1"/>
    </xf>
    <xf numFmtId="0" fontId="2" fillId="3" borderId="4" xfId="0" applyFont="1" applyFill="1" applyBorder="1" applyAlignment="1">
      <alignment horizontal="center"/>
    </xf>
    <xf numFmtId="0" fontId="2" fillId="3" borderId="10" xfId="0" applyFont="1" applyFill="1" applyBorder="1" applyAlignment="1">
      <alignment horizontal="center"/>
    </xf>
    <xf numFmtId="0" fontId="4" fillId="6" borderId="26" xfId="0" applyFont="1" applyFill="1" applyBorder="1" applyAlignment="1">
      <alignment horizontal="center" wrapText="1"/>
    </xf>
    <xf numFmtId="42" fontId="4" fillId="6" borderId="26" xfId="0" applyNumberFormat="1" applyFont="1" applyFill="1" applyBorder="1" applyAlignment="1">
      <alignment horizontal="center"/>
    </xf>
    <xf numFmtId="0" fontId="4" fillId="7" borderId="0" xfId="0" applyFont="1" applyFill="1" applyAlignment="1">
      <alignment horizontal="center"/>
    </xf>
    <xf numFmtId="0" fontId="4" fillId="7" borderId="0" xfId="0" applyFont="1" applyFill="1" applyAlignment="1">
      <alignment horizontal="center" vertical="center"/>
    </xf>
    <xf numFmtId="0" fontId="4" fillId="7" borderId="27" xfId="0" applyFont="1" applyFill="1" applyBorder="1" applyAlignment="1">
      <alignment horizontal="center"/>
    </xf>
    <xf numFmtId="42" fontId="4" fillId="7" borderId="0" xfId="4" applyFont="1" applyFill="1" applyAlignment="1">
      <alignment horizontal="center" vertical="center" wrapText="1"/>
    </xf>
    <xf numFmtId="166" fontId="10" fillId="12" borderId="31" xfId="1" applyNumberFormat="1" applyFont="1" applyFill="1" applyBorder="1" applyAlignment="1">
      <alignment horizontal="center" vertical="center" wrapText="1"/>
    </xf>
    <xf numFmtId="0" fontId="10" fillId="12" borderId="29" xfId="0" applyFont="1" applyFill="1" applyBorder="1" applyAlignment="1">
      <alignment horizontal="center" vertical="center" wrapText="1"/>
    </xf>
    <xf numFmtId="0" fontId="10" fillId="12" borderId="31" xfId="0" applyFont="1" applyFill="1" applyBorder="1" applyAlignment="1">
      <alignment horizontal="center" vertical="center" wrapText="1"/>
    </xf>
    <xf numFmtId="0" fontId="13" fillId="12" borderId="42" xfId="0" applyFont="1" applyFill="1" applyBorder="1" applyAlignment="1">
      <alignment horizontal="center" vertical="center" wrapText="1"/>
    </xf>
    <xf numFmtId="0" fontId="13" fillId="12" borderId="30" xfId="0" applyFont="1" applyFill="1" applyBorder="1" applyAlignment="1">
      <alignment horizontal="center" vertical="center" wrapText="1"/>
    </xf>
    <xf numFmtId="0" fontId="13" fillId="12" borderId="31" xfId="0" applyFont="1" applyFill="1" applyBorder="1" applyAlignment="1">
      <alignment horizontal="center" vertical="center" wrapText="1"/>
    </xf>
    <xf numFmtId="165" fontId="13" fillId="12" borderId="31" xfId="3" applyNumberFormat="1" applyFont="1" applyFill="1" applyBorder="1" applyAlignment="1">
      <alignment horizontal="center" vertical="center" wrapText="1"/>
    </xf>
    <xf numFmtId="0" fontId="4" fillId="12" borderId="4" xfId="0" applyFont="1" applyFill="1" applyBorder="1" applyAlignment="1">
      <alignment horizontal="left" vertical="center"/>
    </xf>
    <xf numFmtId="0" fontId="4" fillId="12" borderId="10" xfId="0" applyFont="1" applyFill="1" applyBorder="1" applyAlignment="1">
      <alignment vertical="center"/>
    </xf>
    <xf numFmtId="0" fontId="4" fillId="12" borderId="10" xfId="0" applyFont="1" applyFill="1" applyBorder="1" applyAlignment="1">
      <alignment horizontal="center" vertical="center"/>
    </xf>
    <xf numFmtId="165" fontId="4" fillId="12" borderId="10" xfId="3" applyNumberFormat="1" applyFont="1" applyFill="1" applyBorder="1" applyAlignment="1">
      <alignment vertical="center"/>
    </xf>
    <xf numFmtId="165" fontId="4" fillId="12" borderId="5" xfId="3" applyNumberFormat="1" applyFont="1" applyFill="1" applyBorder="1" applyAlignment="1">
      <alignment vertical="center"/>
    </xf>
    <xf numFmtId="0" fontId="4" fillId="12" borderId="4" xfId="0" applyFont="1" applyFill="1" applyBorder="1" applyAlignment="1">
      <alignment horizontal="left"/>
    </xf>
    <xf numFmtId="0" fontId="4" fillId="12" borderId="10" xfId="0" applyFont="1" applyFill="1" applyBorder="1"/>
    <xf numFmtId="0" fontId="4" fillId="12" borderId="10" xfId="0" applyFont="1" applyFill="1" applyBorder="1" applyAlignment="1">
      <alignment horizontal="center"/>
    </xf>
    <xf numFmtId="165" fontId="4" fillId="12" borderId="10" xfId="3" applyNumberFormat="1" applyFont="1" applyFill="1" applyBorder="1"/>
    <xf numFmtId="165" fontId="4" fillId="12" borderId="5" xfId="3" applyNumberFormat="1" applyFont="1" applyFill="1" applyBorder="1"/>
    <xf numFmtId="0" fontId="4" fillId="12" borderId="26" xfId="0" applyFont="1" applyFill="1" applyBorder="1"/>
    <xf numFmtId="0" fontId="4" fillId="12" borderId="26" xfId="0" applyFont="1" applyFill="1" applyBorder="1" applyAlignment="1">
      <alignment horizontal="center"/>
    </xf>
    <xf numFmtId="165" fontId="4" fillId="12" borderId="26" xfId="3" applyNumberFormat="1" applyFont="1" applyFill="1" applyBorder="1"/>
    <xf numFmtId="0" fontId="4" fillId="12" borderId="4" xfId="0" applyFont="1" applyFill="1" applyBorder="1" applyAlignment="1">
      <alignment horizontal="center"/>
    </xf>
    <xf numFmtId="0" fontId="4" fillId="12" borderId="10" xfId="0" applyFont="1" applyFill="1" applyBorder="1" applyAlignment="1">
      <alignment horizontal="left"/>
    </xf>
    <xf numFmtId="165" fontId="4" fillId="12" borderId="10" xfId="3" applyNumberFormat="1" applyFont="1" applyFill="1" applyBorder="1" applyAlignment="1">
      <alignment horizontal="center"/>
    </xf>
    <xf numFmtId="165" fontId="4" fillId="12" borderId="5" xfId="3" applyNumberFormat="1" applyFont="1" applyFill="1" applyBorder="1" applyAlignment="1">
      <alignment horizontal="center"/>
    </xf>
    <xf numFmtId="0" fontId="4" fillId="12" borderId="11" xfId="0" applyFont="1" applyFill="1" applyBorder="1" applyAlignment="1">
      <alignment horizontal="center"/>
    </xf>
    <xf numFmtId="0" fontId="4" fillId="12" borderId="12" xfId="0" applyFont="1" applyFill="1" applyBorder="1" applyAlignment="1">
      <alignment horizontal="center"/>
    </xf>
    <xf numFmtId="0" fontId="4" fillId="12" borderId="13" xfId="0" applyFont="1" applyFill="1" applyBorder="1" applyAlignment="1">
      <alignment horizontal="center"/>
    </xf>
    <xf numFmtId="0" fontId="10" fillId="12" borderId="32" xfId="0" applyFont="1" applyFill="1" applyBorder="1" applyAlignment="1">
      <alignment horizontal="center" vertical="center" wrapText="1"/>
    </xf>
    <xf numFmtId="168" fontId="14" fillId="0" borderId="3" xfId="0" applyNumberFormat="1" applyFont="1" applyBorder="1" applyAlignment="1" applyProtection="1">
      <alignment vertical="center"/>
      <protection hidden="1"/>
    </xf>
    <xf numFmtId="0" fontId="14" fillId="12" borderId="43" xfId="0" applyFont="1" applyFill="1" applyBorder="1" applyAlignment="1" applyProtection="1">
      <alignment horizontal="center" vertical="center"/>
      <protection hidden="1"/>
    </xf>
    <xf numFmtId="166" fontId="14" fillId="12" borderId="44" xfId="1" applyNumberFormat="1" applyFont="1" applyFill="1" applyBorder="1" applyAlignment="1" applyProtection="1">
      <alignment horizontal="right" vertical="center"/>
      <protection hidden="1"/>
    </xf>
    <xf numFmtId="168" fontId="14" fillId="12" borderId="44" xfId="0" applyNumberFormat="1" applyFont="1" applyFill="1" applyBorder="1" applyAlignment="1" applyProtection="1">
      <alignment horizontal="right" vertical="center"/>
      <protection hidden="1"/>
    </xf>
    <xf numFmtId="0" fontId="11" fillId="0" borderId="34" xfId="0" applyFont="1" applyBorder="1" applyAlignment="1" applyProtection="1">
      <alignment horizontal="center" vertical="center"/>
      <protection hidden="1"/>
    </xf>
    <xf numFmtId="0" fontId="11" fillId="0" borderId="35" xfId="0" applyFont="1" applyBorder="1" applyAlignment="1" applyProtection="1">
      <alignment vertical="center"/>
      <protection hidden="1"/>
    </xf>
    <xf numFmtId="166" fontId="11" fillId="0" borderId="35" xfId="1" applyNumberFormat="1" applyFont="1" applyBorder="1" applyAlignment="1" applyProtection="1">
      <alignment vertical="center"/>
      <protection hidden="1"/>
    </xf>
    <xf numFmtId="44" fontId="11" fillId="0" borderId="35" xfId="3" applyFont="1" applyBorder="1" applyAlignment="1" applyProtection="1">
      <alignment vertical="center"/>
      <protection hidden="1"/>
    </xf>
    <xf numFmtId="168" fontId="14" fillId="0" borderId="39" xfId="0" applyNumberFormat="1" applyFont="1" applyBorder="1" applyAlignment="1" applyProtection="1">
      <alignment vertical="center"/>
      <protection hidden="1"/>
    </xf>
    <xf numFmtId="44" fontId="0" fillId="2" borderId="0" xfId="3" applyNumberFormat="1" applyFont="1" applyFill="1"/>
  </cellXfs>
  <cellStyles count="6">
    <cellStyle name="Millares" xfId="1" builtinId="3"/>
    <cellStyle name="Millares [0]" xfId="2" builtinId="6"/>
    <cellStyle name="Moneda" xfId="3" builtinId="4"/>
    <cellStyle name="Moneda [0]" xfId="4" builtinId="7"/>
    <cellStyle name="Normal" xfId="0" builtinId="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A%20POSADA/Documents/ADA/EAN/SEMESTRE%20III/TRABAJO%20DE%20GRADO/Noviembre%2017/2%20Plantilla%20Presupuesto%20Blanco%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regables"/>
      <sheetName val="Actividades"/>
      <sheetName val="Definición Recursos"/>
      <sheetName val="Asignacion Recursos Horas"/>
      <sheetName val="Asignación Recursos Global"/>
      <sheetName val="Presupuesto"/>
      <sheetName val="Ejecución Presupuestal"/>
    </sheetNames>
    <sheetDataSet>
      <sheetData sheetId="0">
        <row r="5">
          <cell r="C5" t="str">
            <v xml:space="preserve">Levantamiento de información </v>
          </cell>
        </row>
        <row r="6">
          <cell r="C6" t="str">
            <v>Centralización de información</v>
          </cell>
        </row>
        <row r="7">
          <cell r="C7" t="str">
            <v>Desarrollo, configuración y parametrización</v>
          </cell>
        </row>
        <row r="8">
          <cell r="C8" t="str">
            <v>Pruebas Finales</v>
          </cell>
        </row>
        <row r="9">
          <cell r="C9" t="str">
            <v>Formación y capacitación del SIG</v>
          </cell>
        </row>
        <row r="10">
          <cell r="C10" t="str">
            <v>Puesta en Producción</v>
          </cell>
        </row>
        <row r="11">
          <cell r="C11" t="str">
            <v>Documentación del proyecto</v>
          </cell>
        </row>
        <row r="12">
          <cell r="C12"/>
        </row>
        <row r="13">
          <cell r="C13"/>
        </row>
        <row r="14">
          <cell r="C14"/>
        </row>
        <row r="15">
          <cell r="C15"/>
        </row>
        <row r="16">
          <cell r="C16"/>
        </row>
        <row r="17">
          <cell r="C17"/>
        </row>
        <row r="18">
          <cell r="C18"/>
        </row>
        <row r="19">
          <cell r="C19"/>
        </row>
        <row r="20">
          <cell r="C20"/>
        </row>
        <row r="21">
          <cell r="C21"/>
        </row>
        <row r="22">
          <cell r="C22"/>
        </row>
        <row r="23">
          <cell r="C23"/>
        </row>
        <row r="24">
          <cell r="C24"/>
        </row>
      </sheetData>
      <sheetData sheetId="1"/>
      <sheetData sheetId="2">
        <row r="5">
          <cell r="C5" t="str">
            <v xml:space="preserve">Gerente del proyecto </v>
          </cell>
        </row>
        <row r="6">
          <cell r="C6" t="str">
            <v>Líder Funcional</v>
          </cell>
        </row>
        <row r="7">
          <cell r="C7" t="str">
            <v>Especialista en arquitectura</v>
          </cell>
        </row>
        <row r="8">
          <cell r="C8" t="str">
            <v>Administrador en bases de datos</v>
          </cell>
        </row>
        <row r="9">
          <cell r="C9" t="str">
            <v>Ingeniero de seguridad</v>
          </cell>
        </row>
        <row r="10">
          <cell r="C10" t="str">
            <v>Ingeniero de redes</v>
          </cell>
        </row>
        <row r="11">
          <cell r="C11" t="str">
            <v>Especialista en gestión del cambio</v>
          </cell>
        </row>
        <row r="12">
          <cell r="C12" t="str">
            <v>Desarrollador de software</v>
          </cell>
        </row>
        <row r="13">
          <cell r="C13" t="str">
            <v xml:space="preserve">Analista de pruebas </v>
          </cell>
        </row>
        <row r="14">
          <cell r="C14" t="str">
            <v>Lider de mesa de ayuda</v>
          </cell>
        </row>
        <row r="15">
          <cell r="C15"/>
        </row>
        <row r="16">
          <cell r="C16"/>
        </row>
        <row r="17">
          <cell r="C17"/>
        </row>
        <row r="18">
          <cell r="C18"/>
        </row>
        <row r="19">
          <cell r="C19"/>
        </row>
        <row r="20">
          <cell r="C20"/>
        </row>
        <row r="21">
          <cell r="C21"/>
        </row>
        <row r="22">
          <cell r="C22"/>
        </row>
        <row r="23">
          <cell r="C23"/>
        </row>
        <row r="24">
          <cell r="C24"/>
        </row>
        <row r="25">
          <cell r="C25"/>
        </row>
        <row r="26">
          <cell r="C26"/>
        </row>
        <row r="27">
          <cell r="C27"/>
        </row>
        <row r="28">
          <cell r="C28"/>
        </row>
        <row r="29">
          <cell r="C29"/>
        </row>
        <row r="30">
          <cell r="C30"/>
        </row>
        <row r="31">
          <cell r="C31"/>
        </row>
        <row r="32">
          <cell r="C32"/>
        </row>
        <row r="33">
          <cell r="C33"/>
        </row>
        <row r="34">
          <cell r="C34"/>
        </row>
      </sheetData>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52BBB-3487-44A4-810F-682F688414B8}">
  <dimension ref="B1:N44"/>
  <sheetViews>
    <sheetView showGridLines="0" topLeftCell="A18" zoomScale="72" workbookViewId="0">
      <selection activeCell="J27" sqref="J27"/>
    </sheetView>
  </sheetViews>
  <sheetFormatPr baseColWidth="10" defaultColWidth="11.3984375" defaultRowHeight="14.25" x14ac:dyDescent="0.45"/>
  <cols>
    <col min="1" max="1" width="11.3984375" style="4"/>
    <col min="2" max="2" width="47.73046875" customWidth="1"/>
    <col min="3" max="3" width="8.6640625" bestFit="1" customWidth="1"/>
    <col min="4" max="4" width="4.59765625" bestFit="1" customWidth="1"/>
    <col min="5" max="5" width="11.46484375" bestFit="1" customWidth="1"/>
    <col min="6" max="6" width="10.19921875" bestFit="1" customWidth="1"/>
    <col min="7" max="7" width="11.86328125" bestFit="1" customWidth="1"/>
    <col min="8" max="8" width="21.86328125" customWidth="1"/>
    <col min="9" max="9" width="18.3984375" bestFit="1" customWidth="1"/>
    <col min="10" max="10" width="18.3984375" customWidth="1"/>
    <col min="11" max="11" width="21.59765625" customWidth="1"/>
    <col min="12" max="12" width="16.73046875" bestFit="1" customWidth="1"/>
    <col min="13" max="13" width="11.3984375" style="4"/>
    <col min="14" max="14" width="21" style="4" bestFit="1" customWidth="1"/>
    <col min="15" max="16384" width="11.3984375" style="4"/>
  </cols>
  <sheetData>
    <row r="1" spans="2:12" ht="18" x14ac:dyDescent="0.55000000000000004">
      <c r="B1" s="260" t="s">
        <v>225</v>
      </c>
      <c r="C1" s="260"/>
      <c r="D1" s="260"/>
      <c r="E1" s="260"/>
      <c r="F1" s="260"/>
      <c r="G1" s="260"/>
      <c r="H1" s="260"/>
      <c r="I1" s="260"/>
      <c r="J1" s="260"/>
      <c r="K1" s="260"/>
      <c r="L1" s="260"/>
    </row>
    <row r="2" spans="2:12" x14ac:dyDescent="0.45">
      <c r="B2" s="4"/>
      <c r="C2" s="4"/>
      <c r="D2" s="4"/>
      <c r="E2" s="4"/>
      <c r="F2" s="4"/>
      <c r="G2" s="4"/>
      <c r="H2" s="4"/>
      <c r="I2" s="4"/>
      <c r="J2" s="4"/>
      <c r="K2" s="4"/>
      <c r="L2" s="4"/>
    </row>
    <row r="3" spans="2:12" x14ac:dyDescent="0.45">
      <c r="B3" s="261" t="s">
        <v>164</v>
      </c>
      <c r="C3" s="261"/>
      <c r="D3" s="261"/>
      <c r="E3" s="261"/>
      <c r="F3" s="261"/>
      <c r="G3" s="261"/>
      <c r="H3" s="261"/>
      <c r="I3" s="261"/>
      <c r="J3" s="261"/>
      <c r="K3" s="261"/>
      <c r="L3" s="86"/>
    </row>
    <row r="4" spans="2:12" x14ac:dyDescent="0.45">
      <c r="B4" s="86" t="s">
        <v>203</v>
      </c>
      <c r="C4" s="86" t="s">
        <v>165</v>
      </c>
      <c r="D4" s="86" t="s">
        <v>172</v>
      </c>
      <c r="E4" s="86" t="s">
        <v>205</v>
      </c>
      <c r="F4" s="86" t="s">
        <v>206</v>
      </c>
      <c r="G4" s="86" t="s">
        <v>189</v>
      </c>
      <c r="H4" s="86" t="s">
        <v>160</v>
      </c>
      <c r="I4" s="86" t="s">
        <v>161</v>
      </c>
      <c r="J4" s="86" t="s">
        <v>162</v>
      </c>
      <c r="K4" s="86" t="s">
        <v>163</v>
      </c>
      <c r="L4" s="86" t="s">
        <v>75</v>
      </c>
    </row>
    <row r="5" spans="2:12" x14ac:dyDescent="0.45">
      <c r="B5" s="82" t="s">
        <v>204</v>
      </c>
      <c r="C5" s="144"/>
      <c r="D5" s="144"/>
      <c r="E5" s="144"/>
      <c r="F5" s="144"/>
      <c r="G5" s="144"/>
      <c r="H5" s="4"/>
      <c r="I5" s="4"/>
      <c r="J5" s="4"/>
      <c r="K5" s="4"/>
      <c r="L5" s="5"/>
    </row>
    <row r="6" spans="2:12" x14ac:dyDescent="0.45">
      <c r="B6" s="147" t="s">
        <v>222</v>
      </c>
      <c r="C6" s="145" t="s">
        <v>201</v>
      </c>
      <c r="D6" s="148">
        <v>18</v>
      </c>
      <c r="E6" s="148">
        <v>4</v>
      </c>
      <c r="F6" s="148">
        <f>+D6*E6</f>
        <v>72</v>
      </c>
      <c r="G6" s="149">
        <f>5000000/(8*30)</f>
        <v>20833.333333333332</v>
      </c>
      <c r="H6" s="152">
        <f>G6*F6</f>
        <v>1500000</v>
      </c>
      <c r="I6" s="84"/>
      <c r="J6" s="84"/>
      <c r="K6" s="4"/>
      <c r="L6" s="156">
        <f>SUM(H6:K6)</f>
        <v>1500000</v>
      </c>
    </row>
    <row r="7" spans="2:12" x14ac:dyDescent="0.45">
      <c r="B7" s="147" t="s">
        <v>181</v>
      </c>
      <c r="C7" s="145" t="s">
        <v>201</v>
      </c>
      <c r="D7" s="148">
        <v>5</v>
      </c>
      <c r="E7" s="148">
        <v>4</v>
      </c>
      <c r="F7" s="148">
        <f t="shared" ref="F7:F8" si="0">+D7*E7</f>
        <v>20</v>
      </c>
      <c r="G7" s="149">
        <f>3000000/(8*30)</f>
        <v>12500</v>
      </c>
      <c r="H7" s="152">
        <f>G7*F7</f>
        <v>250000</v>
      </c>
      <c r="I7" s="84"/>
      <c r="J7" s="84"/>
      <c r="K7" s="4"/>
      <c r="L7" s="156">
        <f t="shared" ref="L7:L39" si="1">SUM(H7:K7)</f>
        <v>250000</v>
      </c>
    </row>
    <row r="8" spans="2:12" x14ac:dyDescent="0.45">
      <c r="B8" s="147" t="s">
        <v>185</v>
      </c>
      <c r="C8" s="145" t="s">
        <v>201</v>
      </c>
      <c r="D8" s="148">
        <v>5</v>
      </c>
      <c r="E8" s="148">
        <v>4</v>
      </c>
      <c r="F8" s="148">
        <f t="shared" si="0"/>
        <v>20</v>
      </c>
      <c r="G8" s="149">
        <f>3500000/(8*30)</f>
        <v>14583.333333333334</v>
      </c>
      <c r="H8" s="152">
        <f>G8*F8</f>
        <v>291666.66666666669</v>
      </c>
      <c r="I8" s="84"/>
      <c r="J8" s="84"/>
      <c r="K8" s="4"/>
      <c r="L8" s="156">
        <f t="shared" si="1"/>
        <v>291666.66666666669</v>
      </c>
    </row>
    <row r="9" spans="2:12" x14ac:dyDescent="0.45">
      <c r="B9" s="82" t="s">
        <v>207</v>
      </c>
      <c r="C9" s="144"/>
      <c r="D9" s="144"/>
      <c r="E9" s="144"/>
      <c r="F9" s="144"/>
      <c r="G9" s="144"/>
      <c r="H9" s="84"/>
      <c r="I9" s="84"/>
      <c r="J9" s="84"/>
      <c r="K9" s="4"/>
      <c r="L9" s="156">
        <f t="shared" si="1"/>
        <v>0</v>
      </c>
    </row>
    <row r="10" spans="2:12" x14ac:dyDescent="0.45">
      <c r="B10" s="147" t="s">
        <v>222</v>
      </c>
      <c r="C10" s="145" t="s">
        <v>201</v>
      </c>
      <c r="D10" s="3">
        <v>21</v>
      </c>
      <c r="E10" s="3">
        <v>1</v>
      </c>
      <c r="F10" s="3">
        <f t="shared" ref="F10:F12" si="2">+D10*E10</f>
        <v>21</v>
      </c>
      <c r="G10" s="136">
        <f>5000000/(8*30)</f>
        <v>20833.333333333332</v>
      </c>
      <c r="H10" s="84"/>
      <c r="I10" s="153">
        <f>G10*F10</f>
        <v>437500</v>
      </c>
      <c r="J10" s="84"/>
      <c r="K10" s="4"/>
      <c r="L10" s="156">
        <f t="shared" si="1"/>
        <v>437500</v>
      </c>
    </row>
    <row r="11" spans="2:12" x14ac:dyDescent="0.45">
      <c r="B11" s="147" t="s">
        <v>223</v>
      </c>
      <c r="C11" s="145" t="s">
        <v>201</v>
      </c>
      <c r="D11" s="3">
        <v>21</v>
      </c>
      <c r="E11" s="3">
        <v>2</v>
      </c>
      <c r="F11" s="3">
        <f t="shared" si="2"/>
        <v>42</v>
      </c>
      <c r="G11" s="136">
        <f t="shared" ref="G11:G12" si="3">4000000/(8*30)</f>
        <v>16666.666666666668</v>
      </c>
      <c r="H11" s="84"/>
      <c r="I11" s="153">
        <f>G11*F11</f>
        <v>700000</v>
      </c>
      <c r="J11" s="84"/>
      <c r="K11" s="4"/>
      <c r="L11" s="156">
        <f t="shared" si="1"/>
        <v>700000</v>
      </c>
    </row>
    <row r="12" spans="2:12" x14ac:dyDescent="0.45">
      <c r="B12" s="147" t="s">
        <v>224</v>
      </c>
      <c r="C12" s="145" t="s">
        <v>201</v>
      </c>
      <c r="D12" s="3">
        <v>21</v>
      </c>
      <c r="E12" s="3">
        <v>2</v>
      </c>
      <c r="F12" s="3">
        <f t="shared" si="2"/>
        <v>42</v>
      </c>
      <c r="G12" s="136">
        <f t="shared" si="3"/>
        <v>16666.666666666668</v>
      </c>
      <c r="H12" s="84"/>
      <c r="I12" s="153">
        <f>G12*F12</f>
        <v>700000</v>
      </c>
      <c r="J12" s="84"/>
      <c r="K12" s="4"/>
      <c r="L12" s="156">
        <f t="shared" si="1"/>
        <v>700000</v>
      </c>
    </row>
    <row r="13" spans="2:12" x14ac:dyDescent="0.45">
      <c r="B13" s="82" t="s">
        <v>209</v>
      </c>
      <c r="C13" s="144"/>
      <c r="D13" s="144"/>
      <c r="E13" s="144"/>
      <c r="F13" s="144"/>
      <c r="G13" s="144"/>
      <c r="H13" s="84"/>
      <c r="I13" s="84"/>
      <c r="J13" s="84"/>
      <c r="K13" s="4"/>
      <c r="L13" s="156">
        <f t="shared" si="1"/>
        <v>0</v>
      </c>
    </row>
    <row r="14" spans="2:12" x14ac:dyDescent="0.45">
      <c r="B14" s="147" t="s">
        <v>222</v>
      </c>
      <c r="C14" s="145" t="s">
        <v>201</v>
      </c>
      <c r="D14" s="3">
        <v>11</v>
      </c>
      <c r="E14" s="3">
        <v>3</v>
      </c>
      <c r="F14" s="3">
        <f t="shared" ref="F14:F16" si="4">+D14*E14</f>
        <v>33</v>
      </c>
      <c r="G14" s="136">
        <f>5000000/(8*30)</f>
        <v>20833.333333333332</v>
      </c>
      <c r="H14" s="84"/>
      <c r="I14" s="84"/>
      <c r="J14" s="151">
        <f>+G14*F14</f>
        <v>687500</v>
      </c>
      <c r="K14" s="4"/>
      <c r="L14" s="156">
        <f t="shared" si="1"/>
        <v>687500</v>
      </c>
    </row>
    <row r="15" spans="2:12" x14ac:dyDescent="0.45">
      <c r="B15" s="147" t="s">
        <v>223</v>
      </c>
      <c r="C15" s="145" t="s">
        <v>201</v>
      </c>
      <c r="D15" s="3">
        <v>11</v>
      </c>
      <c r="E15" s="3">
        <v>4</v>
      </c>
      <c r="F15" s="3">
        <f t="shared" si="4"/>
        <v>44</v>
      </c>
      <c r="G15" s="136">
        <f t="shared" ref="G15:G16" si="5">4000000/(8*30)</f>
        <v>16666.666666666668</v>
      </c>
      <c r="H15" s="84"/>
      <c r="I15" s="84"/>
      <c r="J15" s="151">
        <f>+G15*F15</f>
        <v>733333.33333333337</v>
      </c>
      <c r="K15" s="4"/>
      <c r="L15" s="156">
        <f t="shared" si="1"/>
        <v>733333.33333333337</v>
      </c>
    </row>
    <row r="16" spans="2:12" x14ac:dyDescent="0.45">
      <c r="B16" s="147" t="s">
        <v>224</v>
      </c>
      <c r="C16" s="145" t="s">
        <v>201</v>
      </c>
      <c r="D16" s="3">
        <v>11</v>
      </c>
      <c r="E16" s="3">
        <v>4</v>
      </c>
      <c r="F16" s="3">
        <f t="shared" si="4"/>
        <v>44</v>
      </c>
      <c r="G16" s="136">
        <f t="shared" si="5"/>
        <v>16666.666666666668</v>
      </c>
      <c r="H16" s="84"/>
      <c r="I16" s="84"/>
      <c r="J16" s="151">
        <f>+G16*F16</f>
        <v>733333.33333333337</v>
      </c>
      <c r="K16" s="4"/>
      <c r="L16" s="156">
        <f t="shared" si="1"/>
        <v>733333.33333333337</v>
      </c>
    </row>
    <row r="17" spans="2:12" x14ac:dyDescent="0.45">
      <c r="B17" s="82" t="s">
        <v>208</v>
      </c>
      <c r="C17" s="144"/>
      <c r="D17" s="144"/>
      <c r="E17" s="144"/>
      <c r="F17" s="144"/>
      <c r="G17" s="144"/>
      <c r="H17" s="4"/>
      <c r="I17" s="4"/>
      <c r="J17" s="4"/>
      <c r="K17" s="4"/>
      <c r="L17" s="156">
        <f t="shared" si="1"/>
        <v>0</v>
      </c>
    </row>
    <row r="18" spans="2:12" x14ac:dyDescent="0.45">
      <c r="B18" s="147" t="s">
        <v>222</v>
      </c>
      <c r="C18" s="145" t="s">
        <v>201</v>
      </c>
      <c r="D18" s="148">
        <v>10</v>
      </c>
      <c r="E18" s="148">
        <v>3</v>
      </c>
      <c r="F18" s="148">
        <f t="shared" ref="F18:F21" si="6">+D18*E18</f>
        <v>30</v>
      </c>
      <c r="G18" s="149">
        <f>5000000/(8*30)</f>
        <v>20833.333333333332</v>
      </c>
      <c r="H18" s="4"/>
      <c r="I18" s="4"/>
      <c r="J18" s="151">
        <f>+G18*F18</f>
        <v>625000</v>
      </c>
      <c r="K18" s="4"/>
      <c r="L18" s="156">
        <f t="shared" si="1"/>
        <v>625000</v>
      </c>
    </row>
    <row r="19" spans="2:12" x14ac:dyDescent="0.45">
      <c r="B19" s="147" t="s">
        <v>223</v>
      </c>
      <c r="C19" s="145" t="s">
        <v>201</v>
      </c>
      <c r="D19" s="148">
        <v>10</v>
      </c>
      <c r="E19" s="148">
        <v>3</v>
      </c>
      <c r="F19" s="148">
        <f t="shared" si="6"/>
        <v>30</v>
      </c>
      <c r="G19" s="149">
        <f t="shared" ref="G19:G20" si="7">4000000/(8*30)</f>
        <v>16666.666666666668</v>
      </c>
      <c r="H19" s="4"/>
      <c r="I19" s="4"/>
      <c r="J19" s="151">
        <f>+G19*F19</f>
        <v>500000.00000000006</v>
      </c>
      <c r="K19" s="4"/>
      <c r="L19" s="156">
        <f t="shared" si="1"/>
        <v>500000.00000000006</v>
      </c>
    </row>
    <row r="20" spans="2:12" x14ac:dyDescent="0.45">
      <c r="B20" s="147" t="s">
        <v>224</v>
      </c>
      <c r="C20" s="145" t="s">
        <v>201</v>
      </c>
      <c r="D20" s="148">
        <v>10</v>
      </c>
      <c r="E20" s="148">
        <v>3</v>
      </c>
      <c r="F20" s="148">
        <f t="shared" si="6"/>
        <v>30</v>
      </c>
      <c r="G20" s="149">
        <f t="shared" si="7"/>
        <v>16666.666666666668</v>
      </c>
      <c r="H20" s="150"/>
      <c r="I20" s="4"/>
      <c r="J20" s="151">
        <f>+G20*F20</f>
        <v>500000.00000000006</v>
      </c>
      <c r="K20" s="4"/>
      <c r="L20" s="156">
        <f t="shared" si="1"/>
        <v>500000.00000000006</v>
      </c>
    </row>
    <row r="21" spans="2:12" x14ac:dyDescent="0.45">
      <c r="B21" s="147" t="s">
        <v>185</v>
      </c>
      <c r="C21" s="145" t="s">
        <v>201</v>
      </c>
      <c r="D21" s="148">
        <v>10</v>
      </c>
      <c r="E21" s="148">
        <v>3</v>
      </c>
      <c r="F21" s="148">
        <f t="shared" si="6"/>
        <v>30</v>
      </c>
      <c r="G21" s="149">
        <f>3500000/(8*30)</f>
        <v>14583.333333333334</v>
      </c>
      <c r="H21" s="150"/>
      <c r="I21" s="4"/>
      <c r="J21" s="151">
        <f>+G21*F21</f>
        <v>437500</v>
      </c>
      <c r="K21" s="4"/>
      <c r="L21" s="156">
        <f t="shared" si="1"/>
        <v>437500</v>
      </c>
    </row>
    <row r="22" spans="2:12" ht="28.5" x14ac:dyDescent="0.45">
      <c r="B22" s="146" t="s">
        <v>210</v>
      </c>
      <c r="C22" s="145"/>
      <c r="D22" s="148"/>
      <c r="E22" s="148"/>
      <c r="F22" s="148"/>
      <c r="G22" s="149"/>
      <c r="H22" s="150"/>
      <c r="I22" s="4"/>
      <c r="J22" s="151"/>
      <c r="K22" s="4"/>
      <c r="L22" s="156">
        <f t="shared" si="1"/>
        <v>0</v>
      </c>
    </row>
    <row r="23" spans="2:12" x14ac:dyDescent="0.45">
      <c r="B23" s="147" t="s">
        <v>222</v>
      </c>
      <c r="C23" s="145" t="s">
        <v>201</v>
      </c>
      <c r="D23" s="148">
        <v>3</v>
      </c>
      <c r="E23" s="148">
        <v>3</v>
      </c>
      <c r="F23" s="148">
        <f t="shared" ref="F23:F25" si="8">+D23*E23</f>
        <v>9</v>
      </c>
      <c r="G23" s="149">
        <f>5000000/(8*30)</f>
        <v>20833.333333333332</v>
      </c>
      <c r="H23" s="150"/>
      <c r="I23" s="4"/>
      <c r="J23" s="4"/>
      <c r="K23" s="151">
        <f>+G23*F23</f>
        <v>187500</v>
      </c>
      <c r="L23" s="156">
        <f t="shared" si="1"/>
        <v>187500</v>
      </c>
    </row>
    <row r="24" spans="2:12" x14ac:dyDescent="0.45">
      <c r="B24" s="147" t="s">
        <v>223</v>
      </c>
      <c r="C24" s="145" t="s">
        <v>201</v>
      </c>
      <c r="D24" s="148">
        <v>3</v>
      </c>
      <c r="E24" s="148">
        <v>3</v>
      </c>
      <c r="F24" s="148">
        <f t="shared" si="8"/>
        <v>9</v>
      </c>
      <c r="G24" s="149">
        <f t="shared" ref="G24:G29" si="9">4000000/(8*30)</f>
        <v>16666.666666666668</v>
      </c>
      <c r="H24" s="150"/>
      <c r="I24" s="4"/>
      <c r="J24" s="4"/>
      <c r="K24" s="151">
        <f t="shared" ref="K24:K31" si="10">+G24*F24</f>
        <v>150000</v>
      </c>
      <c r="L24" s="156">
        <f t="shared" si="1"/>
        <v>150000</v>
      </c>
    </row>
    <row r="25" spans="2:12" x14ac:dyDescent="0.45">
      <c r="B25" s="147" t="s">
        <v>224</v>
      </c>
      <c r="C25" s="145" t="s">
        <v>201</v>
      </c>
      <c r="D25" s="148">
        <v>3</v>
      </c>
      <c r="E25" s="148">
        <v>3</v>
      </c>
      <c r="F25" s="148">
        <f t="shared" si="8"/>
        <v>9</v>
      </c>
      <c r="G25" s="149">
        <f t="shared" si="9"/>
        <v>16666.666666666668</v>
      </c>
      <c r="H25" s="150"/>
      <c r="I25" s="4"/>
      <c r="J25" s="4"/>
      <c r="K25" s="151">
        <f t="shared" si="10"/>
        <v>150000</v>
      </c>
      <c r="L25" s="156">
        <f t="shared" si="1"/>
        <v>150000</v>
      </c>
    </row>
    <row r="26" spans="2:12" ht="28.5" x14ac:dyDescent="0.45">
      <c r="B26" s="146" t="s">
        <v>211</v>
      </c>
      <c r="C26" s="145"/>
      <c r="D26" s="148"/>
      <c r="E26" s="148"/>
      <c r="F26" s="148"/>
      <c r="G26" s="149"/>
      <c r="H26" s="150"/>
      <c r="I26" s="4"/>
      <c r="J26" s="4"/>
      <c r="K26" s="4"/>
      <c r="L26" s="156">
        <f t="shared" si="1"/>
        <v>0</v>
      </c>
    </row>
    <row r="27" spans="2:12" x14ac:dyDescent="0.45">
      <c r="B27" s="147" t="s">
        <v>222</v>
      </c>
      <c r="C27" s="145" t="s">
        <v>201</v>
      </c>
      <c r="D27" s="148">
        <v>4</v>
      </c>
      <c r="E27" s="148">
        <v>4</v>
      </c>
      <c r="F27" s="148">
        <f t="shared" ref="F27:F31" si="11">+D27*E27</f>
        <v>16</v>
      </c>
      <c r="G27" s="149">
        <f>5000000/(8*30)</f>
        <v>20833.333333333332</v>
      </c>
      <c r="H27" s="150"/>
      <c r="I27" s="4"/>
      <c r="J27" s="4"/>
      <c r="K27" s="151">
        <f t="shared" si="10"/>
        <v>333333.33333333331</v>
      </c>
      <c r="L27" s="156">
        <f t="shared" si="1"/>
        <v>333333.33333333331</v>
      </c>
    </row>
    <row r="28" spans="2:12" x14ac:dyDescent="0.45">
      <c r="B28" s="147" t="s">
        <v>223</v>
      </c>
      <c r="C28" s="145" t="s">
        <v>201</v>
      </c>
      <c r="D28" s="148">
        <v>4</v>
      </c>
      <c r="E28" s="148">
        <v>4</v>
      </c>
      <c r="F28" s="148">
        <f t="shared" si="11"/>
        <v>16</v>
      </c>
      <c r="G28" s="149">
        <f t="shared" si="9"/>
        <v>16666.666666666668</v>
      </c>
      <c r="H28" s="150"/>
      <c r="I28" s="4"/>
      <c r="J28" s="4"/>
      <c r="K28" s="151">
        <f t="shared" si="10"/>
        <v>266666.66666666669</v>
      </c>
      <c r="L28" s="156">
        <f t="shared" si="1"/>
        <v>266666.66666666669</v>
      </c>
    </row>
    <row r="29" spans="2:12" x14ac:dyDescent="0.45">
      <c r="B29" s="147" t="s">
        <v>224</v>
      </c>
      <c r="C29" s="145" t="s">
        <v>201</v>
      </c>
      <c r="D29" s="148">
        <v>4</v>
      </c>
      <c r="E29" s="148">
        <v>4</v>
      </c>
      <c r="F29" s="148">
        <f t="shared" si="11"/>
        <v>16</v>
      </c>
      <c r="G29" s="149">
        <f t="shared" si="9"/>
        <v>16666.666666666668</v>
      </c>
      <c r="H29" s="150"/>
      <c r="I29" s="4"/>
      <c r="J29" s="4"/>
      <c r="K29" s="151">
        <f t="shared" si="10"/>
        <v>266666.66666666669</v>
      </c>
      <c r="L29" s="156">
        <f t="shared" si="1"/>
        <v>266666.66666666669</v>
      </c>
    </row>
    <row r="30" spans="2:12" x14ac:dyDescent="0.45">
      <c r="B30" s="147" t="s">
        <v>185</v>
      </c>
      <c r="C30" s="145" t="s">
        <v>201</v>
      </c>
      <c r="D30" s="148">
        <v>4</v>
      </c>
      <c r="E30" s="148">
        <v>4</v>
      </c>
      <c r="F30" s="148">
        <f t="shared" si="11"/>
        <v>16</v>
      </c>
      <c r="G30" s="149">
        <f>3500000/(8*30)</f>
        <v>14583.333333333334</v>
      </c>
      <c r="H30" s="150"/>
      <c r="I30" s="4"/>
      <c r="J30" s="4"/>
      <c r="K30" s="151">
        <f t="shared" si="10"/>
        <v>233333.33333333334</v>
      </c>
      <c r="L30" s="156">
        <f t="shared" si="1"/>
        <v>233333.33333333334</v>
      </c>
    </row>
    <row r="31" spans="2:12" x14ac:dyDescent="0.45">
      <c r="B31" s="147" t="s">
        <v>181</v>
      </c>
      <c r="C31" s="145" t="s">
        <v>201</v>
      </c>
      <c r="D31" s="148">
        <v>4</v>
      </c>
      <c r="E31" s="148">
        <v>4</v>
      </c>
      <c r="F31" s="148">
        <f t="shared" si="11"/>
        <v>16</v>
      </c>
      <c r="G31" s="149">
        <f>3000000/(8*30)</f>
        <v>12500</v>
      </c>
      <c r="H31" s="150"/>
      <c r="I31" s="4"/>
      <c r="J31" s="4"/>
      <c r="K31" s="151">
        <f t="shared" si="10"/>
        <v>200000</v>
      </c>
      <c r="L31" s="156">
        <f t="shared" si="1"/>
        <v>200000</v>
      </c>
    </row>
    <row r="32" spans="2:12" x14ac:dyDescent="0.45">
      <c r="B32" s="82" t="s">
        <v>212</v>
      </c>
      <c r="C32" s="145"/>
      <c r="D32" s="148"/>
      <c r="E32" s="148"/>
      <c r="F32" s="148"/>
      <c r="G32" s="149"/>
      <c r="H32" s="150"/>
      <c r="I32" s="4"/>
      <c r="J32" s="4"/>
      <c r="K32" s="4"/>
      <c r="L32" s="156">
        <f t="shared" si="1"/>
        <v>0</v>
      </c>
    </row>
    <row r="33" spans="2:14" x14ac:dyDescent="0.45">
      <c r="B33" s="147" t="s">
        <v>202</v>
      </c>
      <c r="C33" s="145" t="s">
        <v>213</v>
      </c>
      <c r="D33" s="148"/>
      <c r="E33" s="157">
        <v>5000</v>
      </c>
      <c r="F33" s="155" t="s">
        <v>216</v>
      </c>
      <c r="G33" s="4"/>
      <c r="H33" s="150">
        <f>+(D6*3)*E33</f>
        <v>270000</v>
      </c>
      <c r="I33" s="98">
        <f>+(D10*3)*E33</f>
        <v>315000</v>
      </c>
      <c r="J33" s="98">
        <f>+((D14*3)+(D18*4))*E33</f>
        <v>365000</v>
      </c>
      <c r="K33" s="98">
        <f>+((D23*3)+(D27*5))*E33</f>
        <v>145000</v>
      </c>
      <c r="L33" s="156">
        <f t="shared" si="1"/>
        <v>1095000</v>
      </c>
    </row>
    <row r="34" spans="2:14" x14ac:dyDescent="0.45">
      <c r="B34" s="147" t="s">
        <v>214</v>
      </c>
      <c r="C34" s="145" t="s">
        <v>213</v>
      </c>
      <c r="D34" s="148"/>
      <c r="E34" s="4"/>
      <c r="F34" s="148" t="s">
        <v>221</v>
      </c>
      <c r="G34" s="149"/>
      <c r="H34" s="150">
        <v>120000</v>
      </c>
      <c r="I34" s="150">
        <v>120000</v>
      </c>
      <c r="J34" s="150">
        <v>120000</v>
      </c>
      <c r="K34" s="150">
        <v>120000</v>
      </c>
      <c r="L34" s="156">
        <f t="shared" si="1"/>
        <v>480000</v>
      </c>
    </row>
    <row r="35" spans="2:14" x14ac:dyDescent="0.45">
      <c r="B35" s="147" t="s">
        <v>215</v>
      </c>
      <c r="C35" s="145" t="s">
        <v>213</v>
      </c>
      <c r="D35" s="148"/>
      <c r="E35" s="154">
        <v>25000</v>
      </c>
      <c r="F35" s="155" t="s">
        <v>216</v>
      </c>
      <c r="G35" s="149"/>
      <c r="H35" s="150">
        <f>SUM(D6)*E35</f>
        <v>450000</v>
      </c>
      <c r="I35" s="150"/>
      <c r="J35" s="150">
        <f>SUM(D18:D20)*E35</f>
        <v>750000</v>
      </c>
      <c r="K35" s="150">
        <f>SUM(D27:D29)*E35</f>
        <v>300000</v>
      </c>
      <c r="L35" s="156">
        <f t="shared" si="1"/>
        <v>1500000</v>
      </c>
    </row>
    <row r="36" spans="2:14" x14ac:dyDescent="0.45">
      <c r="B36" s="82" t="s">
        <v>218</v>
      </c>
      <c r="C36" s="145"/>
      <c r="D36" s="148"/>
      <c r="E36" s="148"/>
      <c r="F36" s="148"/>
      <c r="G36" s="149"/>
      <c r="H36" s="150"/>
      <c r="I36" s="150"/>
      <c r="J36" s="150"/>
      <c r="K36" s="4"/>
      <c r="L36" s="156">
        <f t="shared" si="1"/>
        <v>0</v>
      </c>
    </row>
    <row r="37" spans="2:14" x14ac:dyDescent="0.45">
      <c r="B37" s="147" t="s">
        <v>229</v>
      </c>
      <c r="C37" s="145" t="s">
        <v>219</v>
      </c>
      <c r="D37" s="148"/>
      <c r="E37" s="150">
        <f>4377*18.7</f>
        <v>81849.899999999994</v>
      </c>
      <c r="F37" s="155" t="s">
        <v>230</v>
      </c>
      <c r="G37" s="149"/>
      <c r="H37" s="92">
        <f>+$E$37*2</f>
        <v>163699.79999999999</v>
      </c>
      <c r="I37" s="92">
        <f t="shared" ref="I37:K37" si="12">+$E$37*2</f>
        <v>163699.79999999999</v>
      </c>
      <c r="J37" s="92">
        <f t="shared" si="12"/>
        <v>163699.79999999999</v>
      </c>
      <c r="K37" s="92">
        <f t="shared" si="12"/>
        <v>163699.79999999999</v>
      </c>
      <c r="L37" s="156">
        <f t="shared" si="1"/>
        <v>654799.19999999995</v>
      </c>
    </row>
    <row r="38" spans="2:14" x14ac:dyDescent="0.45">
      <c r="B38" s="147" t="s">
        <v>217</v>
      </c>
      <c r="C38" s="145" t="s">
        <v>219</v>
      </c>
      <c r="D38" s="148"/>
      <c r="E38" s="148"/>
      <c r="F38" s="148" t="s">
        <v>221</v>
      </c>
      <c r="G38" s="149"/>
      <c r="H38" s="150"/>
      <c r="I38" s="4"/>
      <c r="J38" s="4"/>
      <c r="K38" s="150">
        <v>80000</v>
      </c>
      <c r="L38" s="156">
        <f t="shared" si="1"/>
        <v>80000</v>
      </c>
    </row>
    <row r="39" spans="2:14" x14ac:dyDescent="0.45">
      <c r="B39" s="147" t="s">
        <v>228</v>
      </c>
      <c r="C39" s="145" t="s">
        <v>219</v>
      </c>
      <c r="D39" s="148"/>
      <c r="E39" s="154">
        <v>6000</v>
      </c>
      <c r="F39" s="155" t="s">
        <v>220</v>
      </c>
      <c r="G39" s="149"/>
      <c r="H39" s="150">
        <f>+(+E39*D6)*1</f>
        <v>108000</v>
      </c>
      <c r="I39" s="150">
        <f>+(+E39*D10)*3</f>
        <v>378000</v>
      </c>
      <c r="J39" s="150">
        <f>+(+E39*(D14+D18)*3)</f>
        <v>378000</v>
      </c>
      <c r="K39" s="150">
        <f>+(+E39*(E23+E27)*3)</f>
        <v>126000</v>
      </c>
      <c r="L39" s="156">
        <f t="shared" si="1"/>
        <v>990000</v>
      </c>
    </row>
    <row r="40" spans="2:14" x14ac:dyDescent="0.45">
      <c r="B40" s="147" t="s">
        <v>226</v>
      </c>
      <c r="C40" s="145" t="s">
        <v>219</v>
      </c>
      <c r="D40" s="148"/>
      <c r="E40" s="154">
        <v>60000</v>
      </c>
      <c r="F40" s="155" t="s">
        <v>227</v>
      </c>
      <c r="G40" s="149"/>
      <c r="H40" s="150">
        <f>+$E$40</f>
        <v>60000</v>
      </c>
      <c r="I40" s="150">
        <f t="shared" ref="I40:K40" si="13">+$E$40</f>
        <v>60000</v>
      </c>
      <c r="J40" s="150">
        <f t="shared" si="13"/>
        <v>60000</v>
      </c>
      <c r="K40" s="150">
        <f t="shared" si="13"/>
        <v>60000</v>
      </c>
      <c r="L40" s="156">
        <f t="shared" ref="L40" si="14">SUM(H40:K40)</f>
        <v>240000</v>
      </c>
    </row>
    <row r="41" spans="2:14" x14ac:dyDescent="0.45">
      <c r="B41" s="65" t="s">
        <v>132</v>
      </c>
      <c r="C41" s="65"/>
      <c r="D41" s="65"/>
      <c r="E41" s="65"/>
      <c r="F41" s="65"/>
      <c r="G41" s="65"/>
      <c r="H41" s="66">
        <f>SUM(H5:H40)</f>
        <v>3213366.4666666668</v>
      </c>
      <c r="I41" s="66">
        <f t="shared" ref="I41:L41" si="15">SUM(I5:I40)</f>
        <v>2874199.8</v>
      </c>
      <c r="J41" s="66">
        <f t="shared" si="15"/>
        <v>6053366.4666666668</v>
      </c>
      <c r="K41" s="66">
        <f t="shared" si="15"/>
        <v>2782199.8</v>
      </c>
      <c r="L41" s="66">
        <f t="shared" si="15"/>
        <v>14923132.533333331</v>
      </c>
      <c r="M41" s="52"/>
      <c r="N41" s="56"/>
    </row>
    <row r="42" spans="2:14" x14ac:dyDescent="0.45">
      <c r="B42" t="s">
        <v>236</v>
      </c>
      <c r="C42" s="4"/>
      <c r="D42" s="4"/>
      <c r="E42" s="158">
        <v>0.1</v>
      </c>
      <c r="F42" s="4" t="s">
        <v>235</v>
      </c>
      <c r="G42" s="4"/>
      <c r="H42" s="52"/>
      <c r="I42" s="52"/>
      <c r="J42" s="52"/>
      <c r="K42" s="52"/>
      <c r="L42" s="83">
        <f>+L41*E42</f>
        <v>1492313.2533333332</v>
      </c>
      <c r="M42" s="52"/>
      <c r="N42" s="52"/>
    </row>
    <row r="43" spans="2:14" x14ac:dyDescent="0.45">
      <c r="B43" t="s">
        <v>238</v>
      </c>
      <c r="C43" s="4"/>
      <c r="D43" s="4"/>
      <c r="E43" s="158">
        <v>0.02</v>
      </c>
      <c r="F43" s="4" t="s">
        <v>235</v>
      </c>
      <c r="G43" s="4"/>
      <c r="H43" s="52"/>
      <c r="I43" s="52"/>
      <c r="J43" s="52"/>
      <c r="K43" s="52"/>
      <c r="L43" s="159">
        <f>+L41*E43</f>
        <v>298462.65066666662</v>
      </c>
      <c r="M43" s="52"/>
    </row>
    <row r="44" spans="2:14" x14ac:dyDescent="0.45">
      <c r="B44" s="65" t="s">
        <v>237</v>
      </c>
      <c r="C44" s="65"/>
      <c r="D44" s="65"/>
      <c r="E44" s="65"/>
      <c r="F44" s="65"/>
      <c r="G44" s="65"/>
      <c r="H44" s="66"/>
      <c r="I44" s="66"/>
      <c r="J44" s="66"/>
      <c r="K44" s="66"/>
      <c r="L44" s="66">
        <f>+L41+L42</f>
        <v>16415445.786666665</v>
      </c>
      <c r="M44" s="52"/>
    </row>
  </sheetData>
  <mergeCells count="2">
    <mergeCell ref="B1:L1"/>
    <mergeCell ref="B3:K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FA67A-3B49-418B-A5C1-7034336C5EB6}">
  <dimension ref="A1:Q51"/>
  <sheetViews>
    <sheetView workbookViewId="0">
      <selection activeCell="F25" sqref="F25"/>
    </sheetView>
  </sheetViews>
  <sheetFormatPr baseColWidth="10" defaultColWidth="10.73046875" defaultRowHeight="14.25" x14ac:dyDescent="0.45"/>
  <cols>
    <col min="1" max="1" width="26" style="4" bestFit="1" customWidth="1"/>
    <col min="2" max="2" width="11.73046875" style="4" bestFit="1" customWidth="1"/>
    <col min="3" max="3" width="13.73046875" style="4" bestFit="1" customWidth="1"/>
    <col min="4" max="4" width="15.1328125" style="4" bestFit="1" customWidth="1"/>
    <col min="5" max="5" width="18" style="4" customWidth="1"/>
    <col min="6" max="6" width="16.73046875" style="4" bestFit="1" customWidth="1"/>
    <col min="7" max="7" width="18" style="4" bestFit="1" customWidth="1"/>
    <col min="8" max="8" width="16.86328125" style="4" bestFit="1" customWidth="1"/>
    <col min="9" max="9" width="13.73046875" style="4" bestFit="1" customWidth="1"/>
    <col min="10" max="10" width="11.86328125" style="4" bestFit="1" customWidth="1"/>
    <col min="11" max="11" width="10.73046875" style="4" bestFit="1" customWidth="1"/>
    <col min="12" max="12" width="6.265625" style="4" bestFit="1" customWidth="1"/>
    <col min="13" max="13" width="15" style="4" bestFit="1" customWidth="1"/>
    <col min="14" max="14" width="19.265625" style="4" customWidth="1"/>
    <col min="15" max="15" width="10.73046875" style="4"/>
    <col min="16" max="17" width="15.73046875" style="4" bestFit="1" customWidth="1"/>
    <col min="18" max="16384" width="10.73046875" style="4"/>
  </cols>
  <sheetData>
    <row r="1" spans="1:17" ht="18" x14ac:dyDescent="0.55000000000000004">
      <c r="A1" s="271" t="s">
        <v>5</v>
      </c>
      <c r="B1" s="271"/>
      <c r="C1" s="271"/>
      <c r="D1" s="271"/>
      <c r="E1" s="271"/>
      <c r="F1" s="271"/>
      <c r="G1" s="271"/>
      <c r="H1" s="271"/>
      <c r="I1" s="271"/>
      <c r="J1" s="271"/>
      <c r="K1" s="271"/>
      <c r="L1" s="271"/>
      <c r="M1" s="271"/>
      <c r="N1" s="271"/>
    </row>
    <row r="2" spans="1:17" ht="14.65" thickBot="1" x14ac:dyDescent="0.5">
      <c r="C2" s="8"/>
    </row>
    <row r="3" spans="1:17" ht="14.65" thickBot="1" x14ac:dyDescent="0.5">
      <c r="A3" s="5"/>
      <c r="B3" s="5"/>
      <c r="C3" s="5"/>
      <c r="D3" s="9"/>
      <c r="E3" s="272" t="s">
        <v>6</v>
      </c>
      <c r="F3" s="273"/>
      <c r="G3" s="273"/>
      <c r="H3" s="274"/>
      <c r="I3" s="272" t="s">
        <v>7</v>
      </c>
      <c r="J3" s="273"/>
      <c r="K3" s="273"/>
      <c r="L3" s="273"/>
      <c r="M3" s="273"/>
      <c r="N3" s="274"/>
    </row>
    <row r="4" spans="1:17" ht="28.5" x14ac:dyDescent="0.45">
      <c r="A4" s="93" t="s">
        <v>8</v>
      </c>
      <c r="B4" s="94" t="s">
        <v>9</v>
      </c>
      <c r="C4" s="95" t="s">
        <v>10</v>
      </c>
      <c r="D4" s="96" t="s">
        <v>11</v>
      </c>
      <c r="E4" s="95" t="s">
        <v>12</v>
      </c>
      <c r="F4" s="95" t="s">
        <v>13</v>
      </c>
      <c r="G4" s="95" t="s">
        <v>14</v>
      </c>
      <c r="H4" s="95" t="s">
        <v>15</v>
      </c>
      <c r="I4" s="95" t="s">
        <v>16</v>
      </c>
      <c r="J4" s="95" t="s">
        <v>17</v>
      </c>
      <c r="K4" s="95" t="s">
        <v>18</v>
      </c>
      <c r="L4" s="95" t="s">
        <v>19</v>
      </c>
      <c r="M4" s="95" t="s">
        <v>20</v>
      </c>
      <c r="N4" s="97" t="s">
        <v>21</v>
      </c>
    </row>
    <row r="5" spans="1:17" x14ac:dyDescent="0.45">
      <c r="A5" s="10" t="s">
        <v>22</v>
      </c>
      <c r="B5" s="11">
        <v>1</v>
      </c>
      <c r="C5" s="12">
        <v>6000000</v>
      </c>
      <c r="D5" s="13">
        <v>30</v>
      </c>
      <c r="E5" s="12">
        <f>+C5*B5</f>
        <v>6000000</v>
      </c>
      <c r="F5" s="12"/>
      <c r="G5" s="12"/>
      <c r="H5" s="12">
        <f>SUM(E5:G5)</f>
        <v>6000000</v>
      </c>
      <c r="I5" s="12">
        <f>+H5*4%</f>
        <v>240000</v>
      </c>
      <c r="J5" s="12">
        <f>+H5*4%</f>
        <v>240000</v>
      </c>
      <c r="K5" s="12"/>
      <c r="L5" s="12"/>
      <c r="M5" s="12">
        <f>SUM(I5:L5)</f>
        <v>480000</v>
      </c>
      <c r="N5" s="12">
        <f>+H5-M5</f>
        <v>5520000</v>
      </c>
      <c r="P5" s="92">
        <v>7000000</v>
      </c>
    </row>
    <row r="6" spans="1:17" x14ac:dyDescent="0.45">
      <c r="A6" s="10" t="s">
        <v>23</v>
      </c>
      <c r="B6" s="11">
        <v>1</v>
      </c>
      <c r="C6" s="12">
        <v>5000000</v>
      </c>
      <c r="D6" s="13">
        <v>30</v>
      </c>
      <c r="E6" s="12">
        <f t="shared" ref="E6:E13" si="0">+C6*B6</f>
        <v>5000000</v>
      </c>
      <c r="F6" s="12"/>
      <c r="G6" s="12"/>
      <c r="H6" s="12">
        <f t="shared" ref="H6:H13" si="1">SUM(E6:G6)</f>
        <v>5000000</v>
      </c>
      <c r="I6" s="12">
        <f t="shared" ref="I6:I13" si="2">+H6*4%</f>
        <v>200000</v>
      </c>
      <c r="J6" s="12">
        <f t="shared" ref="J6:J13" si="3">+H6*4%</f>
        <v>200000</v>
      </c>
      <c r="K6" s="12"/>
      <c r="L6" s="12"/>
      <c r="M6" s="12">
        <f t="shared" ref="M6:M13" si="4">SUM(I6:L6)</f>
        <v>400000</v>
      </c>
      <c r="N6" s="12">
        <f t="shared" ref="N6:N13" si="5">+H6-M6</f>
        <v>4600000</v>
      </c>
      <c r="P6" s="92">
        <v>4500000</v>
      </c>
    </row>
    <row r="7" spans="1:17" x14ac:dyDescent="0.45">
      <c r="A7" s="10" t="s">
        <v>24</v>
      </c>
      <c r="B7" s="11">
        <v>1</v>
      </c>
      <c r="C7" s="12">
        <v>3480000</v>
      </c>
      <c r="D7" s="13">
        <v>30</v>
      </c>
      <c r="E7" s="12">
        <f t="shared" si="0"/>
        <v>3480000</v>
      </c>
      <c r="F7" s="12"/>
      <c r="G7" s="12"/>
      <c r="H7" s="12">
        <f t="shared" si="1"/>
        <v>3480000</v>
      </c>
      <c r="I7" s="12">
        <f t="shared" si="2"/>
        <v>139200</v>
      </c>
      <c r="J7" s="12">
        <f t="shared" si="3"/>
        <v>139200</v>
      </c>
      <c r="K7" s="12"/>
      <c r="L7" s="12"/>
      <c r="M7" s="12">
        <f t="shared" si="4"/>
        <v>278400</v>
      </c>
      <c r="N7" s="12">
        <f t="shared" si="5"/>
        <v>3201600</v>
      </c>
      <c r="P7" s="92">
        <v>4000000</v>
      </c>
    </row>
    <row r="8" spans="1:17" ht="14.65" thickBot="1" x14ac:dyDescent="0.5">
      <c r="A8" s="10" t="s">
        <v>140</v>
      </c>
      <c r="B8" s="11">
        <v>1</v>
      </c>
      <c r="C8" s="12">
        <v>1700000</v>
      </c>
      <c r="D8" s="13">
        <v>30</v>
      </c>
      <c r="E8" s="12">
        <f t="shared" si="0"/>
        <v>1700000</v>
      </c>
      <c r="F8" s="12"/>
      <c r="G8" s="12">
        <f>+$B$31*B8</f>
        <v>140606</v>
      </c>
      <c r="H8" s="12">
        <f t="shared" si="1"/>
        <v>1840606</v>
      </c>
      <c r="I8" s="12">
        <f t="shared" si="2"/>
        <v>73624.240000000005</v>
      </c>
      <c r="J8" s="12">
        <f t="shared" si="3"/>
        <v>73624.240000000005</v>
      </c>
      <c r="K8" s="12"/>
      <c r="L8" s="12"/>
      <c r="M8" s="12">
        <f t="shared" si="4"/>
        <v>147248.48000000001</v>
      </c>
      <c r="N8" s="12">
        <f t="shared" si="5"/>
        <v>1693357.52</v>
      </c>
      <c r="P8" s="92">
        <v>1700000</v>
      </c>
    </row>
    <row r="9" spans="1:17" ht="14.65" thickBot="1" x14ac:dyDescent="0.5">
      <c r="A9" s="14" t="s">
        <v>25</v>
      </c>
      <c r="B9" s="15"/>
      <c r="C9" s="16">
        <f>SUM(C5:C8)</f>
        <v>16180000</v>
      </c>
      <c r="D9" s="16"/>
      <c r="E9" s="16">
        <f>SUM(E5:E8)</f>
        <v>16180000</v>
      </c>
      <c r="F9" s="16">
        <f>SUM(F8:F8)</f>
        <v>0</v>
      </c>
      <c r="G9" s="16">
        <f>SUM(G5:G8)</f>
        <v>140606</v>
      </c>
      <c r="H9" s="16">
        <f>SUM(H5:H8)</f>
        <v>16320606</v>
      </c>
      <c r="I9" s="16">
        <f>SUM(I5:I8)</f>
        <v>652824.24</v>
      </c>
      <c r="J9" s="16">
        <f>SUM(J5:J8)</f>
        <v>652824.24</v>
      </c>
      <c r="K9" s="16">
        <f>SUM(K1:K8)</f>
        <v>0</v>
      </c>
      <c r="L9" s="16">
        <f>SUM(L1:L8)</f>
        <v>0</v>
      </c>
      <c r="M9" s="16">
        <f>SUM(M5:M8)</f>
        <v>1305648.48</v>
      </c>
      <c r="N9" s="16">
        <f>SUM(N5:N8)</f>
        <v>15014957.52</v>
      </c>
      <c r="P9" s="92"/>
    </row>
    <row r="10" spans="1:17" x14ac:dyDescent="0.45">
      <c r="A10" s="10" t="s">
        <v>26</v>
      </c>
      <c r="B10" s="11">
        <v>20</v>
      </c>
      <c r="C10" s="12">
        <v>2100000</v>
      </c>
      <c r="D10" s="13">
        <v>30</v>
      </c>
      <c r="E10" s="12">
        <f t="shared" si="0"/>
        <v>42000000</v>
      </c>
      <c r="F10" s="12">
        <f>+B48*B46</f>
        <v>5250000</v>
      </c>
      <c r="G10" s="12">
        <f>+$B$31*B10</f>
        <v>2812120</v>
      </c>
      <c r="H10" s="12">
        <f>SUM(E10:G10)</f>
        <v>50062120</v>
      </c>
      <c r="I10" s="12">
        <f t="shared" si="2"/>
        <v>2002484.8</v>
      </c>
      <c r="J10" s="12">
        <f t="shared" si="3"/>
        <v>2002484.8</v>
      </c>
      <c r="K10" s="12"/>
      <c r="L10" s="12"/>
      <c r="M10" s="12">
        <f>SUM(I10:L10)</f>
        <v>4004969.6</v>
      </c>
      <c r="N10" s="12">
        <f>+H10-M10</f>
        <v>46057150.399999999</v>
      </c>
      <c r="P10" s="92">
        <v>46000000</v>
      </c>
      <c r="Q10" s="92"/>
    </row>
    <row r="11" spans="1:17" x14ac:dyDescent="0.45">
      <c r="A11" s="10" t="s">
        <v>27</v>
      </c>
      <c r="B11" s="11">
        <v>1</v>
      </c>
      <c r="C11" s="12">
        <v>2100000</v>
      </c>
      <c r="D11" s="13">
        <v>30</v>
      </c>
      <c r="E11" s="12">
        <f t="shared" si="0"/>
        <v>2100000</v>
      </c>
      <c r="F11" s="12"/>
      <c r="G11" s="12">
        <f>+$B$31*B11</f>
        <v>140606</v>
      </c>
      <c r="H11" s="12">
        <f t="shared" si="1"/>
        <v>2240606</v>
      </c>
      <c r="I11" s="12">
        <f t="shared" si="2"/>
        <v>89624.24</v>
      </c>
      <c r="J11" s="12">
        <f t="shared" si="3"/>
        <v>89624.24</v>
      </c>
      <c r="K11" s="12"/>
      <c r="L11" s="12"/>
      <c r="M11" s="12">
        <f t="shared" si="4"/>
        <v>179248.48</v>
      </c>
      <c r="N11" s="12">
        <f t="shared" si="5"/>
        <v>2061357.52</v>
      </c>
      <c r="P11" s="92">
        <v>2100000</v>
      </c>
    </row>
    <row r="12" spans="1:17" x14ac:dyDescent="0.45">
      <c r="A12" s="91" t="s">
        <v>138</v>
      </c>
      <c r="B12" s="11">
        <v>1</v>
      </c>
      <c r="C12" s="18">
        <v>1200000</v>
      </c>
      <c r="D12" s="13">
        <v>30</v>
      </c>
      <c r="E12" s="12">
        <f>+C12*B12</f>
        <v>1200000</v>
      </c>
      <c r="F12" s="18"/>
      <c r="G12" s="12">
        <f>+$B$31*B12</f>
        <v>140606</v>
      </c>
      <c r="H12" s="12">
        <f>SUM(E12:G12)</f>
        <v>1340606</v>
      </c>
      <c r="I12" s="12">
        <f>+H12*4%</f>
        <v>53624.24</v>
      </c>
      <c r="J12" s="12">
        <f>+H12*4%</f>
        <v>53624.24</v>
      </c>
      <c r="K12" s="18"/>
      <c r="L12" s="18"/>
      <c r="M12" s="12">
        <f>SUM(I12:L12)</f>
        <v>107248.48</v>
      </c>
      <c r="N12" s="12">
        <f>+H12-M12</f>
        <v>1233357.52</v>
      </c>
      <c r="P12" s="92">
        <v>1200000</v>
      </c>
    </row>
    <row r="13" spans="1:17" ht="14.65" thickBot="1" x14ac:dyDescent="0.5">
      <c r="A13" s="17" t="s">
        <v>28</v>
      </c>
      <c r="B13" s="11">
        <v>1</v>
      </c>
      <c r="C13" s="18">
        <v>1160000</v>
      </c>
      <c r="D13" s="13">
        <v>30</v>
      </c>
      <c r="E13" s="12">
        <f t="shared" si="0"/>
        <v>1160000</v>
      </c>
      <c r="F13" s="18"/>
      <c r="G13" s="12">
        <f>+$B$31*B13</f>
        <v>140606</v>
      </c>
      <c r="H13" s="12">
        <f t="shared" si="1"/>
        <v>1300606</v>
      </c>
      <c r="I13" s="12">
        <f t="shared" si="2"/>
        <v>52024.24</v>
      </c>
      <c r="J13" s="12">
        <f t="shared" si="3"/>
        <v>52024.24</v>
      </c>
      <c r="K13" s="18"/>
      <c r="L13" s="18"/>
      <c r="M13" s="12">
        <f t="shared" si="4"/>
        <v>104048.48</v>
      </c>
      <c r="N13" s="12">
        <f t="shared" si="5"/>
        <v>1196557.52</v>
      </c>
      <c r="P13" s="92">
        <v>1200000</v>
      </c>
    </row>
    <row r="14" spans="1:17" ht="14.65" thickBot="1" x14ac:dyDescent="0.5">
      <c r="A14" s="14" t="s">
        <v>29</v>
      </c>
      <c r="B14" s="15"/>
      <c r="C14" s="16">
        <f>SUM(C10:C13)</f>
        <v>6560000</v>
      </c>
      <c r="D14" s="16"/>
      <c r="E14" s="16">
        <f t="shared" ref="E14:M14" si="6">SUM(E10:E13)</f>
        <v>46460000</v>
      </c>
      <c r="F14" s="16">
        <f t="shared" si="6"/>
        <v>5250000</v>
      </c>
      <c r="G14" s="16">
        <f t="shared" si="6"/>
        <v>3233938</v>
      </c>
      <c r="H14" s="16">
        <f t="shared" si="6"/>
        <v>54943938</v>
      </c>
      <c r="I14" s="16">
        <f t="shared" si="6"/>
        <v>2197757.5200000005</v>
      </c>
      <c r="J14" s="16">
        <f t="shared" si="6"/>
        <v>2197757.5200000005</v>
      </c>
      <c r="K14" s="16">
        <f t="shared" si="6"/>
        <v>0</v>
      </c>
      <c r="L14" s="16">
        <f t="shared" si="6"/>
        <v>0</v>
      </c>
      <c r="M14" s="16">
        <f t="shared" si="6"/>
        <v>4395515.040000001</v>
      </c>
      <c r="N14" s="16">
        <f>SUM(N10:N13)</f>
        <v>50548422.960000008</v>
      </c>
    </row>
    <row r="15" spans="1:17" ht="14.65" thickBot="1" x14ac:dyDescent="0.5">
      <c r="A15" s="14" t="s">
        <v>30</v>
      </c>
      <c r="B15" s="15"/>
      <c r="C15" s="16">
        <f>+C14+C9</f>
        <v>22740000</v>
      </c>
      <c r="D15" s="16"/>
      <c r="E15" s="16">
        <f t="shared" ref="E15:N15" si="7">+E14+E9</f>
        <v>62640000</v>
      </c>
      <c r="F15" s="16">
        <f t="shared" si="7"/>
        <v>5250000</v>
      </c>
      <c r="G15" s="16">
        <f t="shared" si="7"/>
        <v>3374544</v>
      </c>
      <c r="H15" s="16">
        <f t="shared" si="7"/>
        <v>71264544</v>
      </c>
      <c r="I15" s="16">
        <f t="shared" si="7"/>
        <v>2850581.7600000007</v>
      </c>
      <c r="J15" s="16">
        <f t="shared" si="7"/>
        <v>2850581.7600000007</v>
      </c>
      <c r="K15" s="16">
        <f t="shared" si="7"/>
        <v>0</v>
      </c>
      <c r="L15" s="16">
        <f t="shared" si="7"/>
        <v>0</v>
      </c>
      <c r="M15" s="16">
        <f t="shared" si="7"/>
        <v>5701163.5200000014</v>
      </c>
      <c r="N15" s="16">
        <f t="shared" si="7"/>
        <v>65563380.480000004</v>
      </c>
    </row>
    <row r="16" spans="1:17" x14ac:dyDescent="0.45">
      <c r="A16" s="19"/>
      <c r="B16" s="19"/>
      <c r="C16" s="8"/>
      <c r="D16" s="19"/>
      <c r="E16" s="19"/>
      <c r="F16" s="19"/>
      <c r="G16" s="19"/>
      <c r="H16" s="19"/>
      <c r="I16" s="19"/>
      <c r="J16" s="19"/>
      <c r="K16" s="19"/>
      <c r="L16" s="19"/>
      <c r="M16" s="19"/>
      <c r="N16" s="19"/>
    </row>
    <row r="17" spans="1:14" ht="14.65" thickBot="1" x14ac:dyDescent="0.5">
      <c r="A17" s="19"/>
      <c r="B17" s="19"/>
      <c r="C17" s="8"/>
      <c r="D17" s="19"/>
      <c r="E17" s="19"/>
      <c r="F17" s="19"/>
      <c r="G17" s="19"/>
      <c r="H17" s="19"/>
      <c r="I17" s="19"/>
      <c r="J17" s="19"/>
      <c r="K17" s="19"/>
      <c r="L17" s="19"/>
      <c r="M17" s="19"/>
      <c r="N17" s="19"/>
    </row>
    <row r="18" spans="1:14" ht="14.65" thickBot="1" x14ac:dyDescent="0.5">
      <c r="A18" s="20" t="s">
        <v>31</v>
      </c>
      <c r="B18" s="21" t="s">
        <v>32</v>
      </c>
      <c r="C18" s="22" t="s">
        <v>33</v>
      </c>
      <c r="D18" s="23" t="s">
        <v>34</v>
      </c>
      <c r="E18" s="23"/>
      <c r="F18" s="24" t="s">
        <v>35</v>
      </c>
    </row>
    <row r="19" spans="1:14" x14ac:dyDescent="0.45">
      <c r="A19" s="25" t="s">
        <v>36</v>
      </c>
      <c r="B19" s="26">
        <v>8.5000000000000006E-2</v>
      </c>
      <c r="C19" s="27">
        <v>0</v>
      </c>
      <c r="D19" s="28" t="s">
        <v>37</v>
      </c>
      <c r="E19" s="29">
        <v>8.3333333333333329E-2</v>
      </c>
      <c r="F19" s="30">
        <f>+H15*E19</f>
        <v>5938712</v>
      </c>
      <c r="H19" s="275" t="s">
        <v>38</v>
      </c>
      <c r="I19" s="275"/>
      <c r="J19" s="275"/>
      <c r="K19" s="275"/>
      <c r="L19" s="275"/>
      <c r="M19" s="275"/>
      <c r="N19" s="275"/>
    </row>
    <row r="20" spans="1:14" x14ac:dyDescent="0.45">
      <c r="A20" s="31" t="s">
        <v>39</v>
      </c>
      <c r="B20" s="32">
        <v>0.03</v>
      </c>
      <c r="C20" s="33"/>
      <c r="D20" s="34" t="s">
        <v>40</v>
      </c>
      <c r="E20" s="35">
        <v>0.01</v>
      </c>
      <c r="F20" s="36">
        <f>F19*E20</f>
        <v>59387.12</v>
      </c>
      <c r="H20" s="275"/>
      <c r="I20" s="275"/>
      <c r="J20" s="275"/>
      <c r="K20" s="275"/>
      <c r="L20" s="275"/>
      <c r="M20" s="275"/>
      <c r="N20" s="275"/>
    </row>
    <row r="21" spans="1:14" x14ac:dyDescent="0.45">
      <c r="A21" s="7" t="s">
        <v>41</v>
      </c>
      <c r="B21" s="37">
        <v>0.02</v>
      </c>
      <c r="C21" s="38"/>
      <c r="D21" s="6" t="s">
        <v>42</v>
      </c>
      <c r="E21" s="39">
        <v>8.3333333333333329E-2</v>
      </c>
      <c r="F21" s="40">
        <f>+H15*E21</f>
        <v>5938712</v>
      </c>
      <c r="H21" s="275"/>
      <c r="I21" s="275"/>
      <c r="J21" s="275"/>
      <c r="K21" s="275"/>
      <c r="L21" s="275"/>
      <c r="M21" s="275"/>
      <c r="N21" s="275"/>
    </row>
    <row r="22" spans="1:14" x14ac:dyDescent="0.45">
      <c r="A22" s="31" t="s">
        <v>43</v>
      </c>
      <c r="B22" s="32">
        <v>0.04</v>
      </c>
      <c r="C22" s="33">
        <f>(H15-G15)*B22</f>
        <v>2715600</v>
      </c>
      <c r="D22" s="34" t="s">
        <v>44</v>
      </c>
      <c r="E22" s="41">
        <v>4.1666666666666664E-2</v>
      </c>
      <c r="F22" s="36">
        <f>(H15-G15)*E22</f>
        <v>2828750</v>
      </c>
      <c r="H22" s="275"/>
      <c r="I22" s="275"/>
      <c r="J22" s="275"/>
      <c r="K22" s="275"/>
      <c r="L22" s="275"/>
      <c r="M22" s="275"/>
      <c r="N22" s="275"/>
    </row>
    <row r="23" spans="1:14" x14ac:dyDescent="0.45">
      <c r="A23" s="7" t="s">
        <v>17</v>
      </c>
      <c r="B23" s="37">
        <v>0.12</v>
      </c>
      <c r="C23" s="38">
        <f>(H15-G15)*B23</f>
        <v>8146800</v>
      </c>
      <c r="D23" s="6"/>
      <c r="E23" s="6"/>
      <c r="F23" s="40"/>
      <c r="H23" s="275"/>
      <c r="I23" s="275"/>
      <c r="J23" s="275"/>
      <c r="K23" s="275"/>
      <c r="L23" s="275"/>
      <c r="M23" s="275"/>
      <c r="N23" s="275"/>
    </row>
    <row r="24" spans="1:14" ht="14.65" thickBot="1" x14ac:dyDescent="0.5">
      <c r="A24" s="42" t="s">
        <v>45</v>
      </c>
      <c r="B24" s="43">
        <v>2.436E-2</v>
      </c>
      <c r="C24" s="44">
        <f>(H15-G15)*B24</f>
        <v>1653800.4</v>
      </c>
      <c r="D24" s="45"/>
      <c r="E24" s="45"/>
      <c r="F24" s="46"/>
      <c r="H24" s="275"/>
      <c r="I24" s="275"/>
      <c r="J24" s="275"/>
      <c r="K24" s="275"/>
      <c r="L24" s="275"/>
      <c r="M24" s="275"/>
      <c r="N24" s="275"/>
    </row>
    <row r="25" spans="1:14" ht="14.65" thickBot="1" x14ac:dyDescent="0.5">
      <c r="A25" s="47" t="s">
        <v>46</v>
      </c>
      <c r="B25" s="48"/>
      <c r="C25" s="49">
        <f>SUM(C19:C24)</f>
        <v>12516200.4</v>
      </c>
      <c r="D25" s="50" t="s">
        <v>46</v>
      </c>
      <c r="E25" s="49"/>
      <c r="F25" s="51">
        <f>SUM(F19:F24)</f>
        <v>14765561.120000001</v>
      </c>
      <c r="H25" s="52"/>
    </row>
    <row r="26" spans="1:14" ht="14.65" thickBot="1" x14ac:dyDescent="0.5">
      <c r="A26" s="276" t="s">
        <v>47</v>
      </c>
      <c r="B26" s="277"/>
      <c r="C26" s="277"/>
      <c r="D26" s="53">
        <f>C25+F25</f>
        <v>27281761.520000003</v>
      </c>
      <c r="E26" s="48"/>
      <c r="F26" s="54"/>
    </row>
    <row r="27" spans="1:14" x14ac:dyDescent="0.45">
      <c r="I27" s="52"/>
    </row>
    <row r="28" spans="1:14" x14ac:dyDescent="0.45">
      <c r="I28" s="55"/>
    </row>
    <row r="29" spans="1:14" x14ac:dyDescent="0.45">
      <c r="A29" s="5" t="s">
        <v>48</v>
      </c>
      <c r="I29" s="52"/>
    </row>
    <row r="30" spans="1:14" x14ac:dyDescent="0.45">
      <c r="A30" s="4" t="s">
        <v>49</v>
      </c>
      <c r="B30" s="52">
        <v>1160000</v>
      </c>
    </row>
    <row r="31" spans="1:14" x14ac:dyDescent="0.45">
      <c r="A31" s="4" t="s">
        <v>50</v>
      </c>
      <c r="B31" s="52">
        <v>140606</v>
      </c>
    </row>
    <row r="32" spans="1:14" x14ac:dyDescent="0.45">
      <c r="B32" s="52"/>
    </row>
    <row r="33" spans="1:14" x14ac:dyDescent="0.45">
      <c r="A33" s="1" t="s">
        <v>51</v>
      </c>
      <c r="B33" s="52"/>
    </row>
    <row r="34" spans="1:14" x14ac:dyDescent="0.45">
      <c r="A34" s="270" t="s">
        <v>52</v>
      </c>
      <c r="B34" s="270"/>
      <c r="C34" s="270"/>
      <c r="D34" s="270"/>
      <c r="E34" s="270"/>
      <c r="F34" s="270"/>
      <c r="G34" s="270"/>
      <c r="H34" s="270"/>
      <c r="I34" s="270"/>
      <c r="J34" s="270"/>
      <c r="K34" s="270"/>
      <c r="L34" s="270"/>
      <c r="M34" s="270"/>
      <c r="N34" s="270"/>
    </row>
    <row r="35" spans="1:14" x14ac:dyDescent="0.45">
      <c r="A35" s="270"/>
      <c r="B35" s="270"/>
      <c r="C35" s="270"/>
      <c r="D35" s="270"/>
      <c r="E35" s="270"/>
      <c r="F35" s="270"/>
      <c r="G35" s="270"/>
      <c r="H35" s="270"/>
      <c r="I35" s="270"/>
      <c r="J35" s="270"/>
      <c r="K35" s="270"/>
      <c r="L35" s="270"/>
      <c r="M35" s="270"/>
      <c r="N35" s="270"/>
    </row>
    <row r="36" spans="1:14" x14ac:dyDescent="0.45">
      <c r="A36" s="270"/>
      <c r="B36" s="270"/>
      <c r="C36" s="270"/>
      <c r="D36" s="270"/>
      <c r="E36" s="270"/>
      <c r="F36" s="270"/>
      <c r="G36" s="270"/>
      <c r="H36" s="270"/>
      <c r="I36" s="270"/>
      <c r="J36" s="270"/>
      <c r="K36" s="270"/>
      <c r="L36" s="270"/>
      <c r="M36" s="270"/>
      <c r="N36" s="270"/>
    </row>
    <row r="39" spans="1:14" x14ac:dyDescent="0.45">
      <c r="A39" s="5" t="s">
        <v>53</v>
      </c>
    </row>
    <row r="40" spans="1:14" x14ac:dyDescent="0.45">
      <c r="A40" s="4" t="s">
        <v>54</v>
      </c>
    </row>
    <row r="41" spans="1:14" x14ac:dyDescent="0.45">
      <c r="A41" s="4" t="s">
        <v>55</v>
      </c>
    </row>
    <row r="42" spans="1:14" x14ac:dyDescent="0.45">
      <c r="A42" s="4" t="s">
        <v>56</v>
      </c>
      <c r="B42" s="4">
        <v>48</v>
      </c>
      <c r="C42" s="4" t="s">
        <v>57</v>
      </c>
    </row>
    <row r="43" spans="1:14" x14ac:dyDescent="0.45">
      <c r="A43" s="4" t="s">
        <v>58</v>
      </c>
      <c r="B43" s="4">
        <v>54</v>
      </c>
      <c r="C43" s="4" t="s">
        <v>57</v>
      </c>
    </row>
    <row r="44" spans="1:14" x14ac:dyDescent="0.45">
      <c r="A44" s="4" t="s">
        <v>59</v>
      </c>
      <c r="B44" s="4">
        <f>+B43-B42</f>
        <v>6</v>
      </c>
      <c r="C44" s="4" t="s">
        <v>60</v>
      </c>
    </row>
    <row r="45" spans="1:14" x14ac:dyDescent="0.45">
      <c r="A45" s="4" t="s">
        <v>61</v>
      </c>
      <c r="B45" s="4">
        <f>+B44*B10</f>
        <v>120</v>
      </c>
      <c r="C45" s="4" t="s">
        <v>62</v>
      </c>
      <c r="F45" s="56"/>
    </row>
    <row r="46" spans="1:14" x14ac:dyDescent="0.45">
      <c r="A46" s="4" t="s">
        <v>63</v>
      </c>
      <c r="B46" s="4">
        <f>+B45*4</f>
        <v>480</v>
      </c>
      <c r="C46" s="4" t="s">
        <v>64</v>
      </c>
    </row>
    <row r="47" spans="1:14" x14ac:dyDescent="0.45">
      <c r="A47" s="4" t="s">
        <v>65</v>
      </c>
      <c r="B47" s="52">
        <f>+C10/240</f>
        <v>8750</v>
      </c>
      <c r="C47" s="4" t="s">
        <v>66</v>
      </c>
    </row>
    <row r="48" spans="1:14" x14ac:dyDescent="0.45">
      <c r="A48" s="4" t="s">
        <v>67</v>
      </c>
      <c r="B48" s="52">
        <f>+B47*1.25</f>
        <v>10937.5</v>
      </c>
    </row>
    <row r="49" spans="2:2" x14ac:dyDescent="0.45">
      <c r="B49" s="52"/>
    </row>
    <row r="51" spans="2:2" x14ac:dyDescent="0.45">
      <c r="B51" s="56"/>
    </row>
  </sheetData>
  <mergeCells count="6">
    <mergeCell ref="A34:N36"/>
    <mergeCell ref="A1:N1"/>
    <mergeCell ref="E3:H3"/>
    <mergeCell ref="I3:N3"/>
    <mergeCell ref="H19:N24"/>
    <mergeCell ref="A26:C2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16EB6-331E-4C36-B36E-EB9F715407AE}">
  <dimension ref="A1:W98"/>
  <sheetViews>
    <sheetView showGridLines="0" topLeftCell="A76" workbookViewId="0">
      <selection activeCell="S102" sqref="S102"/>
    </sheetView>
  </sheetViews>
  <sheetFormatPr baseColWidth="10" defaultColWidth="11.3984375" defaultRowHeight="14.25" x14ac:dyDescent="0.45"/>
  <cols>
    <col min="1" max="1" width="31.86328125" customWidth="1"/>
    <col min="2" max="2" width="20.59765625" customWidth="1"/>
    <col min="3" max="3" width="22.1328125" customWidth="1"/>
    <col min="4" max="4" width="11.3984375" customWidth="1"/>
    <col min="5" max="5" width="15.59765625" customWidth="1"/>
    <col min="6" max="6" width="21.86328125" customWidth="1"/>
    <col min="7" max="7" width="15.73046875" customWidth="1"/>
    <col min="8" max="8" width="16.73046875" customWidth="1"/>
    <col min="9" max="9" width="15.73046875" customWidth="1"/>
    <col min="10" max="10" width="11.3984375" style="4" customWidth="1"/>
    <col min="11" max="11" width="21" style="4" customWidth="1"/>
    <col min="12" max="12" width="18.3984375" style="4" customWidth="1"/>
    <col min="13" max="16" width="16" style="4" customWidth="1"/>
    <col min="17" max="17" width="9" style="4" customWidth="1"/>
    <col min="18" max="18" width="11.3984375" style="4"/>
    <col min="19" max="19" width="29.59765625" style="4" customWidth="1"/>
    <col min="20" max="20" width="18.3984375" style="4" bestFit="1" customWidth="1"/>
    <col min="21" max="21" width="15.73046875" style="4" bestFit="1" customWidth="1"/>
    <col min="22" max="23" width="18.3984375" style="4" bestFit="1" customWidth="1"/>
    <col min="24" max="16384" width="11.3984375" style="4"/>
  </cols>
  <sheetData>
    <row r="1" spans="1:17" ht="18" x14ac:dyDescent="0.55000000000000004">
      <c r="A1" s="260" t="s">
        <v>68</v>
      </c>
      <c r="B1" s="260"/>
      <c r="C1" s="260"/>
      <c r="D1" s="260"/>
      <c r="E1" s="260"/>
      <c r="F1" s="260"/>
      <c r="G1" s="260"/>
      <c r="H1" s="260"/>
      <c r="I1" s="260"/>
    </row>
    <row r="2" spans="1:17" ht="18" x14ac:dyDescent="0.55000000000000004">
      <c r="A2" s="78"/>
      <c r="B2" s="4"/>
      <c r="C2" s="4"/>
      <c r="D2" s="4"/>
      <c r="E2" s="4"/>
      <c r="F2" s="4"/>
      <c r="G2" s="4"/>
      <c r="H2" s="4"/>
      <c r="I2" s="4"/>
      <c r="L2" s="79"/>
    </row>
    <row r="3" spans="1:17" x14ac:dyDescent="0.45">
      <c r="A3" s="4" t="s">
        <v>69</v>
      </c>
      <c r="B3" s="80">
        <v>0.13120000000000001</v>
      </c>
      <c r="C3" s="4"/>
      <c r="D3" s="4"/>
      <c r="E3" s="4"/>
      <c r="F3" s="4"/>
      <c r="G3" s="4"/>
      <c r="H3" s="4"/>
      <c r="I3" s="4"/>
      <c r="L3" s="79"/>
    </row>
    <row r="4" spans="1:17" x14ac:dyDescent="0.45">
      <c r="A4" s="4" t="s">
        <v>70</v>
      </c>
      <c r="B4" s="80">
        <v>8.6999999999999994E-2</v>
      </c>
      <c r="C4" s="4"/>
      <c r="D4" s="4"/>
      <c r="E4" s="4"/>
      <c r="F4" s="4"/>
      <c r="G4" s="4"/>
      <c r="H4" s="4"/>
      <c r="I4" s="4"/>
      <c r="L4" s="79"/>
    </row>
    <row r="5" spans="1:17" x14ac:dyDescent="0.45">
      <c r="A5" s="4" t="s">
        <v>71</v>
      </c>
      <c r="B5" s="80">
        <v>3.5000000000000003E-2</v>
      </c>
      <c r="C5" s="4"/>
      <c r="D5" s="4"/>
      <c r="E5" s="4"/>
      <c r="F5" s="4"/>
      <c r="G5" s="4"/>
      <c r="H5" s="4"/>
      <c r="I5" s="4"/>
      <c r="L5" s="79"/>
    </row>
    <row r="6" spans="1:17" x14ac:dyDescent="0.45">
      <c r="A6" s="4"/>
      <c r="B6" s="80"/>
      <c r="C6" s="4"/>
      <c r="D6" s="4"/>
      <c r="E6" s="4"/>
      <c r="F6" s="4"/>
      <c r="G6" s="4"/>
      <c r="H6" s="4"/>
      <c r="I6" s="4"/>
      <c r="L6" s="79"/>
    </row>
    <row r="7" spans="1:17" ht="35.25" customHeight="1" x14ac:dyDescent="0.45">
      <c r="A7" s="278" t="s">
        <v>72</v>
      </c>
      <c r="B7" s="278"/>
      <c r="C7" s="278"/>
      <c r="D7" s="278"/>
      <c r="E7" s="278"/>
      <c r="F7" s="278"/>
      <c r="G7" s="278"/>
      <c r="H7" s="278"/>
      <c r="I7" s="85"/>
    </row>
    <row r="8" spans="1:17" x14ac:dyDescent="0.45">
      <c r="A8" s="57" t="s">
        <v>73</v>
      </c>
      <c r="B8" s="57" t="s">
        <v>74</v>
      </c>
      <c r="C8" s="57"/>
      <c r="D8" s="57"/>
      <c r="E8" s="57"/>
      <c r="F8" s="85">
        <v>2023</v>
      </c>
      <c r="G8" s="85">
        <v>2024</v>
      </c>
      <c r="H8" s="58">
        <v>2025</v>
      </c>
      <c r="I8" s="85" t="s">
        <v>75</v>
      </c>
    </row>
    <row r="9" spans="1:17" ht="28.5" x14ac:dyDescent="0.45">
      <c r="A9" s="82" t="s">
        <v>76</v>
      </c>
      <c r="B9" s="4"/>
      <c r="C9" s="4"/>
      <c r="D9" s="4"/>
      <c r="E9" s="4"/>
      <c r="F9" s="4"/>
      <c r="G9" s="4"/>
      <c r="H9" s="4"/>
      <c r="I9" s="5"/>
      <c r="M9" s="133" t="s">
        <v>148</v>
      </c>
      <c r="N9" s="133" t="s">
        <v>149</v>
      </c>
      <c r="O9" s="133" t="s">
        <v>145</v>
      </c>
      <c r="P9" s="133" t="s">
        <v>156</v>
      </c>
      <c r="Q9" s="133" t="s">
        <v>141</v>
      </c>
    </row>
    <row r="10" spans="1:17" x14ac:dyDescent="0.45">
      <c r="A10" s="105" t="s">
        <v>77</v>
      </c>
      <c r="B10" s="106" t="e">
        <f>+#REF!</f>
        <v>#REF!</v>
      </c>
      <c r="C10" s="56" t="s">
        <v>78</v>
      </c>
      <c r="D10" s="56"/>
      <c r="E10" s="56"/>
      <c r="F10" s="107" t="e">
        <f>+B10*12</f>
        <v>#REF!</v>
      </c>
      <c r="G10" s="107" t="e">
        <f>+(F10*$B$4)+F10</f>
        <v>#REF!</v>
      </c>
      <c r="H10" s="107" t="e">
        <f>+(G10*$B$5)+G10</f>
        <v>#REF!</v>
      </c>
      <c r="I10" s="108" t="e">
        <f t="shared" ref="I10:I21" si="0">SUM(F10:H10)</f>
        <v>#REF!</v>
      </c>
      <c r="J10" s="109" t="e">
        <f t="shared" ref="J10:J22" si="1">+I10/$I$23</f>
        <v>#REF!</v>
      </c>
      <c r="K10" s="56"/>
      <c r="L10" s="110" t="e">
        <f>+F10</f>
        <v>#REF!</v>
      </c>
      <c r="M10" s="110" t="e">
        <f>+L10</f>
        <v>#REF!</v>
      </c>
      <c r="N10" s="110">
        <f>17200000*12</f>
        <v>206400000</v>
      </c>
      <c r="O10" s="110" t="e">
        <f>+(M10+4*L10+N10)/6</f>
        <v>#REF!</v>
      </c>
      <c r="P10" s="110" t="e">
        <f>+(N10-M10)/6</f>
        <v>#REF!</v>
      </c>
      <c r="Q10" s="132" t="e">
        <f>+P10*P10</f>
        <v>#REF!</v>
      </c>
    </row>
    <row r="11" spans="1:17" x14ac:dyDescent="0.45">
      <c r="A11" s="105" t="s">
        <v>79</v>
      </c>
      <c r="B11" s="106" t="e">
        <f>+#REF!</f>
        <v>#REF!</v>
      </c>
      <c r="C11" s="56" t="s">
        <v>78</v>
      </c>
      <c r="D11" s="56"/>
      <c r="E11" s="56"/>
      <c r="F11" s="107" t="e">
        <f>+$B$11*12</f>
        <v>#REF!</v>
      </c>
      <c r="G11" s="107" t="e">
        <f t="shared" ref="G11:H22" si="2">+(F11*$B$4)+F11</f>
        <v>#REF!</v>
      </c>
      <c r="H11" s="107" t="e">
        <f>+(G11*$B$5)+G11</f>
        <v>#REF!</v>
      </c>
      <c r="I11" s="108" t="e">
        <f t="shared" si="0"/>
        <v>#REF!</v>
      </c>
      <c r="J11" s="109" t="e">
        <f t="shared" si="1"/>
        <v>#REF!</v>
      </c>
      <c r="K11" s="56"/>
      <c r="L11" s="110" t="e">
        <f>+F11</f>
        <v>#REF!</v>
      </c>
      <c r="M11" s="110" t="e">
        <f>+L11</f>
        <v>#REF!</v>
      </c>
      <c r="N11" s="110">
        <f>50500000*12</f>
        <v>606000000</v>
      </c>
      <c r="O11" s="110" t="e">
        <f>+(M11+4*L11+N11)/6</f>
        <v>#REF!</v>
      </c>
      <c r="P11" s="110" t="e">
        <f>+(N11-M11)/6</f>
        <v>#REF!</v>
      </c>
      <c r="Q11" s="132" t="e">
        <f>+P11*P11</f>
        <v>#REF!</v>
      </c>
    </row>
    <row r="12" spans="1:17" hidden="1" x14ac:dyDescent="0.45">
      <c r="A12" s="105" t="s">
        <v>80</v>
      </c>
      <c r="B12" s="106" t="e">
        <f>+#REF!+#REF!+#REF!</f>
        <v>#REF!</v>
      </c>
      <c r="C12" s="56" t="s">
        <v>81</v>
      </c>
      <c r="D12" s="56" t="s">
        <v>82</v>
      </c>
      <c r="E12" s="56"/>
      <c r="F12" s="106" t="e">
        <f>+B12*12</f>
        <v>#REF!</v>
      </c>
      <c r="G12" s="106" t="e">
        <f t="shared" si="2"/>
        <v>#REF!</v>
      </c>
      <c r="H12" s="106" t="e">
        <f>+(G12*$B$5)+G12</f>
        <v>#REF!</v>
      </c>
      <c r="I12" s="111" t="e">
        <f t="shared" si="0"/>
        <v>#REF!</v>
      </c>
      <c r="J12" s="112" t="e">
        <f t="shared" si="1"/>
        <v>#REF!</v>
      </c>
      <c r="K12" s="56"/>
      <c r="L12" s="110"/>
      <c r="M12" s="110"/>
      <c r="N12" s="110"/>
      <c r="O12" s="110"/>
      <c r="P12" s="110"/>
      <c r="Q12" s="132"/>
    </row>
    <row r="13" spans="1:17" hidden="1" x14ac:dyDescent="0.45">
      <c r="A13" s="105" t="s">
        <v>83</v>
      </c>
      <c r="B13" s="106" t="e">
        <f>+#REF!+#REF!+#REF!</f>
        <v>#REF!</v>
      </c>
      <c r="C13" s="56" t="s">
        <v>81</v>
      </c>
      <c r="D13" s="56" t="s">
        <v>82</v>
      </c>
      <c r="E13" s="56"/>
      <c r="F13" s="106" t="e">
        <f>+B13*12</f>
        <v>#REF!</v>
      </c>
      <c r="G13" s="106" t="e">
        <f t="shared" si="2"/>
        <v>#REF!</v>
      </c>
      <c r="H13" s="106" t="e">
        <f t="shared" ref="H13:H21" si="3">+(G13*$B$5)+G13</f>
        <v>#REF!</v>
      </c>
      <c r="I13" s="111" t="e">
        <f t="shared" si="0"/>
        <v>#REF!</v>
      </c>
      <c r="J13" s="112" t="e">
        <f t="shared" si="1"/>
        <v>#REF!</v>
      </c>
      <c r="K13" s="56"/>
      <c r="L13" s="110"/>
      <c r="M13" s="110"/>
      <c r="N13" s="110"/>
      <c r="O13" s="110"/>
      <c r="P13" s="110"/>
      <c r="Q13" s="132"/>
    </row>
    <row r="14" spans="1:17" x14ac:dyDescent="0.45">
      <c r="A14" s="105" t="s">
        <v>84</v>
      </c>
      <c r="B14" s="106" t="e">
        <f>+#REF!</f>
        <v>#REF!</v>
      </c>
      <c r="C14" s="56" t="s">
        <v>81</v>
      </c>
      <c r="D14" s="56" t="s">
        <v>85</v>
      </c>
      <c r="E14" s="56"/>
      <c r="F14" s="107" t="e">
        <f>+B14*12</f>
        <v>#REF!</v>
      </c>
      <c r="G14" s="107" t="e">
        <f t="shared" si="2"/>
        <v>#REF!</v>
      </c>
      <c r="H14" s="107" t="e">
        <f t="shared" si="3"/>
        <v>#REF!</v>
      </c>
      <c r="I14" s="108" t="e">
        <f t="shared" si="0"/>
        <v>#REF!</v>
      </c>
      <c r="J14" s="109" t="e">
        <f t="shared" si="1"/>
        <v>#REF!</v>
      </c>
      <c r="K14" s="56"/>
      <c r="L14" s="110" t="e">
        <f>+F14</f>
        <v>#REF!</v>
      </c>
      <c r="M14" s="110" t="e">
        <f>+L14</f>
        <v>#REF!</v>
      </c>
      <c r="N14" s="110">
        <f>14000000*12</f>
        <v>168000000</v>
      </c>
      <c r="O14" s="110" t="e">
        <f>+(M14+4*L14+N14)/6</f>
        <v>#REF!</v>
      </c>
      <c r="P14" s="110" t="e">
        <f>+(N14-M14)/6</f>
        <v>#REF!</v>
      </c>
      <c r="Q14" s="132" t="e">
        <f>+P14*P14</f>
        <v>#REF!</v>
      </c>
    </row>
    <row r="15" spans="1:17" hidden="1" x14ac:dyDescent="0.45">
      <c r="A15" s="105" t="s">
        <v>86</v>
      </c>
      <c r="B15" s="113">
        <v>2000000</v>
      </c>
      <c r="C15" s="56" t="s">
        <v>78</v>
      </c>
      <c r="D15" s="56"/>
      <c r="E15" s="56"/>
      <c r="F15" s="106">
        <f>+B15*12</f>
        <v>24000000</v>
      </c>
      <c r="G15" s="106">
        <f t="shared" si="2"/>
        <v>26088000</v>
      </c>
      <c r="H15" s="106">
        <f t="shared" si="3"/>
        <v>27001080</v>
      </c>
      <c r="I15" s="111">
        <f t="shared" si="0"/>
        <v>77089080</v>
      </c>
      <c r="J15" s="112" t="e">
        <f t="shared" si="1"/>
        <v>#REF!</v>
      </c>
      <c r="K15" s="56"/>
      <c r="L15" s="110"/>
      <c r="M15" s="110"/>
      <c r="N15" s="110"/>
      <c r="O15" s="110"/>
      <c r="P15" s="110"/>
      <c r="Q15" s="132"/>
    </row>
    <row r="16" spans="1:17" hidden="1" x14ac:dyDescent="0.45">
      <c r="A16" s="105" t="s">
        <v>87</v>
      </c>
      <c r="B16" s="113">
        <v>4500000</v>
      </c>
      <c r="C16" s="56" t="s">
        <v>88</v>
      </c>
      <c r="D16" s="56"/>
      <c r="E16" s="56"/>
      <c r="F16" s="106">
        <f>+B16</f>
        <v>4500000</v>
      </c>
      <c r="G16" s="106">
        <f t="shared" si="2"/>
        <v>4891500</v>
      </c>
      <c r="H16" s="106">
        <f t="shared" si="3"/>
        <v>5062702.5</v>
      </c>
      <c r="I16" s="111">
        <f t="shared" si="0"/>
        <v>14454202.5</v>
      </c>
      <c r="J16" s="112" t="e">
        <f t="shared" si="1"/>
        <v>#REF!</v>
      </c>
      <c r="K16" s="56"/>
      <c r="L16" s="110"/>
      <c r="M16" s="110"/>
      <c r="N16" s="110"/>
      <c r="O16" s="110"/>
      <c r="P16" s="110"/>
      <c r="Q16" s="132"/>
    </row>
    <row r="17" spans="1:17" hidden="1" x14ac:dyDescent="0.45">
      <c r="A17" s="105" t="s">
        <v>89</v>
      </c>
      <c r="B17" s="113">
        <v>600000</v>
      </c>
      <c r="C17" s="56" t="s">
        <v>90</v>
      </c>
      <c r="D17" s="56"/>
      <c r="E17" s="56"/>
      <c r="F17" s="106">
        <f>+B17*4</f>
        <v>2400000</v>
      </c>
      <c r="G17" s="106">
        <f t="shared" si="2"/>
        <v>2608800</v>
      </c>
      <c r="H17" s="106">
        <f t="shared" si="3"/>
        <v>2700108</v>
      </c>
      <c r="I17" s="111">
        <f t="shared" si="0"/>
        <v>7708908</v>
      </c>
      <c r="J17" s="112" t="e">
        <f t="shared" si="1"/>
        <v>#REF!</v>
      </c>
      <c r="K17" s="56"/>
      <c r="L17" s="110"/>
      <c r="M17" s="110"/>
      <c r="N17" s="110"/>
      <c r="O17" s="110"/>
      <c r="P17" s="110"/>
      <c r="Q17" s="132"/>
    </row>
    <row r="18" spans="1:17" hidden="1" x14ac:dyDescent="0.45">
      <c r="A18" s="105" t="s">
        <v>91</v>
      </c>
      <c r="B18" s="113">
        <v>350000</v>
      </c>
      <c r="C18" s="56" t="s">
        <v>78</v>
      </c>
      <c r="D18" s="56"/>
      <c r="E18" s="106"/>
      <c r="F18" s="106">
        <f>+$B$18*12</f>
        <v>4200000</v>
      </c>
      <c r="G18" s="106">
        <f t="shared" si="2"/>
        <v>4565400</v>
      </c>
      <c r="H18" s="106">
        <f t="shared" si="3"/>
        <v>4725189</v>
      </c>
      <c r="I18" s="111">
        <f t="shared" si="0"/>
        <v>13490589</v>
      </c>
      <c r="J18" s="112" t="e">
        <f t="shared" si="1"/>
        <v>#REF!</v>
      </c>
      <c r="K18" s="56"/>
      <c r="L18" s="110"/>
      <c r="M18" s="110"/>
      <c r="N18" s="110"/>
      <c r="O18" s="110"/>
      <c r="P18" s="110"/>
      <c r="Q18" s="132"/>
    </row>
    <row r="19" spans="1:17" hidden="1" x14ac:dyDescent="0.45">
      <c r="A19" s="105" t="s">
        <v>92</v>
      </c>
      <c r="B19" s="113">
        <v>200000</v>
      </c>
      <c r="C19" s="56" t="s">
        <v>93</v>
      </c>
      <c r="D19" s="56"/>
      <c r="E19" s="106"/>
      <c r="F19" s="106">
        <f>+B19*6</f>
        <v>1200000</v>
      </c>
      <c r="G19" s="106">
        <f t="shared" si="2"/>
        <v>1304400</v>
      </c>
      <c r="H19" s="106">
        <f t="shared" si="3"/>
        <v>1350054</v>
      </c>
      <c r="I19" s="111">
        <f t="shared" si="0"/>
        <v>3854454</v>
      </c>
      <c r="J19" s="112" t="e">
        <f t="shared" si="1"/>
        <v>#REF!</v>
      </c>
      <c r="K19" s="56"/>
      <c r="L19" s="110"/>
      <c r="M19" s="110"/>
      <c r="N19" s="110"/>
      <c r="O19" s="110"/>
      <c r="P19" s="110"/>
      <c r="Q19" s="132"/>
    </row>
    <row r="20" spans="1:17" hidden="1" x14ac:dyDescent="0.45">
      <c r="A20" s="105" t="s">
        <v>94</v>
      </c>
      <c r="B20" s="113">
        <v>280000</v>
      </c>
      <c r="C20" s="56" t="s">
        <v>78</v>
      </c>
      <c r="D20" s="56"/>
      <c r="E20" s="106"/>
      <c r="F20" s="106">
        <f>+B20*12</f>
        <v>3360000</v>
      </c>
      <c r="G20" s="106">
        <f t="shared" si="2"/>
        <v>3652320</v>
      </c>
      <c r="H20" s="106">
        <f t="shared" si="3"/>
        <v>3780151.2</v>
      </c>
      <c r="I20" s="111">
        <f t="shared" si="0"/>
        <v>10792471.199999999</v>
      </c>
      <c r="J20" s="112" t="e">
        <f t="shared" si="1"/>
        <v>#REF!</v>
      </c>
      <c r="K20" s="56"/>
      <c r="L20" s="110"/>
      <c r="M20" s="110"/>
      <c r="N20" s="110"/>
      <c r="O20" s="110"/>
      <c r="P20" s="110"/>
      <c r="Q20" s="132"/>
    </row>
    <row r="21" spans="1:17" hidden="1" x14ac:dyDescent="0.45">
      <c r="A21" s="105" t="s">
        <v>95</v>
      </c>
      <c r="B21" s="113">
        <v>39000</v>
      </c>
      <c r="C21" s="56" t="s">
        <v>96</v>
      </c>
      <c r="D21" s="56"/>
      <c r="E21" s="106"/>
      <c r="F21" s="106">
        <f>+(B21*20)*12</f>
        <v>9360000</v>
      </c>
      <c r="G21" s="106">
        <f t="shared" si="2"/>
        <v>10174320</v>
      </c>
      <c r="H21" s="106">
        <f t="shared" si="3"/>
        <v>10530421.199999999</v>
      </c>
      <c r="I21" s="111">
        <f t="shared" si="0"/>
        <v>30064741.199999999</v>
      </c>
      <c r="J21" s="112" t="e">
        <f t="shared" si="1"/>
        <v>#REF!</v>
      </c>
      <c r="K21" s="56"/>
      <c r="L21" s="110"/>
      <c r="M21" s="110"/>
      <c r="N21" s="110"/>
      <c r="O21" s="110"/>
      <c r="P21" s="110"/>
      <c r="Q21" s="132"/>
    </row>
    <row r="22" spans="1:17" hidden="1" x14ac:dyDescent="0.45">
      <c r="A22" s="56" t="s">
        <v>97</v>
      </c>
      <c r="B22" s="113">
        <v>3500000</v>
      </c>
      <c r="C22" s="56" t="s">
        <v>78</v>
      </c>
      <c r="D22" s="56" t="s">
        <v>98</v>
      </c>
      <c r="E22" s="56"/>
      <c r="F22" s="114">
        <f>+B22*12</f>
        <v>42000000</v>
      </c>
      <c r="G22" s="115">
        <f>+(F22*$B$4)+F22</f>
        <v>45654000</v>
      </c>
      <c r="H22" s="115">
        <f t="shared" si="2"/>
        <v>49625898</v>
      </c>
      <c r="I22" s="111">
        <f>SUM(F22:H22)</f>
        <v>137279898</v>
      </c>
      <c r="J22" s="112" t="e">
        <f t="shared" si="1"/>
        <v>#REF!</v>
      </c>
      <c r="K22" s="56"/>
      <c r="L22" s="110"/>
      <c r="M22" s="110"/>
      <c r="N22" s="110"/>
      <c r="O22" s="110"/>
      <c r="P22" s="110"/>
      <c r="Q22" s="132"/>
    </row>
    <row r="23" spans="1:17" hidden="1" x14ac:dyDescent="0.45">
      <c r="A23" s="116" t="s">
        <v>132</v>
      </c>
      <c r="B23" s="116"/>
      <c r="C23" s="116"/>
      <c r="D23" s="116"/>
      <c r="E23" s="116"/>
      <c r="F23" s="117" t="e">
        <f>SUM(F10:F22)</f>
        <v>#REF!</v>
      </c>
      <c r="G23" s="117" t="e">
        <f>SUM(G10:G22)</f>
        <v>#REF!</v>
      </c>
      <c r="H23" s="117" t="e">
        <f>SUM(H10:H22)</f>
        <v>#REF!</v>
      </c>
      <c r="I23" s="117" t="e">
        <f>SUM(F23:H23)</f>
        <v>#REF!</v>
      </c>
      <c r="J23" s="112" t="e">
        <f>SUM(J10:J22)</f>
        <v>#REF!</v>
      </c>
      <c r="K23" s="56"/>
      <c r="L23" s="110"/>
      <c r="M23" s="110"/>
      <c r="N23" s="110"/>
      <c r="O23" s="110"/>
      <c r="P23" s="110"/>
      <c r="Q23" s="132"/>
    </row>
    <row r="24" spans="1:17" hidden="1" x14ac:dyDescent="0.45">
      <c r="A24" s="56"/>
      <c r="B24" s="56"/>
      <c r="C24" s="56"/>
      <c r="D24" s="56"/>
      <c r="E24" s="56"/>
      <c r="F24" s="106"/>
      <c r="G24" s="106"/>
      <c r="H24" s="106"/>
      <c r="I24" s="111" t="s">
        <v>98</v>
      </c>
      <c r="J24" s="106"/>
      <c r="K24" s="56"/>
      <c r="L24" s="110"/>
      <c r="M24" s="110"/>
      <c r="N24" s="110"/>
      <c r="O24" s="110"/>
      <c r="P24" s="110"/>
      <c r="Q24" s="132"/>
    </row>
    <row r="25" spans="1:17" hidden="1" x14ac:dyDescent="0.45">
      <c r="A25" s="56"/>
      <c r="B25" s="56"/>
      <c r="C25" s="56"/>
      <c r="D25" s="56"/>
      <c r="E25" s="56"/>
      <c r="F25" s="106"/>
      <c r="G25" s="106"/>
      <c r="H25" s="106"/>
      <c r="I25" s="111"/>
      <c r="J25" s="106"/>
      <c r="K25" s="106"/>
      <c r="L25" s="110"/>
      <c r="M25" s="110"/>
      <c r="N25" s="110"/>
      <c r="O25" s="110"/>
      <c r="P25" s="110"/>
      <c r="Q25" s="132"/>
    </row>
    <row r="26" spans="1:17" hidden="1" x14ac:dyDescent="0.45">
      <c r="A26" s="279" t="s">
        <v>99</v>
      </c>
      <c r="B26" s="279"/>
      <c r="C26" s="279"/>
      <c r="D26" s="279"/>
      <c r="E26" s="279"/>
      <c r="F26" s="279"/>
      <c r="G26" s="279"/>
      <c r="H26" s="279"/>
      <c r="I26" s="90"/>
      <c r="J26" s="106"/>
      <c r="K26" s="56"/>
      <c r="L26" s="110"/>
      <c r="M26" s="110"/>
      <c r="N26" s="110"/>
      <c r="O26" s="110"/>
      <c r="P26" s="110"/>
      <c r="Q26" s="132"/>
    </row>
    <row r="27" spans="1:17" hidden="1" x14ac:dyDescent="0.45">
      <c r="A27" s="118" t="s">
        <v>73</v>
      </c>
      <c r="B27" s="118" t="s">
        <v>74</v>
      </c>
      <c r="C27" s="118"/>
      <c r="D27" s="118"/>
      <c r="E27" s="118"/>
      <c r="F27" s="90">
        <v>2023</v>
      </c>
      <c r="G27" s="90">
        <v>2024</v>
      </c>
      <c r="H27" s="119">
        <v>2025</v>
      </c>
      <c r="I27" s="90" t="s">
        <v>75</v>
      </c>
      <c r="J27" s="106"/>
      <c r="K27" s="56"/>
      <c r="L27" s="110"/>
      <c r="M27" s="110"/>
      <c r="N27" s="110"/>
      <c r="O27" s="110"/>
      <c r="P27" s="110"/>
      <c r="Q27" s="132"/>
    </row>
    <row r="28" spans="1:17" hidden="1" x14ac:dyDescent="0.45">
      <c r="A28" s="120" t="s">
        <v>76</v>
      </c>
      <c r="B28" s="62"/>
      <c r="C28" s="62"/>
      <c r="D28" s="62"/>
      <c r="E28" s="62"/>
      <c r="F28" s="62"/>
      <c r="G28" s="62"/>
      <c r="H28" s="62"/>
      <c r="I28" s="74"/>
      <c r="J28" s="106"/>
      <c r="K28" s="56"/>
      <c r="L28" s="110"/>
      <c r="M28" s="110"/>
      <c r="N28" s="110"/>
      <c r="O28" s="110"/>
      <c r="P28" s="110"/>
      <c r="Q28" s="132"/>
    </row>
    <row r="29" spans="1:17" hidden="1" x14ac:dyDescent="0.45">
      <c r="A29" s="121" t="s">
        <v>100</v>
      </c>
      <c r="B29" s="122" t="e">
        <f>+#REF!</f>
        <v>#REF!</v>
      </c>
      <c r="C29" s="62" t="e">
        <f>+#REF!</f>
        <v>#REF!</v>
      </c>
      <c r="D29" s="62"/>
      <c r="E29" s="62"/>
      <c r="F29" s="122" t="e">
        <f>+B29</f>
        <v>#REF!</v>
      </c>
      <c r="G29" s="115">
        <v>0</v>
      </c>
      <c r="H29" s="115">
        <v>0</v>
      </c>
      <c r="I29" s="123" t="e">
        <f t="shared" ref="I29:I37" si="4">SUM(F29:H29)</f>
        <v>#REF!</v>
      </c>
      <c r="J29" s="106"/>
      <c r="K29" s="56"/>
      <c r="L29" s="110"/>
      <c r="M29" s="110"/>
      <c r="N29" s="110"/>
      <c r="O29" s="110"/>
      <c r="P29" s="110"/>
      <c r="Q29" s="132"/>
    </row>
    <row r="30" spans="1:17" hidden="1" x14ac:dyDescent="0.45">
      <c r="A30" s="124" t="s">
        <v>101</v>
      </c>
      <c r="B30" s="122" t="e">
        <f>+#REF!</f>
        <v>#REF!</v>
      </c>
      <c r="C30" s="62" t="e">
        <f>+#REF!</f>
        <v>#REF!</v>
      </c>
      <c r="D30" s="62"/>
      <c r="E30" s="62"/>
      <c r="F30" s="122" t="e">
        <f t="shared" ref="F30:F37" si="5">+B30</f>
        <v>#REF!</v>
      </c>
      <c r="G30" s="122" t="e">
        <f>+(F30*$B$4)+F30</f>
        <v>#REF!</v>
      </c>
      <c r="H30" s="122" t="e">
        <f t="shared" ref="H30:H37" si="6">+(G30*$B$5)+G30</f>
        <v>#REF!</v>
      </c>
      <c r="I30" s="123" t="e">
        <f t="shared" si="4"/>
        <v>#REF!</v>
      </c>
      <c r="J30" s="106"/>
      <c r="K30" s="56"/>
      <c r="L30" s="110"/>
      <c r="M30" s="110"/>
      <c r="N30" s="110"/>
      <c r="O30" s="110"/>
      <c r="P30" s="110"/>
      <c r="Q30" s="132"/>
    </row>
    <row r="31" spans="1:17" hidden="1" x14ac:dyDescent="0.45">
      <c r="A31" s="124" t="s">
        <v>102</v>
      </c>
      <c r="B31" s="122" t="e">
        <f>+#REF!</f>
        <v>#REF!</v>
      </c>
      <c r="C31" s="62" t="e">
        <f>+#REF!</f>
        <v>#REF!</v>
      </c>
      <c r="D31" s="62"/>
      <c r="E31" s="62"/>
      <c r="F31" s="122" t="e">
        <f t="shared" si="5"/>
        <v>#REF!</v>
      </c>
      <c r="G31" s="115" t="e">
        <f>+(F31*$B$4)+F31</f>
        <v>#REF!</v>
      </c>
      <c r="H31" s="115" t="e">
        <f t="shared" si="6"/>
        <v>#REF!</v>
      </c>
      <c r="I31" s="123" t="e">
        <f t="shared" si="4"/>
        <v>#REF!</v>
      </c>
      <c r="J31" s="106"/>
      <c r="K31" s="56"/>
      <c r="L31" s="110"/>
      <c r="M31" s="110"/>
      <c r="N31" s="110"/>
      <c r="O31" s="110"/>
      <c r="P31" s="110"/>
      <c r="Q31" s="132"/>
    </row>
    <row r="32" spans="1:17" hidden="1" x14ac:dyDescent="0.45">
      <c r="A32" s="124" t="s">
        <v>103</v>
      </c>
      <c r="B32" s="122" t="e">
        <f>+#REF!</f>
        <v>#REF!</v>
      </c>
      <c r="C32" s="62" t="e">
        <f>+#REF!</f>
        <v>#REF!</v>
      </c>
      <c r="D32" s="62"/>
      <c r="E32" s="62"/>
      <c r="F32" s="122">
        <v>0</v>
      </c>
      <c r="G32" s="115" t="e">
        <f>+B32</f>
        <v>#REF!</v>
      </c>
      <c r="H32" s="115" t="e">
        <f t="shared" si="6"/>
        <v>#REF!</v>
      </c>
      <c r="I32" s="123" t="e">
        <f t="shared" si="4"/>
        <v>#REF!</v>
      </c>
      <c r="J32" s="106"/>
      <c r="K32" s="56"/>
      <c r="L32" s="110"/>
      <c r="M32" s="110"/>
      <c r="N32" s="110"/>
      <c r="O32" s="110"/>
      <c r="P32" s="110"/>
      <c r="Q32" s="132"/>
    </row>
    <row r="33" spans="1:17" hidden="1" x14ac:dyDescent="0.45">
      <c r="A33" s="124" t="s">
        <v>0</v>
      </c>
      <c r="B33" s="122" t="e">
        <f>+#REF!</f>
        <v>#REF!</v>
      </c>
      <c r="C33" s="62" t="e">
        <f>+#REF!</f>
        <v>#REF!</v>
      </c>
      <c r="D33" s="62"/>
      <c r="E33" s="122"/>
      <c r="F33" s="122" t="e">
        <f t="shared" si="5"/>
        <v>#REF!</v>
      </c>
      <c r="G33" s="115" t="e">
        <f t="shared" ref="G33:G37" si="7">+(F33*$B$4)+F33</f>
        <v>#REF!</v>
      </c>
      <c r="H33" s="115" t="e">
        <f t="shared" si="6"/>
        <v>#REF!</v>
      </c>
      <c r="I33" s="123" t="e">
        <f t="shared" si="4"/>
        <v>#REF!</v>
      </c>
      <c r="J33" s="106"/>
      <c r="K33" s="56"/>
      <c r="L33" s="110"/>
      <c r="M33" s="110"/>
      <c r="N33" s="110"/>
      <c r="O33" s="110"/>
      <c r="P33" s="110"/>
      <c r="Q33" s="132"/>
    </row>
    <row r="34" spans="1:17" hidden="1" x14ac:dyDescent="0.45">
      <c r="A34" s="124" t="s">
        <v>104</v>
      </c>
      <c r="B34" s="122" t="e">
        <f>+#REF!</f>
        <v>#REF!</v>
      </c>
      <c r="C34" s="62" t="e">
        <f>+#REF!</f>
        <v>#REF!</v>
      </c>
      <c r="D34" s="62"/>
      <c r="E34" s="122"/>
      <c r="F34" s="122" t="e">
        <f t="shared" si="5"/>
        <v>#REF!</v>
      </c>
      <c r="G34" s="115" t="e">
        <f t="shared" si="7"/>
        <v>#REF!</v>
      </c>
      <c r="H34" s="115" t="e">
        <f t="shared" si="6"/>
        <v>#REF!</v>
      </c>
      <c r="I34" s="123" t="e">
        <f t="shared" si="4"/>
        <v>#REF!</v>
      </c>
      <c r="J34" s="106"/>
      <c r="K34" s="56"/>
      <c r="L34" s="110"/>
      <c r="M34" s="110"/>
      <c r="N34" s="110"/>
      <c r="O34" s="110"/>
      <c r="P34" s="110"/>
      <c r="Q34" s="132"/>
    </row>
    <row r="35" spans="1:17" hidden="1" x14ac:dyDescent="0.45">
      <c r="A35" s="124" t="s">
        <v>139</v>
      </c>
      <c r="B35" s="122" t="e">
        <f>+#REF!</f>
        <v>#REF!</v>
      </c>
      <c r="C35" s="62" t="e">
        <f>+#REF!</f>
        <v>#REF!</v>
      </c>
      <c r="D35" s="62"/>
      <c r="E35" s="122"/>
      <c r="F35" s="122" t="e">
        <f>+B35</f>
        <v>#REF!</v>
      </c>
      <c r="G35" s="115" t="e">
        <f>+(F35*$B$4)+F35</f>
        <v>#REF!</v>
      </c>
      <c r="H35" s="115" t="e">
        <f>+(G35*$B$5)+G35</f>
        <v>#REF!</v>
      </c>
      <c r="I35" s="123" t="e">
        <f>SUM(F35:H35)</f>
        <v>#REF!</v>
      </c>
      <c r="J35" s="106"/>
      <c r="K35" s="56"/>
      <c r="L35" s="110"/>
      <c r="M35" s="110"/>
      <c r="N35" s="110"/>
      <c r="O35" s="110"/>
      <c r="P35" s="110"/>
      <c r="Q35" s="132"/>
    </row>
    <row r="36" spans="1:17" x14ac:dyDescent="0.45">
      <c r="A36" s="124" t="s">
        <v>1</v>
      </c>
      <c r="B36" s="122" t="e">
        <f>+#REF!</f>
        <v>#REF!</v>
      </c>
      <c r="C36" s="62" t="e">
        <f>+#REF!</f>
        <v>#REF!</v>
      </c>
      <c r="D36" s="62"/>
      <c r="E36" s="122"/>
      <c r="F36" s="107" t="e">
        <f t="shared" si="5"/>
        <v>#REF!</v>
      </c>
      <c r="G36" s="107" t="e">
        <f t="shared" si="7"/>
        <v>#REF!</v>
      </c>
      <c r="H36" s="107" t="e">
        <f t="shared" si="6"/>
        <v>#REF!</v>
      </c>
      <c r="I36" s="108" t="e">
        <f t="shared" si="4"/>
        <v>#REF!</v>
      </c>
      <c r="J36" s="106"/>
      <c r="K36" s="56"/>
      <c r="L36" s="110" t="e">
        <f>+F36</f>
        <v>#REF!</v>
      </c>
      <c r="M36" s="110" t="e">
        <f>+L36</f>
        <v>#REF!</v>
      </c>
      <c r="N36" s="110" t="e">
        <f>+L36*1.15</f>
        <v>#REF!</v>
      </c>
      <c r="O36" s="110" t="e">
        <f>+(M36+4*L36+N36)/6</f>
        <v>#REF!</v>
      </c>
      <c r="P36" s="110" t="e">
        <f t="shared" ref="P36:P37" si="8">+(N36-M36)/6</f>
        <v>#REF!</v>
      </c>
      <c r="Q36" s="132" t="e">
        <f>+P36*P36</f>
        <v>#REF!</v>
      </c>
    </row>
    <row r="37" spans="1:17" x14ac:dyDescent="0.45">
      <c r="A37" s="124" t="s">
        <v>2</v>
      </c>
      <c r="B37" s="122" t="e">
        <f>+#REF!</f>
        <v>#REF!</v>
      </c>
      <c r="C37" s="62" t="e">
        <f>+#REF!</f>
        <v>#REF!</v>
      </c>
      <c r="D37" s="62"/>
      <c r="E37" s="122"/>
      <c r="F37" s="107" t="e">
        <f t="shared" si="5"/>
        <v>#REF!</v>
      </c>
      <c r="G37" s="107" t="e">
        <f t="shared" si="7"/>
        <v>#REF!</v>
      </c>
      <c r="H37" s="107" t="e">
        <f t="shared" si="6"/>
        <v>#REF!</v>
      </c>
      <c r="I37" s="108" t="e">
        <f t="shared" si="4"/>
        <v>#REF!</v>
      </c>
      <c r="J37" s="106"/>
      <c r="K37" s="56"/>
      <c r="L37" s="110" t="e">
        <f>+F37</f>
        <v>#REF!</v>
      </c>
      <c r="M37" s="110" t="e">
        <f>+L37</f>
        <v>#REF!</v>
      </c>
      <c r="N37" s="110">
        <f>6000000*20</f>
        <v>120000000</v>
      </c>
      <c r="O37" s="110" t="e">
        <f>+(M37+4*L37+N37)/6</f>
        <v>#REF!</v>
      </c>
      <c r="P37" s="110" t="e">
        <f t="shared" si="8"/>
        <v>#REF!</v>
      </c>
      <c r="Q37" s="132" t="e">
        <f>+P37*P37</f>
        <v>#REF!</v>
      </c>
    </row>
    <row r="38" spans="1:17" hidden="1" x14ac:dyDescent="0.45">
      <c r="A38" s="116" t="s">
        <v>134</v>
      </c>
      <c r="B38" s="116"/>
      <c r="C38" s="116"/>
      <c r="D38" s="116"/>
      <c r="E38" s="116"/>
      <c r="F38" s="117" t="e">
        <f>SUM(F29:F37)</f>
        <v>#REF!</v>
      </c>
      <c r="G38" s="117" t="e">
        <f>SUM(G29:G37)</f>
        <v>#REF!</v>
      </c>
      <c r="H38" s="117" t="e">
        <f>SUM(H29:H37)</f>
        <v>#REF!</v>
      </c>
      <c r="I38" s="117" t="e">
        <f>SUM(F38:H38)</f>
        <v>#REF!</v>
      </c>
      <c r="J38" s="106"/>
      <c r="K38" s="56"/>
      <c r="L38" s="110"/>
      <c r="M38" s="110"/>
      <c r="N38" s="110"/>
      <c r="O38" s="110"/>
      <c r="P38" s="110"/>
      <c r="Q38" s="132"/>
    </row>
    <row r="39" spans="1:17" x14ac:dyDescent="0.45">
      <c r="A39" s="62"/>
      <c r="B39" s="62"/>
      <c r="C39" s="62"/>
      <c r="D39" s="62"/>
      <c r="E39" s="62"/>
      <c r="F39" s="122"/>
      <c r="G39" s="122"/>
      <c r="H39" s="122"/>
      <c r="I39" s="122"/>
      <c r="J39" s="106"/>
      <c r="K39" s="56"/>
      <c r="L39" s="110"/>
      <c r="M39" s="110"/>
      <c r="N39" s="110"/>
      <c r="O39" s="110"/>
      <c r="P39" s="110"/>
      <c r="Q39" s="132"/>
    </row>
    <row r="40" spans="1:17" x14ac:dyDescent="0.45">
      <c r="A40" s="62"/>
      <c r="B40" s="62"/>
      <c r="C40" s="62"/>
      <c r="D40" s="62"/>
      <c r="E40" s="62"/>
      <c r="F40" s="122"/>
      <c r="G40" s="122"/>
      <c r="H40" s="122"/>
      <c r="I40" s="122"/>
      <c r="J40" s="106"/>
      <c r="K40" s="56"/>
      <c r="L40" s="110"/>
      <c r="M40" s="110"/>
      <c r="N40" s="110"/>
      <c r="O40" s="110"/>
      <c r="P40" s="110"/>
      <c r="Q40" s="132"/>
    </row>
    <row r="41" spans="1:17" x14ac:dyDescent="0.45">
      <c r="A41" s="279" t="s">
        <v>105</v>
      </c>
      <c r="B41" s="279"/>
      <c r="C41" s="279"/>
      <c r="D41" s="279"/>
      <c r="E41" s="279"/>
      <c r="F41" s="279"/>
      <c r="G41" s="279"/>
      <c r="H41" s="279"/>
      <c r="I41" s="90"/>
      <c r="J41" s="106"/>
      <c r="K41" s="56"/>
      <c r="L41" s="110"/>
      <c r="M41" s="110"/>
      <c r="N41" s="110"/>
      <c r="O41" s="110"/>
      <c r="P41" s="110"/>
      <c r="Q41" s="132"/>
    </row>
    <row r="42" spans="1:17" x14ac:dyDescent="0.45">
      <c r="A42" s="118" t="s">
        <v>73</v>
      </c>
      <c r="B42" s="118" t="s">
        <v>74</v>
      </c>
      <c r="C42" s="118"/>
      <c r="D42" s="118"/>
      <c r="E42" s="118"/>
      <c r="F42" s="90">
        <v>2023</v>
      </c>
      <c r="G42" s="90">
        <v>2024</v>
      </c>
      <c r="H42" s="119">
        <v>2025</v>
      </c>
      <c r="I42" s="90" t="s">
        <v>75</v>
      </c>
      <c r="J42" s="106"/>
      <c r="K42" s="56"/>
      <c r="L42" s="110"/>
      <c r="M42" s="110"/>
      <c r="N42" s="110"/>
      <c r="O42" s="110"/>
      <c r="P42" s="110"/>
      <c r="Q42" s="132"/>
    </row>
    <row r="43" spans="1:17" x14ac:dyDescent="0.45">
      <c r="A43" s="120" t="s">
        <v>76</v>
      </c>
      <c r="B43" s="62"/>
      <c r="C43" s="62"/>
      <c r="D43" s="62"/>
      <c r="E43" s="62"/>
      <c r="F43" s="62"/>
      <c r="G43" s="62"/>
      <c r="H43" s="62"/>
      <c r="I43" s="74"/>
      <c r="J43" s="106"/>
      <c r="K43" s="56"/>
      <c r="L43" s="110"/>
      <c r="M43" s="110"/>
      <c r="N43" s="110"/>
      <c r="O43" s="110"/>
      <c r="P43" s="110"/>
      <c r="Q43" s="132"/>
    </row>
    <row r="44" spans="1:17" ht="28.5" x14ac:dyDescent="0.45">
      <c r="A44" s="134" t="s">
        <v>106</v>
      </c>
      <c r="B44" s="122" t="e">
        <f>+#REF!</f>
        <v>#REF!</v>
      </c>
      <c r="C44" s="62" t="e">
        <f>+#REF!</f>
        <v>#REF!</v>
      </c>
      <c r="D44" s="62"/>
      <c r="E44" s="62"/>
      <c r="F44" s="107" t="e">
        <f>+B44</f>
        <v>#REF!</v>
      </c>
      <c r="G44" s="107" t="e">
        <f>+(F44*$B$4)+F44</f>
        <v>#REF!</v>
      </c>
      <c r="H44" s="107" t="e">
        <f>+(G44*$B$5)+G44</f>
        <v>#REF!</v>
      </c>
      <c r="I44" s="108" t="e">
        <f>SUM(F44:H44)</f>
        <v>#REF!</v>
      </c>
      <c r="J44" s="106"/>
      <c r="K44" s="56"/>
      <c r="L44" s="110" t="e">
        <f>+F44</f>
        <v>#REF!</v>
      </c>
      <c r="M44" s="110" t="e">
        <f>+L44</f>
        <v>#REF!</v>
      </c>
      <c r="N44" s="110" t="e">
        <f>+L44*1.2</f>
        <v>#REF!</v>
      </c>
      <c r="O44" s="110" t="e">
        <f>+(M44+4*L44+N44)/6</f>
        <v>#REF!</v>
      </c>
      <c r="P44" s="110" t="e">
        <f>+(N44-M44)/6</f>
        <v>#REF!</v>
      </c>
      <c r="Q44" s="132" t="e">
        <f>+P44*P44</f>
        <v>#REF!</v>
      </c>
    </row>
    <row r="45" spans="1:17" hidden="1" x14ac:dyDescent="0.45">
      <c r="A45" s="125" t="s">
        <v>3</v>
      </c>
      <c r="B45" s="122" t="e">
        <f>+#REF!</f>
        <v>#REF!</v>
      </c>
      <c r="C45" s="62" t="e">
        <f>+#REF!</f>
        <v>#REF!</v>
      </c>
      <c r="D45" s="62"/>
      <c r="E45" s="62"/>
      <c r="F45" s="122" t="e">
        <f>+B45</f>
        <v>#REF!</v>
      </c>
      <c r="G45" s="122" t="e">
        <f>+(F45*$B$4)+F45</f>
        <v>#REF!</v>
      </c>
      <c r="H45" s="122" t="e">
        <f>+(G45*$B$5)+G45</f>
        <v>#REF!</v>
      </c>
      <c r="I45" s="123" t="e">
        <f t="shared" ref="I45:I49" si="9">SUM(F45:H45)</f>
        <v>#REF!</v>
      </c>
      <c r="J45" s="106"/>
      <c r="K45" s="56"/>
      <c r="L45" s="110"/>
      <c r="M45" s="110"/>
      <c r="N45" s="110"/>
      <c r="O45" s="110"/>
      <c r="P45" s="110"/>
      <c r="Q45" s="132"/>
    </row>
    <row r="46" spans="1:17" hidden="1" x14ac:dyDescent="0.45">
      <c r="A46" s="125" t="s">
        <v>107</v>
      </c>
      <c r="B46" s="122" t="e">
        <f>+#REF!</f>
        <v>#REF!</v>
      </c>
      <c r="C46" s="62" t="e">
        <f>+#REF!</f>
        <v>#REF!</v>
      </c>
      <c r="D46" s="62"/>
      <c r="E46" s="62"/>
      <c r="F46" s="122">
        <v>0</v>
      </c>
      <c r="G46" s="122" t="e">
        <f>+B46</f>
        <v>#REF!</v>
      </c>
      <c r="H46" s="122" t="e">
        <f>+(G46*$B$5)+G46</f>
        <v>#REF!</v>
      </c>
      <c r="I46" s="123" t="e">
        <f t="shared" si="9"/>
        <v>#REF!</v>
      </c>
      <c r="J46" s="106"/>
      <c r="K46" s="56"/>
      <c r="L46" s="110"/>
      <c r="M46" s="110"/>
      <c r="N46" s="110"/>
      <c r="O46" s="110"/>
      <c r="P46" s="110"/>
      <c r="Q46" s="132"/>
    </row>
    <row r="47" spans="1:17" hidden="1" x14ac:dyDescent="0.45">
      <c r="A47" s="125" t="s">
        <v>4</v>
      </c>
      <c r="B47" s="122" t="e">
        <f>+#REF!</f>
        <v>#REF!</v>
      </c>
      <c r="C47" s="62" t="e">
        <f>+#REF!</f>
        <v>#REF!</v>
      </c>
      <c r="D47" s="62"/>
      <c r="E47" s="62"/>
      <c r="F47" s="122" t="e">
        <f>+B47</f>
        <v>#REF!</v>
      </c>
      <c r="G47" s="122" t="e">
        <f>+(F47*$B$4)+F47</f>
        <v>#REF!</v>
      </c>
      <c r="H47" s="122" t="e">
        <f t="shared" ref="H47:H49" si="10">+(G47*$B$5)+G47</f>
        <v>#REF!</v>
      </c>
      <c r="I47" s="123" t="e">
        <f t="shared" si="9"/>
        <v>#REF!</v>
      </c>
      <c r="J47" s="106"/>
      <c r="K47" s="56"/>
      <c r="L47" s="110"/>
      <c r="M47" s="110"/>
      <c r="N47" s="110"/>
      <c r="O47" s="110"/>
      <c r="P47" s="110"/>
      <c r="Q47" s="132"/>
    </row>
    <row r="48" spans="1:17" hidden="1" x14ac:dyDescent="0.45">
      <c r="A48" s="125" t="s">
        <v>108</v>
      </c>
      <c r="B48" s="122" t="e">
        <f>+#REF!</f>
        <v>#REF!</v>
      </c>
      <c r="C48" s="62" t="e">
        <f>+#REF!</f>
        <v>#REF!</v>
      </c>
      <c r="D48" s="62"/>
      <c r="E48" s="62"/>
      <c r="F48" s="122">
        <v>0</v>
      </c>
      <c r="G48" s="122" t="e">
        <f>+B48</f>
        <v>#REF!</v>
      </c>
      <c r="H48" s="122" t="e">
        <f t="shared" si="10"/>
        <v>#REF!</v>
      </c>
      <c r="I48" s="123" t="e">
        <f t="shared" si="9"/>
        <v>#REF!</v>
      </c>
      <c r="J48" s="106"/>
      <c r="K48" s="56"/>
      <c r="L48" s="110"/>
      <c r="M48" s="110"/>
      <c r="N48" s="110"/>
      <c r="O48" s="110"/>
      <c r="P48" s="110"/>
      <c r="Q48" s="132"/>
    </row>
    <row r="49" spans="1:23" hidden="1" x14ac:dyDescent="0.45">
      <c r="A49" s="125" t="s">
        <v>109</v>
      </c>
      <c r="B49" s="122" t="e">
        <f>+#REF!</f>
        <v>#REF!</v>
      </c>
      <c r="C49" s="62" t="e">
        <f>+#REF!</f>
        <v>#REF!</v>
      </c>
      <c r="D49" s="62"/>
      <c r="E49" s="62"/>
      <c r="F49" s="122" t="e">
        <f>+B49</f>
        <v>#REF!</v>
      </c>
      <c r="G49" s="122" t="e">
        <f>+(F49*$B$4)+F49</f>
        <v>#REF!</v>
      </c>
      <c r="H49" s="122" t="e">
        <f t="shared" si="10"/>
        <v>#REF!</v>
      </c>
      <c r="I49" s="123" t="e">
        <f t="shared" si="9"/>
        <v>#REF!</v>
      </c>
      <c r="J49" s="106"/>
      <c r="K49" s="56"/>
      <c r="L49" s="110"/>
      <c r="M49" s="110"/>
      <c r="N49" s="110"/>
      <c r="O49" s="110"/>
      <c r="P49" s="110"/>
      <c r="Q49" s="132"/>
    </row>
    <row r="50" spans="1:23" hidden="1" x14ac:dyDescent="0.45">
      <c r="A50" s="125" t="s">
        <v>110</v>
      </c>
      <c r="B50" s="122" t="e">
        <f>+#REF!</f>
        <v>#REF!</v>
      </c>
      <c r="C50" s="62" t="e">
        <f>+#REF!</f>
        <v>#REF!</v>
      </c>
      <c r="D50" s="62"/>
      <c r="E50" s="122"/>
      <c r="F50" s="122" t="e">
        <f t="shared" ref="F50" si="11">+B50</f>
        <v>#REF!</v>
      </c>
      <c r="G50" s="122" t="e">
        <f>+(F50*$B$4)+F50</f>
        <v>#REF!</v>
      </c>
      <c r="H50" s="122" t="e">
        <f>+(G50*$B$4)+G50</f>
        <v>#REF!</v>
      </c>
      <c r="I50" s="123" t="e">
        <f>SUM(F50:H50)</f>
        <v>#REF!</v>
      </c>
      <c r="J50" s="106"/>
      <c r="K50" s="56"/>
      <c r="L50" s="110"/>
      <c r="M50" s="110"/>
      <c r="N50" s="110"/>
      <c r="O50" s="110"/>
      <c r="P50" s="110"/>
      <c r="Q50" s="132"/>
    </row>
    <row r="51" spans="1:23" hidden="1" x14ac:dyDescent="0.45">
      <c r="A51" s="126" t="s">
        <v>135</v>
      </c>
      <c r="B51" s="126"/>
      <c r="C51" s="126"/>
      <c r="D51" s="126"/>
      <c r="E51" s="126"/>
      <c r="F51" s="127" t="e">
        <f>SUM(F44:F50)</f>
        <v>#REF!</v>
      </c>
      <c r="G51" s="127" t="e">
        <f>SUM(G44:G50)</f>
        <v>#REF!</v>
      </c>
      <c r="H51" s="127" t="e">
        <f>SUM(H44:H50)</f>
        <v>#REF!</v>
      </c>
      <c r="I51" s="127" t="e">
        <f>SUM(F51:H51)</f>
        <v>#REF!</v>
      </c>
      <c r="J51" s="106"/>
      <c r="K51" s="56"/>
      <c r="L51" s="110"/>
      <c r="M51" s="110"/>
      <c r="N51" s="110"/>
      <c r="O51" s="56"/>
      <c r="P51" s="56"/>
      <c r="Q51" s="132"/>
    </row>
    <row r="52" spans="1:23" x14ac:dyDescent="0.45">
      <c r="A52" s="128"/>
      <c r="B52" s="128"/>
      <c r="C52" s="128"/>
      <c r="D52" s="128"/>
      <c r="E52" s="128"/>
      <c r="F52" s="129"/>
      <c r="G52" s="129"/>
      <c r="H52" s="129"/>
      <c r="I52" s="129"/>
      <c r="J52" s="106"/>
      <c r="K52" s="56"/>
      <c r="L52" s="110"/>
      <c r="M52" s="110"/>
      <c r="N52" s="110"/>
      <c r="O52" s="56"/>
      <c r="P52" s="56"/>
      <c r="Q52" s="132"/>
    </row>
    <row r="53" spans="1:23" x14ac:dyDescent="0.45">
      <c r="A53" s="130" t="s">
        <v>157</v>
      </c>
      <c r="B53" s="128"/>
      <c r="C53" s="128"/>
      <c r="D53" s="128"/>
      <c r="E53" s="128"/>
      <c r="F53" s="62" t="e">
        <f>+F44+SUM(F36:F37)+F14+F11+F10</f>
        <v>#REF!</v>
      </c>
      <c r="G53" s="128"/>
      <c r="H53" s="128"/>
      <c r="I53" s="128"/>
      <c r="J53" s="56"/>
      <c r="K53" s="56"/>
      <c r="L53" s="110"/>
      <c r="M53" s="131" t="e">
        <f>+SUM(M10:M52)</f>
        <v>#REF!</v>
      </c>
      <c r="N53" s="131" t="e">
        <f t="shared" ref="N53:Q53" si="12">+SUM(N10:N52)</f>
        <v>#REF!</v>
      </c>
      <c r="O53" s="131" t="e">
        <f t="shared" si="12"/>
        <v>#REF!</v>
      </c>
      <c r="P53" s="131" t="e">
        <f>+SQRT(Q53)</f>
        <v>#REF!</v>
      </c>
      <c r="Q53" s="132" t="e">
        <f t="shared" si="12"/>
        <v>#REF!</v>
      </c>
    </row>
    <row r="54" spans="1:23" x14ac:dyDescent="0.45">
      <c r="A54" s="88"/>
      <c r="B54" s="88"/>
      <c r="C54" s="88"/>
      <c r="D54" s="88"/>
      <c r="E54" s="88"/>
      <c r="F54" s="88"/>
      <c r="G54" s="88"/>
      <c r="H54" s="88"/>
      <c r="I54" s="88"/>
      <c r="L54" s="92"/>
      <c r="M54" s="92"/>
      <c r="N54" s="92"/>
    </row>
    <row r="55" spans="1:23" x14ac:dyDescent="0.45">
      <c r="A55" s="261" t="s">
        <v>111</v>
      </c>
      <c r="B55" s="261"/>
      <c r="C55" s="261"/>
      <c r="D55" s="261"/>
      <c r="E55" s="261"/>
      <c r="F55" s="261"/>
      <c r="G55" s="261"/>
      <c r="H55" s="261"/>
      <c r="I55" s="87"/>
      <c r="L55" s="92"/>
      <c r="M55" s="92"/>
      <c r="N55" s="92"/>
    </row>
    <row r="56" spans="1:23" x14ac:dyDescent="0.45">
      <c r="A56" s="57" t="s">
        <v>73</v>
      </c>
      <c r="B56" s="57"/>
      <c r="C56" s="57"/>
      <c r="D56" s="57"/>
      <c r="E56" s="57"/>
      <c r="F56" s="85">
        <v>2023</v>
      </c>
      <c r="G56" s="85">
        <v>2024</v>
      </c>
      <c r="H56" s="58">
        <v>2025</v>
      </c>
      <c r="I56" s="85" t="s">
        <v>75</v>
      </c>
      <c r="L56" s="92"/>
      <c r="M56" s="92"/>
      <c r="N56" s="92"/>
      <c r="S56" s="98" t="e">
        <f>+SUM(L10:L55)</f>
        <v>#REF!</v>
      </c>
      <c r="T56" s="98" t="e">
        <f>+SUM(O10:O55)</f>
        <v>#REF!</v>
      </c>
      <c r="U56" s="92" t="e">
        <f>+SQRT(V56)</f>
        <v>#REF!</v>
      </c>
      <c r="V56" s="4" t="e">
        <f>+SUM(Q10:Q55)</f>
        <v>#REF!</v>
      </c>
    </row>
    <row r="57" spans="1:23" x14ac:dyDescent="0.45">
      <c r="A57" s="59" t="s">
        <v>76</v>
      </c>
      <c r="I57" s="1"/>
      <c r="L57" s="100" t="s">
        <v>147</v>
      </c>
      <c r="M57" s="100" t="s">
        <v>148</v>
      </c>
      <c r="N57" s="100" t="s">
        <v>149</v>
      </c>
      <c r="O57" s="101" t="s">
        <v>145</v>
      </c>
      <c r="P57" s="101" t="s">
        <v>150</v>
      </c>
      <c r="Q57" s="101" t="s">
        <v>141</v>
      </c>
    </row>
    <row r="58" spans="1:23" x14ac:dyDescent="0.45">
      <c r="A58" t="s">
        <v>112</v>
      </c>
      <c r="B58" s="68"/>
      <c r="C58" s="69"/>
      <c r="F58" s="60" t="e">
        <f>+#REF!</f>
        <v>#REF!</v>
      </c>
      <c r="G58" s="60" t="e">
        <f>+#REF!</f>
        <v>#REF!</v>
      </c>
      <c r="H58" s="60" t="e">
        <f>+#REF!</f>
        <v>#REF!</v>
      </c>
      <c r="I58" s="61" t="e">
        <f>SUM(F58:H58)</f>
        <v>#REF!</v>
      </c>
      <c r="L58" s="99" t="e">
        <f>+#REF!</f>
        <v>#REF!</v>
      </c>
      <c r="M58" s="99" t="e">
        <f>+L58</f>
        <v>#REF!</v>
      </c>
      <c r="N58" s="99" t="e">
        <f>+L58*1.15</f>
        <v>#REF!</v>
      </c>
      <c r="O58" s="99" t="e">
        <f>+(M58+4*L58+N58)/6</f>
        <v>#REF!</v>
      </c>
      <c r="P58" s="99" t="e">
        <f>+(N58-M58)/6</f>
        <v>#REF!</v>
      </c>
      <c r="Q58" s="6" t="e">
        <f>+SUM(Q17:Q57)</f>
        <v>#REF!</v>
      </c>
      <c r="T58" s="92" t="e">
        <f>NORMINV(0.95,O58,P58)</f>
        <v>#REF!</v>
      </c>
      <c r="W58" s="92" t="e">
        <f>NORMINV(0.95,T56,U56)</f>
        <v>#REF!</v>
      </c>
    </row>
    <row r="59" spans="1:23" x14ac:dyDescent="0.45">
      <c r="A59" t="s">
        <v>113</v>
      </c>
      <c r="B59" s="68"/>
      <c r="C59" s="69"/>
      <c r="F59" s="60" t="e">
        <f>+#REF!</f>
        <v>#REF!</v>
      </c>
      <c r="G59" s="60" t="e">
        <f>+#REF!</f>
        <v>#REF!</v>
      </c>
      <c r="H59" s="60" t="e">
        <f>+#REF!</f>
        <v>#REF!</v>
      </c>
      <c r="I59" s="61" t="e">
        <f>SUM(F59:H59)</f>
        <v>#REF!</v>
      </c>
      <c r="L59" s="92"/>
      <c r="M59" s="92"/>
      <c r="N59" s="92"/>
      <c r="T59" s="89" t="e">
        <f>+T58-L58</f>
        <v>#REF!</v>
      </c>
      <c r="W59" s="89" t="e">
        <f>+W58-S56</f>
        <v>#REF!</v>
      </c>
    </row>
    <row r="60" spans="1:23" x14ac:dyDescent="0.45">
      <c r="A60" s="70" t="s">
        <v>136</v>
      </c>
      <c r="B60" s="70"/>
      <c r="C60" s="70"/>
      <c r="D60" s="65"/>
      <c r="E60" s="65"/>
      <c r="F60" s="66" t="e">
        <f>SUM(F58:F59)</f>
        <v>#REF!</v>
      </c>
      <c r="G60" s="66" t="e">
        <f>SUM(G58:G59)</f>
        <v>#REF!</v>
      </c>
      <c r="H60" s="66" t="e">
        <f>SUM(H58:H59)</f>
        <v>#REF!</v>
      </c>
      <c r="I60" s="66" t="e">
        <f>+I58+I59</f>
        <v>#REF!</v>
      </c>
      <c r="L60" s="56"/>
      <c r="W60" s="81" t="e">
        <f>+W59/T56</f>
        <v>#REF!</v>
      </c>
    </row>
    <row r="61" spans="1:23" x14ac:dyDescent="0.45">
      <c r="N61" s="89"/>
    </row>
    <row r="62" spans="1:23" x14ac:dyDescent="0.45">
      <c r="L62" s="92" t="e">
        <f>+SUM(L10:L61)</f>
        <v>#REF!</v>
      </c>
      <c r="M62" s="92" t="e">
        <f t="shared" ref="M62:N62" si="13">+SUM(M10:M61)</f>
        <v>#REF!</v>
      </c>
      <c r="N62" s="92" t="e">
        <f t="shared" si="13"/>
        <v>#REF!</v>
      </c>
      <c r="O62" s="92" t="e">
        <f>+SUM(O10:O61)</f>
        <v>#REF!</v>
      </c>
      <c r="P62" s="92" t="e">
        <f>+SQRT(Q62)</f>
        <v>#REF!</v>
      </c>
      <c r="Q62" s="4" t="e">
        <f>+SUM(Q10:Q61)</f>
        <v>#REF!</v>
      </c>
    </row>
    <row r="63" spans="1:23" x14ac:dyDescent="0.45">
      <c r="A63" s="261" t="s">
        <v>133</v>
      </c>
      <c r="B63" s="261"/>
      <c r="C63" s="261"/>
      <c r="D63" s="261"/>
      <c r="E63" s="261"/>
      <c r="F63" s="261"/>
      <c r="G63" s="261"/>
      <c r="H63" s="261"/>
      <c r="I63" s="85"/>
    </row>
    <row r="64" spans="1:23" x14ac:dyDescent="0.45">
      <c r="A64" s="57" t="s">
        <v>73</v>
      </c>
      <c r="B64" s="57"/>
      <c r="C64" s="57"/>
      <c r="D64" s="57"/>
      <c r="E64" s="57"/>
      <c r="F64" s="85">
        <v>2023</v>
      </c>
      <c r="G64" s="85">
        <v>2024</v>
      </c>
      <c r="H64" s="58">
        <v>2025</v>
      </c>
      <c r="I64" s="85" t="s">
        <v>75</v>
      </c>
    </row>
    <row r="65" spans="1:20" x14ac:dyDescent="0.45">
      <c r="A65" s="59" t="s">
        <v>76</v>
      </c>
      <c r="I65" s="1"/>
    </row>
    <row r="66" spans="1:20" x14ac:dyDescent="0.45">
      <c r="A66" s="67" t="str">
        <f>+A23</f>
        <v>Total Presupuesto de Gastos de Funcionamiento (TPGA)</v>
      </c>
      <c r="F66" s="71" t="e">
        <f>+F23</f>
        <v>#REF!</v>
      </c>
      <c r="G66" s="71" t="e">
        <f>+G23</f>
        <v>#REF!</v>
      </c>
      <c r="H66" s="71" t="e">
        <f>+H23</f>
        <v>#REF!</v>
      </c>
      <c r="I66" s="72" t="e">
        <f>SUM(F66:H66)</f>
        <v>#REF!</v>
      </c>
      <c r="J66" s="81" t="e">
        <f>+I66/$I$74</f>
        <v>#REF!</v>
      </c>
      <c r="O66" s="92" t="e">
        <f>NORMINV(0.95,O62,P62)</f>
        <v>#REF!</v>
      </c>
    </row>
    <row r="67" spans="1:20" x14ac:dyDescent="0.45">
      <c r="A67" t="str">
        <f>+A38</f>
        <v>Total Presupuesto de Gastos de operación (TPGO)</v>
      </c>
      <c r="B67" s="68"/>
      <c r="C67" s="69"/>
      <c r="F67" s="63" t="e">
        <f>+F38</f>
        <v>#REF!</v>
      </c>
      <c r="G67" s="63" t="e">
        <f>+G38</f>
        <v>#REF!</v>
      </c>
      <c r="H67" s="63" t="e">
        <f>+H38</f>
        <v>#REF!</v>
      </c>
      <c r="I67" s="72" t="e">
        <f>SUM(F67:H67)</f>
        <v>#REF!</v>
      </c>
      <c r="J67" s="81" t="e">
        <f t="shared" ref="J67:J73" si="14">+I67/$I$74</f>
        <v>#REF!</v>
      </c>
      <c r="O67" s="89" t="e">
        <f>+O66-L62</f>
        <v>#REF!</v>
      </c>
    </row>
    <row r="68" spans="1:20" x14ac:dyDescent="0.45">
      <c r="A68" t="str">
        <f>+A51</f>
        <v>Total Presupuesto de mantenimiento (TPGM)</v>
      </c>
      <c r="B68" s="68"/>
      <c r="C68" s="69"/>
      <c r="F68" s="63" t="e">
        <f>+F51</f>
        <v>#REF!</v>
      </c>
      <c r="G68" s="63" t="e">
        <f>+G51</f>
        <v>#REF!</v>
      </c>
      <c r="H68" s="63" t="e">
        <f>+H51</f>
        <v>#REF!</v>
      </c>
      <c r="I68" s="72" t="e">
        <f>SUM(F68:H68)</f>
        <v>#REF!</v>
      </c>
      <c r="J68" s="81" t="e">
        <f t="shared" si="14"/>
        <v>#REF!</v>
      </c>
      <c r="N68" s="4" t="s">
        <v>142</v>
      </c>
      <c r="O68" s="81" t="e">
        <f>+O67/L62</f>
        <v>#REF!</v>
      </c>
    </row>
    <row r="69" spans="1:20" x14ac:dyDescent="0.45">
      <c r="A69" t="str">
        <f>+A60</f>
        <v>Total Presupuesto de financiación (TPF)</v>
      </c>
      <c r="B69" s="68"/>
      <c r="C69" s="69"/>
      <c r="F69" s="63" t="e">
        <f>+F60</f>
        <v>#REF!</v>
      </c>
      <c r="G69" s="63" t="e">
        <f>+G60</f>
        <v>#REF!</v>
      </c>
      <c r="H69" s="63" t="e">
        <f t="shared" ref="H69" si="15">+H60</f>
        <v>#REF!</v>
      </c>
      <c r="I69" s="61" t="e">
        <f>SUM(F69:H69)</f>
        <v>#REF!</v>
      </c>
      <c r="J69" s="81" t="e">
        <f t="shared" si="14"/>
        <v>#REF!</v>
      </c>
    </row>
    <row r="70" spans="1:20" x14ac:dyDescent="0.45">
      <c r="A70" s="65" t="s">
        <v>137</v>
      </c>
      <c r="B70" s="65"/>
      <c r="C70" s="65"/>
      <c r="D70" s="65"/>
      <c r="E70" s="65"/>
      <c r="F70" s="66" t="e">
        <f>SUM(F66:F69)</f>
        <v>#REF!</v>
      </c>
      <c r="G70" s="66" t="e">
        <f>SUM(G66:G69)</f>
        <v>#REF!</v>
      </c>
      <c r="H70" s="66" t="e">
        <f>SUM(H66:H69)</f>
        <v>#REF!</v>
      </c>
      <c r="I70" s="66" t="e">
        <f>SUM(I66:I69)</f>
        <v>#REF!</v>
      </c>
      <c r="J70" s="81" t="e">
        <f t="shared" si="14"/>
        <v>#REF!</v>
      </c>
    </row>
    <row r="71" spans="1:20" x14ac:dyDescent="0.45">
      <c r="A71" t="s">
        <v>143</v>
      </c>
      <c r="B71" s="68"/>
      <c r="C71" s="69"/>
      <c r="F71" s="63">
        <v>224000000</v>
      </c>
      <c r="G71" s="63"/>
      <c r="H71" s="63"/>
      <c r="I71" s="72">
        <f>SUM(F71:H71)</f>
        <v>224000000</v>
      </c>
      <c r="J71" s="81" t="e">
        <f t="shared" si="14"/>
        <v>#REF!</v>
      </c>
    </row>
    <row r="72" spans="1:20" x14ac:dyDescent="0.45">
      <c r="A72" t="s">
        <v>146</v>
      </c>
      <c r="B72" s="68"/>
      <c r="C72" s="69"/>
      <c r="F72" s="63" t="e">
        <f>+F70*0.08</f>
        <v>#REF!</v>
      </c>
      <c r="G72" s="63" t="e">
        <f t="shared" ref="G72:H72" si="16">+G70*0.08</f>
        <v>#REF!</v>
      </c>
      <c r="H72" s="63" t="e">
        <f t="shared" si="16"/>
        <v>#REF!</v>
      </c>
      <c r="I72" s="72" t="e">
        <f>SUM(F72:H72)</f>
        <v>#REF!</v>
      </c>
      <c r="J72" s="81" t="e">
        <f t="shared" si="14"/>
        <v>#REF!</v>
      </c>
    </row>
    <row r="73" spans="1:20" x14ac:dyDescent="0.45">
      <c r="A73" t="s">
        <v>144</v>
      </c>
      <c r="B73" s="68"/>
      <c r="C73" s="69"/>
      <c r="F73" s="63" t="e">
        <f>+SUM(F66:F68)*0.02</f>
        <v>#REF!</v>
      </c>
      <c r="G73" s="63" t="e">
        <f t="shared" ref="G73:H73" si="17">+SUM(G66:G68)*0.02</f>
        <v>#REF!</v>
      </c>
      <c r="H73" s="63" t="e">
        <f t="shared" si="17"/>
        <v>#REF!</v>
      </c>
      <c r="I73" s="61" t="e">
        <f>SUM(F73:H73)</f>
        <v>#REF!</v>
      </c>
      <c r="J73" s="81" t="e">
        <f t="shared" si="14"/>
        <v>#REF!</v>
      </c>
    </row>
    <row r="74" spans="1:20" x14ac:dyDescent="0.45">
      <c r="A74" s="65" t="s">
        <v>114</v>
      </c>
      <c r="B74" s="65"/>
      <c r="C74" s="65"/>
      <c r="D74" s="65"/>
      <c r="E74" s="65"/>
      <c r="F74" s="66" t="e">
        <f>+F70+F73+F72</f>
        <v>#REF!</v>
      </c>
      <c r="G74" s="66" t="e">
        <f>+G70+G73+G72</f>
        <v>#REF!</v>
      </c>
      <c r="H74" s="66" t="e">
        <f>+H70+H73+H72</f>
        <v>#REF!</v>
      </c>
      <c r="I74" s="66" t="e">
        <f>+I70+I73+I72</f>
        <v>#REF!</v>
      </c>
      <c r="J74" s="81" t="e">
        <f>SUM(J69:J73)</f>
        <v>#REF!</v>
      </c>
    </row>
    <row r="75" spans="1:20" x14ac:dyDescent="0.45">
      <c r="A75" s="1" t="s">
        <v>115</v>
      </c>
      <c r="B75" s="74" t="e">
        <f>+I74</f>
        <v>#REF!</v>
      </c>
    </row>
    <row r="77" spans="1:20" x14ac:dyDescent="0.45">
      <c r="A77" s="280" t="s">
        <v>116</v>
      </c>
      <c r="B77" s="280"/>
      <c r="C77" s="280"/>
      <c r="D77" s="280"/>
      <c r="E77" s="280"/>
      <c r="F77" s="280"/>
      <c r="S77" s="5" t="s">
        <v>131</v>
      </c>
    </row>
    <row r="78" spans="1:20" x14ac:dyDescent="0.45">
      <c r="A78" t="s">
        <v>117</v>
      </c>
      <c r="B78" s="64">
        <v>0.35</v>
      </c>
      <c r="S78" s="6" t="s">
        <v>153</v>
      </c>
      <c r="T78" s="102" t="e">
        <f>+L58</f>
        <v>#REF!</v>
      </c>
    </row>
    <row r="79" spans="1:20" x14ac:dyDescent="0.45">
      <c r="A79" t="s">
        <v>118</v>
      </c>
      <c r="B79" s="64">
        <v>0.22</v>
      </c>
      <c r="S79" s="6" t="s">
        <v>148</v>
      </c>
      <c r="T79" s="102" t="e">
        <f>+M58</f>
        <v>#REF!</v>
      </c>
    </row>
    <row r="80" spans="1:20" x14ac:dyDescent="0.45">
      <c r="S80" s="6" t="s">
        <v>149</v>
      </c>
      <c r="T80" s="102" t="e">
        <f>+N58</f>
        <v>#REF!</v>
      </c>
    </row>
    <row r="81" spans="1:20" x14ac:dyDescent="0.45">
      <c r="A81" s="281" t="s">
        <v>119</v>
      </c>
      <c r="B81" s="282" t="s">
        <v>120</v>
      </c>
      <c r="C81" s="282"/>
      <c r="D81" t="s">
        <v>98</v>
      </c>
      <c r="E81" s="75" t="e">
        <f>B75*(1-B78)</f>
        <v>#REF!</v>
      </c>
      <c r="F81" s="283" t="e">
        <f>+E81/E82</f>
        <v>#REF!</v>
      </c>
      <c r="S81" s="6" t="s">
        <v>151</v>
      </c>
      <c r="T81" s="102" t="e">
        <f>+O58</f>
        <v>#REF!</v>
      </c>
    </row>
    <row r="82" spans="1:20" x14ac:dyDescent="0.45">
      <c r="A82" s="281"/>
      <c r="B82" s="280" t="s">
        <v>121</v>
      </c>
      <c r="C82" s="280"/>
      <c r="E82" s="64">
        <f>(1-B78-B79)</f>
        <v>0.43000000000000005</v>
      </c>
      <c r="F82" s="283"/>
      <c r="S82" s="6" t="s">
        <v>152</v>
      </c>
      <c r="T82" s="102" t="e">
        <f>+P58</f>
        <v>#REF!</v>
      </c>
    </row>
    <row r="83" spans="1:20" x14ac:dyDescent="0.45">
      <c r="S83" s="6" t="s">
        <v>141</v>
      </c>
      <c r="T83" s="6" t="e">
        <f>+Q58</f>
        <v>#REF!</v>
      </c>
    </row>
    <row r="85" spans="1:20" ht="28.5" x14ac:dyDescent="0.45">
      <c r="A85" s="2" t="s">
        <v>122</v>
      </c>
      <c r="B85" s="3"/>
      <c r="F85" s="60"/>
      <c r="S85" s="103" t="s">
        <v>154</v>
      </c>
      <c r="T85" s="102" t="e">
        <f>+T58</f>
        <v>#REF!</v>
      </c>
    </row>
    <row r="86" spans="1:20" x14ac:dyDescent="0.45">
      <c r="A86" s="1" t="s">
        <v>123</v>
      </c>
      <c r="B86" s="74" t="e">
        <f>+F81</f>
        <v>#REF!</v>
      </c>
      <c r="F86" s="60"/>
      <c r="S86" s="6" t="s">
        <v>155</v>
      </c>
      <c r="T86" s="104" t="e">
        <f>+ROUNDUP((T85-T78)/100000,0)*100000</f>
        <v>#REF!</v>
      </c>
    </row>
    <row r="87" spans="1:20" x14ac:dyDescent="0.45">
      <c r="A87" t="s">
        <v>124</v>
      </c>
      <c r="B87" s="62" t="e">
        <f>+B75</f>
        <v>#REF!</v>
      </c>
      <c r="C87" s="1" t="s">
        <v>125</v>
      </c>
      <c r="F87" s="60"/>
    </row>
    <row r="88" spans="1:20" x14ac:dyDescent="0.45">
      <c r="A88" t="s">
        <v>126</v>
      </c>
      <c r="B88" s="62" t="e">
        <f>+B86-B87</f>
        <v>#REF!</v>
      </c>
      <c r="S88" s="5" t="s">
        <v>130</v>
      </c>
    </row>
    <row r="89" spans="1:20" x14ac:dyDescent="0.45">
      <c r="A89" t="s">
        <v>127</v>
      </c>
      <c r="B89" s="60" t="e">
        <f>+B88*B78</f>
        <v>#REF!</v>
      </c>
      <c r="S89" s="6" t="s">
        <v>153</v>
      </c>
      <c r="T89" s="102" t="e">
        <f>+F53</f>
        <v>#REF!</v>
      </c>
    </row>
    <row r="90" spans="1:20" x14ac:dyDescent="0.45">
      <c r="A90" s="1" t="s">
        <v>128</v>
      </c>
      <c r="B90" s="74" t="e">
        <f>+B88-B89</f>
        <v>#REF!</v>
      </c>
      <c r="F90" s="60"/>
      <c r="G90" s="60"/>
      <c r="S90" s="6" t="s">
        <v>148</v>
      </c>
      <c r="T90" s="102" t="e">
        <f>+M53</f>
        <v>#REF!</v>
      </c>
    </row>
    <row r="91" spans="1:20" x14ac:dyDescent="0.45">
      <c r="F91" s="60"/>
      <c r="G91" s="60"/>
      <c r="S91" s="6" t="s">
        <v>149</v>
      </c>
      <c r="T91" s="102" t="e">
        <f>+N53</f>
        <v>#REF!</v>
      </c>
    </row>
    <row r="92" spans="1:20" x14ac:dyDescent="0.45">
      <c r="A92" s="1" t="s">
        <v>129</v>
      </c>
      <c r="B92" s="76" t="e">
        <f>IF(+B90=0,0,+B90/B86)</f>
        <v>#REF!</v>
      </c>
      <c r="F92" s="60"/>
      <c r="G92" s="60"/>
      <c r="S92" s="6" t="s">
        <v>151</v>
      </c>
      <c r="T92" s="102" t="e">
        <f>+O53</f>
        <v>#REF!</v>
      </c>
    </row>
    <row r="93" spans="1:20" x14ac:dyDescent="0.45">
      <c r="F93" s="60"/>
      <c r="G93" s="60"/>
      <c r="S93" s="6" t="s">
        <v>152</v>
      </c>
      <c r="T93" s="102" t="e">
        <f>+P53</f>
        <v>#REF!</v>
      </c>
    </row>
    <row r="94" spans="1:20" x14ac:dyDescent="0.45">
      <c r="B94" s="73"/>
      <c r="F94" s="60"/>
      <c r="G94" s="60"/>
      <c r="S94" s="6" t="s">
        <v>141</v>
      </c>
      <c r="T94" s="135" t="e">
        <f>+Q53</f>
        <v>#REF!</v>
      </c>
    </row>
    <row r="95" spans="1:20" x14ac:dyDescent="0.45">
      <c r="F95" s="77"/>
      <c r="G95" s="77"/>
    </row>
    <row r="96" spans="1:20" ht="28.5" x14ac:dyDescent="0.45">
      <c r="S96" s="103" t="s">
        <v>154</v>
      </c>
      <c r="T96" s="102" t="e">
        <f>NORMINV(0.95,T92,T93)</f>
        <v>#REF!</v>
      </c>
    </row>
    <row r="97" spans="19:20" x14ac:dyDescent="0.45">
      <c r="S97" s="6" t="s">
        <v>158</v>
      </c>
      <c r="T97" s="104" t="e">
        <f>+ROUNDUP((T96-T89)/100000,0)*100000</f>
        <v>#REF!</v>
      </c>
    </row>
    <row r="98" spans="19:20" x14ac:dyDescent="0.45">
      <c r="S98" s="6" t="s">
        <v>159</v>
      </c>
      <c r="T98" s="37" t="e">
        <f>+T97/T89</f>
        <v>#REF!</v>
      </c>
    </row>
  </sheetData>
  <mergeCells count="11">
    <mergeCell ref="A77:F77"/>
    <mergeCell ref="A81:A82"/>
    <mergeCell ref="B81:C81"/>
    <mergeCell ref="F81:F82"/>
    <mergeCell ref="B82:C82"/>
    <mergeCell ref="A63:H63"/>
    <mergeCell ref="A1:I1"/>
    <mergeCell ref="A7:H7"/>
    <mergeCell ref="A26:H26"/>
    <mergeCell ref="A41:H41"/>
    <mergeCell ref="A55:H5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F3185-9FB9-49FC-8C40-B0C6090DBE7B}">
  <dimension ref="A1:F26"/>
  <sheetViews>
    <sheetView workbookViewId="0">
      <selection activeCell="D17" sqref="D17"/>
    </sheetView>
  </sheetViews>
  <sheetFormatPr baseColWidth="10" defaultColWidth="0" defaultRowHeight="13.15" zeroHeight="1" x14ac:dyDescent="0.4"/>
  <cols>
    <col min="1" max="1" width="3.1328125" style="206" customWidth="1"/>
    <col min="2" max="2" width="7.59765625" style="206" customWidth="1"/>
    <col min="3" max="3" width="23" style="206" customWidth="1"/>
    <col min="4" max="4" width="30" style="206" customWidth="1"/>
    <col min="5" max="5" width="3.73046875" style="206" customWidth="1"/>
    <col min="6" max="6" width="2.59765625" style="207" customWidth="1"/>
    <col min="7" max="16384" width="11.3984375" style="206" hidden="1"/>
  </cols>
  <sheetData>
    <row r="1" spans="2:4" ht="13.5" thickBot="1" x14ac:dyDescent="0.45"/>
    <row r="2" spans="2:4" ht="13.5" thickBot="1" x14ac:dyDescent="0.45">
      <c r="B2" s="262" t="s">
        <v>368</v>
      </c>
      <c r="C2" s="263"/>
      <c r="D2" s="264"/>
    </row>
    <row r="3" spans="2:4" ht="13.5" thickBot="1" x14ac:dyDescent="0.45">
      <c r="B3" s="208"/>
      <c r="C3" s="209"/>
    </row>
    <row r="4" spans="2:4" ht="13.5" thickBot="1" x14ac:dyDescent="0.45">
      <c r="B4" s="169" t="s">
        <v>369</v>
      </c>
      <c r="C4" s="163" t="s">
        <v>253</v>
      </c>
      <c r="D4" s="170" t="s">
        <v>370</v>
      </c>
    </row>
    <row r="5" spans="2:4" ht="26.65" thickTop="1" x14ac:dyDescent="0.4">
      <c r="B5" s="210" t="s">
        <v>329</v>
      </c>
      <c r="C5" s="211" t="s">
        <v>257</v>
      </c>
      <c r="D5" s="212"/>
    </row>
    <row r="6" spans="2:4" x14ac:dyDescent="0.4">
      <c r="B6" s="213" t="s">
        <v>330</v>
      </c>
      <c r="C6" s="199" t="s">
        <v>186</v>
      </c>
      <c r="D6" s="214"/>
    </row>
    <row r="7" spans="2:4" ht="26.25" x14ac:dyDescent="0.4">
      <c r="B7" s="213" t="s">
        <v>331</v>
      </c>
      <c r="C7" s="199" t="s">
        <v>275</v>
      </c>
      <c r="D7" s="214"/>
    </row>
    <row r="8" spans="2:4" x14ac:dyDescent="0.4">
      <c r="B8" s="213" t="s">
        <v>332</v>
      </c>
      <c r="C8" s="199" t="s">
        <v>208</v>
      </c>
      <c r="D8" s="214"/>
    </row>
    <row r="9" spans="2:4" ht="26.25" x14ac:dyDescent="0.4">
      <c r="B9" s="213" t="s">
        <v>333</v>
      </c>
      <c r="C9" s="199" t="s">
        <v>294</v>
      </c>
      <c r="D9" s="214"/>
    </row>
    <row r="10" spans="2:4" x14ac:dyDescent="0.4">
      <c r="B10" s="213" t="s">
        <v>334</v>
      </c>
      <c r="C10" s="199" t="s">
        <v>301</v>
      </c>
      <c r="D10" s="214"/>
    </row>
    <row r="11" spans="2:4" x14ac:dyDescent="0.4">
      <c r="B11" s="213" t="s">
        <v>335</v>
      </c>
      <c r="C11" s="199" t="s">
        <v>309</v>
      </c>
      <c r="D11" s="214"/>
    </row>
    <row r="12" spans="2:4" x14ac:dyDescent="0.4">
      <c r="B12" s="213" t="s">
        <v>371</v>
      </c>
      <c r="C12" s="199"/>
      <c r="D12" s="214"/>
    </row>
    <row r="13" spans="2:4" x14ac:dyDescent="0.4">
      <c r="B13" s="213" t="s">
        <v>372</v>
      </c>
      <c r="C13" s="199"/>
      <c r="D13" s="214"/>
    </row>
    <row r="14" spans="2:4" x14ac:dyDescent="0.4">
      <c r="B14" s="213" t="s">
        <v>373</v>
      </c>
      <c r="C14" s="199"/>
      <c r="D14" s="214"/>
    </row>
    <row r="15" spans="2:4" x14ac:dyDescent="0.4">
      <c r="B15" s="213" t="s">
        <v>374</v>
      </c>
      <c r="C15" s="199"/>
      <c r="D15" s="214"/>
    </row>
    <row r="16" spans="2:4" x14ac:dyDescent="0.4">
      <c r="B16" s="213" t="s">
        <v>375</v>
      </c>
      <c r="C16" s="199"/>
      <c r="D16" s="214"/>
    </row>
    <row r="17" spans="2:4" x14ac:dyDescent="0.4">
      <c r="B17" s="213" t="s">
        <v>376</v>
      </c>
      <c r="C17" s="199"/>
      <c r="D17" s="214"/>
    </row>
    <row r="18" spans="2:4" x14ac:dyDescent="0.4">
      <c r="B18" s="213" t="s">
        <v>377</v>
      </c>
      <c r="C18" s="199"/>
      <c r="D18" s="214"/>
    </row>
    <row r="19" spans="2:4" x14ac:dyDescent="0.4">
      <c r="B19" s="213" t="s">
        <v>378</v>
      </c>
      <c r="C19" s="199"/>
      <c r="D19" s="214"/>
    </row>
    <row r="20" spans="2:4" x14ac:dyDescent="0.4">
      <c r="B20" s="213" t="s">
        <v>379</v>
      </c>
      <c r="C20" s="199"/>
      <c r="D20" s="214"/>
    </row>
    <row r="21" spans="2:4" x14ac:dyDescent="0.4">
      <c r="B21" s="213" t="s">
        <v>380</v>
      </c>
      <c r="C21" s="199"/>
      <c r="D21" s="214"/>
    </row>
    <row r="22" spans="2:4" x14ac:dyDescent="0.4">
      <c r="B22" s="213" t="s">
        <v>381</v>
      </c>
      <c r="C22" s="199"/>
      <c r="D22" s="214"/>
    </row>
    <row r="23" spans="2:4" x14ac:dyDescent="0.4">
      <c r="B23" s="213" t="s">
        <v>382</v>
      </c>
      <c r="C23" s="199"/>
      <c r="D23" s="214"/>
    </row>
    <row r="24" spans="2:4" ht="13.5" thickBot="1" x14ac:dyDescent="0.45">
      <c r="B24" s="215" t="s">
        <v>383</v>
      </c>
      <c r="C24" s="216"/>
      <c r="D24" s="217"/>
    </row>
    <row r="25" spans="2:4" x14ac:dyDescent="0.4"/>
    <row r="26" spans="2:4" s="207" customFormat="1" x14ac:dyDescent="0.4"/>
  </sheetData>
  <mergeCells count="1">
    <mergeCell ref="B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A65A8-70A4-41D8-B8C8-B7B66F6CEF97}">
  <dimension ref="A1:G46"/>
  <sheetViews>
    <sheetView workbookViewId="0">
      <selection activeCell="D21" sqref="D21"/>
    </sheetView>
  </sheetViews>
  <sheetFormatPr baseColWidth="10" defaultColWidth="0" defaultRowHeight="13.15" zeroHeight="1" x14ac:dyDescent="0.45"/>
  <cols>
    <col min="1" max="1" width="3" style="205" customWidth="1"/>
    <col min="2" max="2" width="6.73046875" style="204" customWidth="1"/>
    <col min="3" max="3" width="30.86328125" style="218" customWidth="1"/>
    <col min="4" max="4" width="29.86328125" style="205" customWidth="1"/>
    <col min="5" max="5" width="11" style="204" customWidth="1"/>
    <col min="6" max="6" width="4.3984375" style="205" customWidth="1"/>
    <col min="7" max="7" width="2.3984375" style="219" customWidth="1"/>
    <col min="8" max="16384" width="11.3984375" style="205" hidden="1"/>
  </cols>
  <sheetData>
    <row r="1" spans="2:5" ht="13.5" thickBot="1" x14ac:dyDescent="0.5"/>
    <row r="2" spans="2:5" ht="13.5" thickBot="1" x14ac:dyDescent="0.5">
      <c r="B2" s="265" t="s">
        <v>384</v>
      </c>
      <c r="C2" s="266"/>
      <c r="D2" s="266"/>
      <c r="E2" s="267"/>
    </row>
    <row r="3" spans="2:5" ht="3.75" customHeight="1" thickBot="1" x14ac:dyDescent="0.5"/>
    <row r="4" spans="2:5" ht="21.4" thickBot="1" x14ac:dyDescent="0.5">
      <c r="B4" s="160" t="s">
        <v>252</v>
      </c>
      <c r="C4" s="161" t="s">
        <v>253</v>
      </c>
      <c r="D4" s="162" t="s">
        <v>254</v>
      </c>
      <c r="E4" s="170" t="s">
        <v>255</v>
      </c>
    </row>
    <row r="5" spans="2:5" ht="17.25" customHeight="1" thickTop="1" x14ac:dyDescent="0.45">
      <c r="B5" s="164" t="s">
        <v>256</v>
      </c>
      <c r="C5" s="220" t="s">
        <v>257</v>
      </c>
      <c r="D5" s="165" t="s">
        <v>258</v>
      </c>
      <c r="E5" s="221">
        <v>11</v>
      </c>
    </row>
    <row r="6" spans="2:5" ht="17.25" customHeight="1" x14ac:dyDescent="0.45">
      <c r="B6" s="164" t="s">
        <v>260</v>
      </c>
      <c r="C6" s="220" t="s">
        <v>257</v>
      </c>
      <c r="D6" s="165" t="s">
        <v>261</v>
      </c>
      <c r="E6" s="222">
        <v>9</v>
      </c>
    </row>
    <row r="7" spans="2:5" ht="17.25" customHeight="1" x14ac:dyDescent="0.45">
      <c r="B7" s="164" t="s">
        <v>263</v>
      </c>
      <c r="C7" s="220" t="s">
        <v>257</v>
      </c>
      <c r="D7" s="165" t="s">
        <v>264</v>
      </c>
      <c r="E7" s="222">
        <v>3</v>
      </c>
    </row>
    <row r="8" spans="2:5" ht="17.25" customHeight="1" x14ac:dyDescent="0.45">
      <c r="B8" s="167" t="s">
        <v>265</v>
      </c>
      <c r="C8" s="223" t="s">
        <v>186</v>
      </c>
      <c r="D8" s="165" t="s">
        <v>266</v>
      </c>
      <c r="E8" s="222">
        <v>6</v>
      </c>
    </row>
    <row r="9" spans="2:5" ht="17.25" customHeight="1" x14ac:dyDescent="0.45">
      <c r="B9" s="167" t="s">
        <v>267</v>
      </c>
      <c r="C9" s="223" t="s">
        <v>186</v>
      </c>
      <c r="D9" s="165" t="s">
        <v>268</v>
      </c>
      <c r="E9" s="222">
        <v>5</v>
      </c>
    </row>
    <row r="10" spans="2:5" ht="17.25" customHeight="1" x14ac:dyDescent="0.45">
      <c r="B10" s="167" t="s">
        <v>269</v>
      </c>
      <c r="C10" s="223" t="s">
        <v>186</v>
      </c>
      <c r="D10" s="165" t="s">
        <v>270</v>
      </c>
      <c r="E10" s="221">
        <v>6</v>
      </c>
    </row>
    <row r="11" spans="2:5" ht="17.25" customHeight="1" x14ac:dyDescent="0.45">
      <c r="B11" s="167" t="s">
        <v>272</v>
      </c>
      <c r="C11" s="223" t="s">
        <v>186</v>
      </c>
      <c r="D11" s="165" t="s">
        <v>273</v>
      </c>
      <c r="E11" s="222">
        <v>4</v>
      </c>
    </row>
    <row r="12" spans="2:5" ht="17.25" customHeight="1" x14ac:dyDescent="0.45">
      <c r="B12" s="167" t="s">
        <v>274</v>
      </c>
      <c r="C12" s="223" t="s">
        <v>275</v>
      </c>
      <c r="D12" s="168" t="s">
        <v>276</v>
      </c>
      <c r="E12" s="222">
        <v>6</v>
      </c>
    </row>
    <row r="13" spans="2:5" ht="17.25" customHeight="1" x14ac:dyDescent="0.45">
      <c r="B13" s="167" t="s">
        <v>277</v>
      </c>
      <c r="C13" s="223" t="s">
        <v>275</v>
      </c>
      <c r="D13" s="168" t="s">
        <v>195</v>
      </c>
      <c r="E13" s="222">
        <v>11</v>
      </c>
    </row>
    <row r="14" spans="2:5" ht="17.25" customHeight="1" x14ac:dyDescent="0.45">
      <c r="B14" s="167" t="s">
        <v>279</v>
      </c>
      <c r="C14" s="223" t="s">
        <v>275</v>
      </c>
      <c r="D14" s="165" t="s">
        <v>280</v>
      </c>
      <c r="E14" s="222">
        <v>9</v>
      </c>
    </row>
    <row r="15" spans="2:5" ht="17.25" customHeight="1" x14ac:dyDescent="0.45">
      <c r="B15" s="167" t="s">
        <v>281</v>
      </c>
      <c r="C15" s="223" t="s">
        <v>275</v>
      </c>
      <c r="D15" s="165" t="s">
        <v>282</v>
      </c>
      <c r="E15" s="221">
        <v>4</v>
      </c>
    </row>
    <row r="16" spans="2:5" ht="17.25" customHeight="1" x14ac:dyDescent="0.45">
      <c r="B16" s="167" t="s">
        <v>284</v>
      </c>
      <c r="C16" s="223" t="s">
        <v>208</v>
      </c>
      <c r="D16" s="165" t="s">
        <v>285</v>
      </c>
      <c r="E16" s="222">
        <v>5</v>
      </c>
    </row>
    <row r="17" spans="2:5" ht="17.25" customHeight="1" x14ac:dyDescent="0.45">
      <c r="B17" s="167" t="s">
        <v>287</v>
      </c>
      <c r="C17" s="223" t="s">
        <v>208</v>
      </c>
      <c r="D17" s="165" t="s">
        <v>288</v>
      </c>
      <c r="E17" s="222">
        <v>5</v>
      </c>
    </row>
    <row r="18" spans="2:5" ht="17.25" customHeight="1" x14ac:dyDescent="0.45">
      <c r="B18" s="167" t="s">
        <v>289</v>
      </c>
      <c r="C18" s="223" t="s">
        <v>208</v>
      </c>
      <c r="D18" s="165" t="s">
        <v>290</v>
      </c>
      <c r="E18" s="222">
        <v>5</v>
      </c>
    </row>
    <row r="19" spans="2:5" ht="17.25" customHeight="1" x14ac:dyDescent="0.45">
      <c r="B19" s="167" t="s">
        <v>291</v>
      </c>
      <c r="C19" s="223" t="s">
        <v>208</v>
      </c>
      <c r="D19" s="165" t="s">
        <v>292</v>
      </c>
      <c r="E19" s="222">
        <v>7</v>
      </c>
    </row>
    <row r="20" spans="2:5" ht="17.25" customHeight="1" x14ac:dyDescent="0.45">
      <c r="B20" s="167" t="s">
        <v>293</v>
      </c>
      <c r="C20" s="223" t="s">
        <v>294</v>
      </c>
      <c r="D20" s="165" t="s">
        <v>295</v>
      </c>
      <c r="E20" s="221">
        <v>4</v>
      </c>
    </row>
    <row r="21" spans="2:5" ht="17.25" customHeight="1" x14ac:dyDescent="0.45">
      <c r="B21" s="167" t="s">
        <v>296</v>
      </c>
      <c r="C21" s="223" t="s">
        <v>294</v>
      </c>
      <c r="D21" s="165" t="s">
        <v>297</v>
      </c>
      <c r="E21" s="222">
        <v>5</v>
      </c>
    </row>
    <row r="22" spans="2:5" ht="17.25" customHeight="1" x14ac:dyDescent="0.45">
      <c r="B22" s="167" t="s">
        <v>298</v>
      </c>
      <c r="C22" s="223" t="s">
        <v>294</v>
      </c>
      <c r="D22" s="165" t="s">
        <v>299</v>
      </c>
      <c r="E22" s="222">
        <v>3</v>
      </c>
    </row>
    <row r="23" spans="2:5" ht="17.25" customHeight="1" x14ac:dyDescent="0.45">
      <c r="B23" s="167" t="s">
        <v>300</v>
      </c>
      <c r="C23" s="223" t="s">
        <v>301</v>
      </c>
      <c r="D23" s="165" t="s">
        <v>302</v>
      </c>
      <c r="E23" s="222">
        <v>2</v>
      </c>
    </row>
    <row r="24" spans="2:5" ht="17.25" customHeight="1" x14ac:dyDescent="0.45">
      <c r="B24" s="167" t="s">
        <v>304</v>
      </c>
      <c r="C24" s="223" t="s">
        <v>301</v>
      </c>
      <c r="D24" s="168" t="s">
        <v>305</v>
      </c>
      <c r="E24" s="222">
        <v>4</v>
      </c>
    </row>
    <row r="25" spans="2:5" ht="17.25" customHeight="1" x14ac:dyDescent="0.45">
      <c r="B25" s="167" t="s">
        <v>306</v>
      </c>
      <c r="C25" s="223" t="s">
        <v>301</v>
      </c>
      <c r="D25" s="168" t="s">
        <v>307</v>
      </c>
      <c r="E25" s="222">
        <v>1</v>
      </c>
    </row>
    <row r="26" spans="2:5" ht="17.25" customHeight="1" x14ac:dyDescent="0.45">
      <c r="B26" s="167" t="s">
        <v>308</v>
      </c>
      <c r="C26" s="223" t="s">
        <v>309</v>
      </c>
      <c r="D26" s="168" t="s">
        <v>310</v>
      </c>
      <c r="E26" s="222">
        <v>7</v>
      </c>
    </row>
    <row r="27" spans="2:5" ht="17.25" customHeight="1" x14ac:dyDescent="0.45">
      <c r="B27" s="167" t="s">
        <v>311</v>
      </c>
      <c r="C27" s="223" t="s">
        <v>309</v>
      </c>
      <c r="D27" s="168" t="s">
        <v>312</v>
      </c>
      <c r="E27" s="222">
        <v>6</v>
      </c>
    </row>
    <row r="28" spans="2:5" ht="17.25" customHeight="1" x14ac:dyDescent="0.45">
      <c r="B28" s="167" t="s">
        <v>313</v>
      </c>
      <c r="C28" s="223" t="s">
        <v>309</v>
      </c>
      <c r="D28" s="168" t="s">
        <v>314</v>
      </c>
      <c r="E28" s="222">
        <v>1</v>
      </c>
    </row>
    <row r="29" spans="2:5" ht="17.25" customHeight="1" x14ac:dyDescent="0.45">
      <c r="B29" s="167"/>
      <c r="C29" s="223"/>
      <c r="D29" s="168"/>
      <c r="E29" s="222"/>
    </row>
    <row r="30" spans="2:5" ht="17.25" customHeight="1" x14ac:dyDescent="0.45">
      <c r="B30" s="167"/>
      <c r="C30" s="223"/>
      <c r="D30" s="168"/>
      <c r="E30" s="222"/>
    </row>
    <row r="31" spans="2:5" ht="17.25" customHeight="1" x14ac:dyDescent="0.45">
      <c r="B31" s="167"/>
      <c r="C31" s="223"/>
      <c r="D31" s="168"/>
      <c r="E31" s="222"/>
    </row>
    <row r="32" spans="2:5" ht="17.25" customHeight="1" x14ac:dyDescent="0.45">
      <c r="B32" s="167"/>
      <c r="C32" s="223"/>
      <c r="D32" s="168"/>
      <c r="E32" s="222"/>
    </row>
    <row r="33" spans="2:5" ht="17.25" customHeight="1" x14ac:dyDescent="0.45">
      <c r="B33" s="167"/>
      <c r="C33" s="223"/>
      <c r="D33" s="168"/>
      <c r="E33" s="222"/>
    </row>
    <row r="34" spans="2:5" ht="17.25" customHeight="1" x14ac:dyDescent="0.45">
      <c r="B34" s="167"/>
      <c r="C34" s="223"/>
      <c r="D34" s="168"/>
      <c r="E34" s="222"/>
    </row>
    <row r="35" spans="2:5" ht="17.25" customHeight="1" x14ac:dyDescent="0.45">
      <c r="B35" s="167"/>
      <c r="C35" s="223"/>
      <c r="D35" s="168"/>
      <c r="E35" s="222"/>
    </row>
    <row r="36" spans="2:5" ht="17.25" customHeight="1" x14ac:dyDescent="0.45">
      <c r="B36" s="167"/>
      <c r="C36" s="223"/>
      <c r="D36" s="168"/>
      <c r="E36" s="222"/>
    </row>
    <row r="37" spans="2:5" ht="17.25" customHeight="1" x14ac:dyDescent="0.45">
      <c r="B37" s="167"/>
      <c r="C37" s="223"/>
      <c r="D37" s="168"/>
      <c r="E37" s="222"/>
    </row>
    <row r="38" spans="2:5" ht="17.25" customHeight="1" x14ac:dyDescent="0.45">
      <c r="B38" s="167"/>
      <c r="C38" s="223"/>
      <c r="D38" s="168"/>
      <c r="E38" s="222"/>
    </row>
    <row r="39" spans="2:5" ht="17.25" customHeight="1" x14ac:dyDescent="0.45">
      <c r="B39" s="167"/>
      <c r="C39" s="223"/>
      <c r="D39" s="168"/>
      <c r="E39" s="222"/>
    </row>
    <row r="40" spans="2:5" ht="17.25" customHeight="1" x14ac:dyDescent="0.45">
      <c r="B40" s="167"/>
      <c r="C40" s="223"/>
      <c r="D40" s="168"/>
      <c r="E40" s="222"/>
    </row>
    <row r="41" spans="2:5" ht="17.25" customHeight="1" x14ac:dyDescent="0.45">
      <c r="B41" s="167"/>
      <c r="C41" s="223"/>
      <c r="D41" s="168"/>
      <c r="E41" s="222"/>
    </row>
    <row r="42" spans="2:5" ht="17.25" customHeight="1" x14ac:dyDescent="0.45">
      <c r="B42" s="167"/>
      <c r="C42" s="223"/>
      <c r="D42" s="168"/>
      <c r="E42" s="222"/>
    </row>
    <row r="43" spans="2:5" ht="17.25" customHeight="1" x14ac:dyDescent="0.45">
      <c r="B43" s="167"/>
      <c r="C43" s="223"/>
      <c r="D43" s="168"/>
      <c r="E43" s="222"/>
    </row>
    <row r="44" spans="2:5" ht="17.25" customHeight="1" thickBot="1" x14ac:dyDescent="0.5">
      <c r="B44" s="224"/>
      <c r="C44" s="225"/>
      <c r="D44" s="226"/>
      <c r="E44" s="227"/>
    </row>
    <row r="45" spans="2:5" x14ac:dyDescent="0.45"/>
    <row r="46" spans="2:5" s="219" customFormat="1" x14ac:dyDescent="0.45">
      <c r="B46" s="228"/>
      <c r="C46" s="229"/>
      <c r="E46" s="228"/>
    </row>
  </sheetData>
  <mergeCells count="1">
    <mergeCell ref="B2:E2"/>
  </mergeCells>
  <dataValidations count="1">
    <dataValidation type="list" allowBlank="1" showInputMessage="1" showErrorMessage="1" sqref="C5:C44" xr:uid="{7A693BB4-65BD-4B49-B3A4-C84F867C05A1}">
      <formula1>ENTREGABLE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02779-75EA-40F1-B419-81BA5EB7BF72}">
  <dimension ref="A1:G41"/>
  <sheetViews>
    <sheetView workbookViewId="0">
      <selection activeCell="B21" sqref="B21"/>
    </sheetView>
  </sheetViews>
  <sheetFormatPr baseColWidth="10" defaultRowHeight="14.25" x14ac:dyDescent="0.45"/>
  <cols>
    <col min="1" max="1" width="10.6640625" style="4"/>
    <col min="2" max="2" width="47.86328125" style="4" customWidth="1"/>
    <col min="3" max="3" width="13.796875" style="4" bestFit="1" customWidth="1"/>
    <col min="4" max="4" width="13.9296875" style="179" bestFit="1" customWidth="1"/>
    <col min="5" max="5" width="12.73046875" style="92" bestFit="1" customWidth="1"/>
    <col min="6" max="6" width="12.33203125" style="4" bestFit="1" customWidth="1"/>
    <col min="7" max="7" width="11.33203125" style="4" bestFit="1" customWidth="1"/>
    <col min="8" max="16384" width="10.6640625" style="4"/>
  </cols>
  <sheetData>
    <row r="1" spans="1:5" x14ac:dyDescent="0.45">
      <c r="A1" s="5" t="s">
        <v>324</v>
      </c>
    </row>
    <row r="3" spans="1:5" x14ac:dyDescent="0.45">
      <c r="A3" s="5" t="s">
        <v>385</v>
      </c>
    </row>
    <row r="4" spans="1:5" ht="14.65" thickBot="1" x14ac:dyDescent="0.5"/>
    <row r="5" spans="1:5" ht="14.65" thickBot="1" x14ac:dyDescent="0.5">
      <c r="C5" s="193" t="s">
        <v>165</v>
      </c>
      <c r="D5" s="194" t="s">
        <v>322</v>
      </c>
      <c r="E5" s="195" t="s">
        <v>323</v>
      </c>
    </row>
    <row r="6" spans="1:5" x14ac:dyDescent="0.45">
      <c r="B6" s="181" t="s">
        <v>242</v>
      </c>
      <c r="C6" s="182" t="s">
        <v>201</v>
      </c>
      <c r="D6" s="189">
        <v>7000000</v>
      </c>
      <c r="E6" s="183">
        <f>+D6/240</f>
        <v>29166.666666666668</v>
      </c>
    </row>
    <row r="7" spans="1:5" x14ac:dyDescent="0.45">
      <c r="B7" s="184" t="s">
        <v>243</v>
      </c>
      <c r="C7" s="6" t="s">
        <v>201</v>
      </c>
      <c r="D7" s="190">
        <v>4000000</v>
      </c>
      <c r="E7" s="185">
        <f t="shared" ref="E7:E15" si="0">+D7/240</f>
        <v>16666.666666666668</v>
      </c>
    </row>
    <row r="8" spans="1:5" x14ac:dyDescent="0.45">
      <c r="B8" s="184" t="s">
        <v>244</v>
      </c>
      <c r="C8" s="6" t="s">
        <v>201</v>
      </c>
      <c r="D8" s="191">
        <v>4900000</v>
      </c>
      <c r="E8" s="185">
        <f>+D8/240</f>
        <v>20416.666666666668</v>
      </c>
    </row>
    <row r="9" spans="1:5" x14ac:dyDescent="0.45">
      <c r="B9" s="184" t="s">
        <v>245</v>
      </c>
      <c r="C9" s="6" t="s">
        <v>201</v>
      </c>
      <c r="D9" s="190">
        <v>2000000</v>
      </c>
      <c r="E9" s="185">
        <f t="shared" si="0"/>
        <v>8333.3333333333339</v>
      </c>
    </row>
    <row r="10" spans="1:5" x14ac:dyDescent="0.45">
      <c r="B10" s="184" t="s">
        <v>246</v>
      </c>
      <c r="C10" s="6" t="s">
        <v>201</v>
      </c>
      <c r="D10" s="191">
        <v>4000000</v>
      </c>
      <c r="E10" s="185">
        <f t="shared" si="0"/>
        <v>16666.666666666668</v>
      </c>
    </row>
    <row r="11" spans="1:5" x14ac:dyDescent="0.45">
      <c r="B11" s="184" t="s">
        <v>247</v>
      </c>
      <c r="C11" s="6" t="s">
        <v>201</v>
      </c>
      <c r="D11" s="191">
        <v>4000000</v>
      </c>
      <c r="E11" s="185">
        <f t="shared" si="0"/>
        <v>16666.666666666668</v>
      </c>
    </row>
    <row r="12" spans="1:5" x14ac:dyDescent="0.45">
      <c r="B12" s="184" t="s">
        <v>248</v>
      </c>
      <c r="C12" s="6" t="s">
        <v>201</v>
      </c>
      <c r="D12" s="191">
        <v>4500000</v>
      </c>
      <c r="E12" s="185">
        <f t="shared" si="0"/>
        <v>18750</v>
      </c>
    </row>
    <row r="13" spans="1:5" x14ac:dyDescent="0.45">
      <c r="B13" s="184" t="s">
        <v>249</v>
      </c>
      <c r="C13" s="6" t="s">
        <v>201</v>
      </c>
      <c r="D13" s="190">
        <v>3800000</v>
      </c>
      <c r="E13" s="185">
        <f t="shared" si="0"/>
        <v>15833.333333333334</v>
      </c>
    </row>
    <row r="14" spans="1:5" x14ac:dyDescent="0.45">
      <c r="B14" s="184" t="s">
        <v>250</v>
      </c>
      <c r="C14" s="6" t="s">
        <v>201</v>
      </c>
      <c r="D14" s="191">
        <v>3500000</v>
      </c>
      <c r="E14" s="185">
        <f t="shared" si="0"/>
        <v>14583.333333333334</v>
      </c>
    </row>
    <row r="15" spans="1:5" ht="14.65" thickBot="1" x14ac:dyDescent="0.5">
      <c r="B15" s="186" t="s">
        <v>251</v>
      </c>
      <c r="C15" s="187" t="s">
        <v>201</v>
      </c>
      <c r="D15" s="192">
        <v>3500000</v>
      </c>
      <c r="E15" s="188">
        <f t="shared" si="0"/>
        <v>14583.333333333334</v>
      </c>
    </row>
    <row r="18" spans="1:7" x14ac:dyDescent="0.45">
      <c r="A18" s="5" t="s">
        <v>337</v>
      </c>
    </row>
    <row r="20" spans="1:7" x14ac:dyDescent="0.45">
      <c r="B20" s="4" t="s">
        <v>338</v>
      </c>
      <c r="C20" s="151">
        <v>1200</v>
      </c>
      <c r="D20" s="179" t="s">
        <v>342</v>
      </c>
      <c r="F20" s="4">
        <v>1000</v>
      </c>
      <c r="G20" s="4" t="s">
        <v>343</v>
      </c>
    </row>
    <row r="21" spans="1:7" x14ac:dyDescent="0.45">
      <c r="B21" s="4" t="s">
        <v>341</v>
      </c>
      <c r="C21" s="321">
        <f>+F20/C20</f>
        <v>0.83333333333333337</v>
      </c>
      <c r="D21" s="179" t="s">
        <v>344</v>
      </c>
    </row>
    <row r="22" spans="1:7" x14ac:dyDescent="0.45">
      <c r="B22" s="4" t="s">
        <v>339</v>
      </c>
      <c r="C22" s="4">
        <v>50</v>
      </c>
      <c r="D22" s="179" t="s">
        <v>340</v>
      </c>
    </row>
    <row r="23" spans="1:7" x14ac:dyDescent="0.45">
      <c r="B23" s="4" t="s">
        <v>345</v>
      </c>
      <c r="C23" s="151">
        <v>360</v>
      </c>
    </row>
    <row r="26" spans="1:7" x14ac:dyDescent="0.45">
      <c r="A26" s="5" t="s">
        <v>359</v>
      </c>
    </row>
    <row r="28" spans="1:7" x14ac:dyDescent="0.45">
      <c r="B28" s="4" t="s">
        <v>360</v>
      </c>
      <c r="C28" s="151">
        <v>159900</v>
      </c>
    </row>
    <row r="29" spans="1:7" x14ac:dyDescent="0.45">
      <c r="B29" s="4" t="s">
        <v>361</v>
      </c>
      <c r="C29" s="203">
        <v>22</v>
      </c>
      <c r="D29" s="179" t="s">
        <v>172</v>
      </c>
    </row>
    <row r="30" spans="1:7" x14ac:dyDescent="0.45">
      <c r="B30" s="4" t="s">
        <v>354</v>
      </c>
      <c r="C30" s="4">
        <v>8</v>
      </c>
      <c r="D30" s="179" t="s">
        <v>355</v>
      </c>
    </row>
    <row r="31" spans="1:7" x14ac:dyDescent="0.45">
      <c r="B31" s="4" t="s">
        <v>363</v>
      </c>
      <c r="C31" s="203">
        <f>+C29*C30</f>
        <v>176</v>
      </c>
      <c r="D31" s="179" t="s">
        <v>355</v>
      </c>
    </row>
    <row r="32" spans="1:7" x14ac:dyDescent="0.45">
      <c r="B32" s="4" t="s">
        <v>364</v>
      </c>
      <c r="C32" s="92">
        <f>+C28/C31</f>
        <v>908.52272727272725</v>
      </c>
    </row>
    <row r="34" spans="1:4" x14ac:dyDescent="0.45">
      <c r="A34" s="5" t="s">
        <v>349</v>
      </c>
    </row>
    <row r="36" spans="1:4" x14ac:dyDescent="0.45">
      <c r="B36" s="4" t="s">
        <v>350</v>
      </c>
      <c r="C36" s="92">
        <v>7000000</v>
      </c>
    </row>
    <row r="37" spans="1:4" x14ac:dyDescent="0.45">
      <c r="B37" s="4" t="s">
        <v>351</v>
      </c>
      <c r="C37" s="4">
        <v>3</v>
      </c>
      <c r="D37" s="179" t="s">
        <v>352</v>
      </c>
    </row>
    <row r="38" spans="1:4" x14ac:dyDescent="0.45">
      <c r="B38" s="4" t="s">
        <v>353</v>
      </c>
      <c r="C38" s="4">
        <v>260</v>
      </c>
      <c r="D38" s="179" t="s">
        <v>172</v>
      </c>
    </row>
    <row r="39" spans="1:4" x14ac:dyDescent="0.45">
      <c r="B39" s="4" t="s">
        <v>354</v>
      </c>
      <c r="C39" s="4">
        <v>8</v>
      </c>
      <c r="D39" s="179" t="s">
        <v>355</v>
      </c>
    </row>
    <row r="40" spans="1:4" x14ac:dyDescent="0.45">
      <c r="B40" s="4" t="s">
        <v>362</v>
      </c>
      <c r="C40" s="4">
        <f>+C37*C38*C39</f>
        <v>6240</v>
      </c>
      <c r="D40" s="179" t="s">
        <v>355</v>
      </c>
    </row>
    <row r="41" spans="1:4" x14ac:dyDescent="0.45">
      <c r="B41" s="4" t="s">
        <v>356</v>
      </c>
      <c r="C41" s="92">
        <f>+C36/C40</f>
        <v>1121.7948717948718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35733-E2AB-4494-B959-EDAEEB7D655B}">
  <dimension ref="A2:V77"/>
  <sheetViews>
    <sheetView showGridLines="0" tabSelected="1" zoomScale="52" workbookViewId="0">
      <selection activeCell="H38" sqref="H38"/>
    </sheetView>
  </sheetViews>
  <sheetFormatPr baseColWidth="10" defaultColWidth="11.3984375" defaultRowHeight="14.25" x14ac:dyDescent="0.45"/>
  <cols>
    <col min="1" max="1" width="11.3984375" style="4"/>
    <col min="2" max="2" width="37.33203125" style="243" bestFit="1" customWidth="1"/>
    <col min="3" max="3" width="47.73046875" customWidth="1"/>
    <col min="4" max="4" width="16.3984375" bestFit="1" customWidth="1"/>
    <col min="5" max="5" width="12.06640625" style="3" bestFit="1" customWidth="1"/>
    <col min="6" max="6" width="16.86328125" style="3" bestFit="1" customWidth="1"/>
    <col min="7" max="7" width="19" style="3" bestFit="1" customWidth="1"/>
    <col min="8" max="8" width="19.73046875" style="3" customWidth="1"/>
    <col min="9" max="9" width="27.9296875" style="166" bestFit="1" customWidth="1"/>
    <col min="10" max="10" width="18.73046875" style="166" bestFit="1" customWidth="1"/>
    <col min="11" max="11" width="15.59765625" style="166" bestFit="1" customWidth="1"/>
    <col min="12" max="12" width="17.33203125" style="166" bestFit="1" customWidth="1"/>
    <col min="13" max="13" width="16.265625" style="166" bestFit="1" customWidth="1"/>
    <col min="14" max="14" width="14.265625" style="166" bestFit="1" customWidth="1"/>
    <col min="15" max="15" width="14.73046875" style="166" bestFit="1" customWidth="1"/>
    <col min="16" max="16" width="14.796875" style="166" customWidth="1"/>
    <col min="17" max="17" width="11.3984375" style="4"/>
    <col min="18" max="18" width="21" style="4" bestFit="1" customWidth="1"/>
    <col min="19" max="16384" width="11.3984375" style="4"/>
  </cols>
  <sheetData>
    <row r="2" spans="1:16" ht="18" x14ac:dyDescent="0.55000000000000004">
      <c r="C2" s="260" t="s">
        <v>241</v>
      </c>
      <c r="D2" s="260"/>
      <c r="E2" s="260"/>
      <c r="F2" s="260"/>
      <c r="G2" s="260"/>
      <c r="H2" s="260"/>
      <c r="I2" s="260"/>
      <c r="J2" s="260"/>
      <c r="K2" s="260"/>
      <c r="L2" s="260"/>
      <c r="M2" s="260"/>
      <c r="N2" s="260"/>
      <c r="O2" s="260"/>
      <c r="P2" s="260"/>
    </row>
    <row r="3" spans="1:16" ht="14.65" thickBot="1" x14ac:dyDescent="0.5">
      <c r="C3" s="4"/>
      <c r="D3" s="4"/>
      <c r="E3" s="180"/>
      <c r="F3" s="180"/>
      <c r="G3" s="180"/>
      <c r="H3" s="180"/>
      <c r="I3" s="151"/>
      <c r="J3" s="151"/>
      <c r="K3" s="151"/>
      <c r="L3" s="151"/>
      <c r="M3" s="151"/>
      <c r="N3" s="151"/>
      <c r="O3" s="151"/>
      <c r="P3" s="151"/>
    </row>
    <row r="4" spans="1:16" ht="14.65" thickBot="1" x14ac:dyDescent="0.5">
      <c r="C4" s="308" t="s">
        <v>164</v>
      </c>
      <c r="D4" s="309"/>
      <c r="E4" s="309"/>
      <c r="F4" s="309"/>
      <c r="G4" s="309"/>
      <c r="H4" s="309"/>
      <c r="I4" s="309"/>
      <c r="J4" s="309"/>
      <c r="K4" s="309"/>
      <c r="L4" s="309"/>
      <c r="M4" s="309"/>
      <c r="N4" s="309"/>
      <c r="O4" s="309"/>
      <c r="P4" s="310"/>
    </row>
    <row r="5" spans="1:16" ht="14.65" thickBot="1" x14ac:dyDescent="0.5">
      <c r="A5" s="304" t="s">
        <v>328</v>
      </c>
      <c r="B5" s="305" t="s">
        <v>367</v>
      </c>
      <c r="C5" s="298" t="s">
        <v>203</v>
      </c>
      <c r="D5" s="298" t="s">
        <v>165</v>
      </c>
      <c r="E5" s="298" t="s">
        <v>172</v>
      </c>
      <c r="F5" s="298" t="s">
        <v>9</v>
      </c>
      <c r="G5" s="298" t="s">
        <v>205</v>
      </c>
      <c r="H5" s="298" t="s">
        <v>325</v>
      </c>
      <c r="I5" s="306" t="s">
        <v>189</v>
      </c>
      <c r="J5" s="306" t="s">
        <v>160</v>
      </c>
      <c r="K5" s="306" t="s">
        <v>161</v>
      </c>
      <c r="L5" s="306" t="s">
        <v>162</v>
      </c>
      <c r="M5" s="306" t="s">
        <v>163</v>
      </c>
      <c r="N5" s="306" t="s">
        <v>326</v>
      </c>
      <c r="O5" s="306" t="s">
        <v>327</v>
      </c>
      <c r="P5" s="307" t="s">
        <v>75</v>
      </c>
    </row>
    <row r="6" spans="1:16" s="5" customFormat="1" ht="14.65" thickBot="1" x14ac:dyDescent="0.5">
      <c r="A6" s="304" t="s">
        <v>329</v>
      </c>
      <c r="B6" s="305" t="s">
        <v>204</v>
      </c>
      <c r="C6" s="298"/>
      <c r="D6" s="298"/>
      <c r="E6" s="298">
        <f>SUM(E7:E9)</f>
        <v>23</v>
      </c>
      <c r="F6" s="298">
        <f t="shared" ref="F6:O6" si="0">SUM(F7:F9)</f>
        <v>3</v>
      </c>
      <c r="G6" s="298">
        <f t="shared" si="0"/>
        <v>12</v>
      </c>
      <c r="H6" s="298">
        <f t="shared" si="0"/>
        <v>92</v>
      </c>
      <c r="I6" s="306">
        <f t="shared" si="0"/>
        <v>65416.666666666672</v>
      </c>
      <c r="J6" s="306">
        <f t="shared" si="0"/>
        <v>1781666.6666666667</v>
      </c>
      <c r="K6" s="306">
        <f t="shared" si="0"/>
        <v>0</v>
      </c>
      <c r="L6" s="306">
        <f t="shared" si="0"/>
        <v>0</v>
      </c>
      <c r="M6" s="306">
        <f t="shared" si="0"/>
        <v>0</v>
      </c>
      <c r="N6" s="306">
        <f t="shared" si="0"/>
        <v>0</v>
      </c>
      <c r="O6" s="306">
        <f t="shared" si="0"/>
        <v>0</v>
      </c>
      <c r="P6" s="307">
        <f>SUM(P7:P9)</f>
        <v>1781666.6666666667</v>
      </c>
    </row>
    <row r="7" spans="1:16" s="232" customFormat="1" x14ac:dyDescent="0.45">
      <c r="A7" s="237" t="s">
        <v>256</v>
      </c>
      <c r="B7" s="244" t="s">
        <v>258</v>
      </c>
      <c r="C7" s="238" t="s">
        <v>259</v>
      </c>
      <c r="D7" s="198" t="s">
        <v>201</v>
      </c>
      <c r="E7" s="239">
        <v>11</v>
      </c>
      <c r="F7" s="239">
        <v>1</v>
      </c>
      <c r="G7" s="239">
        <v>4</v>
      </c>
      <c r="H7" s="239">
        <f>+E7*F7*G7</f>
        <v>44</v>
      </c>
      <c r="I7" s="240">
        <f>+'ESTIMACIÓN DE COSTOS'!$E$13</f>
        <v>15833.333333333334</v>
      </c>
      <c r="J7" s="197">
        <f>+I7*H7</f>
        <v>696666.66666666674</v>
      </c>
      <c r="K7" s="197"/>
      <c r="L7" s="197"/>
      <c r="M7" s="197"/>
      <c r="N7" s="197"/>
      <c r="O7" s="197"/>
      <c r="P7" s="236">
        <f>SUM(J7:O7)</f>
        <v>696666.66666666674</v>
      </c>
    </row>
    <row r="8" spans="1:16" s="232" customFormat="1" x14ac:dyDescent="0.45">
      <c r="A8" s="237" t="s">
        <v>260</v>
      </c>
      <c r="B8" s="244" t="s">
        <v>261</v>
      </c>
      <c r="C8" s="238" t="s">
        <v>262</v>
      </c>
      <c r="D8" s="198" t="s">
        <v>201</v>
      </c>
      <c r="E8" s="239">
        <v>9</v>
      </c>
      <c r="F8" s="239">
        <v>1</v>
      </c>
      <c r="G8" s="239">
        <v>4</v>
      </c>
      <c r="H8" s="239">
        <f t="shared" ref="H8:H61" si="1">+E8*F8*G8</f>
        <v>36</v>
      </c>
      <c r="I8" s="240">
        <f>+'ESTIMACIÓN DE COSTOS'!$E$8</f>
        <v>20416.666666666668</v>
      </c>
      <c r="J8" s="197">
        <f>+I8*H8</f>
        <v>735000</v>
      </c>
      <c r="K8" s="197"/>
      <c r="L8" s="197"/>
      <c r="M8" s="197"/>
      <c r="N8" s="197"/>
      <c r="O8" s="197"/>
      <c r="P8" s="236">
        <f t="shared" ref="P8:P61" si="2">SUM(J8:O8)</f>
        <v>735000</v>
      </c>
    </row>
    <row r="9" spans="1:16" s="232" customFormat="1" ht="14.65" thickBot="1" x14ac:dyDescent="0.5">
      <c r="A9" s="237" t="s">
        <v>263</v>
      </c>
      <c r="B9" s="244" t="s">
        <v>264</v>
      </c>
      <c r="C9" s="238" t="s">
        <v>167</v>
      </c>
      <c r="D9" s="198" t="s">
        <v>201</v>
      </c>
      <c r="E9" s="239">
        <v>3</v>
      </c>
      <c r="F9" s="239">
        <v>1</v>
      </c>
      <c r="G9" s="239">
        <v>4</v>
      </c>
      <c r="H9" s="239">
        <f t="shared" si="1"/>
        <v>12</v>
      </c>
      <c r="I9" s="240">
        <f>+'ESTIMACIÓN DE COSTOS'!$E$6</f>
        <v>29166.666666666668</v>
      </c>
      <c r="J9" s="197">
        <f>+I9*H9</f>
        <v>350000</v>
      </c>
      <c r="K9" s="197"/>
      <c r="L9" s="197"/>
      <c r="M9" s="197"/>
      <c r="N9" s="197"/>
      <c r="O9" s="197"/>
      <c r="P9" s="236">
        <f t="shared" si="2"/>
        <v>350000</v>
      </c>
    </row>
    <row r="10" spans="1:16" ht="14.65" thickBot="1" x14ac:dyDescent="0.5">
      <c r="A10" s="304" t="s">
        <v>330</v>
      </c>
      <c r="B10" s="305" t="s">
        <v>336</v>
      </c>
      <c r="C10" s="298"/>
      <c r="D10" s="298" t="s">
        <v>201</v>
      </c>
      <c r="E10" s="298">
        <f>SUM(E11:E14)</f>
        <v>21</v>
      </c>
      <c r="F10" s="298">
        <f t="shared" ref="F10:P10" si="3">SUM(F11:F14)</f>
        <v>4</v>
      </c>
      <c r="G10" s="298">
        <f t="shared" si="3"/>
        <v>16</v>
      </c>
      <c r="H10" s="298">
        <f t="shared" si="3"/>
        <v>84</v>
      </c>
      <c r="I10" s="306">
        <f t="shared" si="3"/>
        <v>77500</v>
      </c>
      <c r="J10" s="306">
        <f t="shared" si="3"/>
        <v>0</v>
      </c>
      <c r="K10" s="306">
        <f t="shared" si="3"/>
        <v>1563333.3333333335</v>
      </c>
      <c r="L10" s="306">
        <f t="shared" si="3"/>
        <v>0</v>
      </c>
      <c r="M10" s="306">
        <f t="shared" si="3"/>
        <v>0</v>
      </c>
      <c r="N10" s="306">
        <f t="shared" si="3"/>
        <v>0</v>
      </c>
      <c r="O10" s="306">
        <f t="shared" si="3"/>
        <v>0</v>
      </c>
      <c r="P10" s="307">
        <f t="shared" si="3"/>
        <v>1563333.3333333335</v>
      </c>
    </row>
    <row r="11" spans="1:16" s="232" customFormat="1" x14ac:dyDescent="0.45">
      <c r="A11" s="237" t="s">
        <v>265</v>
      </c>
      <c r="B11" s="245" t="s">
        <v>266</v>
      </c>
      <c r="C11" s="238" t="s">
        <v>259</v>
      </c>
      <c r="D11" s="198" t="s">
        <v>201</v>
      </c>
      <c r="E11" s="239">
        <v>6</v>
      </c>
      <c r="F11" s="239">
        <v>1</v>
      </c>
      <c r="G11" s="239">
        <v>4</v>
      </c>
      <c r="H11" s="239">
        <f t="shared" si="1"/>
        <v>24</v>
      </c>
      <c r="I11" s="240">
        <f>+'ESTIMACIÓN DE COSTOS'!$E$13</f>
        <v>15833.333333333334</v>
      </c>
      <c r="J11" s="197"/>
      <c r="K11" s="197">
        <f>+I11*H11</f>
        <v>380000</v>
      </c>
      <c r="L11" s="197"/>
      <c r="M11" s="197"/>
      <c r="N11" s="197"/>
      <c r="O11" s="197"/>
      <c r="P11" s="236">
        <f t="shared" si="2"/>
        <v>380000</v>
      </c>
    </row>
    <row r="12" spans="1:16" s="232" customFormat="1" x14ac:dyDescent="0.45">
      <c r="A12" s="237" t="s">
        <v>267</v>
      </c>
      <c r="B12" s="245" t="s">
        <v>268</v>
      </c>
      <c r="C12" s="238" t="s">
        <v>259</v>
      </c>
      <c r="D12" s="198" t="s">
        <v>201</v>
      </c>
      <c r="E12" s="239">
        <v>5</v>
      </c>
      <c r="F12" s="239">
        <v>1</v>
      </c>
      <c r="G12" s="239">
        <v>4</v>
      </c>
      <c r="H12" s="239">
        <f t="shared" si="1"/>
        <v>20</v>
      </c>
      <c r="I12" s="240">
        <f>+'ESTIMACIÓN DE COSTOS'!$E$13</f>
        <v>15833.333333333334</v>
      </c>
      <c r="J12" s="197"/>
      <c r="K12" s="197">
        <f>+I12*H12</f>
        <v>316666.66666666669</v>
      </c>
      <c r="L12" s="197"/>
      <c r="M12" s="197"/>
      <c r="N12" s="197"/>
      <c r="O12" s="197"/>
      <c r="P12" s="236">
        <f t="shared" si="2"/>
        <v>316666.66666666669</v>
      </c>
    </row>
    <row r="13" spans="1:16" s="232" customFormat="1" x14ac:dyDescent="0.45">
      <c r="A13" s="237" t="s">
        <v>269</v>
      </c>
      <c r="B13" s="245" t="s">
        <v>270</v>
      </c>
      <c r="C13" s="238" t="s">
        <v>271</v>
      </c>
      <c r="D13" s="198" t="s">
        <v>201</v>
      </c>
      <c r="E13" s="239">
        <v>6</v>
      </c>
      <c r="F13" s="239">
        <v>1</v>
      </c>
      <c r="G13" s="239">
        <v>4</v>
      </c>
      <c r="H13" s="239">
        <f t="shared" si="1"/>
        <v>24</v>
      </c>
      <c r="I13" s="240">
        <f>'ESTIMACIÓN DE COSTOS'!$E$11</f>
        <v>16666.666666666668</v>
      </c>
      <c r="J13" s="197"/>
      <c r="K13" s="197">
        <f>+I13*H13</f>
        <v>400000</v>
      </c>
      <c r="L13" s="197"/>
      <c r="M13" s="197"/>
      <c r="N13" s="197"/>
      <c r="O13" s="197"/>
      <c r="P13" s="236">
        <f t="shared" si="2"/>
        <v>400000</v>
      </c>
    </row>
    <row r="14" spans="1:16" s="232" customFormat="1" ht="14.65" thickBot="1" x14ac:dyDescent="0.5">
      <c r="A14" s="237" t="s">
        <v>272</v>
      </c>
      <c r="B14" s="245" t="s">
        <v>273</v>
      </c>
      <c r="C14" s="238" t="s">
        <v>167</v>
      </c>
      <c r="D14" s="198"/>
      <c r="E14" s="239">
        <v>4</v>
      </c>
      <c r="F14" s="239">
        <v>1</v>
      </c>
      <c r="G14" s="239">
        <v>4</v>
      </c>
      <c r="H14" s="239">
        <f t="shared" si="1"/>
        <v>16</v>
      </c>
      <c r="I14" s="240">
        <f>+'ESTIMACIÓN DE COSTOS'!$E$6</f>
        <v>29166.666666666668</v>
      </c>
      <c r="J14" s="197"/>
      <c r="K14" s="197">
        <f>+I14*H14</f>
        <v>466666.66666666669</v>
      </c>
      <c r="L14" s="197"/>
      <c r="M14" s="197"/>
      <c r="N14" s="197"/>
      <c r="O14" s="197"/>
      <c r="P14" s="236">
        <f t="shared" si="2"/>
        <v>466666.66666666669</v>
      </c>
    </row>
    <row r="15" spans="1:16" ht="14.65" thickBot="1" x14ac:dyDescent="0.5">
      <c r="A15" s="304" t="s">
        <v>331</v>
      </c>
      <c r="B15" s="305" t="s">
        <v>275</v>
      </c>
      <c r="C15" s="298"/>
      <c r="D15" s="298" t="s">
        <v>201</v>
      </c>
      <c r="E15" s="298">
        <f t="shared" ref="E15:P15" si="4">SUM(E16:E20)</f>
        <v>41</v>
      </c>
      <c r="F15" s="298">
        <f t="shared" si="4"/>
        <v>6</v>
      </c>
      <c r="G15" s="298">
        <f t="shared" si="4"/>
        <v>20</v>
      </c>
      <c r="H15" s="298">
        <f t="shared" si="4"/>
        <v>208</v>
      </c>
      <c r="I15" s="306">
        <f t="shared" si="4"/>
        <v>97916.666666666686</v>
      </c>
      <c r="J15" s="306">
        <f t="shared" si="4"/>
        <v>0</v>
      </c>
      <c r="K15" s="306">
        <f t="shared" si="4"/>
        <v>0</v>
      </c>
      <c r="L15" s="306">
        <f t="shared" si="4"/>
        <v>2050000</v>
      </c>
      <c r="M15" s="306">
        <f t="shared" si="4"/>
        <v>2150000</v>
      </c>
      <c r="N15" s="306">
        <f t="shared" si="4"/>
        <v>0</v>
      </c>
      <c r="O15" s="306">
        <f t="shared" si="4"/>
        <v>0</v>
      </c>
      <c r="P15" s="307">
        <f t="shared" si="4"/>
        <v>4200000</v>
      </c>
    </row>
    <row r="16" spans="1:16" s="232" customFormat="1" x14ac:dyDescent="0.45">
      <c r="A16" s="237" t="s">
        <v>274</v>
      </c>
      <c r="B16" s="245" t="s">
        <v>276</v>
      </c>
      <c r="C16" s="238" t="s">
        <v>246</v>
      </c>
      <c r="D16" s="198" t="s">
        <v>201</v>
      </c>
      <c r="E16" s="239">
        <v>6</v>
      </c>
      <c r="F16" s="239">
        <v>1</v>
      </c>
      <c r="G16" s="239">
        <v>4</v>
      </c>
      <c r="H16" s="239">
        <f t="shared" si="1"/>
        <v>24</v>
      </c>
      <c r="I16" s="240">
        <f>+'ESTIMACIÓN DE COSTOS'!$E$10</f>
        <v>16666.666666666668</v>
      </c>
      <c r="J16" s="197"/>
      <c r="K16" s="197"/>
      <c r="L16" s="197">
        <f>+I16*H16</f>
        <v>400000</v>
      </c>
      <c r="M16" s="197"/>
      <c r="N16" s="197"/>
      <c r="O16" s="197"/>
      <c r="P16" s="236">
        <f t="shared" si="2"/>
        <v>400000</v>
      </c>
    </row>
    <row r="17" spans="1:16" s="232" customFormat="1" x14ac:dyDescent="0.45">
      <c r="A17" s="237" t="s">
        <v>277</v>
      </c>
      <c r="B17" s="245" t="s">
        <v>195</v>
      </c>
      <c r="C17" s="238" t="s">
        <v>278</v>
      </c>
      <c r="D17" s="198" t="s">
        <v>201</v>
      </c>
      <c r="E17" s="239">
        <v>11</v>
      </c>
      <c r="F17" s="239">
        <v>2</v>
      </c>
      <c r="G17" s="239">
        <v>4</v>
      </c>
      <c r="H17" s="239">
        <f t="shared" si="1"/>
        <v>88</v>
      </c>
      <c r="I17" s="240">
        <f>+'ESTIMACIÓN DE COSTOS'!$E$12</f>
        <v>18750</v>
      </c>
      <c r="J17" s="197"/>
      <c r="K17" s="197"/>
      <c r="L17" s="197">
        <f>+I17*H17</f>
        <v>1650000</v>
      </c>
      <c r="M17" s="197"/>
      <c r="N17" s="197"/>
      <c r="O17" s="197"/>
      <c r="P17" s="236">
        <f t="shared" si="2"/>
        <v>1650000</v>
      </c>
    </row>
    <row r="18" spans="1:16" s="232" customFormat="1" x14ac:dyDescent="0.45">
      <c r="A18" s="237" t="s">
        <v>279</v>
      </c>
      <c r="B18" s="245" t="s">
        <v>280</v>
      </c>
      <c r="C18" s="238" t="s">
        <v>271</v>
      </c>
      <c r="D18" s="198" t="s">
        <v>201</v>
      </c>
      <c r="E18" s="239">
        <v>9</v>
      </c>
      <c r="F18" s="239">
        <v>1</v>
      </c>
      <c r="G18" s="239">
        <v>4</v>
      </c>
      <c r="H18" s="239">
        <f t="shared" si="1"/>
        <v>36</v>
      </c>
      <c r="I18" s="240">
        <f>'ESTIMACIÓN DE COSTOS'!$E$11</f>
        <v>16666.666666666668</v>
      </c>
      <c r="J18" s="197"/>
      <c r="K18" s="197"/>
      <c r="L18" s="197"/>
      <c r="M18" s="197">
        <f>+I18*H18</f>
        <v>600000</v>
      </c>
      <c r="N18" s="197"/>
      <c r="O18" s="197"/>
      <c r="P18" s="236">
        <f t="shared" si="2"/>
        <v>600000</v>
      </c>
    </row>
    <row r="19" spans="1:16" s="232" customFormat="1" x14ac:dyDescent="0.45">
      <c r="A19" s="237" t="s">
        <v>281</v>
      </c>
      <c r="B19" s="245" t="s">
        <v>282</v>
      </c>
      <c r="C19" s="238" t="s">
        <v>283</v>
      </c>
      <c r="D19" s="198" t="s">
        <v>201</v>
      </c>
      <c r="E19" s="239">
        <v>4</v>
      </c>
      <c r="F19" s="239">
        <v>1</v>
      </c>
      <c r="G19" s="239">
        <v>4</v>
      </c>
      <c r="H19" s="239">
        <f t="shared" si="1"/>
        <v>16</v>
      </c>
      <c r="I19" s="201">
        <f>+'ESTIMACIÓN DE COSTOS'!$E$7</f>
        <v>16666.666666666668</v>
      </c>
      <c r="J19" s="197"/>
      <c r="K19" s="197"/>
      <c r="L19" s="197"/>
      <c r="M19" s="197">
        <f>+I19*H19</f>
        <v>266666.66666666669</v>
      </c>
      <c r="N19" s="197"/>
      <c r="O19" s="197"/>
      <c r="P19" s="236">
        <f t="shared" si="2"/>
        <v>266666.66666666669</v>
      </c>
    </row>
    <row r="20" spans="1:16" s="232" customFormat="1" ht="14.65" thickBot="1" x14ac:dyDescent="0.5">
      <c r="A20" s="237" t="s">
        <v>277</v>
      </c>
      <c r="B20" s="245" t="s">
        <v>195</v>
      </c>
      <c r="C20" s="238" t="s">
        <v>167</v>
      </c>
      <c r="D20" s="198" t="s">
        <v>201</v>
      </c>
      <c r="E20" s="239">
        <v>11</v>
      </c>
      <c r="F20" s="239">
        <v>1</v>
      </c>
      <c r="G20" s="239">
        <v>4</v>
      </c>
      <c r="H20" s="239">
        <f t="shared" si="1"/>
        <v>44</v>
      </c>
      <c r="I20" s="240">
        <f>+'ESTIMACIÓN DE COSTOS'!$E$6</f>
        <v>29166.666666666668</v>
      </c>
      <c r="J20" s="197"/>
      <c r="K20" s="197"/>
      <c r="L20" s="197"/>
      <c r="M20" s="197">
        <f>+I20*H20</f>
        <v>1283333.3333333335</v>
      </c>
      <c r="N20" s="197"/>
      <c r="O20" s="197"/>
      <c r="P20" s="236">
        <f t="shared" si="2"/>
        <v>1283333.3333333335</v>
      </c>
    </row>
    <row r="21" spans="1:16" ht="14.65" thickBot="1" x14ac:dyDescent="0.5">
      <c r="A21" s="304" t="s">
        <v>332</v>
      </c>
      <c r="B21" s="305" t="s">
        <v>208</v>
      </c>
      <c r="C21" s="298"/>
      <c r="D21" s="298" t="s">
        <v>201</v>
      </c>
      <c r="E21" s="298">
        <f>SUM(E22:E34)</f>
        <v>71</v>
      </c>
      <c r="F21" s="298">
        <f t="shared" ref="F21:P21" si="5">SUM(F22:F34)</f>
        <v>17</v>
      </c>
      <c r="G21" s="298">
        <f>SUM(G22:G34)</f>
        <v>44</v>
      </c>
      <c r="H21" s="298">
        <f t="shared" si="5"/>
        <v>306</v>
      </c>
      <c r="I21" s="306">
        <f t="shared" si="5"/>
        <v>235000.00000000003</v>
      </c>
      <c r="J21" s="306">
        <f t="shared" si="5"/>
        <v>0</v>
      </c>
      <c r="K21" s="306">
        <f t="shared" si="5"/>
        <v>0</v>
      </c>
      <c r="L21" s="306">
        <f t="shared" si="5"/>
        <v>0</v>
      </c>
      <c r="M21" s="306">
        <f t="shared" si="5"/>
        <v>2808333.3333333335</v>
      </c>
      <c r="N21" s="306">
        <f t="shared" si="5"/>
        <v>2692500</v>
      </c>
      <c r="O21" s="306">
        <f t="shared" si="5"/>
        <v>0</v>
      </c>
      <c r="P21" s="307">
        <f t="shared" si="5"/>
        <v>5500833.3333333349</v>
      </c>
    </row>
    <row r="22" spans="1:16" s="232" customFormat="1" x14ac:dyDescent="0.45">
      <c r="A22" s="237" t="s">
        <v>284</v>
      </c>
      <c r="B22" s="244" t="s">
        <v>285</v>
      </c>
      <c r="C22" s="238" t="s">
        <v>259</v>
      </c>
      <c r="D22" s="198" t="s">
        <v>201</v>
      </c>
      <c r="E22" s="239">
        <v>5</v>
      </c>
      <c r="F22" s="239">
        <v>1</v>
      </c>
      <c r="G22" s="239">
        <v>4</v>
      </c>
      <c r="H22" s="239">
        <f t="shared" si="1"/>
        <v>20</v>
      </c>
      <c r="I22" s="240">
        <f>+'ESTIMACIÓN DE COSTOS'!$E$13</f>
        <v>15833.333333333334</v>
      </c>
      <c r="J22" s="197"/>
      <c r="K22" s="197"/>
      <c r="L22" s="197"/>
      <c r="M22" s="197">
        <f t="shared" ref="M22:M27" si="6">+I22*H22</f>
        <v>316666.66666666669</v>
      </c>
      <c r="N22" s="197"/>
      <c r="O22" s="197"/>
      <c r="P22" s="236">
        <f t="shared" si="2"/>
        <v>316666.66666666669</v>
      </c>
    </row>
    <row r="23" spans="1:16" s="232" customFormat="1" x14ac:dyDescent="0.45">
      <c r="A23" s="237" t="s">
        <v>284</v>
      </c>
      <c r="B23" s="244" t="s">
        <v>285</v>
      </c>
      <c r="C23" s="238" t="s">
        <v>286</v>
      </c>
      <c r="D23" s="198" t="s">
        <v>201</v>
      </c>
      <c r="E23" s="239">
        <v>5</v>
      </c>
      <c r="F23" s="239">
        <v>1</v>
      </c>
      <c r="G23" s="239">
        <v>4</v>
      </c>
      <c r="H23" s="239">
        <f t="shared" si="1"/>
        <v>20</v>
      </c>
      <c r="I23" s="240">
        <f>+'ESTIMACIÓN DE COSTOS'!$E$14</f>
        <v>14583.333333333334</v>
      </c>
      <c r="J23" s="197"/>
      <c r="K23" s="197"/>
      <c r="L23" s="197"/>
      <c r="M23" s="197">
        <f t="shared" si="6"/>
        <v>291666.66666666669</v>
      </c>
      <c r="N23" s="197"/>
      <c r="O23" s="197"/>
      <c r="P23" s="236">
        <f t="shared" si="2"/>
        <v>291666.66666666669</v>
      </c>
    </row>
    <row r="24" spans="1:16" s="232" customFormat="1" x14ac:dyDescent="0.45">
      <c r="A24" s="237" t="s">
        <v>284</v>
      </c>
      <c r="B24" s="244" t="s">
        <v>285</v>
      </c>
      <c r="C24" s="238" t="s">
        <v>278</v>
      </c>
      <c r="D24" s="198" t="s">
        <v>201</v>
      </c>
      <c r="E24" s="239">
        <v>5</v>
      </c>
      <c r="F24" s="239">
        <v>2</v>
      </c>
      <c r="G24" s="239">
        <v>4</v>
      </c>
      <c r="H24" s="239">
        <f t="shared" si="1"/>
        <v>40</v>
      </c>
      <c r="I24" s="240">
        <f>+'ESTIMACIÓN DE COSTOS'!$E$12</f>
        <v>18750</v>
      </c>
      <c r="J24" s="197"/>
      <c r="K24" s="197"/>
      <c r="L24" s="197"/>
      <c r="M24" s="197">
        <f t="shared" si="6"/>
        <v>750000</v>
      </c>
      <c r="N24" s="197"/>
      <c r="O24" s="197"/>
      <c r="P24" s="236">
        <f t="shared" si="2"/>
        <v>750000</v>
      </c>
    </row>
    <row r="25" spans="1:16" s="232" customFormat="1" x14ac:dyDescent="0.45">
      <c r="A25" s="237" t="s">
        <v>287</v>
      </c>
      <c r="B25" s="244" t="s">
        <v>288</v>
      </c>
      <c r="C25" s="238" t="s">
        <v>262</v>
      </c>
      <c r="D25" s="198" t="s">
        <v>201</v>
      </c>
      <c r="E25" s="239">
        <v>5</v>
      </c>
      <c r="F25" s="239">
        <v>1</v>
      </c>
      <c r="G25" s="239">
        <v>4</v>
      </c>
      <c r="H25" s="239">
        <f t="shared" si="1"/>
        <v>20</v>
      </c>
      <c r="I25" s="240">
        <f>+'ESTIMACIÓN DE COSTOS'!$E$8</f>
        <v>20416.666666666668</v>
      </c>
      <c r="J25" s="197"/>
      <c r="K25" s="197"/>
      <c r="L25" s="197"/>
      <c r="M25" s="197">
        <f t="shared" si="6"/>
        <v>408333.33333333337</v>
      </c>
      <c r="N25" s="197"/>
      <c r="O25" s="197"/>
      <c r="P25" s="236">
        <f t="shared" si="2"/>
        <v>408333.33333333337</v>
      </c>
    </row>
    <row r="26" spans="1:16" s="232" customFormat="1" x14ac:dyDescent="0.45">
      <c r="A26" s="237" t="s">
        <v>287</v>
      </c>
      <c r="B26" s="244" t="s">
        <v>288</v>
      </c>
      <c r="C26" s="238" t="s">
        <v>278</v>
      </c>
      <c r="D26" s="198" t="s">
        <v>201</v>
      </c>
      <c r="E26" s="239">
        <v>5</v>
      </c>
      <c r="F26" s="239">
        <v>2</v>
      </c>
      <c r="G26" s="239">
        <v>4</v>
      </c>
      <c r="H26" s="239">
        <f t="shared" si="1"/>
        <v>40</v>
      </c>
      <c r="I26" s="240">
        <f>+'ESTIMACIÓN DE COSTOS'!$E$12</f>
        <v>18750</v>
      </c>
      <c r="J26" s="197"/>
      <c r="K26" s="197"/>
      <c r="L26" s="197"/>
      <c r="M26" s="197">
        <f t="shared" si="6"/>
        <v>750000</v>
      </c>
      <c r="N26" s="197"/>
      <c r="O26" s="197"/>
      <c r="P26" s="236">
        <f t="shared" si="2"/>
        <v>750000</v>
      </c>
    </row>
    <row r="27" spans="1:16" s="232" customFormat="1" x14ac:dyDescent="0.45">
      <c r="A27" s="237" t="s">
        <v>287</v>
      </c>
      <c r="B27" s="244" t="s">
        <v>288</v>
      </c>
      <c r="C27" s="238" t="s">
        <v>286</v>
      </c>
      <c r="D27" s="198" t="s">
        <v>201</v>
      </c>
      <c r="E27" s="239">
        <v>5</v>
      </c>
      <c r="F27" s="239">
        <v>1</v>
      </c>
      <c r="G27" s="239">
        <v>4</v>
      </c>
      <c r="H27" s="239">
        <f t="shared" si="1"/>
        <v>20</v>
      </c>
      <c r="I27" s="240">
        <f>+'ESTIMACIÓN DE COSTOS'!$E$14</f>
        <v>14583.333333333334</v>
      </c>
      <c r="J27" s="197"/>
      <c r="K27" s="197"/>
      <c r="L27" s="197"/>
      <c r="M27" s="197">
        <f t="shared" si="6"/>
        <v>291666.66666666669</v>
      </c>
      <c r="N27" s="197"/>
      <c r="O27" s="197"/>
      <c r="P27" s="236">
        <f t="shared" si="2"/>
        <v>291666.66666666669</v>
      </c>
    </row>
    <row r="28" spans="1:16" s="232" customFormat="1" x14ac:dyDescent="0.45">
      <c r="A28" s="237" t="s">
        <v>289</v>
      </c>
      <c r="B28" s="244" t="s">
        <v>290</v>
      </c>
      <c r="C28" s="238" t="s">
        <v>262</v>
      </c>
      <c r="D28" s="198" t="s">
        <v>201</v>
      </c>
      <c r="E28" s="239">
        <v>5</v>
      </c>
      <c r="F28" s="239">
        <v>1</v>
      </c>
      <c r="G28" s="239">
        <v>4</v>
      </c>
      <c r="H28" s="239">
        <f t="shared" si="1"/>
        <v>20</v>
      </c>
      <c r="I28" s="240">
        <f>+'ESTIMACIÓN DE COSTOS'!$E$8</f>
        <v>20416.666666666668</v>
      </c>
      <c r="J28" s="197"/>
      <c r="K28" s="197"/>
      <c r="L28" s="197"/>
      <c r="M28" s="197"/>
      <c r="N28" s="197">
        <f t="shared" ref="N28:N34" si="7">+I28*H28</f>
        <v>408333.33333333337</v>
      </c>
      <c r="O28" s="197"/>
      <c r="P28" s="236">
        <f t="shared" si="2"/>
        <v>408333.33333333337</v>
      </c>
    </row>
    <row r="29" spans="1:16" s="232" customFormat="1" x14ac:dyDescent="0.45">
      <c r="A29" s="237" t="s">
        <v>289</v>
      </c>
      <c r="B29" s="244" t="s">
        <v>290</v>
      </c>
      <c r="C29" s="238" t="s">
        <v>278</v>
      </c>
      <c r="D29" s="198" t="s">
        <v>201</v>
      </c>
      <c r="E29" s="239">
        <v>5</v>
      </c>
      <c r="F29" s="239">
        <v>2</v>
      </c>
      <c r="G29" s="239">
        <v>4</v>
      </c>
      <c r="H29" s="239">
        <f t="shared" si="1"/>
        <v>40</v>
      </c>
      <c r="I29" s="240">
        <f>+'ESTIMACIÓN DE COSTOS'!$E$12</f>
        <v>18750</v>
      </c>
      <c r="J29" s="197"/>
      <c r="K29" s="197"/>
      <c r="L29" s="197"/>
      <c r="M29" s="197"/>
      <c r="N29" s="197">
        <f t="shared" si="7"/>
        <v>750000</v>
      </c>
      <c r="O29" s="197"/>
      <c r="P29" s="236">
        <f t="shared" si="2"/>
        <v>750000</v>
      </c>
    </row>
    <row r="30" spans="1:16" s="232" customFormat="1" x14ac:dyDescent="0.45">
      <c r="A30" s="237" t="s">
        <v>289</v>
      </c>
      <c r="B30" s="244" t="s">
        <v>290</v>
      </c>
      <c r="C30" s="238" t="s">
        <v>286</v>
      </c>
      <c r="D30" s="198" t="s">
        <v>201</v>
      </c>
      <c r="E30" s="239">
        <v>5</v>
      </c>
      <c r="F30" s="239">
        <v>1</v>
      </c>
      <c r="G30" s="239">
        <v>4</v>
      </c>
      <c r="H30" s="239">
        <f t="shared" si="1"/>
        <v>20</v>
      </c>
      <c r="I30" s="240">
        <f>+'ESTIMACIÓN DE COSTOS'!$E$14</f>
        <v>14583.333333333334</v>
      </c>
      <c r="J30" s="197"/>
      <c r="K30" s="197"/>
      <c r="L30" s="197"/>
      <c r="M30" s="197"/>
      <c r="N30" s="197">
        <f t="shared" si="7"/>
        <v>291666.66666666669</v>
      </c>
      <c r="O30" s="197"/>
      <c r="P30" s="236">
        <f t="shared" si="2"/>
        <v>291666.66666666669</v>
      </c>
    </row>
    <row r="31" spans="1:16" s="232" customFormat="1" x14ac:dyDescent="0.45">
      <c r="A31" s="237" t="s">
        <v>289</v>
      </c>
      <c r="B31" s="244" t="s">
        <v>290</v>
      </c>
      <c r="C31" s="238" t="s">
        <v>167</v>
      </c>
      <c r="D31" s="198" t="s">
        <v>201</v>
      </c>
      <c r="E31" s="239">
        <v>5</v>
      </c>
      <c r="F31" s="239">
        <v>1</v>
      </c>
      <c r="G31" s="239">
        <v>2</v>
      </c>
      <c r="H31" s="239">
        <f t="shared" si="1"/>
        <v>10</v>
      </c>
      <c r="I31" s="240">
        <f>+'ESTIMACIÓN DE COSTOS'!$E$6</f>
        <v>29166.666666666668</v>
      </c>
      <c r="J31" s="197"/>
      <c r="K31" s="197"/>
      <c r="L31" s="197"/>
      <c r="M31" s="197"/>
      <c r="N31" s="197">
        <f t="shared" si="7"/>
        <v>291666.66666666669</v>
      </c>
      <c r="O31" s="197"/>
      <c r="P31" s="236">
        <f t="shared" si="2"/>
        <v>291666.66666666669</v>
      </c>
    </row>
    <row r="32" spans="1:16" s="232" customFormat="1" x14ac:dyDescent="0.45">
      <c r="A32" s="237" t="s">
        <v>291</v>
      </c>
      <c r="B32" s="244" t="s">
        <v>292</v>
      </c>
      <c r="C32" s="238" t="s">
        <v>278</v>
      </c>
      <c r="D32" s="198" t="s">
        <v>201</v>
      </c>
      <c r="E32" s="239">
        <v>7</v>
      </c>
      <c r="F32" s="239">
        <v>2</v>
      </c>
      <c r="G32" s="239">
        <v>2</v>
      </c>
      <c r="H32" s="239">
        <f t="shared" si="1"/>
        <v>28</v>
      </c>
      <c r="I32" s="240">
        <f>+'ESTIMACIÓN DE COSTOS'!$E$12</f>
        <v>18750</v>
      </c>
      <c r="J32" s="197"/>
      <c r="K32" s="197"/>
      <c r="L32" s="197"/>
      <c r="M32" s="197"/>
      <c r="N32" s="197">
        <f t="shared" si="7"/>
        <v>525000</v>
      </c>
      <c r="O32" s="197"/>
      <c r="P32" s="236">
        <f t="shared" si="2"/>
        <v>525000</v>
      </c>
    </row>
    <row r="33" spans="1:22" s="232" customFormat="1" x14ac:dyDescent="0.45">
      <c r="A33" s="237" t="s">
        <v>291</v>
      </c>
      <c r="B33" s="244" t="s">
        <v>292</v>
      </c>
      <c r="C33" s="238" t="s">
        <v>286</v>
      </c>
      <c r="D33" s="198" t="s">
        <v>201</v>
      </c>
      <c r="E33" s="239">
        <v>7</v>
      </c>
      <c r="F33" s="239">
        <v>1</v>
      </c>
      <c r="G33" s="239">
        <v>2</v>
      </c>
      <c r="H33" s="239">
        <f t="shared" si="1"/>
        <v>14</v>
      </c>
      <c r="I33" s="240">
        <f>+'ESTIMACIÓN DE COSTOS'!$E$14</f>
        <v>14583.333333333334</v>
      </c>
      <c r="J33" s="197"/>
      <c r="K33" s="197"/>
      <c r="L33" s="197"/>
      <c r="M33" s="197"/>
      <c r="N33" s="197">
        <f t="shared" si="7"/>
        <v>204166.66666666669</v>
      </c>
      <c r="O33" s="197"/>
      <c r="P33" s="236">
        <f t="shared" si="2"/>
        <v>204166.66666666669</v>
      </c>
    </row>
    <row r="34" spans="1:22" s="232" customFormat="1" ht="14.65" thickBot="1" x14ac:dyDescent="0.5">
      <c r="A34" s="237" t="s">
        <v>291</v>
      </c>
      <c r="B34" s="244" t="s">
        <v>292</v>
      </c>
      <c r="C34" s="238" t="s">
        <v>259</v>
      </c>
      <c r="D34" s="198" t="s">
        <v>201</v>
      </c>
      <c r="E34" s="239">
        <v>7</v>
      </c>
      <c r="F34" s="239">
        <v>1</v>
      </c>
      <c r="G34" s="239">
        <v>2</v>
      </c>
      <c r="H34" s="239">
        <f t="shared" si="1"/>
        <v>14</v>
      </c>
      <c r="I34" s="240">
        <f>+'ESTIMACIÓN DE COSTOS'!$E$13</f>
        <v>15833.333333333334</v>
      </c>
      <c r="J34" s="197"/>
      <c r="K34" s="197"/>
      <c r="L34" s="197"/>
      <c r="M34" s="197"/>
      <c r="N34" s="197">
        <f t="shared" si="7"/>
        <v>221666.66666666669</v>
      </c>
      <c r="O34" s="197"/>
      <c r="P34" s="236">
        <f t="shared" si="2"/>
        <v>221666.66666666669</v>
      </c>
    </row>
    <row r="35" spans="1:22" ht="14.65" thickBot="1" x14ac:dyDescent="0.5">
      <c r="A35" s="304" t="s">
        <v>333</v>
      </c>
      <c r="B35" s="305" t="s">
        <v>294</v>
      </c>
      <c r="C35" s="298"/>
      <c r="D35" s="298" t="s">
        <v>201</v>
      </c>
      <c r="E35" s="298">
        <f>SUM(E36:E42)</f>
        <v>29</v>
      </c>
      <c r="F35" s="298">
        <f t="shared" ref="F35:P35" si="8">SUM(F36:F42)</f>
        <v>7</v>
      </c>
      <c r="G35" s="298">
        <f t="shared" si="8"/>
        <v>20</v>
      </c>
      <c r="H35" s="298">
        <f t="shared" si="8"/>
        <v>86</v>
      </c>
      <c r="I35" s="306">
        <f t="shared" si="8"/>
        <v>126249.99999999999</v>
      </c>
      <c r="J35" s="306">
        <f t="shared" si="8"/>
        <v>0</v>
      </c>
      <c r="K35" s="306">
        <f t="shared" si="8"/>
        <v>0</v>
      </c>
      <c r="L35" s="306">
        <f t="shared" si="8"/>
        <v>0</v>
      </c>
      <c r="M35" s="306">
        <f t="shared" si="8"/>
        <v>0</v>
      </c>
      <c r="N35" s="306">
        <f t="shared" si="8"/>
        <v>1563333.3333333335</v>
      </c>
      <c r="O35" s="306">
        <f t="shared" si="8"/>
        <v>0</v>
      </c>
      <c r="P35" s="307">
        <f t="shared" si="8"/>
        <v>1563333.3333333335</v>
      </c>
    </row>
    <row r="36" spans="1:22" s="232" customFormat="1" x14ac:dyDescent="0.45">
      <c r="A36" s="237" t="s">
        <v>293</v>
      </c>
      <c r="B36" s="245" t="s">
        <v>295</v>
      </c>
      <c r="C36" s="238" t="s">
        <v>259</v>
      </c>
      <c r="D36" s="198" t="s">
        <v>201</v>
      </c>
      <c r="E36" s="239">
        <v>4</v>
      </c>
      <c r="F36" s="239">
        <v>1</v>
      </c>
      <c r="G36" s="239">
        <v>4</v>
      </c>
      <c r="H36" s="239">
        <f t="shared" si="1"/>
        <v>16</v>
      </c>
      <c r="I36" s="240">
        <f>+'ESTIMACIÓN DE COSTOS'!$E$13</f>
        <v>15833.333333333334</v>
      </c>
      <c r="J36" s="197"/>
      <c r="K36" s="197"/>
      <c r="L36" s="197"/>
      <c r="M36" s="197"/>
      <c r="N36" s="197">
        <f t="shared" ref="N36:N42" si="9">+I36*H36</f>
        <v>253333.33333333334</v>
      </c>
      <c r="O36" s="197"/>
      <c r="P36" s="236">
        <f t="shared" si="2"/>
        <v>253333.33333333334</v>
      </c>
    </row>
    <row r="37" spans="1:22" s="232" customFormat="1" x14ac:dyDescent="0.45">
      <c r="A37" s="237" t="s">
        <v>293</v>
      </c>
      <c r="B37" s="245" t="s">
        <v>295</v>
      </c>
      <c r="C37" s="238" t="s">
        <v>262</v>
      </c>
      <c r="D37" s="198" t="s">
        <v>201</v>
      </c>
      <c r="E37" s="239">
        <v>4</v>
      </c>
      <c r="F37" s="239">
        <v>1</v>
      </c>
      <c r="G37" s="239">
        <v>1</v>
      </c>
      <c r="H37" s="239">
        <f t="shared" si="1"/>
        <v>4</v>
      </c>
      <c r="I37" s="240">
        <f>+'ESTIMACIÓN DE COSTOS'!$E$8</f>
        <v>20416.666666666668</v>
      </c>
      <c r="J37" s="197"/>
      <c r="K37" s="197"/>
      <c r="L37" s="197"/>
      <c r="M37" s="197"/>
      <c r="N37" s="197">
        <f t="shared" si="9"/>
        <v>81666.666666666672</v>
      </c>
      <c r="O37" s="197"/>
      <c r="P37" s="236">
        <f t="shared" si="2"/>
        <v>81666.666666666672</v>
      </c>
    </row>
    <row r="38" spans="1:22" s="232" customFormat="1" x14ac:dyDescent="0.45">
      <c r="A38" s="237" t="s">
        <v>293</v>
      </c>
      <c r="B38" s="245" t="s">
        <v>295</v>
      </c>
      <c r="C38" s="238" t="s">
        <v>251</v>
      </c>
      <c r="D38" s="198" t="s">
        <v>201</v>
      </c>
      <c r="E38" s="239">
        <v>4</v>
      </c>
      <c r="F38" s="239">
        <v>1</v>
      </c>
      <c r="G38" s="239">
        <v>1</v>
      </c>
      <c r="H38" s="239">
        <f t="shared" si="1"/>
        <v>4</v>
      </c>
      <c r="I38" s="240">
        <f>+'ESTIMACIÓN DE COSTOS'!$E$15</f>
        <v>14583.333333333334</v>
      </c>
      <c r="J38" s="197"/>
      <c r="K38" s="197"/>
      <c r="L38" s="197"/>
      <c r="M38" s="197"/>
      <c r="N38" s="197">
        <f t="shared" si="9"/>
        <v>58333.333333333336</v>
      </c>
      <c r="O38" s="197"/>
      <c r="P38" s="236">
        <f t="shared" si="2"/>
        <v>58333.333333333336</v>
      </c>
    </row>
    <row r="39" spans="1:22" s="232" customFormat="1" x14ac:dyDescent="0.45">
      <c r="A39" s="237" t="s">
        <v>293</v>
      </c>
      <c r="B39" s="245" t="s">
        <v>295</v>
      </c>
      <c r="C39" s="238" t="s">
        <v>167</v>
      </c>
      <c r="D39" s="198" t="s">
        <v>201</v>
      </c>
      <c r="E39" s="239">
        <v>4</v>
      </c>
      <c r="F39" s="239">
        <v>1</v>
      </c>
      <c r="G39" s="239">
        <v>4</v>
      </c>
      <c r="H39" s="239">
        <f t="shared" si="1"/>
        <v>16</v>
      </c>
      <c r="I39" s="240">
        <f>+'ESTIMACIÓN DE COSTOS'!$E$6</f>
        <v>29166.666666666668</v>
      </c>
      <c r="J39" s="197"/>
      <c r="K39" s="197"/>
      <c r="L39" s="197"/>
      <c r="M39" s="197"/>
      <c r="N39" s="197">
        <f t="shared" si="9"/>
        <v>466666.66666666669</v>
      </c>
      <c r="O39" s="197"/>
      <c r="P39" s="236">
        <f t="shared" si="2"/>
        <v>466666.66666666669</v>
      </c>
    </row>
    <row r="40" spans="1:22" s="232" customFormat="1" x14ac:dyDescent="0.45">
      <c r="A40" s="237" t="s">
        <v>296</v>
      </c>
      <c r="B40" s="245" t="s">
        <v>297</v>
      </c>
      <c r="C40" s="238" t="s">
        <v>251</v>
      </c>
      <c r="D40" s="198" t="s">
        <v>201</v>
      </c>
      <c r="E40" s="239">
        <v>5</v>
      </c>
      <c r="F40" s="239">
        <v>1</v>
      </c>
      <c r="G40" s="239">
        <v>4</v>
      </c>
      <c r="H40" s="239">
        <f t="shared" si="1"/>
        <v>20</v>
      </c>
      <c r="I40" s="240">
        <f>+'ESTIMACIÓN DE COSTOS'!$E$15</f>
        <v>14583.333333333334</v>
      </c>
      <c r="J40" s="197"/>
      <c r="K40" s="197"/>
      <c r="L40" s="197"/>
      <c r="M40" s="197"/>
      <c r="N40" s="197">
        <f t="shared" si="9"/>
        <v>291666.66666666669</v>
      </c>
      <c r="O40" s="197"/>
      <c r="P40" s="236">
        <f t="shared" si="2"/>
        <v>291666.66666666669</v>
      </c>
      <c r="Q40" s="241"/>
      <c r="R40" s="242"/>
    </row>
    <row r="41" spans="1:22" s="232" customFormat="1" x14ac:dyDescent="0.45">
      <c r="A41" s="237" t="s">
        <v>296</v>
      </c>
      <c r="B41" s="245" t="s">
        <v>297</v>
      </c>
      <c r="C41" s="238" t="s">
        <v>259</v>
      </c>
      <c r="D41" s="198" t="s">
        <v>201</v>
      </c>
      <c r="E41" s="239">
        <v>5</v>
      </c>
      <c r="F41" s="239">
        <v>1</v>
      </c>
      <c r="G41" s="239">
        <v>4</v>
      </c>
      <c r="H41" s="239">
        <f t="shared" si="1"/>
        <v>20</v>
      </c>
      <c r="I41" s="240">
        <f>+'ESTIMACIÓN DE COSTOS'!$E$13</f>
        <v>15833.333333333334</v>
      </c>
      <c r="J41" s="197"/>
      <c r="K41" s="197"/>
      <c r="L41" s="197"/>
      <c r="M41" s="197"/>
      <c r="N41" s="197">
        <f t="shared" si="9"/>
        <v>316666.66666666669</v>
      </c>
      <c r="O41" s="197"/>
      <c r="P41" s="236">
        <f t="shared" si="2"/>
        <v>316666.66666666669</v>
      </c>
      <c r="Q41" s="241"/>
      <c r="R41" s="241"/>
    </row>
    <row r="42" spans="1:22" s="232" customFormat="1" ht="14.65" thickBot="1" x14ac:dyDescent="0.5">
      <c r="A42" s="237" t="s">
        <v>298</v>
      </c>
      <c r="B42" s="245" t="s">
        <v>299</v>
      </c>
      <c r="C42" s="238" t="s">
        <v>259</v>
      </c>
      <c r="D42" s="198" t="s">
        <v>201</v>
      </c>
      <c r="E42" s="239">
        <v>3</v>
      </c>
      <c r="F42" s="239">
        <v>1</v>
      </c>
      <c r="G42" s="239">
        <v>2</v>
      </c>
      <c r="H42" s="239">
        <f t="shared" si="1"/>
        <v>6</v>
      </c>
      <c r="I42" s="240">
        <f>+'ESTIMACIÓN DE COSTOS'!$E$13</f>
        <v>15833.333333333334</v>
      </c>
      <c r="J42" s="197"/>
      <c r="K42" s="197"/>
      <c r="L42" s="197"/>
      <c r="M42" s="197"/>
      <c r="N42" s="197">
        <f t="shared" si="9"/>
        <v>95000</v>
      </c>
      <c r="O42" s="197"/>
      <c r="P42" s="236">
        <f t="shared" si="2"/>
        <v>95000</v>
      </c>
      <c r="Q42" s="241"/>
    </row>
    <row r="43" spans="1:22" customFormat="1" ht="14.65" thickBot="1" x14ac:dyDescent="0.5">
      <c r="A43" s="304" t="s">
        <v>334</v>
      </c>
      <c r="B43" s="305" t="s">
        <v>301</v>
      </c>
      <c r="C43" s="298"/>
      <c r="D43" s="298" t="s">
        <v>201</v>
      </c>
      <c r="E43" s="298">
        <f>SUM(E44:E55)</f>
        <v>28</v>
      </c>
      <c r="F43" s="298">
        <f t="shared" ref="F43:P43" si="10">SUM(F44:F55)</f>
        <v>12</v>
      </c>
      <c r="G43" s="298">
        <f t="shared" si="10"/>
        <v>44</v>
      </c>
      <c r="H43" s="298">
        <f t="shared" si="10"/>
        <v>104</v>
      </c>
      <c r="I43" s="306">
        <f t="shared" si="10"/>
        <v>187916.66666666669</v>
      </c>
      <c r="J43" s="306">
        <f t="shared" si="10"/>
        <v>0</v>
      </c>
      <c r="K43" s="306">
        <f t="shared" si="10"/>
        <v>0</v>
      </c>
      <c r="L43" s="306">
        <f t="shared" si="10"/>
        <v>0</v>
      </c>
      <c r="M43" s="306">
        <f t="shared" si="10"/>
        <v>0</v>
      </c>
      <c r="N43" s="306">
        <f t="shared" si="10"/>
        <v>0</v>
      </c>
      <c r="O43" s="306">
        <f t="shared" si="10"/>
        <v>1578333.3333333333</v>
      </c>
      <c r="P43" s="307">
        <f t="shared" si="10"/>
        <v>1578333.3333333333</v>
      </c>
      <c r="Q43" s="4"/>
      <c r="R43" s="4"/>
      <c r="S43" s="4"/>
      <c r="T43" s="4"/>
      <c r="U43" s="4"/>
      <c r="V43" s="4"/>
    </row>
    <row r="44" spans="1:22" s="232" customFormat="1" x14ac:dyDescent="0.45">
      <c r="A44" s="237" t="s">
        <v>300</v>
      </c>
      <c r="B44" s="245" t="s">
        <v>302</v>
      </c>
      <c r="C44" s="238" t="s">
        <v>167</v>
      </c>
      <c r="D44" s="198" t="s">
        <v>201</v>
      </c>
      <c r="E44" s="239">
        <v>2</v>
      </c>
      <c r="F44" s="239">
        <v>1</v>
      </c>
      <c r="G44" s="239">
        <v>2</v>
      </c>
      <c r="H44" s="239">
        <f t="shared" si="1"/>
        <v>4</v>
      </c>
      <c r="I44" s="240">
        <f>+'ESTIMACIÓN DE COSTOS'!$E$6</f>
        <v>29166.666666666668</v>
      </c>
      <c r="J44" s="197"/>
      <c r="K44" s="197"/>
      <c r="L44" s="197"/>
      <c r="M44" s="197"/>
      <c r="N44" s="197"/>
      <c r="O44" s="197">
        <f t="shared" ref="O44:O55" si="11">+I44*H44</f>
        <v>116666.66666666667</v>
      </c>
      <c r="P44" s="236">
        <f t="shared" si="2"/>
        <v>116666.66666666667</v>
      </c>
    </row>
    <row r="45" spans="1:22" s="232" customFormat="1" x14ac:dyDescent="0.45">
      <c r="A45" s="237" t="s">
        <v>300</v>
      </c>
      <c r="B45" s="245" t="s">
        <v>302</v>
      </c>
      <c r="C45" s="238" t="s">
        <v>262</v>
      </c>
      <c r="D45" s="198" t="s">
        <v>201</v>
      </c>
      <c r="E45" s="239">
        <v>2</v>
      </c>
      <c r="F45" s="239">
        <v>1</v>
      </c>
      <c r="G45" s="239">
        <v>4</v>
      </c>
      <c r="H45" s="239">
        <f t="shared" si="1"/>
        <v>8</v>
      </c>
      <c r="I45" s="240">
        <f>+'ESTIMACIÓN DE COSTOS'!$E$8</f>
        <v>20416.666666666668</v>
      </c>
      <c r="J45" s="197"/>
      <c r="K45" s="197"/>
      <c r="L45" s="197"/>
      <c r="M45" s="197"/>
      <c r="N45" s="197"/>
      <c r="O45" s="197">
        <f t="shared" si="11"/>
        <v>163333.33333333334</v>
      </c>
      <c r="P45" s="236">
        <f t="shared" si="2"/>
        <v>163333.33333333334</v>
      </c>
    </row>
    <row r="46" spans="1:22" s="232" customFormat="1" x14ac:dyDescent="0.45">
      <c r="A46" s="237" t="s">
        <v>300</v>
      </c>
      <c r="B46" s="245" t="s">
        <v>302</v>
      </c>
      <c r="C46" s="238" t="s">
        <v>259</v>
      </c>
      <c r="D46" s="198" t="s">
        <v>201</v>
      </c>
      <c r="E46" s="239">
        <v>2</v>
      </c>
      <c r="F46" s="239">
        <v>1</v>
      </c>
      <c r="G46" s="239">
        <v>2</v>
      </c>
      <c r="H46" s="239">
        <f t="shared" si="1"/>
        <v>4</v>
      </c>
      <c r="I46" s="240">
        <f>+'ESTIMACIÓN DE COSTOS'!$E$13</f>
        <v>15833.333333333334</v>
      </c>
      <c r="J46" s="197"/>
      <c r="K46" s="197"/>
      <c r="L46" s="197"/>
      <c r="M46" s="197"/>
      <c r="N46" s="197"/>
      <c r="O46" s="197">
        <f t="shared" si="11"/>
        <v>63333.333333333336</v>
      </c>
      <c r="P46" s="236">
        <f t="shared" si="2"/>
        <v>63333.333333333336</v>
      </c>
    </row>
    <row r="47" spans="1:22" s="232" customFormat="1" x14ac:dyDescent="0.45">
      <c r="A47" s="237" t="s">
        <v>300</v>
      </c>
      <c r="B47" s="245" t="s">
        <v>302</v>
      </c>
      <c r="C47" s="238" t="s">
        <v>251</v>
      </c>
      <c r="D47" s="198" t="s">
        <v>201</v>
      </c>
      <c r="E47" s="239">
        <v>2</v>
      </c>
      <c r="F47" s="239">
        <v>1</v>
      </c>
      <c r="G47" s="239">
        <v>4</v>
      </c>
      <c r="H47" s="239">
        <f t="shared" si="1"/>
        <v>8</v>
      </c>
      <c r="I47" s="240">
        <f>+'ESTIMACIÓN DE COSTOS'!$E$15</f>
        <v>14583.333333333334</v>
      </c>
      <c r="J47" s="197"/>
      <c r="K47" s="197"/>
      <c r="L47" s="197"/>
      <c r="M47" s="197"/>
      <c r="N47" s="197"/>
      <c r="O47" s="197">
        <f t="shared" si="11"/>
        <v>116666.66666666667</v>
      </c>
      <c r="P47" s="236">
        <f t="shared" si="2"/>
        <v>116666.66666666667</v>
      </c>
    </row>
    <row r="48" spans="1:22" s="232" customFormat="1" x14ac:dyDescent="0.45">
      <c r="A48" s="237" t="s">
        <v>300</v>
      </c>
      <c r="B48" s="245" t="s">
        <v>302</v>
      </c>
      <c r="C48" s="238" t="s">
        <v>271</v>
      </c>
      <c r="D48" s="198" t="s">
        <v>201</v>
      </c>
      <c r="E48" s="239">
        <v>2</v>
      </c>
      <c r="F48" s="239">
        <v>1</v>
      </c>
      <c r="G48" s="239">
        <v>4</v>
      </c>
      <c r="H48" s="239">
        <f t="shared" si="1"/>
        <v>8</v>
      </c>
      <c r="I48" s="240">
        <f>'ESTIMACIÓN DE COSTOS'!$E$11</f>
        <v>16666.666666666668</v>
      </c>
      <c r="J48" s="197"/>
      <c r="K48" s="197"/>
      <c r="L48" s="197"/>
      <c r="M48" s="197"/>
      <c r="N48" s="197"/>
      <c r="O48" s="197">
        <f t="shared" si="11"/>
        <v>133333.33333333334</v>
      </c>
      <c r="P48" s="236">
        <f t="shared" si="2"/>
        <v>133333.33333333334</v>
      </c>
    </row>
    <row r="49" spans="1:16" s="232" customFormat="1" x14ac:dyDescent="0.45">
      <c r="A49" s="237" t="s">
        <v>300</v>
      </c>
      <c r="B49" s="245" t="s">
        <v>302</v>
      </c>
      <c r="C49" s="238" t="s">
        <v>246</v>
      </c>
      <c r="D49" s="198" t="s">
        <v>201</v>
      </c>
      <c r="E49" s="239">
        <v>2</v>
      </c>
      <c r="F49" s="239">
        <v>1</v>
      </c>
      <c r="G49" s="239">
        <v>4</v>
      </c>
      <c r="H49" s="239">
        <f t="shared" si="1"/>
        <v>8</v>
      </c>
      <c r="I49" s="240">
        <f>+'ESTIMACIÓN DE COSTOS'!$E$10</f>
        <v>16666.666666666668</v>
      </c>
      <c r="J49" s="197"/>
      <c r="K49" s="197"/>
      <c r="L49" s="197"/>
      <c r="M49" s="197"/>
      <c r="N49" s="197"/>
      <c r="O49" s="197">
        <f t="shared" si="11"/>
        <v>133333.33333333334</v>
      </c>
      <c r="P49" s="236">
        <f t="shared" si="2"/>
        <v>133333.33333333334</v>
      </c>
    </row>
    <row r="50" spans="1:16" s="232" customFormat="1" x14ac:dyDescent="0.45">
      <c r="A50" s="237" t="s">
        <v>300</v>
      </c>
      <c r="B50" s="245" t="s">
        <v>302</v>
      </c>
      <c r="C50" s="238" t="s">
        <v>303</v>
      </c>
      <c r="D50" s="198" t="s">
        <v>201</v>
      </c>
      <c r="E50" s="239">
        <v>2</v>
      </c>
      <c r="F50" s="239">
        <v>1</v>
      </c>
      <c r="G50" s="239">
        <v>4</v>
      </c>
      <c r="H50" s="239">
        <f t="shared" si="1"/>
        <v>8</v>
      </c>
      <c r="I50" s="240">
        <f>+'ESTIMACIÓN DE COSTOS'!$E$9</f>
        <v>8333.3333333333339</v>
      </c>
      <c r="J50" s="197"/>
      <c r="K50" s="197"/>
      <c r="L50" s="197"/>
      <c r="M50" s="197"/>
      <c r="N50" s="197"/>
      <c r="O50" s="197">
        <f t="shared" si="11"/>
        <v>66666.666666666672</v>
      </c>
      <c r="P50" s="236">
        <f t="shared" si="2"/>
        <v>66666.666666666672</v>
      </c>
    </row>
    <row r="51" spans="1:16" s="232" customFormat="1" x14ac:dyDescent="0.45">
      <c r="A51" s="237" t="s">
        <v>304</v>
      </c>
      <c r="B51" s="245" t="s">
        <v>305</v>
      </c>
      <c r="C51" s="238" t="s">
        <v>303</v>
      </c>
      <c r="D51" s="198" t="s">
        <v>201</v>
      </c>
      <c r="E51" s="239">
        <v>4</v>
      </c>
      <c r="F51" s="239">
        <v>1</v>
      </c>
      <c r="G51" s="239">
        <v>4</v>
      </c>
      <c r="H51" s="239">
        <f t="shared" si="1"/>
        <v>16</v>
      </c>
      <c r="I51" s="240">
        <f>+'ESTIMACIÓN DE COSTOS'!$E$9</f>
        <v>8333.3333333333339</v>
      </c>
      <c r="J51" s="197"/>
      <c r="K51" s="197"/>
      <c r="L51" s="197"/>
      <c r="M51" s="197"/>
      <c r="N51" s="197"/>
      <c r="O51" s="197">
        <f t="shared" si="11"/>
        <v>133333.33333333334</v>
      </c>
      <c r="P51" s="236">
        <f t="shared" si="2"/>
        <v>133333.33333333334</v>
      </c>
    </row>
    <row r="52" spans="1:16" s="232" customFormat="1" x14ac:dyDescent="0.45">
      <c r="A52" s="237" t="s">
        <v>304</v>
      </c>
      <c r="B52" s="245" t="s">
        <v>305</v>
      </c>
      <c r="C52" s="238" t="s">
        <v>262</v>
      </c>
      <c r="D52" s="198" t="s">
        <v>201</v>
      </c>
      <c r="E52" s="239">
        <v>4</v>
      </c>
      <c r="F52" s="239">
        <v>1</v>
      </c>
      <c r="G52" s="239">
        <v>4</v>
      </c>
      <c r="H52" s="239">
        <f t="shared" si="1"/>
        <v>16</v>
      </c>
      <c r="I52" s="240">
        <f>+'ESTIMACIÓN DE COSTOS'!$E$8</f>
        <v>20416.666666666668</v>
      </c>
      <c r="J52" s="197"/>
      <c r="K52" s="197"/>
      <c r="L52" s="197"/>
      <c r="M52" s="197"/>
      <c r="N52" s="197"/>
      <c r="O52" s="197">
        <f t="shared" si="11"/>
        <v>326666.66666666669</v>
      </c>
      <c r="P52" s="236">
        <f t="shared" si="2"/>
        <v>326666.66666666669</v>
      </c>
    </row>
    <row r="53" spans="1:16" s="232" customFormat="1" x14ac:dyDescent="0.45">
      <c r="A53" s="237" t="s">
        <v>304</v>
      </c>
      <c r="B53" s="245" t="s">
        <v>305</v>
      </c>
      <c r="C53" s="238" t="s">
        <v>251</v>
      </c>
      <c r="D53" s="198" t="s">
        <v>201</v>
      </c>
      <c r="E53" s="239">
        <v>4</v>
      </c>
      <c r="F53" s="239">
        <v>1</v>
      </c>
      <c r="G53" s="239">
        <v>4</v>
      </c>
      <c r="H53" s="239">
        <f t="shared" si="1"/>
        <v>16</v>
      </c>
      <c r="I53" s="240">
        <f>+'ESTIMACIÓN DE COSTOS'!$E$15</f>
        <v>14583.333333333334</v>
      </c>
      <c r="J53" s="197"/>
      <c r="K53" s="197"/>
      <c r="L53" s="197"/>
      <c r="M53" s="197"/>
      <c r="N53" s="197"/>
      <c r="O53" s="197">
        <f t="shared" si="11"/>
        <v>233333.33333333334</v>
      </c>
      <c r="P53" s="236">
        <f t="shared" si="2"/>
        <v>233333.33333333334</v>
      </c>
    </row>
    <row r="54" spans="1:16" s="232" customFormat="1" x14ac:dyDescent="0.45">
      <c r="A54" s="237" t="s">
        <v>306</v>
      </c>
      <c r="B54" s="245" t="s">
        <v>307</v>
      </c>
      <c r="C54" s="238" t="s">
        <v>303</v>
      </c>
      <c r="D54" s="198" t="s">
        <v>201</v>
      </c>
      <c r="E54" s="239">
        <v>1</v>
      </c>
      <c r="F54" s="239">
        <v>1</v>
      </c>
      <c r="G54" s="239">
        <v>4</v>
      </c>
      <c r="H54" s="239">
        <f t="shared" si="1"/>
        <v>4</v>
      </c>
      <c r="I54" s="240">
        <f>+'ESTIMACIÓN DE COSTOS'!$E$9</f>
        <v>8333.3333333333339</v>
      </c>
      <c r="J54" s="197"/>
      <c r="K54" s="197"/>
      <c r="L54" s="197"/>
      <c r="M54" s="197"/>
      <c r="N54" s="197"/>
      <c r="O54" s="197">
        <f t="shared" si="11"/>
        <v>33333.333333333336</v>
      </c>
      <c r="P54" s="236">
        <f t="shared" si="2"/>
        <v>33333.333333333336</v>
      </c>
    </row>
    <row r="55" spans="1:16" s="232" customFormat="1" ht="14.65" thickBot="1" x14ac:dyDescent="0.5">
      <c r="A55" s="237" t="s">
        <v>306</v>
      </c>
      <c r="B55" s="245" t="s">
        <v>307</v>
      </c>
      <c r="C55" s="238" t="s">
        <v>251</v>
      </c>
      <c r="D55" s="198" t="s">
        <v>201</v>
      </c>
      <c r="E55" s="239">
        <v>1</v>
      </c>
      <c r="F55" s="239">
        <v>1</v>
      </c>
      <c r="G55" s="239">
        <v>4</v>
      </c>
      <c r="H55" s="239">
        <f t="shared" si="1"/>
        <v>4</v>
      </c>
      <c r="I55" s="240">
        <f>+'ESTIMACIÓN DE COSTOS'!$E$15</f>
        <v>14583.333333333334</v>
      </c>
      <c r="J55" s="197"/>
      <c r="K55" s="197"/>
      <c r="L55" s="197"/>
      <c r="M55" s="197"/>
      <c r="N55" s="197"/>
      <c r="O55" s="197">
        <f t="shared" si="11"/>
        <v>58333.333333333336</v>
      </c>
      <c r="P55" s="236">
        <f t="shared" si="2"/>
        <v>58333.333333333336</v>
      </c>
    </row>
    <row r="56" spans="1:16" ht="14.65" thickBot="1" x14ac:dyDescent="0.5">
      <c r="A56" s="304" t="s">
        <v>335</v>
      </c>
      <c r="B56" s="305" t="s">
        <v>309</v>
      </c>
      <c r="C56" s="298"/>
      <c r="D56" s="298" t="s">
        <v>201</v>
      </c>
      <c r="E56" s="298">
        <f>SUM(E57:E61)</f>
        <v>27</v>
      </c>
      <c r="F56" s="298">
        <f t="shared" ref="F56:P56" si="12">SUM(F57:F61)</f>
        <v>5</v>
      </c>
      <c r="G56" s="298">
        <f t="shared" si="12"/>
        <v>12</v>
      </c>
      <c r="H56" s="298">
        <f t="shared" si="12"/>
        <v>56</v>
      </c>
      <c r="I56" s="306">
        <f t="shared" si="12"/>
        <v>101666.66666666667</v>
      </c>
      <c r="J56" s="306">
        <f t="shared" si="12"/>
        <v>0</v>
      </c>
      <c r="K56" s="306">
        <f t="shared" si="12"/>
        <v>0</v>
      </c>
      <c r="L56" s="306">
        <f t="shared" si="12"/>
        <v>0</v>
      </c>
      <c r="M56" s="306">
        <f t="shared" si="12"/>
        <v>0</v>
      </c>
      <c r="N56" s="306">
        <f t="shared" si="12"/>
        <v>0</v>
      </c>
      <c r="O56" s="306">
        <f t="shared" si="12"/>
        <v>1059166.6666666667</v>
      </c>
      <c r="P56" s="307">
        <f t="shared" si="12"/>
        <v>1059166.6666666667</v>
      </c>
    </row>
    <row r="57" spans="1:16" s="232" customFormat="1" x14ac:dyDescent="0.45">
      <c r="A57" s="237" t="s">
        <v>308</v>
      </c>
      <c r="B57" s="245" t="s">
        <v>310</v>
      </c>
      <c r="C57" s="238" t="s">
        <v>259</v>
      </c>
      <c r="D57" s="198" t="s">
        <v>201</v>
      </c>
      <c r="E57" s="239">
        <v>7</v>
      </c>
      <c r="F57" s="239">
        <v>1</v>
      </c>
      <c r="G57" s="239">
        <v>2</v>
      </c>
      <c r="H57" s="239">
        <f t="shared" si="1"/>
        <v>14</v>
      </c>
      <c r="I57" s="240">
        <f>+'ESTIMACIÓN DE COSTOS'!$E$13</f>
        <v>15833.333333333334</v>
      </c>
      <c r="J57" s="197"/>
      <c r="K57" s="197"/>
      <c r="L57" s="197"/>
      <c r="M57" s="197"/>
      <c r="N57" s="197"/>
      <c r="O57" s="197">
        <f>+I57*H57</f>
        <v>221666.66666666669</v>
      </c>
      <c r="P57" s="236">
        <f t="shared" si="2"/>
        <v>221666.66666666669</v>
      </c>
    </row>
    <row r="58" spans="1:16" s="232" customFormat="1" x14ac:dyDescent="0.45">
      <c r="A58" s="237" t="s">
        <v>308</v>
      </c>
      <c r="B58" s="245" t="s">
        <v>310</v>
      </c>
      <c r="C58" s="238" t="s">
        <v>262</v>
      </c>
      <c r="D58" s="198" t="s">
        <v>201</v>
      </c>
      <c r="E58" s="239">
        <v>7</v>
      </c>
      <c r="F58" s="239">
        <v>1</v>
      </c>
      <c r="G58" s="239">
        <v>2</v>
      </c>
      <c r="H58" s="239">
        <f t="shared" si="1"/>
        <v>14</v>
      </c>
      <c r="I58" s="240">
        <f>+'ESTIMACIÓN DE COSTOS'!$E$8</f>
        <v>20416.666666666668</v>
      </c>
      <c r="J58" s="197"/>
      <c r="K58" s="197"/>
      <c r="L58" s="197"/>
      <c r="M58" s="197"/>
      <c r="N58" s="197"/>
      <c r="O58" s="197">
        <f>+I58*H58</f>
        <v>285833.33333333337</v>
      </c>
      <c r="P58" s="236">
        <f t="shared" si="2"/>
        <v>285833.33333333337</v>
      </c>
    </row>
    <row r="59" spans="1:16" s="232" customFormat="1" x14ac:dyDescent="0.45">
      <c r="A59" s="237" t="s">
        <v>311</v>
      </c>
      <c r="B59" s="245" t="s">
        <v>312</v>
      </c>
      <c r="C59" s="238" t="s">
        <v>259</v>
      </c>
      <c r="D59" s="198" t="s">
        <v>201</v>
      </c>
      <c r="E59" s="239">
        <v>6</v>
      </c>
      <c r="F59" s="239">
        <v>1</v>
      </c>
      <c r="G59" s="239">
        <v>2</v>
      </c>
      <c r="H59" s="239">
        <f t="shared" si="1"/>
        <v>12</v>
      </c>
      <c r="I59" s="240">
        <f>+'ESTIMACIÓN DE COSTOS'!$E$13</f>
        <v>15833.333333333334</v>
      </c>
      <c r="J59" s="197"/>
      <c r="K59" s="197"/>
      <c r="L59" s="197"/>
      <c r="M59" s="197"/>
      <c r="N59" s="197"/>
      <c r="O59" s="197">
        <f>+I59*H59</f>
        <v>190000</v>
      </c>
      <c r="P59" s="236">
        <f t="shared" si="2"/>
        <v>190000</v>
      </c>
    </row>
    <row r="60" spans="1:16" s="232" customFormat="1" x14ac:dyDescent="0.45">
      <c r="A60" s="237" t="s">
        <v>311</v>
      </c>
      <c r="B60" s="245" t="s">
        <v>312</v>
      </c>
      <c r="C60" s="238" t="s">
        <v>262</v>
      </c>
      <c r="D60" s="198" t="s">
        <v>201</v>
      </c>
      <c r="E60" s="239">
        <v>6</v>
      </c>
      <c r="F60" s="239">
        <v>1</v>
      </c>
      <c r="G60" s="239">
        <v>2</v>
      </c>
      <c r="H60" s="239">
        <f t="shared" si="1"/>
        <v>12</v>
      </c>
      <c r="I60" s="240">
        <f>+'ESTIMACIÓN DE COSTOS'!$E$8</f>
        <v>20416.666666666668</v>
      </c>
      <c r="J60" s="197"/>
      <c r="K60" s="197"/>
      <c r="L60" s="197"/>
      <c r="M60" s="197"/>
      <c r="N60" s="197"/>
      <c r="O60" s="197">
        <f>+I60*H60</f>
        <v>245000</v>
      </c>
      <c r="P60" s="236">
        <f t="shared" si="2"/>
        <v>245000</v>
      </c>
    </row>
    <row r="61" spans="1:16" s="232" customFormat="1" ht="14.65" thickBot="1" x14ac:dyDescent="0.5">
      <c r="A61" s="237" t="s">
        <v>313</v>
      </c>
      <c r="B61" s="245" t="s">
        <v>314</v>
      </c>
      <c r="C61" s="238" t="s">
        <v>167</v>
      </c>
      <c r="D61" s="198" t="s">
        <v>201</v>
      </c>
      <c r="E61" s="239">
        <v>1</v>
      </c>
      <c r="F61" s="239">
        <v>1</v>
      </c>
      <c r="G61" s="239">
        <v>4</v>
      </c>
      <c r="H61" s="239">
        <f t="shared" si="1"/>
        <v>4</v>
      </c>
      <c r="I61" s="240">
        <f>+'ESTIMACIÓN DE COSTOS'!$E$6</f>
        <v>29166.666666666668</v>
      </c>
      <c r="J61" s="197"/>
      <c r="K61" s="197"/>
      <c r="L61" s="197"/>
      <c r="M61" s="197"/>
      <c r="N61" s="197"/>
      <c r="O61" s="197">
        <f>+I61*H61</f>
        <v>116666.66666666667</v>
      </c>
      <c r="P61" s="236">
        <f t="shared" si="2"/>
        <v>116666.66666666667</v>
      </c>
    </row>
    <row r="62" spans="1:16" ht="14.65" thickBot="1" x14ac:dyDescent="0.5">
      <c r="A62" s="235"/>
      <c r="B62" s="291" t="s">
        <v>212</v>
      </c>
      <c r="C62" s="292"/>
      <c r="D62" s="292"/>
      <c r="E62" s="293"/>
      <c r="F62" s="293"/>
      <c r="G62" s="293"/>
      <c r="H62" s="293"/>
      <c r="I62" s="294"/>
      <c r="J62" s="294">
        <f t="shared" ref="J62:O62" si="13">SUM(J63:J67)</f>
        <v>926704.09090909094</v>
      </c>
      <c r="K62" s="294">
        <f t="shared" si="13"/>
        <v>331555.90909090906</v>
      </c>
      <c r="L62" s="294">
        <f t="shared" si="13"/>
        <v>402074.54545454547</v>
      </c>
      <c r="M62" s="294">
        <f t="shared" si="13"/>
        <v>764741.81818181812</v>
      </c>
      <c r="N62" s="294">
        <f t="shared" si="13"/>
        <v>1549297.2727272727</v>
      </c>
      <c r="O62" s="294">
        <f t="shared" si="13"/>
        <v>1297963.6363636362</v>
      </c>
      <c r="P62" s="295">
        <f>SUM(P63:P67)</f>
        <v>5272337.2727272725</v>
      </c>
    </row>
    <row r="63" spans="1:16" x14ac:dyDescent="0.45">
      <c r="A63" s="232"/>
      <c r="C63" s="198" t="s">
        <v>202</v>
      </c>
      <c r="D63" s="4" t="s">
        <v>390</v>
      </c>
      <c r="E63" s="180"/>
      <c r="F63" s="180"/>
      <c r="G63" s="180"/>
      <c r="H63" s="230">
        <v>5000</v>
      </c>
      <c r="I63" s="231" t="s">
        <v>216</v>
      </c>
      <c r="J63" s="151">
        <f>(($E$7*$F$7)+($E$8*$F$8)+($E$9*$F$9))*H63</f>
        <v>115000</v>
      </c>
      <c r="K63" s="151">
        <f>+(($E$11*$F$11)+($E$12*$F$12)+($E$13*$F$13)+($E$14*$F$14))*H63</f>
        <v>105000</v>
      </c>
      <c r="L63" s="151">
        <f>+(($E$16*$F$16)+($E$17*$F$17))*H63</f>
        <v>140000</v>
      </c>
      <c r="M63" s="151">
        <f>+(($E$18*$F$18)+($E$19*$F$19)+($E$20*$F$20)+($E$22*$F$22)+($E$23*$F$23)+($E$24*$F$24)+($E$25*$F$25)+($E$26*$F$26)+($E$27*$F$27))*H63</f>
        <v>320000</v>
      </c>
      <c r="N63" s="151">
        <f>+(($E$28*$F$28)+($E$29*$F$29)+($E$30*$F$30)+($E$31*$F$31)+($E$32*$F$32)+($E$33*$F$33)+($E$34*$F$34)+($E$36*$F$36)+($E$37*$F$37)+($E$38*$F$38)+($E$39*$F$39)+($E$40*$F$40)+($E$41*$F$41)+($E$42*$F$42))*H63</f>
        <v>410000</v>
      </c>
      <c r="O63" s="151">
        <f>+(($E$44*$F$44)+($E$45*$F$45)+($E$46*$F$46)+($E$47*$F$47)+($E$48*$F$48)+($E$49*$F$49)+($E$50*$F$50)+($E$51*$F$51)+($E$52*$F$52)+($E$53*$F$53)+($E$54*$F$54)+($E$55*$F$55)+($E$57*$F$57)+($E$58*$F$58)+($E$59*$F$59)+($E$60*$F$60)+($E$61*$F$61))*H63</f>
        <v>275000</v>
      </c>
      <c r="P63" s="200">
        <f>SUM(J63:O63)</f>
        <v>1365000</v>
      </c>
    </row>
    <row r="64" spans="1:16" x14ac:dyDescent="0.45">
      <c r="A64" s="232"/>
      <c r="C64" s="198" t="s">
        <v>214</v>
      </c>
      <c r="D64" s="4" t="s">
        <v>390</v>
      </c>
      <c r="E64" s="180"/>
      <c r="F64" s="180"/>
      <c r="G64" s="180"/>
      <c r="H64" s="230">
        <v>120000</v>
      </c>
      <c r="I64" s="231" t="s">
        <v>221</v>
      </c>
      <c r="J64" s="151">
        <f>+$H$64</f>
        <v>120000</v>
      </c>
      <c r="K64" s="151">
        <f t="shared" ref="K64:O64" si="14">+$H$64</f>
        <v>120000</v>
      </c>
      <c r="L64" s="151">
        <f t="shared" si="14"/>
        <v>120000</v>
      </c>
      <c r="M64" s="151">
        <f t="shared" si="14"/>
        <v>120000</v>
      </c>
      <c r="N64" s="151">
        <f t="shared" si="14"/>
        <v>120000</v>
      </c>
      <c r="O64" s="151">
        <f t="shared" si="14"/>
        <v>120000</v>
      </c>
      <c r="P64" s="200">
        <f>SUM(J64:O64)</f>
        <v>720000</v>
      </c>
    </row>
    <row r="65" spans="1:16" x14ac:dyDescent="0.45">
      <c r="A65" s="232"/>
      <c r="C65" s="198" t="s">
        <v>215</v>
      </c>
      <c r="D65" s="4" t="s">
        <v>347</v>
      </c>
      <c r="E65" s="180"/>
      <c r="F65" s="180"/>
      <c r="G65" s="180"/>
      <c r="H65" s="230">
        <v>25000</v>
      </c>
      <c r="I65" s="231" t="s">
        <v>216</v>
      </c>
      <c r="J65" s="151">
        <f>(($E$7*$F$7)+($E$8*$F$8)+($E$9*$F$9))*H65</f>
        <v>575000</v>
      </c>
      <c r="K65" s="151"/>
      <c r="L65" s="151"/>
      <c r="M65" s="151"/>
      <c r="N65" s="151">
        <f>+(+($E$36*$F$36)+($E$37*$F$37)+($E$38*$F$38)+($E$39*$F$39)+($E$40*$F$40)+($E$41*$F$41)+($E$42*$F$42))*H65</f>
        <v>725000</v>
      </c>
      <c r="O65" s="151">
        <f>+(($E$44*$F$44)+($E$45*$F$45)+($E$46*$F$46)+($E$47*$F$47)+($E$48*$F$48)+($E$49*$F$49)+($E$50*$F$50)+($E$51*$F$51)+($E$52*$F$52)+($E$53*$F$53)+($E$54*$F$54)+($E$55*$F$55))*H65</f>
        <v>700000</v>
      </c>
      <c r="P65" s="200">
        <f>SUM(J65:O65)</f>
        <v>2000000</v>
      </c>
    </row>
    <row r="66" spans="1:16" x14ac:dyDescent="0.45">
      <c r="A66" s="232"/>
      <c r="C66" s="198" t="s">
        <v>358</v>
      </c>
      <c r="D66" s="232" t="s">
        <v>347</v>
      </c>
      <c r="E66" s="180"/>
      <c r="F66" s="180"/>
      <c r="G66" s="180"/>
      <c r="H66" s="230">
        <f>+'ESTIMACIÓN DE COSTOS'!C32</f>
        <v>908.52272727272725</v>
      </c>
      <c r="I66" s="231" t="s">
        <v>366</v>
      </c>
      <c r="J66" s="151">
        <f>+$H$6*H66</f>
        <v>83584.090909090912</v>
      </c>
      <c r="K66" s="151">
        <f>+$H$10*H66</f>
        <v>76315.909090909088</v>
      </c>
      <c r="L66" s="151">
        <f>+($H$16+$H$17)*H66</f>
        <v>101754.54545454546</v>
      </c>
      <c r="M66" s="151">
        <f>+($H$18+$H$19+$H$20+$H$22+$H$23+$H$24+$H$25+$H$26+$H$27)*H66</f>
        <v>232581.81818181818</v>
      </c>
      <c r="N66" s="151">
        <f>+($H$28+$H$29+$H$30+$H$31+$H$32+$H$33+$H$34+$H$35)*H66</f>
        <v>210777.27272727274</v>
      </c>
      <c r="O66" s="151">
        <f>+($H$43+$H$56)*H66</f>
        <v>145363.63636363635</v>
      </c>
      <c r="P66" s="200">
        <f>SUM(J66:O66)</f>
        <v>850377.27272727271</v>
      </c>
    </row>
    <row r="67" spans="1:16" ht="14.65" thickBot="1" x14ac:dyDescent="0.5">
      <c r="A67" s="232"/>
      <c r="C67" s="198" t="s">
        <v>346</v>
      </c>
      <c r="D67" s="232" t="s">
        <v>347</v>
      </c>
      <c r="E67" s="180"/>
      <c r="F67" s="180"/>
      <c r="G67" s="180"/>
      <c r="H67" s="230">
        <f>+'ESTIMACIÓN DE COSTOS'!C23</f>
        <v>360</v>
      </c>
      <c r="I67" s="231" t="s">
        <v>348</v>
      </c>
      <c r="J67" s="151">
        <f>+$H$6*H67</f>
        <v>33120</v>
      </c>
      <c r="K67" s="151">
        <f>+$H$10*H67</f>
        <v>30240</v>
      </c>
      <c r="L67" s="151">
        <f>+($H$16+$H$17)*H67</f>
        <v>40320</v>
      </c>
      <c r="M67" s="151">
        <f>+($H$18+$H$19+$H$20+$H$22+$H$23+$H$24+$H$25+$H$26+$H$27)*H67</f>
        <v>92160</v>
      </c>
      <c r="N67" s="151">
        <f>+($H$28+$H$29+$H$30+$H$31+$H$32+$H$33+$H$34+$H$35)*H67</f>
        <v>83520</v>
      </c>
      <c r="O67" s="151">
        <f>+($H$43+$H$56)*H67</f>
        <v>57600</v>
      </c>
      <c r="P67" s="200">
        <f>SUM(J67:O67)</f>
        <v>336960</v>
      </c>
    </row>
    <row r="68" spans="1:16" ht="14.65" thickBot="1" x14ac:dyDescent="0.5">
      <c r="A68" s="235"/>
      <c r="B68" s="291" t="s">
        <v>218</v>
      </c>
      <c r="C68" s="292"/>
      <c r="D68" s="292"/>
      <c r="E68" s="293"/>
      <c r="F68" s="293"/>
      <c r="G68" s="293"/>
      <c r="H68" s="293"/>
      <c r="I68" s="294"/>
      <c r="J68" s="294">
        <f t="shared" ref="J68:O68" si="15">SUM(J69:J72)</f>
        <v>507205.12820512819</v>
      </c>
      <c r="K68" s="294">
        <f t="shared" si="15"/>
        <v>318230.76923076925</v>
      </c>
      <c r="L68" s="294">
        <f t="shared" si="15"/>
        <v>349641.02564102563</v>
      </c>
      <c r="M68" s="294">
        <f t="shared" si="15"/>
        <v>511179.48717948719</v>
      </c>
      <c r="N68" s="294">
        <f t="shared" si="15"/>
        <v>484256.41025641025</v>
      </c>
      <c r="O68" s="294">
        <f t="shared" si="15"/>
        <v>403487.1794871795</v>
      </c>
      <c r="P68" s="295">
        <f>SUM(P69:P72)</f>
        <v>2574000</v>
      </c>
    </row>
    <row r="69" spans="1:16" x14ac:dyDescent="0.45">
      <c r="A69" s="232"/>
      <c r="C69" s="198" t="s">
        <v>386</v>
      </c>
      <c r="D69" s="4" t="s">
        <v>219</v>
      </c>
      <c r="E69" s="180"/>
      <c r="F69" s="180"/>
      <c r="G69" s="180"/>
      <c r="H69" s="233">
        <v>82000</v>
      </c>
      <c r="I69" s="234" t="s">
        <v>388</v>
      </c>
      <c r="J69" s="151">
        <f>+$H$69*2</f>
        <v>164000</v>
      </c>
      <c r="K69" s="151">
        <f t="shared" ref="K69:O69" si="16">+$H$69*2</f>
        <v>164000</v>
      </c>
      <c r="L69" s="151">
        <f t="shared" si="16"/>
        <v>164000</v>
      </c>
      <c r="M69" s="151">
        <f>+$H$69*2</f>
        <v>164000</v>
      </c>
      <c r="N69" s="151">
        <f t="shared" si="16"/>
        <v>164000</v>
      </c>
      <c r="O69" s="151">
        <f t="shared" si="16"/>
        <v>164000</v>
      </c>
      <c r="P69" s="200">
        <f>SUM(J69:O69)</f>
        <v>984000</v>
      </c>
    </row>
    <row r="70" spans="1:16" x14ac:dyDescent="0.45">
      <c r="A70" s="232"/>
      <c r="C70" s="198" t="s">
        <v>387</v>
      </c>
      <c r="D70" s="4" t="s">
        <v>219</v>
      </c>
      <c r="E70" s="180"/>
      <c r="F70" s="180"/>
      <c r="G70" s="180"/>
      <c r="H70" s="233">
        <v>180000</v>
      </c>
      <c r="I70" s="234" t="s">
        <v>365</v>
      </c>
      <c r="J70" s="151">
        <f>+H70</f>
        <v>180000</v>
      </c>
      <c r="K70" s="151"/>
      <c r="L70" s="151"/>
      <c r="M70" s="151"/>
      <c r="N70" s="151"/>
      <c r="O70" s="151"/>
      <c r="P70" s="200">
        <f>SUM(J70:O70)</f>
        <v>180000</v>
      </c>
    </row>
    <row r="71" spans="1:16" x14ac:dyDescent="0.45">
      <c r="A71" s="232"/>
      <c r="C71" s="198" t="s">
        <v>357</v>
      </c>
      <c r="D71" s="4" t="s">
        <v>219</v>
      </c>
      <c r="E71" s="180"/>
      <c r="F71" s="180"/>
      <c r="G71" s="180"/>
      <c r="H71" s="230">
        <f>+'ESTIMACIÓN DE COSTOS'!C41</f>
        <v>1121.7948717948718</v>
      </c>
      <c r="I71" s="231" t="s">
        <v>389</v>
      </c>
      <c r="J71" s="151">
        <f>+$H$6*H71</f>
        <v>103205.1282051282</v>
      </c>
      <c r="K71" s="151">
        <f>+$H$10*H71</f>
        <v>94230.769230769234</v>
      </c>
      <c r="L71" s="151">
        <f>+($H$16+$H$17)*H71</f>
        <v>125641.02564102564</v>
      </c>
      <c r="M71" s="151">
        <f>+($H$18+$H$19+$H$20+$H$22+$H$23+$H$24+$H$25+$H$26+$H$27)*H71</f>
        <v>287179.48717948719</v>
      </c>
      <c r="N71" s="151">
        <f>+($H$28+$H$29+$H$30+$H$31+$H$32+$H$33+$H$34+$H$35)*H71</f>
        <v>260256.41025641025</v>
      </c>
      <c r="O71" s="151">
        <f>+($H$43+$H$56)*H71</f>
        <v>179487.1794871795</v>
      </c>
      <c r="P71" s="200">
        <f>SUM(J71:O71)</f>
        <v>1050000</v>
      </c>
    </row>
    <row r="72" spans="1:16" ht="14.65" thickBot="1" x14ac:dyDescent="0.5">
      <c r="A72" s="232"/>
      <c r="C72" s="198" t="s">
        <v>226</v>
      </c>
      <c r="D72" s="4" t="s">
        <v>219</v>
      </c>
      <c r="E72" s="180"/>
      <c r="F72" s="180"/>
      <c r="G72" s="180"/>
      <c r="H72" s="230">
        <v>60000</v>
      </c>
      <c r="I72" s="234" t="s">
        <v>227</v>
      </c>
      <c r="J72" s="151">
        <f>+$H$72</f>
        <v>60000</v>
      </c>
      <c r="K72" s="151">
        <f t="shared" ref="K72:O72" si="17">+$H$72</f>
        <v>60000</v>
      </c>
      <c r="L72" s="151">
        <f t="shared" si="17"/>
        <v>60000</v>
      </c>
      <c r="M72" s="151">
        <f>+$H$72</f>
        <v>60000</v>
      </c>
      <c r="N72" s="151">
        <f t="shared" si="17"/>
        <v>60000</v>
      </c>
      <c r="O72" s="151">
        <f t="shared" si="17"/>
        <v>60000</v>
      </c>
      <c r="P72" s="200">
        <f>SUM(J72:O72)</f>
        <v>360000</v>
      </c>
    </row>
    <row r="73" spans="1:16" ht="14.65" thickBot="1" x14ac:dyDescent="0.5">
      <c r="A73" s="232"/>
      <c r="B73" s="296" t="s">
        <v>239</v>
      </c>
      <c r="C73" s="297"/>
      <c r="D73" s="297"/>
      <c r="E73" s="298"/>
      <c r="F73" s="298"/>
      <c r="G73" s="298"/>
      <c r="H73" s="298"/>
      <c r="I73" s="299"/>
      <c r="J73" s="299">
        <f t="shared" ref="J73:P73" si="18">+J6+J10+J15+J21+J35+J43+J56+J62+J68</f>
        <v>3215575.8857808858</v>
      </c>
      <c r="K73" s="299">
        <f t="shared" si="18"/>
        <v>2213120.0116550121</v>
      </c>
      <c r="L73" s="299">
        <f t="shared" si="18"/>
        <v>2801715.5710955709</v>
      </c>
      <c r="M73" s="299">
        <f t="shared" si="18"/>
        <v>6234254.6386946393</v>
      </c>
      <c r="N73" s="299">
        <f t="shared" si="18"/>
        <v>6289387.0163170164</v>
      </c>
      <c r="O73" s="299">
        <f t="shared" si="18"/>
        <v>4338950.8158508157</v>
      </c>
      <c r="P73" s="300">
        <f t="shared" si="18"/>
        <v>25093003.939393945</v>
      </c>
    </row>
    <row r="74" spans="1:16" x14ac:dyDescent="0.45">
      <c r="C74" t="s">
        <v>236</v>
      </c>
      <c r="D74" s="4"/>
      <c r="E74" s="180"/>
      <c r="F74" s="180"/>
      <c r="G74" s="180"/>
      <c r="H74" s="196">
        <v>0.1</v>
      </c>
      <c r="I74" s="151" t="s">
        <v>235</v>
      </c>
      <c r="J74" s="151"/>
      <c r="K74" s="151"/>
      <c r="L74" s="151"/>
      <c r="M74" s="151"/>
      <c r="N74" s="151"/>
      <c r="O74" s="151"/>
      <c r="P74" s="200">
        <f>+P73*H74</f>
        <v>2509300.3939393945</v>
      </c>
    </row>
    <row r="75" spans="1:16" x14ac:dyDescent="0.45">
      <c r="C75" t="s">
        <v>238</v>
      </c>
      <c r="D75" s="4"/>
      <c r="E75" s="180"/>
      <c r="F75" s="180"/>
      <c r="G75" s="180"/>
      <c r="H75" s="196">
        <v>0.02</v>
      </c>
      <c r="I75" s="151" t="s">
        <v>235</v>
      </c>
      <c r="J75" s="151"/>
      <c r="K75" s="151"/>
      <c r="L75" s="151"/>
      <c r="M75" s="151"/>
      <c r="N75" s="151"/>
      <c r="O75" s="151"/>
      <c r="P75" s="159">
        <f>+P73*H75</f>
        <v>501860.07878787891</v>
      </c>
    </row>
    <row r="76" spans="1:16" x14ac:dyDescent="0.45">
      <c r="C76" s="301" t="s">
        <v>240</v>
      </c>
      <c r="D76" s="301"/>
      <c r="E76" s="302"/>
      <c r="F76" s="302"/>
      <c r="G76" s="302"/>
      <c r="H76" s="302"/>
      <c r="I76" s="303"/>
      <c r="J76" s="303"/>
      <c r="K76" s="303"/>
      <c r="L76" s="303"/>
      <c r="M76" s="303"/>
      <c r="N76" s="303"/>
      <c r="O76" s="303"/>
      <c r="P76" s="303">
        <f>+P73+P74+P75</f>
        <v>28104164.412121218</v>
      </c>
    </row>
    <row r="77" spans="1:16" x14ac:dyDescent="0.45">
      <c r="J77" s="202"/>
      <c r="K77" s="202"/>
      <c r="L77" s="202"/>
    </row>
  </sheetData>
  <autoFilter ref="A5:P76" xr:uid="{6B235733-E2AB-4494-B959-EDAEEB7D655B}"/>
  <mergeCells count="2">
    <mergeCell ref="C2:P2"/>
    <mergeCell ref="C4:P4"/>
  </mergeCells>
  <phoneticPr fontId="12" type="noConversion"/>
  <dataValidations disablePrompts="1" count="1">
    <dataValidation type="list" allowBlank="1" showInputMessage="1" showErrorMessage="1" sqref="C7:C61 B10 B15 B21 B35 B43 B56" xr:uid="{9087D0A9-B19D-4627-8911-BA99B0125ACF}">
      <formula1>RECURSO_HORAS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FBCF-E57C-4A18-8BFB-4ECDE1AE4802}">
  <dimension ref="B2:I21"/>
  <sheetViews>
    <sheetView workbookViewId="0">
      <selection activeCell="D35" sqref="D35"/>
    </sheetView>
  </sheetViews>
  <sheetFormatPr baseColWidth="10" defaultRowHeight="14.25" x14ac:dyDescent="0.45"/>
  <cols>
    <col min="1" max="1" width="5.46484375" customWidth="1"/>
    <col min="3" max="3" width="32.53125" bestFit="1" customWidth="1"/>
    <col min="4" max="4" width="14.796875" style="250" bestFit="1" customWidth="1"/>
    <col min="5" max="5" width="12.9296875" bestFit="1" customWidth="1"/>
    <col min="6" max="6" width="13.86328125" bestFit="1" customWidth="1"/>
    <col min="7" max="7" width="12.86328125" customWidth="1"/>
    <col min="8" max="8" width="13.86328125" bestFit="1" customWidth="1"/>
    <col min="9" max="9" width="8.3984375" bestFit="1" customWidth="1"/>
  </cols>
  <sheetData>
    <row r="2" spans="2:9" ht="14.65" thickBot="1" x14ac:dyDescent="0.5"/>
    <row r="3" spans="2:9" ht="14.65" thickBot="1" x14ac:dyDescent="0.5">
      <c r="B3" s="169" t="s">
        <v>315</v>
      </c>
      <c r="C3" s="163" t="s">
        <v>253</v>
      </c>
      <c r="D3" s="251" t="s">
        <v>316</v>
      </c>
      <c r="E3" s="163" t="s">
        <v>317</v>
      </c>
      <c r="F3" s="163" t="s">
        <v>318</v>
      </c>
      <c r="G3" s="163" t="s">
        <v>319</v>
      </c>
      <c r="H3" s="163" t="s">
        <v>320</v>
      </c>
      <c r="I3" s="170" t="s">
        <v>321</v>
      </c>
    </row>
    <row r="4" spans="2:9" ht="14.65" thickTop="1" x14ac:dyDescent="0.45">
      <c r="B4" s="171">
        <v>1</v>
      </c>
      <c r="C4" s="172" t="str">
        <f>IF([1]Entregables!C5="","",[1]Entregables!C5)</f>
        <v xml:space="preserve">Levantamiento de información </v>
      </c>
      <c r="D4" s="252">
        <f>+'PRESUPUESTO DEL PROYECTO'!P6</f>
        <v>1781666.6666666667</v>
      </c>
      <c r="E4" s="173">
        <f>+'PRESUPUESTO DEL PROYECTO'!J62+'PRESUPUESTO DEL PROYECTO'!J68</f>
        <v>1433909.2191142191</v>
      </c>
      <c r="F4" s="246">
        <f t="shared" ref="F4:F10" si="0">IF(C4="","",D4+E4)</f>
        <v>3215575.8857808858</v>
      </c>
      <c r="G4" s="173"/>
      <c r="H4" s="246">
        <f t="shared" ref="H4:H10" si="1">IF(C4="","",F4-G4)</f>
        <v>3215575.8857808858</v>
      </c>
      <c r="I4" s="174">
        <f t="shared" ref="I4:I10" si="2">IFERROR(G4/F4,"")</f>
        <v>0</v>
      </c>
    </row>
    <row r="5" spans="2:9" x14ac:dyDescent="0.45">
      <c r="B5" s="171">
        <v>2</v>
      </c>
      <c r="C5" s="172" t="str">
        <f>IF([1]Entregables!C6="","",[1]Entregables!C6)</f>
        <v>Centralización de información</v>
      </c>
      <c r="D5" s="252">
        <f>+'PRESUPUESTO DEL PROYECTO'!P10</f>
        <v>1563333.3333333335</v>
      </c>
      <c r="E5" s="173">
        <f>+'PRESUPUESTO DEL PROYECTO'!K62+'PRESUPUESTO DEL PROYECTO'!K68</f>
        <v>649786.67832167831</v>
      </c>
      <c r="F5" s="246">
        <f t="shared" si="0"/>
        <v>2213120.0116550117</v>
      </c>
      <c r="G5" s="173"/>
      <c r="H5" s="246">
        <f t="shared" si="1"/>
        <v>2213120.0116550117</v>
      </c>
      <c r="I5" s="174">
        <f t="shared" si="2"/>
        <v>0</v>
      </c>
    </row>
    <row r="6" spans="2:9" x14ac:dyDescent="0.45">
      <c r="B6" s="171">
        <v>3</v>
      </c>
      <c r="C6" s="172" t="str">
        <f>IF([1]Entregables!C7="","",[1]Entregables!C7)</f>
        <v>Desarrollo, configuración y parametrización</v>
      </c>
      <c r="D6" s="252">
        <f>+'PRESUPUESTO DEL PROYECTO'!P15</f>
        <v>4200000</v>
      </c>
      <c r="E6" s="173">
        <f>+'PRESUPUESTO DEL PROYECTO'!L62+'PRESUPUESTO DEL PROYECTO'!L68</f>
        <v>751715.57109557115</v>
      </c>
      <c r="F6" s="246">
        <f t="shared" si="0"/>
        <v>4951715.5710955709</v>
      </c>
      <c r="G6" s="173"/>
      <c r="H6" s="246">
        <f t="shared" si="1"/>
        <v>4951715.5710955709</v>
      </c>
      <c r="I6" s="174">
        <f t="shared" si="2"/>
        <v>0</v>
      </c>
    </row>
    <row r="7" spans="2:9" x14ac:dyDescent="0.45">
      <c r="B7" s="171">
        <v>4</v>
      </c>
      <c r="C7" s="172" t="str">
        <f>IF([1]Entregables!C8="","",[1]Entregables!C8)</f>
        <v>Pruebas Finales</v>
      </c>
      <c r="D7" s="252">
        <f>+'PRESUPUESTO DEL PROYECTO'!P21</f>
        <v>5500833.3333333349</v>
      </c>
      <c r="E7" s="173">
        <f>+'PRESUPUESTO DEL PROYECTO'!M62+'PRESUPUESTO DEL PROYECTO'!M68</f>
        <v>1275921.3053613054</v>
      </c>
      <c r="F7" s="246">
        <f t="shared" si="0"/>
        <v>6776754.6386946402</v>
      </c>
      <c r="G7" s="173"/>
      <c r="H7" s="246">
        <f t="shared" si="1"/>
        <v>6776754.6386946402</v>
      </c>
      <c r="I7" s="174">
        <f t="shared" si="2"/>
        <v>0</v>
      </c>
    </row>
    <row r="8" spans="2:9" x14ac:dyDescent="0.45">
      <c r="B8" s="171">
        <v>5</v>
      </c>
      <c r="C8" s="172" t="str">
        <f>IF([1]Entregables!C9="","",[1]Entregables!C9)</f>
        <v>Formación y capacitación del SIG</v>
      </c>
      <c r="D8" s="252">
        <f>+'PRESUPUESTO DEL PROYECTO'!P35</f>
        <v>1563333.3333333335</v>
      </c>
      <c r="E8" s="173">
        <f>+'PRESUPUESTO DEL PROYECTO'!N62+'PRESUPUESTO DEL PROYECTO'!N68</f>
        <v>2033553.682983683</v>
      </c>
      <c r="F8" s="246">
        <f t="shared" si="0"/>
        <v>3596887.0163170164</v>
      </c>
      <c r="G8" s="173"/>
      <c r="H8" s="246">
        <f t="shared" si="1"/>
        <v>3596887.0163170164</v>
      </c>
      <c r="I8" s="174">
        <f t="shared" si="2"/>
        <v>0</v>
      </c>
    </row>
    <row r="9" spans="2:9" x14ac:dyDescent="0.45">
      <c r="B9" s="171">
        <v>6</v>
      </c>
      <c r="C9" s="172" t="str">
        <f>IF([1]Entregables!C10="","",[1]Entregables!C10)</f>
        <v>Puesta en Producción</v>
      </c>
      <c r="D9" s="252">
        <f>+'PRESUPUESTO DEL PROYECTO'!P43</f>
        <v>1578333.3333333333</v>
      </c>
      <c r="E9" s="173">
        <f>+('PRESUPUESTO DEL PROYECTO'!$O$62+'PRESUPUESTO DEL PROYECTO'!$O$68)/2</f>
        <v>850725.40792540787</v>
      </c>
      <c r="F9" s="246">
        <f t="shared" si="0"/>
        <v>2429058.7412587414</v>
      </c>
      <c r="G9" s="173"/>
      <c r="H9" s="246">
        <f t="shared" si="1"/>
        <v>2429058.7412587414</v>
      </c>
      <c r="I9" s="174">
        <f t="shared" si="2"/>
        <v>0</v>
      </c>
    </row>
    <row r="10" spans="2:9" ht="14.65" thickBot="1" x14ac:dyDescent="0.5">
      <c r="B10" s="171">
        <v>7</v>
      </c>
      <c r="C10" s="172" t="str">
        <f>IF([1]Entregables!C11="","",[1]Entregables!C11)</f>
        <v>Documentación del proyecto</v>
      </c>
      <c r="D10" s="252">
        <f>+'PRESUPUESTO DEL PROYECTO'!P56</f>
        <v>1059166.6666666667</v>
      </c>
      <c r="E10" s="173">
        <f>+('PRESUPUESTO DEL PROYECTO'!$O$62+'PRESUPUESTO DEL PROYECTO'!$O$68)/2</f>
        <v>850725.40792540787</v>
      </c>
      <c r="F10" s="246">
        <f t="shared" si="0"/>
        <v>1909892.0745920746</v>
      </c>
      <c r="G10" s="173"/>
      <c r="H10" s="246">
        <f t="shared" si="1"/>
        <v>1909892.0745920746</v>
      </c>
      <c r="I10" s="174">
        <f t="shared" si="2"/>
        <v>0</v>
      </c>
    </row>
    <row r="11" spans="2:9" ht="14.65" thickBot="1" x14ac:dyDescent="0.5">
      <c r="B11" s="175"/>
      <c r="C11" s="176" t="s">
        <v>75</v>
      </c>
      <c r="D11" s="253">
        <f t="shared" ref="D11:E11" si="3">SUM(D4:D10)</f>
        <v>17246666.666666672</v>
      </c>
      <c r="E11" s="177">
        <f t="shared" si="3"/>
        <v>7846337.2727272734</v>
      </c>
      <c r="F11" s="247">
        <f>SUM(F4:F10)</f>
        <v>25093003.939393945</v>
      </c>
      <c r="G11" s="177">
        <f>SUM(G4:G10)</f>
        <v>0</v>
      </c>
      <c r="H11" s="247">
        <f>SUM(H4:H10)</f>
        <v>25093003.939393945</v>
      </c>
      <c r="I11" s="178">
        <f>G11/F11</f>
        <v>0</v>
      </c>
    </row>
    <row r="14" spans="2:9" ht="14.65" thickBot="1" x14ac:dyDescent="0.5"/>
    <row r="15" spans="2:9" ht="14.65" thickBot="1" x14ac:dyDescent="0.5">
      <c r="C15" s="268" t="s">
        <v>391</v>
      </c>
      <c r="D15" s="269"/>
    </row>
    <row r="16" spans="2:9" ht="14.65" thickBot="1" x14ac:dyDescent="0.5">
      <c r="C16" s="249" t="s">
        <v>392</v>
      </c>
      <c r="D16" s="254" t="s">
        <v>393</v>
      </c>
    </row>
    <row r="17" spans="3:4" x14ac:dyDescent="0.45">
      <c r="C17" s="248" t="s">
        <v>394</v>
      </c>
      <c r="D17" s="255">
        <f>+D11</f>
        <v>17246666.666666672</v>
      </c>
    </row>
    <row r="18" spans="3:4" x14ac:dyDescent="0.45">
      <c r="C18" s="248" t="s">
        <v>395</v>
      </c>
      <c r="D18" s="255">
        <f>+'PRESUPUESTO DEL PROYECTO'!P62</f>
        <v>5272337.2727272725</v>
      </c>
    </row>
    <row r="19" spans="3:4" x14ac:dyDescent="0.45">
      <c r="C19" s="248" t="s">
        <v>396</v>
      </c>
      <c r="D19" s="255">
        <f>+'PRESUPUESTO DEL PROYECTO'!P68</f>
        <v>2574000</v>
      </c>
    </row>
    <row r="20" spans="3:4" ht="14.65" thickBot="1" x14ac:dyDescent="0.5">
      <c r="C20" s="248" t="s">
        <v>142</v>
      </c>
      <c r="D20" s="255">
        <f>+'PRESUPUESTO DEL PROYECTO'!P74+'PRESUPUESTO DEL PROYECTO'!P75</f>
        <v>3011160.4727272736</v>
      </c>
    </row>
    <row r="21" spans="3:4" ht="14.65" thickBot="1" x14ac:dyDescent="0.5">
      <c r="C21" s="249" t="s">
        <v>397</v>
      </c>
      <c r="D21" s="254">
        <f>SUM(D17:D20)</f>
        <v>28104164.412121218</v>
      </c>
    </row>
  </sheetData>
  <mergeCells count="1">
    <mergeCell ref="C15:D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00A1B-8D5E-4C35-A83F-5DE6E65BB564}">
  <dimension ref="B2:F22"/>
  <sheetViews>
    <sheetView workbookViewId="0">
      <selection activeCell="G25" sqref="G25"/>
    </sheetView>
  </sheetViews>
  <sheetFormatPr baseColWidth="10" defaultRowHeight="14.25" x14ac:dyDescent="0.45"/>
  <cols>
    <col min="1" max="1" width="5.46484375" style="4" customWidth="1"/>
    <col min="2" max="2" width="10.6640625" style="4"/>
    <col min="3" max="3" width="32.53125" style="4" bestFit="1" customWidth="1"/>
    <col min="4" max="4" width="14.796875" style="203" bestFit="1" customWidth="1"/>
    <col min="5" max="5" width="12.9296875" style="4" bestFit="1" customWidth="1"/>
    <col min="6" max="6" width="13.86328125" style="4" bestFit="1" customWidth="1"/>
    <col min="7" max="16384" width="10.6640625" style="4"/>
  </cols>
  <sheetData>
    <row r="2" spans="2:6" ht="14.65" thickBot="1" x14ac:dyDescent="0.5"/>
    <row r="3" spans="2:6" ht="14.65" thickBot="1" x14ac:dyDescent="0.5">
      <c r="B3" s="285" t="s">
        <v>315</v>
      </c>
      <c r="C3" s="286" t="s">
        <v>253</v>
      </c>
      <c r="D3" s="284" t="s">
        <v>316</v>
      </c>
      <c r="E3" s="286" t="s">
        <v>317</v>
      </c>
      <c r="F3" s="311" t="s">
        <v>318</v>
      </c>
    </row>
    <row r="4" spans="2:6" ht="14.65" thickTop="1" x14ac:dyDescent="0.45">
      <c r="B4" s="171">
        <v>1</v>
      </c>
      <c r="C4" s="172" t="str">
        <f>IF([1]Entregables!C5="","",[1]Entregables!C5)</f>
        <v xml:space="preserve">Levantamiento de información </v>
      </c>
      <c r="D4" s="252">
        <f>+'PRESUPUESTO DEL PROYECTO'!P6</f>
        <v>1781666.6666666667</v>
      </c>
      <c r="E4" s="173">
        <f>+'PRESUPUESTO DEL PROYECTO'!J62+'PRESUPUESTO DEL PROYECTO'!J68</f>
        <v>1433909.2191142191</v>
      </c>
      <c r="F4" s="312">
        <f t="shared" ref="F4:F10" si="0">IF(C4="","",D4+E4)</f>
        <v>3215575.8857808858</v>
      </c>
    </row>
    <row r="5" spans="2:6" x14ac:dyDescent="0.45">
      <c r="B5" s="171">
        <v>2</v>
      </c>
      <c r="C5" s="172" t="str">
        <f>IF([1]Entregables!C6="","",[1]Entregables!C6)</f>
        <v>Centralización de información</v>
      </c>
      <c r="D5" s="252">
        <f>+'PRESUPUESTO DEL PROYECTO'!P10</f>
        <v>1563333.3333333335</v>
      </c>
      <c r="E5" s="173">
        <f>+'PRESUPUESTO DEL PROYECTO'!K62+'PRESUPUESTO DEL PROYECTO'!K68</f>
        <v>649786.67832167831</v>
      </c>
      <c r="F5" s="312">
        <f t="shared" si="0"/>
        <v>2213120.0116550117</v>
      </c>
    </row>
    <row r="6" spans="2:6" x14ac:dyDescent="0.45">
      <c r="B6" s="171">
        <v>3</v>
      </c>
      <c r="C6" s="172" t="str">
        <f>IF([1]Entregables!C7="","",[1]Entregables!C7)</f>
        <v>Desarrollo, configuración y parametrización</v>
      </c>
      <c r="D6" s="252">
        <f>+'PRESUPUESTO DEL PROYECTO'!P15</f>
        <v>4200000</v>
      </c>
      <c r="E6" s="173">
        <f>+'PRESUPUESTO DEL PROYECTO'!L62+'PRESUPUESTO DEL PROYECTO'!L68</f>
        <v>751715.57109557115</v>
      </c>
      <c r="F6" s="312">
        <f t="shared" si="0"/>
        <v>4951715.5710955709</v>
      </c>
    </row>
    <row r="7" spans="2:6" x14ac:dyDescent="0.45">
      <c r="B7" s="171">
        <v>4</v>
      </c>
      <c r="C7" s="172" t="str">
        <f>IF([1]Entregables!C8="","",[1]Entregables!C8)</f>
        <v>Pruebas Finales</v>
      </c>
      <c r="D7" s="252">
        <f>+'PRESUPUESTO DEL PROYECTO'!P21</f>
        <v>5500833.3333333349</v>
      </c>
      <c r="E7" s="173">
        <f>+'PRESUPUESTO DEL PROYECTO'!M62+'PRESUPUESTO DEL PROYECTO'!M68</f>
        <v>1275921.3053613054</v>
      </c>
      <c r="F7" s="312">
        <f t="shared" si="0"/>
        <v>6776754.6386946402</v>
      </c>
    </row>
    <row r="8" spans="2:6" x14ac:dyDescent="0.45">
      <c r="B8" s="171">
        <v>5</v>
      </c>
      <c r="C8" s="172" t="str">
        <f>IF([1]Entregables!C9="","",[1]Entregables!C9)</f>
        <v>Formación y capacitación del SIG</v>
      </c>
      <c r="D8" s="252">
        <f>+'PRESUPUESTO DEL PROYECTO'!P35</f>
        <v>1563333.3333333335</v>
      </c>
      <c r="E8" s="173">
        <f>+'PRESUPUESTO DEL PROYECTO'!N62+'PRESUPUESTO DEL PROYECTO'!N68</f>
        <v>2033553.682983683</v>
      </c>
      <c r="F8" s="312">
        <f t="shared" si="0"/>
        <v>3596887.0163170164</v>
      </c>
    </row>
    <row r="9" spans="2:6" x14ac:dyDescent="0.45">
      <c r="B9" s="171">
        <v>6</v>
      </c>
      <c r="C9" s="172" t="str">
        <f>IF([1]Entregables!C10="","",[1]Entregables!C10)</f>
        <v>Puesta en Producción</v>
      </c>
      <c r="D9" s="252">
        <f>+'PRESUPUESTO DEL PROYECTO'!P43</f>
        <v>1578333.3333333333</v>
      </c>
      <c r="E9" s="173">
        <f>+('PRESUPUESTO DEL PROYECTO'!$O$62+'PRESUPUESTO DEL PROYECTO'!$O$68)/2</f>
        <v>850725.40792540787</v>
      </c>
      <c r="F9" s="312">
        <f t="shared" si="0"/>
        <v>2429058.7412587414</v>
      </c>
    </row>
    <row r="10" spans="2:6" ht="14.65" thickBot="1" x14ac:dyDescent="0.5">
      <c r="B10" s="316">
        <v>7</v>
      </c>
      <c r="C10" s="317" t="str">
        <f>IF([1]Entregables!C11="","",[1]Entregables!C11)</f>
        <v>Documentación del proyecto</v>
      </c>
      <c r="D10" s="318">
        <f>+'PRESUPUESTO DEL PROYECTO'!P56</f>
        <v>1059166.6666666667</v>
      </c>
      <c r="E10" s="319">
        <f>+('PRESUPUESTO DEL PROYECTO'!$O$62+'PRESUPUESTO DEL PROYECTO'!$O$68)/2</f>
        <v>850725.40792540787</v>
      </c>
      <c r="F10" s="320">
        <f t="shared" si="0"/>
        <v>1909892.0745920746</v>
      </c>
    </row>
    <row r="11" spans="2:6" ht="14.65" thickBot="1" x14ac:dyDescent="0.5">
      <c r="B11" s="175"/>
      <c r="C11" s="313" t="s">
        <v>75</v>
      </c>
      <c r="D11" s="314">
        <f t="shared" ref="D11:E11" si="1">SUM(D4:D10)</f>
        <v>17246666.666666672</v>
      </c>
      <c r="E11" s="315">
        <f t="shared" si="1"/>
        <v>7846337.2727272734</v>
      </c>
      <c r="F11" s="315">
        <f>SUM(F4:F10)</f>
        <v>25093003.939393945</v>
      </c>
    </row>
    <row r="14" spans="2:6" ht="14.65" thickBot="1" x14ac:dyDescent="0.5"/>
    <row r="15" spans="2:6" ht="14.65" thickBot="1" x14ac:dyDescent="0.5">
      <c r="C15" s="287" t="s">
        <v>391</v>
      </c>
      <c r="D15" s="288"/>
    </row>
    <row r="16" spans="2:6" ht="15" thickTop="1" thickBot="1" x14ac:dyDescent="0.5">
      <c r="C16" s="256" t="s">
        <v>392</v>
      </c>
      <c r="D16" s="258" t="s">
        <v>393</v>
      </c>
    </row>
    <row r="17" spans="3:4" x14ac:dyDescent="0.45">
      <c r="C17" s="257" t="s">
        <v>394</v>
      </c>
      <c r="D17" s="259">
        <f>+D11</f>
        <v>17246666.666666672</v>
      </c>
    </row>
    <row r="18" spans="3:4" x14ac:dyDescent="0.45">
      <c r="C18" s="257" t="s">
        <v>395</v>
      </c>
      <c r="D18" s="259">
        <f>+'PRESUPUESTO DEL PROYECTO'!P62</f>
        <v>5272337.2727272725</v>
      </c>
    </row>
    <row r="19" spans="3:4" x14ac:dyDescent="0.45">
      <c r="C19" s="257" t="s">
        <v>396</v>
      </c>
      <c r="D19" s="259">
        <f>+'PRESUPUESTO DEL PROYECTO'!P68</f>
        <v>2574000</v>
      </c>
    </row>
    <row r="20" spans="3:4" ht="14.65" thickBot="1" x14ac:dyDescent="0.5">
      <c r="C20" s="257" t="s">
        <v>142</v>
      </c>
      <c r="D20" s="259">
        <f>+'PRESUPUESTO DEL PROYECTO'!P74+'PRESUPUESTO DEL PROYECTO'!P75</f>
        <v>3011160.4727272736</v>
      </c>
    </row>
    <row r="21" spans="3:4" ht="14.65" thickBot="1" x14ac:dyDescent="0.5">
      <c r="C21" s="289" t="s">
        <v>397</v>
      </c>
      <c r="D21" s="290">
        <f>SUM(D17:D20)</f>
        <v>28104164.412121218</v>
      </c>
    </row>
    <row r="22" spans="3:4" ht="14.65" thickTop="1" x14ac:dyDescent="0.45"/>
  </sheetData>
  <mergeCells count="1">
    <mergeCell ref="C15:D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07DE3-BCF9-4E36-9232-8C3C48612319}">
  <dimension ref="B2:K29"/>
  <sheetViews>
    <sheetView workbookViewId="0">
      <selection activeCell="B18" sqref="B18:I20"/>
    </sheetView>
  </sheetViews>
  <sheetFormatPr baseColWidth="10" defaultRowHeight="14.25" x14ac:dyDescent="0.45"/>
  <cols>
    <col min="2" max="2" width="25.3984375" customWidth="1"/>
    <col min="3" max="3" width="12.796875" bestFit="1" customWidth="1"/>
    <col min="4" max="4" width="12.1328125" bestFit="1" customWidth="1"/>
    <col min="5" max="5" width="26.86328125" bestFit="1" customWidth="1"/>
    <col min="6" max="6" width="9.53125" bestFit="1" customWidth="1"/>
    <col min="7" max="7" width="4.59765625" style="3" bestFit="1" customWidth="1"/>
    <col min="8" max="8" width="8.3984375" style="3" bestFit="1" customWidth="1"/>
    <col min="9" max="9" width="8.53125" style="3" bestFit="1" customWidth="1"/>
    <col min="10" max="10" width="11.86328125" bestFit="1" customWidth="1"/>
    <col min="11" max="11" width="13.9296875" bestFit="1" customWidth="1"/>
  </cols>
  <sheetData>
    <row r="2" spans="2:11" x14ac:dyDescent="0.45">
      <c r="B2" s="1" t="s">
        <v>166</v>
      </c>
    </row>
    <row r="4" spans="2:11" x14ac:dyDescent="0.45">
      <c r="B4" s="1" t="s">
        <v>169</v>
      </c>
      <c r="C4" s="1" t="s">
        <v>170</v>
      </c>
      <c r="D4" s="1" t="s">
        <v>171</v>
      </c>
      <c r="E4" s="1" t="s">
        <v>179</v>
      </c>
      <c r="F4" s="1" t="s">
        <v>174</v>
      </c>
      <c r="G4" s="2" t="s">
        <v>172</v>
      </c>
      <c r="H4" s="2" t="s">
        <v>188</v>
      </c>
      <c r="I4" s="2" t="s">
        <v>187</v>
      </c>
      <c r="J4" s="1" t="s">
        <v>189</v>
      </c>
      <c r="K4" s="1" t="s">
        <v>175</v>
      </c>
    </row>
    <row r="5" spans="2:11" x14ac:dyDescent="0.45">
      <c r="B5" t="s">
        <v>167</v>
      </c>
      <c r="C5" t="s">
        <v>173</v>
      </c>
      <c r="D5" t="s">
        <v>178</v>
      </c>
      <c r="E5" t="s">
        <v>180</v>
      </c>
      <c r="F5" t="s">
        <v>160</v>
      </c>
      <c r="G5" s="3">
        <v>18</v>
      </c>
      <c r="H5" s="3">
        <v>4</v>
      </c>
      <c r="I5" s="3">
        <f>+G5*H5</f>
        <v>72</v>
      </c>
      <c r="J5" s="136">
        <f>5000000/(8*30)</f>
        <v>20833.333333333332</v>
      </c>
      <c r="K5" s="137">
        <f>J5*I5</f>
        <v>1500000</v>
      </c>
    </row>
    <row r="6" spans="2:11" x14ac:dyDescent="0.45">
      <c r="B6" s="139" t="s">
        <v>181</v>
      </c>
      <c r="C6" s="140" t="s">
        <v>182</v>
      </c>
      <c r="D6" s="140" t="s">
        <v>183</v>
      </c>
      <c r="E6" s="140" t="s">
        <v>180</v>
      </c>
      <c r="F6" s="140" t="s">
        <v>160</v>
      </c>
      <c r="G6" s="143">
        <v>5</v>
      </c>
      <c r="H6" s="143">
        <v>4</v>
      </c>
      <c r="I6" s="143">
        <f t="shared" ref="I6:I13" si="0">+G6*H6</f>
        <v>20</v>
      </c>
      <c r="J6" s="141">
        <f>3000000/(8*30)</f>
        <v>12500</v>
      </c>
      <c r="K6" s="142">
        <f>J6*I6</f>
        <v>250000</v>
      </c>
    </row>
    <row r="7" spans="2:11" x14ac:dyDescent="0.45">
      <c r="B7" s="139" t="s">
        <v>185</v>
      </c>
      <c r="C7" s="140" t="s">
        <v>184</v>
      </c>
      <c r="D7" s="140" t="s">
        <v>183</v>
      </c>
      <c r="E7" s="140" t="s">
        <v>180</v>
      </c>
      <c r="F7" s="140" t="s">
        <v>160</v>
      </c>
      <c r="G7" s="143">
        <v>5</v>
      </c>
      <c r="H7" s="143">
        <v>4</v>
      </c>
      <c r="I7" s="143">
        <f t="shared" si="0"/>
        <v>20</v>
      </c>
      <c r="J7" s="141">
        <f>3500000/(8*30)</f>
        <v>14583.333333333334</v>
      </c>
      <c r="K7" s="142">
        <f>J7*I7</f>
        <v>291666.66666666669</v>
      </c>
    </row>
    <row r="8" spans="2:11" x14ac:dyDescent="0.45">
      <c r="B8" t="s">
        <v>167</v>
      </c>
      <c r="C8" t="s">
        <v>173</v>
      </c>
      <c r="D8" t="s">
        <v>183</v>
      </c>
      <c r="E8" t="s">
        <v>186</v>
      </c>
      <c r="F8" t="s">
        <v>161</v>
      </c>
      <c r="G8" s="3">
        <v>21</v>
      </c>
      <c r="H8" s="3">
        <v>1</v>
      </c>
      <c r="I8" s="3">
        <f t="shared" si="0"/>
        <v>21</v>
      </c>
      <c r="J8" s="136">
        <f>5000000/(8*30)</f>
        <v>20833.333333333332</v>
      </c>
      <c r="K8" s="137">
        <f>J8*I8</f>
        <v>437500</v>
      </c>
    </row>
    <row r="9" spans="2:11" x14ac:dyDescent="0.45">
      <c r="B9" t="s">
        <v>168</v>
      </c>
      <c r="C9" t="s">
        <v>176</v>
      </c>
      <c r="D9" t="s">
        <v>183</v>
      </c>
      <c r="E9" t="s">
        <v>186</v>
      </c>
      <c r="F9" t="s">
        <v>161</v>
      </c>
      <c r="G9" s="3">
        <v>21</v>
      </c>
      <c r="H9" s="3">
        <v>2</v>
      </c>
      <c r="I9" s="3">
        <f t="shared" si="0"/>
        <v>42</v>
      </c>
      <c r="J9" s="136">
        <f t="shared" ref="J9:J16" si="1">4000000/(8*30)</f>
        <v>16666.666666666668</v>
      </c>
      <c r="K9" s="137">
        <f t="shared" ref="K9:K13" si="2">J9*I9</f>
        <v>700000</v>
      </c>
    </row>
    <row r="10" spans="2:11" x14ac:dyDescent="0.45">
      <c r="B10" t="s">
        <v>168</v>
      </c>
      <c r="C10" t="s">
        <v>177</v>
      </c>
      <c r="D10" t="s">
        <v>183</v>
      </c>
      <c r="E10" t="s">
        <v>186</v>
      </c>
      <c r="F10" t="s">
        <v>161</v>
      </c>
      <c r="G10" s="3">
        <v>21</v>
      </c>
      <c r="H10" s="3">
        <v>2</v>
      </c>
      <c r="I10" s="3">
        <f t="shared" si="0"/>
        <v>42</v>
      </c>
      <c r="J10" s="136">
        <f t="shared" si="1"/>
        <v>16666.666666666668</v>
      </c>
      <c r="K10" s="137">
        <f t="shared" si="2"/>
        <v>700000</v>
      </c>
    </row>
    <row r="11" spans="2:11" x14ac:dyDescent="0.45">
      <c r="B11" t="s">
        <v>167</v>
      </c>
      <c r="C11" t="s">
        <v>173</v>
      </c>
      <c r="D11" t="s">
        <v>178</v>
      </c>
      <c r="E11" t="s">
        <v>190</v>
      </c>
      <c r="F11" t="s">
        <v>191</v>
      </c>
      <c r="G11" s="3">
        <v>11</v>
      </c>
      <c r="H11" s="3">
        <v>3</v>
      </c>
      <c r="I11" s="3">
        <f t="shared" si="0"/>
        <v>33</v>
      </c>
      <c r="J11" s="136">
        <f>5000000/(8*30)</f>
        <v>20833.333333333332</v>
      </c>
      <c r="K11" s="137">
        <f t="shared" si="2"/>
        <v>687500</v>
      </c>
    </row>
    <row r="12" spans="2:11" x14ac:dyDescent="0.45">
      <c r="B12" t="s">
        <v>168</v>
      </c>
      <c r="C12" t="s">
        <v>176</v>
      </c>
      <c r="D12" t="s">
        <v>178</v>
      </c>
      <c r="E12" t="s">
        <v>190</v>
      </c>
      <c r="F12" t="s">
        <v>191</v>
      </c>
      <c r="G12" s="3">
        <v>11</v>
      </c>
      <c r="H12" s="3">
        <v>3</v>
      </c>
      <c r="I12" s="3">
        <f t="shared" si="0"/>
        <v>33</v>
      </c>
      <c r="J12" s="136">
        <f t="shared" si="1"/>
        <v>16666.666666666668</v>
      </c>
      <c r="K12" s="137">
        <f t="shared" si="2"/>
        <v>550000</v>
      </c>
    </row>
    <row r="13" spans="2:11" x14ac:dyDescent="0.45">
      <c r="B13" t="s">
        <v>168</v>
      </c>
      <c r="C13" t="s">
        <v>177</v>
      </c>
      <c r="D13" t="s">
        <v>178</v>
      </c>
      <c r="E13" t="s">
        <v>190</v>
      </c>
      <c r="F13" t="s">
        <v>191</v>
      </c>
      <c r="G13" s="3">
        <v>11</v>
      </c>
      <c r="H13" s="3">
        <v>3</v>
      </c>
      <c r="I13" s="3">
        <f t="shared" si="0"/>
        <v>33</v>
      </c>
      <c r="J13" s="136">
        <f t="shared" si="1"/>
        <v>16666.666666666668</v>
      </c>
      <c r="K13" s="137">
        <f t="shared" si="2"/>
        <v>550000</v>
      </c>
    </row>
    <row r="14" spans="2:11" x14ac:dyDescent="0.45">
      <c r="B14" t="s">
        <v>167</v>
      </c>
      <c r="C14" t="s">
        <v>173</v>
      </c>
      <c r="D14" t="s">
        <v>178</v>
      </c>
      <c r="E14" t="s">
        <v>197</v>
      </c>
      <c r="F14" t="s">
        <v>191</v>
      </c>
      <c r="G14" s="3">
        <v>10</v>
      </c>
      <c r="H14" s="3">
        <v>3</v>
      </c>
      <c r="I14" s="3">
        <f t="shared" ref="I14:I18" si="3">+G14*H14</f>
        <v>30</v>
      </c>
      <c r="J14" s="136">
        <f>5000000/(8*30)</f>
        <v>20833.333333333332</v>
      </c>
      <c r="K14" s="137">
        <f t="shared" ref="K14:K16" si="4">J14*I14</f>
        <v>625000</v>
      </c>
    </row>
    <row r="15" spans="2:11" x14ac:dyDescent="0.45">
      <c r="B15" t="s">
        <v>168</v>
      </c>
      <c r="C15" t="s">
        <v>176</v>
      </c>
      <c r="D15" t="s">
        <v>178</v>
      </c>
      <c r="E15" t="s">
        <v>197</v>
      </c>
      <c r="F15" t="s">
        <v>191</v>
      </c>
      <c r="G15" s="3">
        <v>10</v>
      </c>
      <c r="H15" s="3">
        <v>3</v>
      </c>
      <c r="I15" s="3">
        <f t="shared" si="3"/>
        <v>30</v>
      </c>
      <c r="J15" s="136">
        <f t="shared" si="1"/>
        <v>16666.666666666668</v>
      </c>
      <c r="K15" s="137">
        <f t="shared" si="4"/>
        <v>500000.00000000006</v>
      </c>
    </row>
    <row r="16" spans="2:11" x14ac:dyDescent="0.45">
      <c r="B16" t="s">
        <v>168</v>
      </c>
      <c r="C16" t="s">
        <v>177</v>
      </c>
      <c r="D16" t="s">
        <v>178</v>
      </c>
      <c r="E16" t="s">
        <v>197</v>
      </c>
      <c r="F16" t="s">
        <v>191</v>
      </c>
      <c r="G16" s="3">
        <v>10</v>
      </c>
      <c r="H16" s="3">
        <v>3</v>
      </c>
      <c r="I16" s="3">
        <f t="shared" si="3"/>
        <v>30</v>
      </c>
      <c r="J16" s="136">
        <f t="shared" si="1"/>
        <v>16666.666666666668</v>
      </c>
      <c r="K16" s="137">
        <f t="shared" si="4"/>
        <v>500000.00000000006</v>
      </c>
    </row>
    <row r="17" spans="2:11" x14ac:dyDescent="0.45">
      <c r="B17" s="139" t="s">
        <v>185</v>
      </c>
      <c r="C17" s="140" t="s">
        <v>184</v>
      </c>
      <c r="D17" s="140" t="s">
        <v>183</v>
      </c>
      <c r="E17" s="140" t="s">
        <v>197</v>
      </c>
      <c r="F17" s="140" t="s">
        <v>191</v>
      </c>
      <c r="G17" s="143">
        <v>10</v>
      </c>
      <c r="H17" s="143">
        <v>3</v>
      </c>
      <c r="I17" s="143">
        <f t="shared" si="3"/>
        <v>30</v>
      </c>
      <c r="J17" s="141">
        <f>3500000/(8*30)</f>
        <v>14583.333333333334</v>
      </c>
      <c r="K17" s="142">
        <f>J17*I17</f>
        <v>437500</v>
      </c>
    </row>
    <row r="18" spans="2:11" x14ac:dyDescent="0.45">
      <c r="B18" t="s">
        <v>167</v>
      </c>
      <c r="C18" t="s">
        <v>173</v>
      </c>
      <c r="D18" t="s">
        <v>183</v>
      </c>
      <c r="E18" t="s">
        <v>198</v>
      </c>
      <c r="F18" t="s">
        <v>199</v>
      </c>
      <c r="G18" s="3">
        <v>4</v>
      </c>
      <c r="H18" s="3">
        <v>4</v>
      </c>
      <c r="I18" s="3">
        <f t="shared" si="3"/>
        <v>16</v>
      </c>
      <c r="J18" s="136">
        <f>5000000/(8*30)</f>
        <v>20833.333333333332</v>
      </c>
      <c r="K18" s="137">
        <f t="shared" ref="K18:K22" si="5">J18*I18</f>
        <v>333333.33333333331</v>
      </c>
    </row>
    <row r="19" spans="2:11" x14ac:dyDescent="0.45">
      <c r="B19" t="s">
        <v>168</v>
      </c>
      <c r="C19" t="s">
        <v>176</v>
      </c>
      <c r="D19" t="s">
        <v>183</v>
      </c>
      <c r="E19" t="s">
        <v>198</v>
      </c>
      <c r="F19" t="s">
        <v>199</v>
      </c>
      <c r="G19" s="3">
        <v>4</v>
      </c>
      <c r="H19" s="3">
        <v>4</v>
      </c>
      <c r="I19" s="3">
        <f t="shared" ref="I19:I22" si="6">+G19*H19</f>
        <v>16</v>
      </c>
      <c r="J19" s="136">
        <f t="shared" ref="J19:J20" si="7">4000000/(8*30)</f>
        <v>16666.666666666668</v>
      </c>
      <c r="K19" s="137">
        <f t="shared" si="5"/>
        <v>266666.66666666669</v>
      </c>
    </row>
    <row r="20" spans="2:11" x14ac:dyDescent="0.45">
      <c r="B20" t="s">
        <v>168</v>
      </c>
      <c r="C20" t="s">
        <v>177</v>
      </c>
      <c r="D20" t="s">
        <v>183</v>
      </c>
      <c r="E20" t="s">
        <v>198</v>
      </c>
      <c r="F20" t="s">
        <v>199</v>
      </c>
      <c r="G20" s="3">
        <v>4</v>
      </c>
      <c r="H20" s="3">
        <v>4</v>
      </c>
      <c r="I20" s="3">
        <f t="shared" si="6"/>
        <v>16</v>
      </c>
      <c r="J20" s="136">
        <f t="shared" si="7"/>
        <v>16666.666666666668</v>
      </c>
      <c r="K20" s="137">
        <f t="shared" si="5"/>
        <v>266666.66666666669</v>
      </c>
    </row>
    <row r="21" spans="2:11" x14ac:dyDescent="0.45">
      <c r="B21" s="139" t="s">
        <v>185</v>
      </c>
      <c r="C21" s="140" t="s">
        <v>184</v>
      </c>
      <c r="D21" s="140" t="s">
        <v>183</v>
      </c>
      <c r="E21" s="140" t="s">
        <v>200</v>
      </c>
      <c r="F21" s="140" t="s">
        <v>199</v>
      </c>
      <c r="G21" s="3">
        <v>4</v>
      </c>
      <c r="H21" s="143">
        <v>4</v>
      </c>
      <c r="I21" s="143">
        <f t="shared" si="6"/>
        <v>16</v>
      </c>
      <c r="J21" s="141">
        <f>3500000/(8*30)</f>
        <v>14583.333333333334</v>
      </c>
      <c r="K21" s="142">
        <f t="shared" si="5"/>
        <v>233333.33333333334</v>
      </c>
    </row>
    <row r="22" spans="2:11" x14ac:dyDescent="0.45">
      <c r="B22" s="139" t="s">
        <v>181</v>
      </c>
      <c r="C22" s="140" t="s">
        <v>182</v>
      </c>
      <c r="D22" s="140" t="s">
        <v>183</v>
      </c>
      <c r="E22" s="140" t="s">
        <v>200</v>
      </c>
      <c r="F22" s="140" t="s">
        <v>199</v>
      </c>
      <c r="G22" s="3">
        <v>4</v>
      </c>
      <c r="H22" s="143">
        <v>4</v>
      </c>
      <c r="I22" s="143">
        <f t="shared" si="6"/>
        <v>16</v>
      </c>
      <c r="J22" s="141">
        <f>3000000/(8*30)</f>
        <v>12500</v>
      </c>
      <c r="K22" s="142">
        <f t="shared" si="5"/>
        <v>200000</v>
      </c>
    </row>
    <row r="23" spans="2:11" x14ac:dyDescent="0.45">
      <c r="K23" s="138">
        <f>SUM(K5:K22)</f>
        <v>9029166.6666666679</v>
      </c>
    </row>
    <row r="27" spans="2:11" x14ac:dyDescent="0.45">
      <c r="C27" t="s">
        <v>192</v>
      </c>
    </row>
    <row r="28" spans="2:11" x14ac:dyDescent="0.45">
      <c r="C28" t="s">
        <v>193</v>
      </c>
      <c r="D28" t="s">
        <v>194</v>
      </c>
      <c r="E28" t="s">
        <v>195</v>
      </c>
    </row>
    <row r="29" spans="2:11" x14ac:dyDescent="0.45">
      <c r="C29" t="s">
        <v>193</v>
      </c>
      <c r="D29" t="s">
        <v>196</v>
      </c>
      <c r="E29" t="s">
        <v>197</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ADC5-A109-457B-9465-BE4F2E22CBDA}">
  <dimension ref="B2:B5"/>
  <sheetViews>
    <sheetView workbookViewId="0">
      <selection activeCell="G26" sqref="G26"/>
    </sheetView>
  </sheetViews>
  <sheetFormatPr baseColWidth="10" defaultRowHeight="14.25" x14ac:dyDescent="0.45"/>
  <sheetData>
    <row r="2" spans="2:2" x14ac:dyDescent="0.45">
      <c r="B2" t="s">
        <v>231</v>
      </c>
    </row>
    <row r="3" spans="2:2" x14ac:dyDescent="0.45">
      <c r="B3" t="s">
        <v>232</v>
      </c>
    </row>
    <row r="4" spans="2:2" x14ac:dyDescent="0.45">
      <c r="B4" t="s">
        <v>233</v>
      </c>
    </row>
    <row r="5" spans="2:2" x14ac:dyDescent="0.45">
      <c r="B5" t="s">
        <v>234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da73385-7241-44c5-805b-3cd95cd45358">
      <Terms xmlns="http://schemas.microsoft.com/office/infopath/2007/PartnerControls"/>
    </lcf76f155ced4ddcb4097134ff3c332f>
    <TaxCatchAll xmlns="360fbbdc-43a3-4ee6-8ca5-2e2ee011e79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3497B84F672446BFB69CA42E881B66" ma:contentTypeVersion="8" ma:contentTypeDescription="Create a new document." ma:contentTypeScope="" ma:versionID="5b9aa3728e669cb26f5e945b565ff722">
  <xsd:schema xmlns:xsd="http://www.w3.org/2001/XMLSchema" xmlns:xs="http://www.w3.org/2001/XMLSchema" xmlns:p="http://schemas.microsoft.com/office/2006/metadata/properties" xmlns:ns2="ada73385-7241-44c5-805b-3cd95cd45358" xmlns:ns3="360fbbdc-43a3-4ee6-8ca5-2e2ee011e794" targetNamespace="http://schemas.microsoft.com/office/2006/metadata/properties" ma:root="true" ma:fieldsID="6a92c0cf3031df33ad66a80ffa6f8290" ns2:_="" ns3:_="">
    <xsd:import namespace="ada73385-7241-44c5-805b-3cd95cd45358"/>
    <xsd:import namespace="360fbbdc-43a3-4ee6-8ca5-2e2ee011e79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a73385-7241-44c5-805b-3cd95cd453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0fbbdc-43a3-4ee6-8ca5-2e2ee011e79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9bdcf33-c335-4b62-98a6-f1f05613c042}" ma:internalName="TaxCatchAll" ma:showField="CatchAllData" ma:web="360fbbdc-43a3-4ee6-8ca5-2e2ee011e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1ADACE-4C03-4B83-911E-042181ED258C}">
  <ds:schemaRefs>
    <ds:schemaRef ds:uri="http://schemas.microsoft.com/sharepoint/v3/contenttype/forms"/>
  </ds:schemaRefs>
</ds:datastoreItem>
</file>

<file path=customXml/itemProps2.xml><?xml version="1.0" encoding="utf-8"?>
<ds:datastoreItem xmlns:ds="http://schemas.openxmlformats.org/officeDocument/2006/customXml" ds:itemID="{8F5ED17D-8E13-4CB0-AFBE-1D1877E6027D}">
  <ds:schemaRefs>
    <ds:schemaRef ds:uri="http://www.w3.org/XML/1998/namespace"/>
    <ds:schemaRef ds:uri="http://schemas.microsoft.com/office/infopath/2007/PartnerControls"/>
    <ds:schemaRef ds:uri="http://purl.org/dc/elements/1.1/"/>
    <ds:schemaRef ds:uri="http://schemas.openxmlformats.org/package/2006/metadata/core-properties"/>
    <ds:schemaRef ds:uri="http://purl.org/dc/terms/"/>
    <ds:schemaRef ds:uri="http://schemas.microsoft.com/office/2006/documentManagement/types"/>
    <ds:schemaRef ds:uri="http://schemas.microsoft.com/office/2006/metadata/properties"/>
    <ds:schemaRef ds:uri="ada73385-7241-44c5-805b-3cd95cd45358"/>
    <ds:schemaRef ds:uri="360fbbdc-43a3-4ee6-8ca5-2e2ee011e794"/>
    <ds:schemaRef ds:uri="http://purl.org/dc/dcmitype/"/>
  </ds:schemaRefs>
</ds:datastoreItem>
</file>

<file path=customXml/itemProps3.xml><?xml version="1.0" encoding="utf-8"?>
<ds:datastoreItem xmlns:ds="http://schemas.openxmlformats.org/officeDocument/2006/customXml" ds:itemID="{8083E2DD-D444-4AB1-95F3-AA5581B11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a73385-7241-44c5-805b-3cd95cd45358"/>
    <ds:schemaRef ds:uri="360fbbdc-43a3-4ee6-8ca5-2e2ee011e7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PRESUPUESTO MAESTRO (2)</vt:lpstr>
      <vt:lpstr>ENTREGABLES</vt:lpstr>
      <vt:lpstr>ACTIVIDADES</vt:lpstr>
      <vt:lpstr>ESTIMACIÓN DE COSTOS</vt:lpstr>
      <vt:lpstr>PRESUPUESTO DEL PROYECTO</vt:lpstr>
      <vt:lpstr>RESUMEN PRESUPUESTO</vt:lpstr>
      <vt:lpstr>RESUMEN PRESUPUESTO.</vt:lpstr>
      <vt:lpstr>Hoja3</vt:lpstr>
      <vt:lpstr>Hoja1</vt:lpstr>
      <vt:lpstr>PRESUPUESTO NOMINA PERSONAL con</vt:lpstr>
      <vt:lpstr>PRESUPUESTO MAESTRO contingenci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JefeFinanciera</dc:creator>
  <cp:keywords/>
  <dc:description/>
  <cp:lastModifiedBy>ADA ESMERALDA POSADA BELTRAN</cp:lastModifiedBy>
  <cp:revision/>
  <dcterms:created xsi:type="dcterms:W3CDTF">2023-03-25T15:10:49Z</dcterms:created>
  <dcterms:modified xsi:type="dcterms:W3CDTF">2023-11-27T00:07:01Z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0x0101005E3497B84F672446BFB69CA42E881B66</vt:lpwstr>
  </property>
  <property fmtid="{D5CDD505-2E9C-101B-9397-08002B2CF9AE}" pid="3" name="MediaServiceImageTags">
    <vt:lpwstr/>
  </property>
</Properties>
</file>