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19440" windowHeight="15480" tabRatio="858" activeTab="5"/>
  </bookViews>
  <sheets>
    <sheet name="Ratios" sheetId="15" r:id="rId1"/>
    <sheet name="Punto de equilibrio" sheetId="14" r:id="rId2"/>
    <sheet name="Cta resultados 5 años" sheetId="13" r:id="rId3"/>
    <sheet name="Flujo de caja primer año" sheetId="12" r:id="rId4"/>
    <sheet name="Previsión inicial de inv." sheetId="1" r:id="rId5"/>
    <sheet name="Costos Mercadeo" sheetId="16" r:id="rId6"/>
    <sheet name="Ppto ventas" sheetId="10" r:id="rId7"/>
    <sheet name="Salarios" sheetId="9" r:id="rId8"/>
    <sheet name="Comparativo de costes" sheetId="6" r:id="rId9"/>
    <sheet name="ppto costes variables" sheetId="11" r:id="rId10"/>
    <sheet name="Amortización prestamo" sheetId="8" r:id="rId11"/>
    <sheet name="Depreciación" sheetId="7" r:id="rId12"/>
    <sheet name="Infraestructura" sheetId="2" r:id="rId13"/>
    <sheet name="Existencias iniciales" sheetId="3" r:id="rId14"/>
    <sheet name="Dotación inicial" sheetId="4" r:id="rId15"/>
    <sheet name="Costes de producción" sheetId="17" r:id="rId16"/>
  </sheets>
  <externalReferences>
    <externalReference r:id="rId17"/>
    <externalReference r:id="rId18"/>
  </externalReferences>
  <definedNames>
    <definedName name="_xlnm._FilterDatabase" localSheetId="8" hidden="1">'Comparativo de costes'!$A$1:$J$32</definedName>
  </definedNames>
  <calcPr calcId="145621" concurrentCalc="0"/>
  <pivotCaches>
    <pivotCache cacheId="0" r:id="rId19"/>
    <pivotCache cacheId="1" r:id="rId20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" i="10" l="1"/>
  <c r="E17" i="10"/>
  <c r="D18" i="10"/>
  <c r="E18" i="10"/>
  <c r="E19" i="10"/>
  <c r="C2" i="10"/>
  <c r="E13" i="10"/>
  <c r="D14" i="10"/>
  <c r="E14" i="10"/>
  <c r="E15" i="10"/>
  <c r="E21" i="10"/>
  <c r="D2" i="16"/>
  <c r="D7" i="16"/>
  <c r="F17" i="10"/>
  <c r="F18" i="10"/>
  <c r="F19" i="10"/>
  <c r="F13" i="10"/>
  <c r="F14" i="10"/>
  <c r="F15" i="10"/>
  <c r="F21" i="10"/>
  <c r="E2" i="16"/>
  <c r="E7" i="16"/>
  <c r="G17" i="10"/>
  <c r="G18" i="10"/>
  <c r="G19" i="10"/>
  <c r="G13" i="10"/>
  <c r="G14" i="10"/>
  <c r="G15" i="10"/>
  <c r="G21" i="10"/>
  <c r="F2" i="16"/>
  <c r="F7" i="16"/>
  <c r="H17" i="10"/>
  <c r="H18" i="10"/>
  <c r="H19" i="10"/>
  <c r="H13" i="10"/>
  <c r="H14" i="10"/>
  <c r="H15" i="10"/>
  <c r="H21" i="10"/>
  <c r="G2" i="16"/>
  <c r="G7" i="16"/>
  <c r="I17" i="10"/>
  <c r="I18" i="10"/>
  <c r="I19" i="10"/>
  <c r="I13" i="10"/>
  <c r="I14" i="10"/>
  <c r="I15" i="10"/>
  <c r="I21" i="10"/>
  <c r="H2" i="16"/>
  <c r="H7" i="16"/>
  <c r="J17" i="10"/>
  <c r="J18" i="10"/>
  <c r="J19" i="10"/>
  <c r="J13" i="10"/>
  <c r="J14" i="10"/>
  <c r="J15" i="10"/>
  <c r="J21" i="10"/>
  <c r="I2" i="16"/>
  <c r="I7" i="16"/>
  <c r="K17" i="10"/>
  <c r="K18" i="10"/>
  <c r="K19" i="10"/>
  <c r="K13" i="10"/>
  <c r="K14" i="10"/>
  <c r="K15" i="10"/>
  <c r="K21" i="10"/>
  <c r="J2" i="16"/>
  <c r="J7" i="16"/>
  <c r="L17" i="10"/>
  <c r="L18" i="10"/>
  <c r="L19" i="10"/>
  <c r="L13" i="10"/>
  <c r="L14" i="10"/>
  <c r="L15" i="10"/>
  <c r="L21" i="10"/>
  <c r="K2" i="16"/>
  <c r="K7" i="16"/>
  <c r="M17" i="10"/>
  <c r="M18" i="10"/>
  <c r="M19" i="10"/>
  <c r="M13" i="10"/>
  <c r="M14" i="10"/>
  <c r="M15" i="10"/>
  <c r="M21" i="10"/>
  <c r="L2" i="16"/>
  <c r="L7" i="16"/>
  <c r="N17" i="10"/>
  <c r="N18" i="10"/>
  <c r="N19" i="10"/>
  <c r="N13" i="10"/>
  <c r="N14" i="10"/>
  <c r="N15" i="10"/>
  <c r="N21" i="10"/>
  <c r="M2" i="16"/>
  <c r="M7" i="16"/>
  <c r="O17" i="10"/>
  <c r="O18" i="10"/>
  <c r="O19" i="10"/>
  <c r="O13" i="10"/>
  <c r="O14" i="10"/>
  <c r="O15" i="10"/>
  <c r="O21" i="10"/>
  <c r="N2" i="16"/>
  <c r="N7" i="16"/>
  <c r="C23" i="16"/>
  <c r="C24" i="16"/>
  <c r="C25" i="16"/>
  <c r="C22" i="16"/>
  <c r="C26" i="16"/>
  <c r="D6" i="2"/>
  <c r="H6" i="2"/>
  <c r="D7" i="2"/>
  <c r="H7" i="2"/>
  <c r="D8" i="2"/>
  <c r="H8" i="2"/>
  <c r="D9" i="2"/>
  <c r="H9" i="2"/>
  <c r="D10" i="2"/>
  <c r="H10" i="2"/>
  <c r="H11" i="2"/>
  <c r="I12" i="2"/>
  <c r="D14" i="2"/>
  <c r="H14" i="2"/>
  <c r="D15" i="2"/>
  <c r="H15" i="2"/>
  <c r="D16" i="2"/>
  <c r="H16" i="2"/>
  <c r="D17" i="2"/>
  <c r="H17" i="2"/>
  <c r="H18" i="2"/>
  <c r="D19" i="2"/>
  <c r="H19" i="2"/>
  <c r="I20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I38" i="2"/>
  <c r="H40" i="2"/>
  <c r="H41" i="2"/>
  <c r="H42" i="2"/>
  <c r="I43" i="2"/>
  <c r="D45" i="2"/>
  <c r="H45" i="2"/>
  <c r="D46" i="2"/>
  <c r="H46" i="2"/>
  <c r="D47" i="2"/>
  <c r="H47" i="2"/>
  <c r="D48" i="2"/>
  <c r="H48" i="2"/>
  <c r="I49" i="2"/>
  <c r="D51" i="2"/>
  <c r="H51" i="2"/>
  <c r="I52" i="2"/>
  <c r="H54" i="2"/>
  <c r="H55" i="2"/>
  <c r="I56" i="2"/>
  <c r="D58" i="2"/>
  <c r="H58" i="2"/>
  <c r="D59" i="2"/>
  <c r="H59" i="2"/>
  <c r="H60" i="2"/>
  <c r="I61" i="2"/>
  <c r="H63" i="2"/>
  <c r="D64" i="2"/>
  <c r="H64" i="2"/>
  <c r="I65" i="2"/>
  <c r="D67" i="2"/>
  <c r="H67" i="2"/>
  <c r="D68" i="2"/>
  <c r="H68" i="2"/>
  <c r="I69" i="2"/>
  <c r="D71" i="2"/>
  <c r="H71" i="2"/>
  <c r="H72" i="2"/>
  <c r="I73" i="2"/>
  <c r="D75" i="2"/>
  <c r="H75" i="2"/>
  <c r="D76" i="2"/>
  <c r="H76" i="2"/>
  <c r="D77" i="2"/>
  <c r="H77" i="2"/>
  <c r="D78" i="2"/>
  <c r="H78" i="2"/>
  <c r="I79" i="2"/>
  <c r="H81" i="2"/>
  <c r="D82" i="2"/>
  <c r="H82" i="2"/>
  <c r="D83" i="2"/>
  <c r="H83" i="2"/>
  <c r="I84" i="2"/>
  <c r="D86" i="2"/>
  <c r="H86" i="2"/>
  <c r="D87" i="2"/>
  <c r="H87" i="2"/>
  <c r="I88" i="2"/>
  <c r="H90" i="2"/>
  <c r="I91" i="2"/>
  <c r="D93" i="2"/>
  <c r="H93" i="2"/>
  <c r="D94" i="2"/>
  <c r="H94" i="2"/>
  <c r="D95" i="2"/>
  <c r="H95" i="2"/>
  <c r="I96" i="2"/>
  <c r="H99" i="2"/>
  <c r="H100" i="2"/>
  <c r="H101" i="2"/>
  <c r="H102" i="2"/>
  <c r="H103" i="2"/>
  <c r="H104" i="2"/>
  <c r="H105" i="2"/>
  <c r="I106" i="2"/>
  <c r="D108" i="2"/>
  <c r="H108" i="2"/>
  <c r="H109" i="2"/>
  <c r="H110" i="2"/>
  <c r="H111" i="2"/>
  <c r="H112" i="2"/>
  <c r="H113" i="2"/>
  <c r="H114" i="2"/>
  <c r="H115" i="2"/>
  <c r="H116" i="2"/>
  <c r="H117" i="2"/>
  <c r="H118" i="2"/>
  <c r="I119" i="2"/>
  <c r="H121" i="2"/>
  <c r="H122" i="2"/>
  <c r="H123" i="2"/>
  <c r="H124" i="2"/>
  <c r="I125" i="2"/>
  <c r="H127" i="2"/>
  <c r="D128" i="2"/>
  <c r="H128" i="2"/>
  <c r="H129" i="2"/>
  <c r="H130" i="2"/>
  <c r="H131" i="2"/>
  <c r="I132" i="2"/>
  <c r="D134" i="2"/>
  <c r="H134" i="2"/>
  <c r="D135" i="2"/>
  <c r="H135" i="2"/>
  <c r="D136" i="2"/>
  <c r="H136" i="2"/>
  <c r="H137" i="2"/>
  <c r="H138" i="2"/>
  <c r="I139" i="2"/>
  <c r="H141" i="2"/>
  <c r="H142" i="2"/>
  <c r="H143" i="2"/>
  <c r="H144" i="2"/>
  <c r="H145" i="2"/>
  <c r="H146" i="2"/>
  <c r="H147" i="2"/>
  <c r="H148" i="2"/>
  <c r="H149" i="2"/>
  <c r="I150" i="2"/>
  <c r="H152" i="2"/>
  <c r="H153" i="2"/>
  <c r="H154" i="2"/>
  <c r="H155" i="2"/>
  <c r="I156" i="2"/>
  <c r="H158" i="2"/>
  <c r="H159" i="2"/>
  <c r="H160" i="2"/>
  <c r="I161" i="2"/>
  <c r="H163" i="2"/>
  <c r="I164" i="2"/>
  <c r="H166" i="2"/>
  <c r="H167" i="2"/>
  <c r="H168" i="2"/>
  <c r="H169" i="2"/>
  <c r="I170" i="2"/>
  <c r="H172" i="2"/>
  <c r="I173" i="2"/>
  <c r="D175" i="2"/>
  <c r="H175" i="2"/>
  <c r="H176" i="2"/>
  <c r="H177" i="2"/>
  <c r="H178" i="2"/>
  <c r="H179" i="2"/>
  <c r="H180" i="2"/>
  <c r="H181" i="2"/>
  <c r="H182" i="2"/>
  <c r="H183" i="2"/>
  <c r="H184" i="2"/>
  <c r="H185" i="2"/>
  <c r="I186" i="2"/>
  <c r="D188" i="2"/>
  <c r="H188" i="2"/>
  <c r="D189" i="2"/>
  <c r="H189" i="2"/>
  <c r="D190" i="2"/>
  <c r="H190" i="2"/>
  <c r="D191" i="2"/>
  <c r="H191" i="2"/>
  <c r="D192" i="2"/>
  <c r="H192" i="2"/>
  <c r="D193" i="2"/>
  <c r="H193" i="2"/>
  <c r="D194" i="2"/>
  <c r="H194" i="2"/>
  <c r="D195" i="2"/>
  <c r="H195" i="2"/>
  <c r="D196" i="2"/>
  <c r="H196" i="2"/>
  <c r="H197" i="2"/>
  <c r="H198" i="2"/>
  <c r="I199" i="2"/>
  <c r="D202" i="2"/>
  <c r="H202" i="2"/>
  <c r="D203" i="2"/>
  <c r="H203" i="2"/>
  <c r="I204" i="2"/>
  <c r="D206" i="2"/>
  <c r="H206" i="2"/>
  <c r="I207" i="2"/>
  <c r="D209" i="2"/>
  <c r="H209" i="2"/>
  <c r="D210" i="2"/>
  <c r="H210" i="2"/>
  <c r="I211" i="2"/>
  <c r="D214" i="2"/>
  <c r="H214" i="2"/>
  <c r="D215" i="2"/>
  <c r="H215" i="2"/>
  <c r="D216" i="2"/>
  <c r="H216" i="2"/>
  <c r="I217" i="2"/>
  <c r="D219" i="2"/>
  <c r="H219" i="2"/>
  <c r="D220" i="2"/>
  <c r="H220" i="2"/>
  <c r="H221" i="2"/>
  <c r="I222" i="2"/>
  <c r="H224" i="2"/>
  <c r="H225" i="2"/>
  <c r="I226" i="2"/>
  <c r="H228" i="2"/>
  <c r="H229" i="2"/>
  <c r="H230" i="2"/>
  <c r="H231" i="2"/>
  <c r="H232" i="2"/>
  <c r="H233" i="2"/>
  <c r="H234" i="2"/>
  <c r="I235" i="2"/>
  <c r="H237" i="2"/>
  <c r="H238" i="2"/>
  <c r="I239" i="2"/>
  <c r="H241" i="2"/>
  <c r="H242" i="2"/>
  <c r="I243" i="2"/>
  <c r="D245" i="2"/>
  <c r="H245" i="2"/>
  <c r="I246" i="2"/>
  <c r="D248" i="2"/>
  <c r="H248" i="2"/>
  <c r="D249" i="2"/>
  <c r="H249" i="2"/>
  <c r="D250" i="2"/>
  <c r="H250" i="2"/>
  <c r="H251" i="2"/>
  <c r="H252" i="2"/>
  <c r="H253" i="2"/>
  <c r="H254" i="2"/>
  <c r="I255" i="2"/>
  <c r="H257" i="2"/>
  <c r="H258" i="2"/>
  <c r="D259" i="2"/>
  <c r="H259" i="2"/>
  <c r="H260" i="2"/>
  <c r="I261" i="2"/>
  <c r="H263" i="2"/>
  <c r="D264" i="2"/>
  <c r="H264" i="2"/>
  <c r="I265" i="2"/>
  <c r="H267" i="2"/>
  <c r="I268" i="2"/>
  <c r="D276" i="2"/>
  <c r="H276" i="2"/>
  <c r="D277" i="2"/>
  <c r="H277" i="2"/>
  <c r="H278" i="2"/>
  <c r="H279" i="2"/>
  <c r="H280" i="2"/>
  <c r="H281" i="2"/>
  <c r="H282" i="2"/>
  <c r="H283" i="2"/>
  <c r="H284" i="2"/>
  <c r="H285" i="2"/>
  <c r="I286" i="2"/>
  <c r="H287" i="2"/>
  <c r="H288" i="2"/>
  <c r="H289" i="2"/>
  <c r="H290" i="2"/>
  <c r="H291" i="2"/>
  <c r="H293" i="2"/>
  <c r="C6" i="1"/>
  <c r="C7" i="1"/>
  <c r="C4" i="1"/>
  <c r="C12" i="1"/>
  <c r="C13" i="1"/>
  <c r="C11" i="1"/>
  <c r="C14" i="1"/>
  <c r="C15" i="1"/>
  <c r="C22" i="1"/>
  <c r="C21" i="1"/>
  <c r="C20" i="1"/>
  <c r="C4" i="15"/>
  <c r="D17" i="10"/>
  <c r="D19" i="10"/>
  <c r="D13" i="10"/>
  <c r="D15" i="10"/>
  <c r="D21" i="10"/>
  <c r="C3" i="13"/>
  <c r="C35" i="11"/>
  <c r="C36" i="11"/>
  <c r="C37" i="11"/>
  <c r="C38" i="11"/>
  <c r="C27" i="11"/>
  <c r="E10" i="11"/>
  <c r="F10" i="11"/>
  <c r="E11" i="11"/>
  <c r="F11" i="11"/>
  <c r="E12" i="11"/>
  <c r="F12" i="11"/>
  <c r="F13" i="11"/>
  <c r="C28" i="11"/>
  <c r="C29" i="11"/>
  <c r="C23" i="11"/>
  <c r="E5" i="11"/>
  <c r="F5" i="11"/>
  <c r="E6" i="11"/>
  <c r="F6" i="11"/>
  <c r="E7" i="11"/>
  <c r="F7" i="11"/>
  <c r="F8" i="11"/>
  <c r="C24" i="11"/>
  <c r="C25" i="11"/>
  <c r="C31" i="11"/>
  <c r="C42" i="11"/>
  <c r="E44" i="11"/>
  <c r="D35" i="11"/>
  <c r="D36" i="11"/>
  <c r="D37" i="11"/>
  <c r="D38" i="11"/>
  <c r="D27" i="11"/>
  <c r="D28" i="11"/>
  <c r="D29" i="11"/>
  <c r="D23" i="11"/>
  <c r="D24" i="11"/>
  <c r="D25" i="11"/>
  <c r="D31" i="11"/>
  <c r="D42" i="11"/>
  <c r="F44" i="11"/>
  <c r="E35" i="11"/>
  <c r="E36" i="11"/>
  <c r="E37" i="11"/>
  <c r="E38" i="11"/>
  <c r="E27" i="11"/>
  <c r="E28" i="11"/>
  <c r="E29" i="11"/>
  <c r="E23" i="11"/>
  <c r="E24" i="11"/>
  <c r="E25" i="11"/>
  <c r="E31" i="11"/>
  <c r="E42" i="11"/>
  <c r="G44" i="11"/>
  <c r="F35" i="11"/>
  <c r="F36" i="11"/>
  <c r="F37" i="11"/>
  <c r="F38" i="11"/>
  <c r="F27" i="11"/>
  <c r="F28" i="11"/>
  <c r="F29" i="11"/>
  <c r="F23" i="11"/>
  <c r="F24" i="11"/>
  <c r="F25" i="11"/>
  <c r="F31" i="11"/>
  <c r="F42" i="11"/>
  <c r="H44" i="11"/>
  <c r="G35" i="11"/>
  <c r="G36" i="11"/>
  <c r="G37" i="11"/>
  <c r="G38" i="11"/>
  <c r="G27" i="11"/>
  <c r="G28" i="11"/>
  <c r="G29" i="11"/>
  <c r="G23" i="11"/>
  <c r="G24" i="11"/>
  <c r="G25" i="11"/>
  <c r="G31" i="11"/>
  <c r="G42" i="11"/>
  <c r="I44" i="11"/>
  <c r="H35" i="11"/>
  <c r="H36" i="11"/>
  <c r="H37" i="11"/>
  <c r="H38" i="11"/>
  <c r="H27" i="11"/>
  <c r="H28" i="11"/>
  <c r="H29" i="11"/>
  <c r="H23" i="11"/>
  <c r="H24" i="11"/>
  <c r="H25" i="11"/>
  <c r="H31" i="11"/>
  <c r="H42" i="11"/>
  <c r="J44" i="11"/>
  <c r="I35" i="11"/>
  <c r="I36" i="11"/>
  <c r="I37" i="11"/>
  <c r="I38" i="11"/>
  <c r="I27" i="11"/>
  <c r="I28" i="11"/>
  <c r="I29" i="11"/>
  <c r="I23" i="11"/>
  <c r="I24" i="11"/>
  <c r="I25" i="11"/>
  <c r="I31" i="11"/>
  <c r="I42" i="11"/>
  <c r="K44" i="11"/>
  <c r="J35" i="11"/>
  <c r="J36" i="11"/>
  <c r="J37" i="11"/>
  <c r="J38" i="11"/>
  <c r="J27" i="11"/>
  <c r="J28" i="11"/>
  <c r="J29" i="11"/>
  <c r="J23" i="11"/>
  <c r="J24" i="11"/>
  <c r="J25" i="11"/>
  <c r="J31" i="11"/>
  <c r="J42" i="11"/>
  <c r="L44" i="11"/>
  <c r="K35" i="11"/>
  <c r="K36" i="11"/>
  <c r="K37" i="11"/>
  <c r="K38" i="11"/>
  <c r="K27" i="11"/>
  <c r="K28" i="11"/>
  <c r="K29" i="11"/>
  <c r="K23" i="11"/>
  <c r="K24" i="11"/>
  <c r="K25" i="11"/>
  <c r="K31" i="11"/>
  <c r="K42" i="11"/>
  <c r="M44" i="11"/>
  <c r="L35" i="11"/>
  <c r="L36" i="11"/>
  <c r="L37" i="11"/>
  <c r="L38" i="11"/>
  <c r="L27" i="11"/>
  <c r="L28" i="11"/>
  <c r="L29" i="11"/>
  <c r="L23" i="11"/>
  <c r="L24" i="11"/>
  <c r="L25" i="11"/>
  <c r="L31" i="11"/>
  <c r="L42" i="11"/>
  <c r="N44" i="11"/>
  <c r="C4" i="13"/>
  <c r="C5" i="13"/>
  <c r="E4" i="9"/>
  <c r="E5" i="9"/>
  <c r="E6" i="9"/>
  <c r="E7" i="9"/>
  <c r="E8" i="9"/>
  <c r="E9" i="9"/>
  <c r="E10" i="9"/>
  <c r="E11" i="9"/>
  <c r="E15" i="9"/>
  <c r="D86" i="9"/>
  <c r="E86" i="9"/>
  <c r="M4" i="9"/>
  <c r="M5" i="9"/>
  <c r="M6" i="9"/>
  <c r="M7" i="9"/>
  <c r="M8" i="9"/>
  <c r="M9" i="9"/>
  <c r="M10" i="9"/>
  <c r="M11" i="9"/>
  <c r="M15" i="9"/>
  <c r="D87" i="9"/>
  <c r="E87" i="9"/>
  <c r="E22" i="9"/>
  <c r="E23" i="9"/>
  <c r="E24" i="9"/>
  <c r="E25" i="9"/>
  <c r="E26" i="9"/>
  <c r="E27" i="9"/>
  <c r="E28" i="9"/>
  <c r="E29" i="9"/>
  <c r="E30" i="9"/>
  <c r="E33" i="9"/>
  <c r="D88" i="9"/>
  <c r="E88" i="9"/>
  <c r="M22" i="9"/>
  <c r="M23" i="9"/>
  <c r="M24" i="9"/>
  <c r="M25" i="9"/>
  <c r="M26" i="9"/>
  <c r="M27" i="9"/>
  <c r="M28" i="9"/>
  <c r="M29" i="9"/>
  <c r="M30" i="9"/>
  <c r="M33" i="9"/>
  <c r="D89" i="9"/>
  <c r="E89" i="9"/>
  <c r="E40" i="9"/>
  <c r="E41" i="9"/>
  <c r="E42" i="9"/>
  <c r="E43" i="9"/>
  <c r="E44" i="9"/>
  <c r="E45" i="9"/>
  <c r="E46" i="9"/>
  <c r="E47" i="9"/>
  <c r="E51" i="9"/>
  <c r="D90" i="9"/>
  <c r="E90" i="9"/>
  <c r="E91" i="9"/>
  <c r="B58" i="9"/>
  <c r="E58" i="9"/>
  <c r="E59" i="9"/>
  <c r="E60" i="9"/>
  <c r="E68" i="9"/>
  <c r="D92" i="9"/>
  <c r="E92" i="9"/>
  <c r="M40" i="9"/>
  <c r="M41" i="9"/>
  <c r="M42" i="9"/>
  <c r="M43" i="9"/>
  <c r="M44" i="9"/>
  <c r="M45" i="9"/>
  <c r="M46" i="9"/>
  <c r="M47" i="9"/>
  <c r="M51" i="9"/>
  <c r="D93" i="9"/>
  <c r="E93" i="9"/>
  <c r="E95" i="9"/>
  <c r="F95" i="9"/>
  <c r="C7" i="13"/>
  <c r="C21" i="8"/>
  <c r="C22" i="8"/>
  <c r="C23" i="8"/>
  <c r="C24" i="8"/>
  <c r="C25" i="8"/>
  <c r="C26" i="8"/>
  <c r="C27" i="8"/>
  <c r="C28" i="8"/>
  <c r="C29" i="8"/>
  <c r="C30" i="8"/>
  <c r="C31" i="8"/>
  <c r="C11" i="8"/>
  <c r="C8" i="13"/>
  <c r="C9" i="13"/>
  <c r="H32" i="6"/>
  <c r="J32" i="6"/>
  <c r="C10" i="13"/>
  <c r="C13" i="13"/>
  <c r="C5" i="15"/>
  <c r="E3" i="13"/>
  <c r="M35" i="11"/>
  <c r="M36" i="11"/>
  <c r="M37" i="11"/>
  <c r="M38" i="11"/>
  <c r="M27" i="11"/>
  <c r="M28" i="11"/>
  <c r="M29" i="11"/>
  <c r="M23" i="11"/>
  <c r="M24" i="11"/>
  <c r="M25" i="11"/>
  <c r="M31" i="11"/>
  <c r="M42" i="11"/>
  <c r="O44" i="11"/>
  <c r="N35" i="11"/>
  <c r="N36" i="11"/>
  <c r="N37" i="11"/>
  <c r="N38" i="11"/>
  <c r="N27" i="11"/>
  <c r="N28" i="11"/>
  <c r="N29" i="11"/>
  <c r="N23" i="11"/>
  <c r="N24" i="11"/>
  <c r="N25" i="11"/>
  <c r="N31" i="11"/>
  <c r="N42" i="11"/>
  <c r="P44" i="11"/>
  <c r="E4" i="13"/>
  <c r="E5" i="13"/>
  <c r="E7" i="13"/>
  <c r="E8" i="13"/>
  <c r="E9" i="13"/>
  <c r="E10" i="13"/>
  <c r="E13" i="13"/>
  <c r="C6" i="15"/>
  <c r="H3" i="13"/>
  <c r="H4" i="13"/>
  <c r="H5" i="13"/>
  <c r="H7" i="13"/>
  <c r="H8" i="13"/>
  <c r="H9" i="13"/>
  <c r="H10" i="13"/>
  <c r="H13" i="13"/>
  <c r="C7" i="15"/>
  <c r="C15" i="15"/>
  <c r="K3" i="13"/>
  <c r="K4" i="13"/>
  <c r="K5" i="13"/>
  <c r="K7" i="13"/>
  <c r="K8" i="13"/>
  <c r="K9" i="13"/>
  <c r="K10" i="13"/>
  <c r="K13" i="13"/>
  <c r="F2" i="7"/>
  <c r="F3" i="7"/>
  <c r="F4" i="7"/>
  <c r="F5" i="7"/>
  <c r="F6" i="7"/>
  <c r="F7" i="7"/>
  <c r="F8" i="7"/>
  <c r="F9" i="7"/>
  <c r="B10" i="7"/>
  <c r="F10" i="7"/>
  <c r="F13" i="7"/>
  <c r="C15" i="13"/>
  <c r="H15" i="13"/>
  <c r="K15" i="13"/>
  <c r="K16" i="13"/>
  <c r="C8" i="15"/>
  <c r="N3" i="13"/>
  <c r="N4" i="13"/>
  <c r="N5" i="13"/>
  <c r="N7" i="13"/>
  <c r="N8" i="13"/>
  <c r="N9" i="13"/>
  <c r="N10" i="13"/>
  <c r="N13" i="13"/>
  <c r="N15" i="13"/>
  <c r="N16" i="13"/>
  <c r="C9" i="15"/>
  <c r="C14" i="15"/>
  <c r="D26" i="1"/>
  <c r="C26" i="1"/>
  <c r="D25" i="1"/>
  <c r="D24" i="1"/>
  <c r="D21" i="1"/>
  <c r="D20" i="1"/>
  <c r="B12" i="12"/>
  <c r="B13" i="12"/>
  <c r="B14" i="12"/>
  <c r="B15" i="12"/>
  <c r="C6" i="14"/>
  <c r="H2" i="7"/>
  <c r="H3" i="7"/>
  <c r="H4" i="7"/>
  <c r="H5" i="7"/>
  <c r="H6" i="7"/>
  <c r="H7" i="7"/>
  <c r="H8" i="7"/>
  <c r="H9" i="7"/>
  <c r="H10" i="7"/>
  <c r="E12" i="13"/>
  <c r="H12" i="13"/>
  <c r="N12" i="13"/>
  <c r="K12" i="13"/>
  <c r="O11" i="13"/>
  <c r="P11" i="13"/>
  <c r="O12" i="13"/>
  <c r="P12" i="13"/>
  <c r="L11" i="13"/>
  <c r="M11" i="13"/>
  <c r="L12" i="13"/>
  <c r="M12" i="13"/>
  <c r="I11" i="13"/>
  <c r="J11" i="13"/>
  <c r="I12" i="13"/>
  <c r="J12" i="13"/>
  <c r="F11" i="13"/>
  <c r="G11" i="13"/>
  <c r="F12" i="13"/>
  <c r="G12" i="13"/>
  <c r="D12" i="13"/>
  <c r="D11" i="13"/>
  <c r="D27" i="14"/>
  <c r="D23" i="14"/>
  <c r="M11" i="16"/>
  <c r="L10" i="12"/>
  <c r="N11" i="16"/>
  <c r="M10" i="12"/>
  <c r="O23" i="10"/>
  <c r="M5" i="12"/>
  <c r="N23" i="10"/>
  <c r="L5" i="12"/>
  <c r="L40" i="11"/>
  <c r="L33" i="11"/>
  <c r="M9" i="12"/>
  <c r="K40" i="11"/>
  <c r="K33" i="11"/>
  <c r="L9" i="12"/>
  <c r="M19" i="12"/>
  <c r="K11" i="16"/>
  <c r="J10" i="12"/>
  <c r="L11" i="16"/>
  <c r="K10" i="12"/>
  <c r="M23" i="10"/>
  <c r="K5" i="12"/>
  <c r="L23" i="10"/>
  <c r="J5" i="12"/>
  <c r="J40" i="11"/>
  <c r="J33" i="11"/>
  <c r="K9" i="12"/>
  <c r="I40" i="11"/>
  <c r="I33" i="11"/>
  <c r="J9" i="12"/>
  <c r="K19" i="12"/>
  <c r="I11" i="16"/>
  <c r="H10" i="12"/>
  <c r="J11" i="16"/>
  <c r="I10" i="12"/>
  <c r="K23" i="10"/>
  <c r="I5" i="12"/>
  <c r="J23" i="10"/>
  <c r="H5" i="12"/>
  <c r="H40" i="11"/>
  <c r="H33" i="11"/>
  <c r="I9" i="12"/>
  <c r="G40" i="11"/>
  <c r="G33" i="11"/>
  <c r="H9" i="12"/>
  <c r="I19" i="12"/>
  <c r="G11" i="16"/>
  <c r="F10" i="12"/>
  <c r="H11" i="16"/>
  <c r="G10" i="12"/>
  <c r="I23" i="10"/>
  <c r="G5" i="12"/>
  <c r="H23" i="10"/>
  <c r="F5" i="12"/>
  <c r="F40" i="11"/>
  <c r="F33" i="11"/>
  <c r="G9" i="12"/>
  <c r="E40" i="11"/>
  <c r="E33" i="11"/>
  <c r="F9" i="12"/>
  <c r="G19" i="12"/>
  <c r="E11" i="16"/>
  <c r="D10" i="12"/>
  <c r="F11" i="16"/>
  <c r="E10" i="12"/>
  <c r="G23" i="10"/>
  <c r="E5" i="12"/>
  <c r="F23" i="10"/>
  <c r="D5" i="12"/>
  <c r="D40" i="11"/>
  <c r="D33" i="11"/>
  <c r="E9" i="12"/>
  <c r="C40" i="11"/>
  <c r="C33" i="11"/>
  <c r="D9" i="12"/>
  <c r="E19" i="12"/>
  <c r="D17" i="14"/>
  <c r="D22" i="14"/>
  <c r="D24" i="14"/>
  <c r="D18" i="14"/>
  <c r="D26" i="14"/>
  <c r="D28" i="14"/>
  <c r="D30" i="14"/>
  <c r="C5" i="14"/>
  <c r="D11" i="16"/>
  <c r="C7" i="14"/>
  <c r="C8" i="14"/>
  <c r="C9" i="14"/>
  <c r="C11" i="14"/>
  <c r="C10" i="12"/>
  <c r="C11" i="12"/>
  <c r="C8" i="12"/>
  <c r="C12" i="12"/>
  <c r="C13" i="12"/>
  <c r="C14" i="12"/>
  <c r="C15" i="12"/>
  <c r="C17" i="12"/>
  <c r="E23" i="10"/>
  <c r="C5" i="12"/>
  <c r="C4" i="12"/>
  <c r="C6" i="12"/>
  <c r="C21" i="12"/>
  <c r="D11" i="12"/>
  <c r="D8" i="12"/>
  <c r="D12" i="12"/>
  <c r="D13" i="12"/>
  <c r="D14" i="12"/>
  <c r="D15" i="12"/>
  <c r="D17" i="12"/>
  <c r="D4" i="12"/>
  <c r="D6" i="12"/>
  <c r="D21" i="12"/>
  <c r="E11" i="12"/>
  <c r="E8" i="12"/>
  <c r="E12" i="12"/>
  <c r="E13" i="12"/>
  <c r="E14" i="12"/>
  <c r="E15" i="12"/>
  <c r="E17" i="12"/>
  <c r="E4" i="12"/>
  <c r="E6" i="12"/>
  <c r="E21" i="12"/>
  <c r="F11" i="12"/>
  <c r="F8" i="12"/>
  <c r="F12" i="12"/>
  <c r="F13" i="12"/>
  <c r="F14" i="12"/>
  <c r="F15" i="12"/>
  <c r="F17" i="12"/>
  <c r="F4" i="12"/>
  <c r="F6" i="12"/>
  <c r="F21" i="12"/>
  <c r="G11" i="12"/>
  <c r="G8" i="12"/>
  <c r="G12" i="12"/>
  <c r="G13" i="12"/>
  <c r="G14" i="12"/>
  <c r="G15" i="12"/>
  <c r="G17" i="12"/>
  <c r="G4" i="12"/>
  <c r="G6" i="12"/>
  <c r="G21" i="12"/>
  <c r="H11" i="12"/>
  <c r="H8" i="12"/>
  <c r="H12" i="12"/>
  <c r="H13" i="12"/>
  <c r="H14" i="12"/>
  <c r="H15" i="12"/>
  <c r="H17" i="12"/>
  <c r="H4" i="12"/>
  <c r="H6" i="12"/>
  <c r="H21" i="12"/>
  <c r="I11" i="12"/>
  <c r="I8" i="12"/>
  <c r="I12" i="12"/>
  <c r="I13" i="12"/>
  <c r="I14" i="12"/>
  <c r="I15" i="12"/>
  <c r="I17" i="12"/>
  <c r="I4" i="12"/>
  <c r="I6" i="12"/>
  <c r="I21" i="12"/>
  <c r="J11" i="12"/>
  <c r="J8" i="12"/>
  <c r="J12" i="12"/>
  <c r="J13" i="12"/>
  <c r="J14" i="12"/>
  <c r="J15" i="12"/>
  <c r="J17" i="12"/>
  <c r="J4" i="12"/>
  <c r="J6" i="12"/>
  <c r="J21" i="12"/>
  <c r="K11" i="12"/>
  <c r="K8" i="12"/>
  <c r="K12" i="12"/>
  <c r="K13" i="12"/>
  <c r="K14" i="12"/>
  <c r="K15" i="12"/>
  <c r="K17" i="12"/>
  <c r="K4" i="12"/>
  <c r="K6" i="12"/>
  <c r="K21" i="12"/>
  <c r="L11" i="12"/>
  <c r="L8" i="12"/>
  <c r="L12" i="12"/>
  <c r="L13" i="12"/>
  <c r="L14" i="12"/>
  <c r="L15" i="12"/>
  <c r="L17" i="12"/>
  <c r="L4" i="12"/>
  <c r="L6" i="12"/>
  <c r="L21" i="12"/>
  <c r="M11" i="12"/>
  <c r="M8" i="12"/>
  <c r="M12" i="12"/>
  <c r="M13" i="12"/>
  <c r="M14" i="12"/>
  <c r="M15" i="12"/>
  <c r="M17" i="12"/>
  <c r="M4" i="12"/>
  <c r="M6" i="12"/>
  <c r="M21" i="12"/>
  <c r="C11" i="16"/>
  <c r="B10" i="12"/>
  <c r="B11" i="12"/>
  <c r="B8" i="12"/>
  <c r="B17" i="12"/>
  <c r="D23" i="10"/>
  <c r="B5" i="12"/>
  <c r="B4" i="12"/>
  <c r="B6" i="12"/>
  <c r="B21" i="12"/>
  <c r="D13" i="16"/>
  <c r="E13" i="16"/>
  <c r="F13" i="16"/>
  <c r="G13" i="16"/>
  <c r="H13" i="16"/>
  <c r="I13" i="16"/>
  <c r="J13" i="16"/>
  <c r="K13" i="16"/>
  <c r="L13" i="16"/>
  <c r="M13" i="16"/>
  <c r="N13" i="16"/>
  <c r="C13" i="16"/>
  <c r="B26" i="12"/>
  <c r="B2" i="16"/>
  <c r="B49" i="11"/>
  <c r="D8" i="1"/>
  <c r="C2" i="16"/>
  <c r="P32" i="10"/>
  <c r="D32" i="10"/>
  <c r="E32" i="10"/>
  <c r="F32" i="10"/>
  <c r="G32" i="10"/>
  <c r="H32" i="10"/>
  <c r="I32" i="10"/>
  <c r="J32" i="10"/>
  <c r="K32" i="10"/>
  <c r="L32" i="10"/>
  <c r="M32" i="10"/>
  <c r="N32" i="10"/>
  <c r="O32" i="10"/>
  <c r="E30" i="10"/>
  <c r="F30" i="10"/>
  <c r="G30" i="10"/>
  <c r="H30" i="10"/>
  <c r="I30" i="10"/>
  <c r="J30" i="10"/>
  <c r="K30" i="10"/>
  <c r="L30" i="10"/>
  <c r="M30" i="10"/>
  <c r="N30" i="10"/>
  <c r="O30" i="10"/>
  <c r="D30" i="10"/>
  <c r="B95" i="9"/>
  <c r="C113" i="9"/>
  <c r="D113" i="9"/>
  <c r="E113" i="9"/>
  <c r="F113" i="9"/>
  <c r="G113" i="9"/>
  <c r="H113" i="9"/>
  <c r="I113" i="9"/>
  <c r="J113" i="9"/>
  <c r="K113" i="9"/>
  <c r="L113" i="9"/>
  <c r="M113" i="9"/>
  <c r="B113" i="9"/>
  <c r="F92" i="9"/>
  <c r="F93" i="9"/>
  <c r="C93" i="9"/>
  <c r="C92" i="9"/>
  <c r="F59" i="9"/>
  <c r="F68" i="9"/>
  <c r="N41" i="9"/>
  <c r="N42" i="9"/>
  <c r="N51" i="9"/>
  <c r="C16" i="13"/>
  <c r="C18" i="13"/>
  <c r="E15" i="13"/>
  <c r="E16" i="13"/>
  <c r="E18" i="13"/>
  <c r="H16" i="13"/>
  <c r="H18" i="13"/>
  <c r="K18" i="13"/>
  <c r="N18" i="13"/>
  <c r="C3" i="1"/>
  <c r="L3" i="13"/>
  <c r="M3" i="13"/>
  <c r="O3" i="13"/>
  <c r="P3" i="13"/>
  <c r="L4" i="13"/>
  <c r="M4" i="13"/>
  <c r="O4" i="13"/>
  <c r="P4" i="13"/>
  <c r="L5" i="13"/>
  <c r="M5" i="13"/>
  <c r="O5" i="13"/>
  <c r="P5" i="13"/>
  <c r="L7" i="13"/>
  <c r="M7" i="13"/>
  <c r="O7" i="13"/>
  <c r="P7" i="13"/>
  <c r="L8" i="13"/>
  <c r="M8" i="13"/>
  <c r="O8" i="13"/>
  <c r="P8" i="13"/>
  <c r="L9" i="13"/>
  <c r="M9" i="13"/>
  <c r="O9" i="13"/>
  <c r="P9" i="13"/>
  <c r="L10" i="13"/>
  <c r="M10" i="13"/>
  <c r="O10" i="13"/>
  <c r="P10" i="13"/>
  <c r="L13" i="13"/>
  <c r="M13" i="13"/>
  <c r="O13" i="13"/>
  <c r="P13" i="13"/>
  <c r="L15" i="13"/>
  <c r="M15" i="13"/>
  <c r="O15" i="13"/>
  <c r="P15" i="13"/>
  <c r="L16" i="13"/>
  <c r="M16" i="13"/>
  <c r="O16" i="13"/>
  <c r="P16" i="13"/>
  <c r="L18" i="13"/>
  <c r="M18" i="13"/>
  <c r="O18" i="13"/>
  <c r="P18" i="13"/>
  <c r="K21" i="13"/>
  <c r="L21" i="13"/>
  <c r="H21" i="13"/>
  <c r="M21" i="13"/>
  <c r="N21" i="13"/>
  <c r="O21" i="13"/>
  <c r="P21" i="13"/>
  <c r="C10" i="14"/>
  <c r="H5" i="14"/>
  <c r="I5" i="14"/>
  <c r="I4" i="14"/>
  <c r="I3" i="14"/>
  <c r="M33" i="11"/>
  <c r="M40" i="11"/>
  <c r="N33" i="11"/>
  <c r="N40" i="11"/>
  <c r="M24" i="12"/>
  <c r="J16" i="13"/>
  <c r="J15" i="13"/>
  <c r="G16" i="13"/>
  <c r="G15" i="13"/>
  <c r="I16" i="13"/>
  <c r="I15" i="13"/>
  <c r="F16" i="13"/>
  <c r="F15" i="13"/>
  <c r="D16" i="13"/>
  <c r="D15" i="13"/>
  <c r="B24" i="12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E21" i="13"/>
  <c r="J4" i="13"/>
  <c r="J5" i="13"/>
  <c r="J7" i="13"/>
  <c r="J8" i="13"/>
  <c r="J9" i="13"/>
  <c r="J10" i="13"/>
  <c r="J13" i="13"/>
  <c r="J18" i="13"/>
  <c r="J21" i="13"/>
  <c r="J3" i="13"/>
  <c r="G4" i="13"/>
  <c r="G5" i="13"/>
  <c r="G7" i="13"/>
  <c r="G8" i="13"/>
  <c r="G9" i="13"/>
  <c r="G10" i="13"/>
  <c r="G13" i="13"/>
  <c r="G18" i="13"/>
  <c r="C21" i="13"/>
  <c r="G21" i="13"/>
  <c r="G3" i="13"/>
  <c r="I4" i="13"/>
  <c r="I5" i="13"/>
  <c r="I7" i="13"/>
  <c r="I8" i="13"/>
  <c r="I9" i="13"/>
  <c r="I10" i="13"/>
  <c r="I13" i="13"/>
  <c r="I18" i="13"/>
  <c r="I21" i="13"/>
  <c r="F4" i="13"/>
  <c r="F5" i="13"/>
  <c r="F7" i="13"/>
  <c r="F8" i="13"/>
  <c r="F9" i="13"/>
  <c r="F10" i="13"/>
  <c r="F13" i="13"/>
  <c r="F18" i="13"/>
  <c r="F21" i="13"/>
  <c r="I3" i="13"/>
  <c r="F3" i="13"/>
  <c r="D3" i="13"/>
  <c r="D4" i="13"/>
  <c r="D5" i="13"/>
  <c r="D7" i="13"/>
  <c r="D8" i="13"/>
  <c r="D9" i="13"/>
  <c r="D10" i="13"/>
  <c r="D13" i="13"/>
  <c r="D18" i="13"/>
  <c r="D21" i="13"/>
  <c r="B28" i="12"/>
  <c r="C26" i="12"/>
  <c r="C24" i="12"/>
  <c r="C28" i="12"/>
  <c r="D26" i="12"/>
  <c r="D24" i="12"/>
  <c r="D28" i="12"/>
  <c r="E26" i="12"/>
  <c r="E24" i="12"/>
  <c r="E28" i="12"/>
  <c r="F26" i="12"/>
  <c r="F24" i="12"/>
  <c r="F28" i="12"/>
  <c r="G26" i="12"/>
  <c r="G24" i="12"/>
  <c r="G28" i="12"/>
  <c r="H26" i="12"/>
  <c r="H24" i="12"/>
  <c r="H28" i="12"/>
  <c r="I26" i="12"/>
  <c r="I24" i="12"/>
  <c r="I28" i="12"/>
  <c r="J26" i="12"/>
  <c r="J24" i="12"/>
  <c r="J28" i="12"/>
  <c r="K26" i="12"/>
  <c r="K24" i="12"/>
  <c r="K28" i="12"/>
  <c r="L26" i="12"/>
  <c r="L24" i="12"/>
  <c r="L28" i="12"/>
  <c r="M26" i="12"/>
  <c r="M28" i="12"/>
  <c r="C90" i="9"/>
  <c r="C89" i="9"/>
  <c r="C88" i="9"/>
  <c r="C87" i="9"/>
  <c r="C86" i="9"/>
  <c r="F91" i="9"/>
  <c r="F90" i="9"/>
  <c r="F89" i="9"/>
  <c r="F88" i="9"/>
  <c r="F87" i="9"/>
  <c r="F86" i="9"/>
  <c r="F41" i="9"/>
  <c r="F42" i="9"/>
  <c r="F51" i="9"/>
  <c r="N23" i="9"/>
  <c r="N24" i="9"/>
  <c r="N33" i="9"/>
  <c r="F24" i="9"/>
  <c r="F23" i="9"/>
  <c r="F33" i="9"/>
  <c r="N5" i="9"/>
  <c r="N6" i="9"/>
  <c r="N15" i="9"/>
  <c r="F6" i="9"/>
  <c r="F5" i="9"/>
  <c r="F15" i="9"/>
  <c r="C3" i="8"/>
  <c r="C12" i="8"/>
  <c r="C13" i="8"/>
  <c r="C14" i="8"/>
  <c r="C15" i="8"/>
  <c r="D3" i="8"/>
  <c r="E3" i="8"/>
  <c r="F3" i="8"/>
  <c r="G3" i="8"/>
  <c r="H3" i="8"/>
  <c r="E3" i="7"/>
  <c r="E4" i="7"/>
  <c r="E5" i="7"/>
  <c r="E6" i="7"/>
  <c r="E7" i="7"/>
  <c r="E8" i="7"/>
  <c r="E9" i="7"/>
  <c r="E10" i="7"/>
  <c r="E2" i="7"/>
  <c r="G10" i="7"/>
  <c r="G2" i="7"/>
  <c r="G3" i="7"/>
  <c r="G4" i="7"/>
  <c r="G5" i="7"/>
  <c r="G6" i="7"/>
  <c r="G7" i="7"/>
  <c r="G8" i="7"/>
  <c r="G9" i="7"/>
  <c r="G13" i="7"/>
  <c r="B13" i="7"/>
  <c r="H2" i="6"/>
  <c r="H3" i="6"/>
  <c r="H4" i="6"/>
  <c r="H5" i="6"/>
  <c r="G6" i="6"/>
  <c r="H6" i="6"/>
  <c r="H7" i="6"/>
  <c r="H8" i="6"/>
  <c r="G9" i="6"/>
  <c r="H9" i="6"/>
  <c r="G10" i="6"/>
  <c r="H10" i="6"/>
  <c r="G11" i="6"/>
  <c r="H11" i="6"/>
  <c r="H12" i="6"/>
  <c r="H13" i="6"/>
  <c r="H14" i="6"/>
  <c r="G15" i="6"/>
  <c r="H15" i="6"/>
  <c r="G16" i="6"/>
  <c r="H16" i="6"/>
  <c r="H17" i="6"/>
  <c r="H18" i="6"/>
  <c r="H19" i="6"/>
  <c r="H20" i="6"/>
  <c r="H21" i="6"/>
  <c r="H22" i="6"/>
  <c r="H23" i="6"/>
  <c r="H24" i="6"/>
  <c r="H25" i="6"/>
  <c r="H26" i="6"/>
  <c r="H31" i="6"/>
  <c r="H37" i="6"/>
  <c r="J31" i="6"/>
  <c r="J19" i="6"/>
  <c r="J18" i="6"/>
  <c r="J17" i="6"/>
  <c r="J16" i="6"/>
  <c r="J15" i="6"/>
  <c r="J11" i="6"/>
  <c r="J10" i="6"/>
  <c r="J6" i="6"/>
  <c r="C10" i="1"/>
  <c r="D10" i="1"/>
  <c r="D3" i="1"/>
  <c r="D7" i="1"/>
  <c r="D15" i="1"/>
  <c r="D14" i="1"/>
  <c r="D13" i="1"/>
  <c r="D12" i="1"/>
  <c r="D11" i="1"/>
  <c r="D6" i="1"/>
  <c r="D5" i="1"/>
  <c r="D4" i="1"/>
  <c r="E23" i="2"/>
  <c r="F23" i="2"/>
  <c r="E24" i="2"/>
  <c r="F24" i="2"/>
  <c r="E25" i="2"/>
  <c r="F25" i="2"/>
  <c r="E26" i="2"/>
  <c r="F26" i="2"/>
  <c r="E27" i="2"/>
  <c r="F27" i="2"/>
  <c r="E28" i="2"/>
  <c r="F28" i="2"/>
  <c r="E29" i="2"/>
  <c r="F29" i="2"/>
  <c r="E30" i="2"/>
  <c r="F30" i="2"/>
  <c r="E31" i="2"/>
  <c r="F31" i="2"/>
  <c r="E32" i="2"/>
  <c r="F32" i="2"/>
  <c r="E33" i="2"/>
  <c r="F33" i="2"/>
  <c r="E34" i="2"/>
  <c r="F34" i="2"/>
  <c r="E35" i="2"/>
  <c r="F35" i="2"/>
  <c r="E36" i="2"/>
  <c r="F36" i="2"/>
  <c r="E37" i="2"/>
  <c r="F37" i="2"/>
  <c r="E40" i="2"/>
  <c r="F40" i="2"/>
  <c r="E48" i="2"/>
  <c r="F48" i="2"/>
  <c r="E51" i="2"/>
  <c r="F51" i="2"/>
  <c r="E54" i="2"/>
  <c r="F54" i="2"/>
  <c r="E55" i="2"/>
  <c r="E58" i="2"/>
  <c r="E59" i="2"/>
  <c r="E60" i="2"/>
  <c r="E63" i="2"/>
  <c r="F63" i="2"/>
  <c r="E64" i="2"/>
  <c r="F64" i="2"/>
  <c r="E67" i="2"/>
  <c r="F67" i="2"/>
  <c r="E72" i="2"/>
  <c r="F72" i="2"/>
  <c r="F75" i="2"/>
  <c r="F76" i="2"/>
  <c r="E77" i="2"/>
  <c r="F77" i="2"/>
  <c r="F78" i="2"/>
  <c r="F81" i="2"/>
  <c r="E82" i="2"/>
  <c r="F82" i="2"/>
  <c r="F83" i="2"/>
  <c r="F87" i="2"/>
  <c r="E90" i="2"/>
  <c r="F90" i="2"/>
  <c r="E93" i="2"/>
  <c r="F95" i="2"/>
  <c r="E214" i="2"/>
  <c r="F214" i="2"/>
  <c r="E216" i="2"/>
  <c r="F216" i="2"/>
  <c r="E219" i="2"/>
  <c r="F219" i="2"/>
  <c r="E220" i="2"/>
  <c r="F220" i="2"/>
  <c r="E221" i="2"/>
  <c r="F221" i="2"/>
  <c r="E224" i="2"/>
  <c r="F224" i="2"/>
  <c r="E225" i="2"/>
  <c r="F225" i="2"/>
  <c r="F229" i="2"/>
  <c r="F232" i="2"/>
  <c r="D295" i="2"/>
  <c r="H295" i="2"/>
  <c r="C280" i="2"/>
  <c r="C281" i="2"/>
  <c r="C282" i="2"/>
  <c r="F249" i="2"/>
  <c r="F250" i="2"/>
  <c r="F251" i="2"/>
  <c r="F252" i="2"/>
  <c r="F253" i="2"/>
  <c r="F254" i="2"/>
  <c r="E249" i="2"/>
  <c r="E248" i="2"/>
  <c r="C35" i="2"/>
  <c r="C36" i="2"/>
  <c r="C37" i="2"/>
  <c r="C28" i="2"/>
  <c r="C29" i="2"/>
  <c r="C25" i="1"/>
  <c r="C18" i="15"/>
  <c r="C16" i="15"/>
  <c r="C2" i="8"/>
  <c r="F19" i="8"/>
  <c r="D20" i="8"/>
  <c r="E20" i="8"/>
  <c r="F20" i="8"/>
  <c r="D21" i="8"/>
  <c r="E21" i="8"/>
  <c r="F21" i="8"/>
  <c r="D22" i="8"/>
  <c r="E22" i="8"/>
  <c r="F22" i="8"/>
  <c r="D23" i="8"/>
  <c r="E23" i="8"/>
  <c r="F23" i="8"/>
  <c r="D24" i="8"/>
  <c r="E24" i="8"/>
  <c r="F24" i="8"/>
  <c r="D25" i="8"/>
  <c r="E25" i="8"/>
  <c r="F25" i="8"/>
  <c r="D26" i="8"/>
  <c r="E26" i="8"/>
  <c r="F26" i="8"/>
  <c r="D27" i="8"/>
  <c r="E27" i="8"/>
  <c r="F27" i="8"/>
  <c r="D28" i="8"/>
  <c r="E28" i="8"/>
  <c r="F28" i="8"/>
  <c r="D29" i="8"/>
  <c r="E29" i="8"/>
  <c r="F29" i="8"/>
  <c r="D30" i="8"/>
  <c r="E30" i="8"/>
  <c r="F30" i="8"/>
  <c r="D31" i="8"/>
  <c r="E31" i="8"/>
  <c r="F31" i="8"/>
  <c r="D32" i="8"/>
  <c r="E32" i="8"/>
  <c r="F32" i="8"/>
  <c r="D33" i="8"/>
  <c r="E33" i="8"/>
  <c r="F33" i="8"/>
  <c r="D34" i="8"/>
  <c r="E34" i="8"/>
  <c r="F34" i="8"/>
  <c r="D35" i="8"/>
  <c r="E35" i="8"/>
  <c r="F35" i="8"/>
  <c r="D36" i="8"/>
  <c r="E36" i="8"/>
  <c r="F36" i="8"/>
  <c r="D37" i="8"/>
  <c r="E37" i="8"/>
  <c r="F37" i="8"/>
  <c r="D38" i="8"/>
  <c r="E38" i="8"/>
  <c r="F38" i="8"/>
  <c r="D39" i="8"/>
  <c r="E39" i="8"/>
  <c r="F39" i="8"/>
  <c r="D40" i="8"/>
  <c r="E40" i="8"/>
  <c r="F40" i="8"/>
  <c r="D41" i="8"/>
  <c r="E41" i="8"/>
  <c r="F41" i="8"/>
  <c r="D42" i="8"/>
  <c r="E42" i="8"/>
  <c r="F42" i="8"/>
  <c r="D43" i="8"/>
  <c r="E43" i="8"/>
  <c r="F43" i="8"/>
  <c r="D44" i="8"/>
  <c r="E44" i="8"/>
  <c r="F44" i="8"/>
  <c r="D45" i="8"/>
  <c r="E45" i="8"/>
  <c r="F45" i="8"/>
  <c r="D46" i="8"/>
  <c r="E46" i="8"/>
  <c r="F46" i="8"/>
  <c r="D47" i="8"/>
  <c r="E47" i="8"/>
  <c r="F47" i="8"/>
  <c r="D48" i="8"/>
  <c r="E48" i="8"/>
  <c r="F48" i="8"/>
  <c r="D49" i="8"/>
  <c r="E49" i="8"/>
  <c r="F49" i="8"/>
  <c r="D50" i="8"/>
  <c r="E50" i="8"/>
  <c r="F50" i="8"/>
  <c r="D51" i="8"/>
  <c r="E51" i="8"/>
  <c r="F51" i="8"/>
  <c r="D52" i="8"/>
  <c r="E52" i="8"/>
  <c r="F52" i="8"/>
  <c r="D53" i="8"/>
  <c r="E53" i="8"/>
  <c r="F53" i="8"/>
  <c r="D54" i="8"/>
  <c r="E54" i="8"/>
  <c r="F54" i="8"/>
  <c r="D55" i="8"/>
  <c r="E55" i="8"/>
  <c r="F55" i="8"/>
  <c r="D56" i="8"/>
  <c r="E56" i="8"/>
  <c r="F56" i="8"/>
  <c r="D57" i="8"/>
  <c r="E57" i="8"/>
  <c r="F57" i="8"/>
  <c r="D58" i="8"/>
  <c r="E58" i="8"/>
  <c r="F58" i="8"/>
  <c r="D59" i="8"/>
  <c r="E59" i="8"/>
  <c r="F59" i="8"/>
  <c r="D60" i="8"/>
  <c r="E60" i="8"/>
  <c r="F60" i="8"/>
  <c r="D61" i="8"/>
  <c r="E61" i="8"/>
  <c r="F61" i="8"/>
  <c r="D62" i="8"/>
  <c r="E62" i="8"/>
  <c r="F62" i="8"/>
  <c r="D63" i="8"/>
  <c r="E63" i="8"/>
  <c r="F63" i="8"/>
  <c r="D64" i="8"/>
  <c r="E64" i="8"/>
  <c r="F64" i="8"/>
  <c r="D65" i="8"/>
  <c r="E65" i="8"/>
  <c r="F65" i="8"/>
  <c r="D66" i="8"/>
  <c r="E66" i="8"/>
  <c r="F66" i="8"/>
  <c r="D67" i="8"/>
  <c r="E67" i="8"/>
  <c r="F67" i="8"/>
  <c r="D68" i="8"/>
  <c r="E68" i="8"/>
  <c r="F68" i="8"/>
  <c r="D69" i="8"/>
  <c r="E69" i="8"/>
  <c r="F69" i="8"/>
  <c r="D70" i="8"/>
  <c r="E70" i="8"/>
  <c r="F70" i="8"/>
  <c r="D71" i="8"/>
  <c r="E71" i="8"/>
  <c r="F71" i="8"/>
  <c r="D72" i="8"/>
  <c r="E72" i="8"/>
  <c r="F72" i="8"/>
  <c r="D73" i="8"/>
  <c r="E73" i="8"/>
  <c r="F73" i="8"/>
  <c r="D74" i="8"/>
  <c r="E74" i="8"/>
  <c r="F74" i="8"/>
  <c r="D75" i="8"/>
  <c r="E75" i="8"/>
  <c r="F75" i="8"/>
  <c r="D76" i="8"/>
  <c r="E76" i="8"/>
  <c r="F76" i="8"/>
  <c r="D77" i="8"/>
  <c r="E77" i="8"/>
  <c r="F77" i="8"/>
  <c r="D78" i="8"/>
  <c r="E78" i="8"/>
  <c r="E12" i="8"/>
  <c r="D12" i="8"/>
  <c r="E11" i="8"/>
  <c r="D11" i="8"/>
  <c r="F78" i="8"/>
  <c r="D79" i="8"/>
  <c r="E79" i="8"/>
  <c r="F79" i="8"/>
  <c r="F10" i="8"/>
  <c r="D13" i="8"/>
  <c r="E13" i="8"/>
  <c r="D14" i="8"/>
  <c r="E14" i="8"/>
  <c r="D15" i="8"/>
  <c r="E15" i="8"/>
  <c r="F11" i="8"/>
  <c r="F12" i="8"/>
  <c r="F13" i="8"/>
  <c r="F14" i="8"/>
  <c r="F15" i="8"/>
  <c r="H2" i="8"/>
  <c r="G2" i="8"/>
  <c r="F2" i="8"/>
  <c r="E2" i="8"/>
  <c r="D2" i="8"/>
  <c r="C24" i="1"/>
  <c r="C28" i="1"/>
  <c r="D23" i="1"/>
  <c r="D27" i="1"/>
  <c r="D28" i="1"/>
</calcChain>
</file>

<file path=xl/sharedStrings.xml><?xml version="1.0" encoding="utf-8"?>
<sst xmlns="http://schemas.openxmlformats.org/spreadsheetml/2006/main" count="1209" uniqueCount="542">
  <si>
    <t>Activo</t>
  </si>
  <si>
    <t>Importe</t>
  </si>
  <si>
    <t>% sobre total</t>
  </si>
  <si>
    <t>Inversiones Inmobiliarias</t>
  </si>
  <si>
    <t>Terreno</t>
  </si>
  <si>
    <t>Total</t>
  </si>
  <si>
    <t>Edificios</t>
  </si>
  <si>
    <t>Activo corriente circulante</t>
  </si>
  <si>
    <t>Existencias Iniciales</t>
  </si>
  <si>
    <t>ITEM</t>
  </si>
  <si>
    <t>DESCRIPCION</t>
  </si>
  <si>
    <t>UN</t>
  </si>
  <si>
    <t>Cantidad</t>
  </si>
  <si>
    <t>Vr. Material</t>
  </si>
  <si>
    <t>Vr. Mano de Obra</t>
  </si>
  <si>
    <t>Vr. Unitario</t>
  </si>
  <si>
    <t>Vr. Parcial</t>
  </si>
  <si>
    <t>Vr. Total</t>
  </si>
  <si>
    <t>PRELIMINARES</t>
  </si>
  <si>
    <t>LOCALIZACION Y REPLANTEO MANUAL</t>
  </si>
  <si>
    <t>M2</t>
  </si>
  <si>
    <t>EXCAVACION VIGA GUIA</t>
  </si>
  <si>
    <t>M3</t>
  </si>
  <si>
    <t>EXCAVACIÓN ZAPATAS</t>
  </si>
  <si>
    <t>RELLENOS EN RECEBO B-200 COMPACTADO</t>
  </si>
  <si>
    <t>RETIRO MATERIAL DE EXCAVACION MANUAL (Expansión 30%)</t>
  </si>
  <si>
    <t>DEMOLICION CONSTRUCCION, con retiro de escombros</t>
  </si>
  <si>
    <t>m2</t>
  </si>
  <si>
    <t>TOTAL SUBCAPITULO</t>
  </si>
  <si>
    <t>CIMENTACION</t>
  </si>
  <si>
    <t>VIGAS EN CONCRETO 3000 PSI</t>
  </si>
  <si>
    <t>ACERO REFUERZO VIGA GUIA</t>
  </si>
  <si>
    <t>KG</t>
  </si>
  <si>
    <t>ACERO DE REFUERZO ZAPATAS</t>
  </si>
  <si>
    <t>ZAPATAS CONCRETO TREMIE 3000 PSI</t>
  </si>
  <si>
    <t>ALQUILER MAQUINARIA</t>
  </si>
  <si>
    <t>GL.</t>
  </si>
  <si>
    <t>PLACA CONTRAPISO E=25cm. 3000 PSI</t>
  </si>
  <si>
    <t>ESTRUCTURA METÁLICA</t>
  </si>
  <si>
    <t>COLUMNA METÁLICA X 10</t>
  </si>
  <si>
    <t>COLUMNA METÁLICA X10</t>
  </si>
  <si>
    <t>COLUMNA METÁLICA 500 X 12</t>
  </si>
  <si>
    <t>RIOSTRA</t>
  </si>
  <si>
    <t>VIGA IPE 360</t>
  </si>
  <si>
    <t>VIGA IPE 330</t>
  </si>
  <si>
    <t>VIGA IPE 300</t>
  </si>
  <si>
    <t>VIGA IPE 450</t>
  </si>
  <si>
    <t>VIGA IPE 500</t>
  </si>
  <si>
    <t>VIGA IPE 550</t>
  </si>
  <si>
    <t>PLATABANDA IPE 550</t>
  </si>
  <si>
    <t>DIAGONAL EN TUBO 8" X 8.18</t>
  </si>
  <si>
    <t>VIGUETAS JOIST TIPO 1 (ÁNGULOS DE 1 1/2" X 1/8")</t>
  </si>
  <si>
    <t>VIGUETAS JOIST TIPO 2 (ÁNGULOS DE 2" X 3/16")</t>
  </si>
  <si>
    <t>CONECTOR DE CORTANTE CANAL C 3"</t>
  </si>
  <si>
    <t>ANCLAJES Y CONECTORES PLATINERIA 5/8"</t>
  </si>
  <si>
    <t>ESTRUCTURA ESCALERA</t>
  </si>
  <si>
    <t>PERFIL EN I 140 X 300</t>
  </si>
  <si>
    <t>PASOS EN MADERA</t>
  </si>
  <si>
    <t>ANCLAJE PASOS</t>
  </si>
  <si>
    <t>un</t>
  </si>
  <si>
    <t>PLACAS DE ENTREPISO EN BLOQUELON</t>
  </si>
  <si>
    <t>BLOQUELON</t>
  </si>
  <si>
    <t>PERFIL  PLACA FACIL 1.5 mm 90 x130</t>
  </si>
  <si>
    <t>MALLA ELECTROSOLDADA TIPO M-84 150 X 150 (2.36m X 6m)</t>
  </si>
  <si>
    <t>LOSA EN CONCRETO e=100mm F`c=24.5 MPA</t>
  </si>
  <si>
    <t>m3</t>
  </si>
  <si>
    <t>MAMPOSTERIA</t>
  </si>
  <si>
    <t>MURO BLOQUE No. 5 (e=0,115m)</t>
  </si>
  <si>
    <t>ELEMENTOS NO ESTRUCTURALES</t>
  </si>
  <si>
    <t>DINTELES EN CONCRETO</t>
  </si>
  <si>
    <t>ML</t>
  </si>
  <si>
    <t>REFUERZO DINTELES  3/8"</t>
  </si>
  <si>
    <t xml:space="preserve">PAÑETES </t>
  </si>
  <si>
    <t>PAÑETE INTERIOR LISO MUROS</t>
  </si>
  <si>
    <t>PAÑETE MUROS EXTERIORES</t>
  </si>
  <si>
    <t>FILOS Y DILATACIONES</t>
  </si>
  <si>
    <t>CUBIERTA</t>
  </si>
  <si>
    <t>ALISTADO IMPERMEAB INTEGRAL CUBIERTA</t>
  </si>
  <si>
    <t>MEDIAS CAÑAS MORTERO IMPERMEABILIZADO</t>
  </si>
  <si>
    <t>IMPERMEABILIZACIONES</t>
  </si>
  <si>
    <t>POLIETILENO CALIBRE 6 INSTALADO</t>
  </si>
  <si>
    <t>MANTO FIBERGLASS 600XT- TERRAZA CUBIERTA</t>
  </si>
  <si>
    <t>CIELO RASOS</t>
  </si>
  <si>
    <t>CIELO RASO EN DRY WALL</t>
  </si>
  <si>
    <t>LINEALES CIELO RASO EN DRY WALL</t>
  </si>
  <si>
    <t xml:space="preserve">ACABADO PISOS </t>
  </si>
  <si>
    <t>PISO ZONAS COMUNES (ACCESO Y PARQUEO)</t>
  </si>
  <si>
    <t>PISO BAÑOS Y COCINAS (ALCOBAS)</t>
  </si>
  <si>
    <t>PISO ALCOBAS</t>
  </si>
  <si>
    <t>PISO LOBBY - GREAS CUARTO *26</t>
  </si>
  <si>
    <t xml:space="preserve">GUARDAESCOBAS </t>
  </si>
  <si>
    <t>GUARDAESCOBAS ZONAS COMUNES</t>
  </si>
  <si>
    <t>GUARDESCOBAS BAÑOS Y COCINAS (HABITACIONES)</t>
  </si>
  <si>
    <t>GUARDESCOBAS ALCOBAS</t>
  </si>
  <si>
    <t>ENCHAPES  Y ACCESORIOS</t>
  </si>
  <si>
    <t>CERAMICA BAÑOS</t>
  </si>
  <si>
    <t>CERÁMICA COCINA</t>
  </si>
  <si>
    <t>ACCESORIOS</t>
  </si>
  <si>
    <t>INCRUSTACIONES NIQUELADAS -RODANA</t>
  </si>
  <si>
    <t>jgo</t>
  </si>
  <si>
    <t>MESONES Y ESPEJOS</t>
  </si>
  <si>
    <t>ESPEJOS DE BAÑO CRISTAL 5mm</t>
  </si>
  <si>
    <t>MESONES EN GRANITO BAÑOS FLOTANTE (REENGRUESE DE 2cm)</t>
  </si>
  <si>
    <t>MESONES EN ACERO INOX COCINAS 202 X 52 CON REENGRUESE 2cm + SALPICADERO</t>
  </si>
  <si>
    <t>INSTALACIONES HIDROSANITARIAS Y GAS</t>
  </si>
  <si>
    <t>ACOMETIDA</t>
  </si>
  <si>
    <t>TUBERIA HG 2"</t>
  </si>
  <si>
    <t>ACCESORIO HG 2"</t>
  </si>
  <si>
    <t>TUBERIA PVCP RDE 21 2"</t>
  </si>
  <si>
    <t>ACCESORIO PVCP 2"</t>
  </si>
  <si>
    <t>MANOMETRO  200 PSI</t>
  </si>
  <si>
    <t>REGISTRO P.D ROSCAR R.W  2"</t>
  </si>
  <si>
    <t>INSTALACION ACOMETIDA 2"</t>
  </si>
  <si>
    <t xml:space="preserve">RED GENERAL AGUA FRIA: POTABLE + LLUVIAS+ RECIRCULACION </t>
  </si>
  <si>
    <t>TUBERIA PVCP RDE 21 2.1/2"</t>
  </si>
  <si>
    <t>ACCESORIO PVCP 2.1/2"</t>
  </si>
  <si>
    <t>TUBERIA PVCP RDE 13.5 1"</t>
  </si>
  <si>
    <t>ACCESORIO PVCP 1"</t>
  </si>
  <si>
    <t>TUBERIA PVCP RDE 9 1/2"</t>
  </si>
  <si>
    <t>ACCESORIO PVCP 1/2"</t>
  </si>
  <si>
    <t>TUBERIA PVCP RDE 11 3/4"</t>
  </si>
  <si>
    <t>ACCESORIO PVCP 3/4"</t>
  </si>
  <si>
    <t>REGISTRO P.D. ROSCAR R.W. 3/4"</t>
  </si>
  <si>
    <t>REGISTRO P.D ROSCAR R.W 1/2"</t>
  </si>
  <si>
    <t>REGISTRO P.D ROSCAR R.W 1"</t>
  </si>
  <si>
    <t>PUNTOS HIDRAULICOS A.F. Y A. C</t>
  </si>
  <si>
    <t>P. LAVAMANOS AF Y AC</t>
  </si>
  <si>
    <t>P. SANITARIO FLUXOMETRO AF</t>
  </si>
  <si>
    <t>P. LAVAPLATOS AC AF</t>
  </si>
  <si>
    <t>P. LLAVES JARDIN</t>
  </si>
  <si>
    <t>SALIDAS SANITARIAS</t>
  </si>
  <si>
    <t>S. LAVAMANOS</t>
  </si>
  <si>
    <t>S. SANITARIO DE FLUXOMETRO</t>
  </si>
  <si>
    <t>S. LAVAPLATOS</t>
  </si>
  <si>
    <t>S. SIFON DE PISO 4"</t>
  </si>
  <si>
    <t>S. SIFON DE PISO 2"</t>
  </si>
  <si>
    <t>MONTAJE DE APARATOS</t>
  </si>
  <si>
    <t>M. LAVAMANOS</t>
  </si>
  <si>
    <t>M. SANITARIO</t>
  </si>
  <si>
    <t>M. LAVAPLATOS</t>
  </si>
  <si>
    <t>M. CAJA PARA 4 MEDIDORES</t>
  </si>
  <si>
    <t>M. CALENTADOR</t>
  </si>
  <si>
    <t>SUMINISTRO Y CAJILLAS PARA MED</t>
  </si>
  <si>
    <t>REGISTRO ANTIFRAUDE 1/2"</t>
  </si>
  <si>
    <t>REGISTRO P.D ROSCAR R.W 1.1/2"</t>
  </si>
  <si>
    <t>TUBERIA HG 1.1/2"</t>
  </si>
  <si>
    <t>ACCESORIO HG 1.1/2"</t>
  </si>
  <si>
    <t>TUBERIA HG 1/2"</t>
  </si>
  <si>
    <t>ACCESORIO HG 1/2"</t>
  </si>
  <si>
    <t>CAJILLA 4 MEDIDORES</t>
  </si>
  <si>
    <t>PLACA DE IDENTIFICACION</t>
  </si>
  <si>
    <t>M. MEDIDOR 1/2"</t>
  </si>
  <si>
    <t>RAMALES Y BAJANTES A. RESIDUAL</t>
  </si>
  <si>
    <t>TUBERIA PVCS 2"</t>
  </si>
  <si>
    <t>ACCESORIO PVCS 2"</t>
  </si>
  <si>
    <t>TUBERIA PVCS 4"</t>
  </si>
  <si>
    <t>ACCESORIO PVCS 4"</t>
  </si>
  <si>
    <t>RAMALES Y BAJANTES AGUAS LLUVI</t>
  </si>
  <si>
    <t>ABRAZADERAS</t>
  </si>
  <si>
    <t>ABRAZADERA 4"</t>
  </si>
  <si>
    <t>RED AGUA CALIENTE</t>
  </si>
  <si>
    <t>TUBERIA CPVC 1/2"</t>
  </si>
  <si>
    <t>ACCESORIO CPVC 1/2"</t>
  </si>
  <si>
    <t>CHEQUE HIDRO HEL. 1/2"</t>
  </si>
  <si>
    <t>PUNTOS HIDRAULICOS A.C.</t>
  </si>
  <si>
    <t>P. CALENTADOR CL</t>
  </si>
  <si>
    <t>INSTALACION ELECTRICA</t>
  </si>
  <si>
    <t>SALIDA ILUMINACIÓN ROSETA</t>
  </si>
  <si>
    <t>SALIDA PARA LUMINARIA DE 50W (No Incluye Luminaria)</t>
  </si>
  <si>
    <t xml:space="preserve">SALIDA TOMACORRIENTE CON POLO A TIERRA DOBLE </t>
  </si>
  <si>
    <t>SALIDA PARA TELEFONOS SENCILLA TIPO AMERICANA ALAMBRADO EN CABLE TELEFONICO DE 2 PARES</t>
  </si>
  <si>
    <t>SALIDA PARA INTERRUPTOR SENCILLO</t>
  </si>
  <si>
    <t>SALIDA PARA TOMA ANTENA TV (SOLO DUCTO)</t>
  </si>
  <si>
    <t>TABLERO TRIFASICO DE 18 CIRCUITOS CON ESPACIO PARA TOTALIZADOR</t>
  </si>
  <si>
    <t>ACOMETIDA ELECTRICA</t>
  </si>
  <si>
    <t xml:space="preserve">TUBERIA CONDUIT </t>
  </si>
  <si>
    <t>LAMPARAS FLUORESCENTES 2*32</t>
  </si>
  <si>
    <t>OJO DE BUEY</t>
  </si>
  <si>
    <t>CARPINTERIA DE MADERA</t>
  </si>
  <si>
    <t>PUERTA ENTAMBORADA LISA (0,70) con bisagras</t>
  </si>
  <si>
    <t>PUERTA ENTAMBORADA LISA (0,80) con bisagras</t>
  </si>
  <si>
    <t>PUERTA ENTAMBORADA LISA (1,00) con bisagras</t>
  </si>
  <si>
    <t>CLOSET EN MADEKOR INCLUYE BISAGRAS</t>
  </si>
  <si>
    <t>MUEBLE PARA BAÑO</t>
  </si>
  <si>
    <t>MANIJAS PARA CLOSET NIQUELADA</t>
  </si>
  <si>
    <t>CERRADURA DE MANIJA ALCOBAS TIPO SCHLAGE JUPITER</t>
  </si>
  <si>
    <t>CERRADURA DE MANIJA BAÑOS TIPO SCHLAGE JUPITER</t>
  </si>
  <si>
    <t>CERRADURA DE MANIJA ENTRADA TIPO SCHLAGE JUPITER</t>
  </si>
  <si>
    <t>ESCUDO UNIVERSAL ENTRADA</t>
  </si>
  <si>
    <t>CERROJO SENCILLO</t>
  </si>
  <si>
    <t>CARPINTERIA EN ALUMINIO</t>
  </si>
  <si>
    <t xml:space="preserve">VENTANAS </t>
  </si>
  <si>
    <t>VENTANERIA EN ALUMINIO CON VIDRIO PELDAR</t>
  </si>
  <si>
    <t>INSTALACIÓN VENTANERIA</t>
  </si>
  <si>
    <t>PUERTAS Y MARCOS EN LAMINA</t>
  </si>
  <si>
    <t>PUERTA METÁLICA ACCESO VEICULAR</t>
  </si>
  <si>
    <t>ESCALERAS Y PASAMANOS</t>
  </si>
  <si>
    <t>BARANDA ESCALERA PUNTO FIJO -ACERO INOX</t>
  </si>
  <si>
    <t>PASAMANOS ESCALERA PUNTO FIJO-ACERO INOX</t>
  </si>
  <si>
    <t xml:space="preserve">PINTURA </t>
  </si>
  <si>
    <t>VINILOS INTERIORES</t>
  </si>
  <si>
    <t>ESTUCO Y VINILO , TRES MANOS EN MUROS</t>
  </si>
  <si>
    <t>VINILO EN CIELO RASO DRY WALL</t>
  </si>
  <si>
    <t>ESMALTES</t>
  </si>
  <si>
    <t>ESMALTE SOBRE LAMINA LLENA EN PUERTAS</t>
  </si>
  <si>
    <t>ESMALTE SOBRE MARCOS EN LAMINA</t>
  </si>
  <si>
    <t>ESMALTE TUBERIAS</t>
  </si>
  <si>
    <t>PINTURAS ESPECIALES</t>
  </si>
  <si>
    <t>LINEAS DE TRAFICO e = 10 CM</t>
  </si>
  <si>
    <t>EN TOPES DE RUEDAS</t>
  </si>
  <si>
    <t>APARATOS SANITARIOS Y COCINA</t>
  </si>
  <si>
    <t>COMBO SANITARIO</t>
  </si>
  <si>
    <t>GRIFERIA LVP 8"</t>
  </si>
  <si>
    <t>ESTUFA CUBIERTA A GAS GAS</t>
  </si>
  <si>
    <t>HORNO A GAS</t>
  </si>
  <si>
    <t>CAMPANA</t>
  </si>
  <si>
    <t>ACCESORIOS PARA INSTALACIÓN - VARIOS</t>
  </si>
  <si>
    <t>LLAVE MANGUERA</t>
  </si>
  <si>
    <t xml:space="preserve">REJILLAS </t>
  </si>
  <si>
    <t>REJILLA DE PISO ALUMINIO 4"</t>
  </si>
  <si>
    <t>TAPA REGISTRO  20 * 20 EN PVC</t>
  </si>
  <si>
    <t>HERRAJES VARIOS</t>
  </si>
  <si>
    <t>TOPES PUERTAS  DE MADERA Y DE VIDRIO</t>
  </si>
  <si>
    <t>BRAZO CIERRA PUERTA SOTANOS</t>
  </si>
  <si>
    <t>ESPEJOS</t>
  </si>
  <si>
    <t>ESPEJOS BAÑOS</t>
  </si>
  <si>
    <t>OBRAS EXTERIORES</t>
  </si>
  <si>
    <t>ANDEN PEATONAL LADRILLO 1/4 * 25 * 6</t>
  </si>
  <si>
    <t>CINTA DE CONFINAMIENTO EN CONCRETO</t>
  </si>
  <si>
    <t>CESPED INCLUYE TIERRA NEGRA</t>
  </si>
  <si>
    <t>NOMENCLATURA HOTEL</t>
  </si>
  <si>
    <t>NOMENCLATURA HABITACIONES</t>
  </si>
  <si>
    <t>NOMENCLATURA APARTAMENTOS</t>
  </si>
  <si>
    <t>SEÑALIZACION ZONAS COMUNES EMERGENCIA</t>
  </si>
  <si>
    <t xml:space="preserve">ASEO Y LIMPIEZA </t>
  </si>
  <si>
    <t>ASEO GENERAL DURANTE LA OBRA (CUADRILLA 3)</t>
  </si>
  <si>
    <t>dia</t>
  </si>
  <si>
    <t>ASEO PNH</t>
  </si>
  <si>
    <t>ASEO 5 PISO Y HALLES</t>
  </si>
  <si>
    <t>ASEO VIDRIOS FACHADA</t>
  </si>
  <si>
    <t>RETIRO DE ESCOMBROS</t>
  </si>
  <si>
    <t>RETIRO DE ESCOMBROS CON CARGUE</t>
  </si>
  <si>
    <t>VJ</t>
  </si>
  <si>
    <t>MALLA PROTECTORA polisombra negra</t>
  </si>
  <si>
    <t>LABORATORIO</t>
  </si>
  <si>
    <t>ENSAYO DE COMPRESION, CILINDROS DE CONCRETO</t>
  </si>
  <si>
    <t>JARDINERIA</t>
  </si>
  <si>
    <t>MATAS</t>
  </si>
  <si>
    <t>PALMAS</t>
  </si>
  <si>
    <t>MATAS ACUATICAS</t>
  </si>
  <si>
    <t>DISEÑO JARDINERIA</t>
  </si>
  <si>
    <t>ALQUILER EQUIPO DE CONSTRUCCION</t>
  </si>
  <si>
    <t>BOMBA DE CONCRETO</t>
  </si>
  <si>
    <t>ANDAMIOS TUBULARES SECCIÓN 90 cms-alquiler 3,5 meses</t>
  </si>
  <si>
    <t>sem</t>
  </si>
  <si>
    <t>ANDAMIOS COLGANTES, alquiler 4 meses</t>
  </si>
  <si>
    <t>Mes</t>
  </si>
  <si>
    <t>CORTADORA ELECTRICA (6,6 HP)</t>
  </si>
  <si>
    <t>día</t>
  </si>
  <si>
    <t>MOTOBOMBA 3" ELECTRICA</t>
  </si>
  <si>
    <t>CANGURO</t>
  </si>
  <si>
    <t>PULIDORA MANUAL ELECTRICA</t>
  </si>
  <si>
    <t>COMPRA HERRAMIENTAS</t>
  </si>
  <si>
    <t>COMPRA COMBUSTIBLES Y LUBRICANTES</t>
  </si>
  <si>
    <t>COMPRA MADERA PARA ANDAMIOS</t>
  </si>
  <si>
    <t>COSTO DIRECTO</t>
  </si>
  <si>
    <t>ADMINISTRACIÓN</t>
  </si>
  <si>
    <t>%</t>
  </si>
  <si>
    <t>IMPREVISTOS</t>
  </si>
  <si>
    <t>UTILIDADES</t>
  </si>
  <si>
    <t>COSTO INDIRECTO</t>
  </si>
  <si>
    <t>COSTO TOTAL DEL PROYECTO</t>
  </si>
  <si>
    <t>valor M2 de construccion total,</t>
  </si>
  <si>
    <t>Valores</t>
  </si>
  <si>
    <t/>
  </si>
  <si>
    <t>Suma de COSTO TOTAL</t>
  </si>
  <si>
    <t>general</t>
  </si>
  <si>
    <t>Honorarios mensuales</t>
  </si>
  <si>
    <t>Aseo</t>
  </si>
  <si>
    <t>Habitaciones</t>
  </si>
  <si>
    <t>Jabón líquido para baño</t>
  </si>
  <si>
    <t>Palel higénico</t>
  </si>
  <si>
    <t>Shampoo</t>
  </si>
  <si>
    <t>Lencería</t>
  </si>
  <si>
    <t>Almohadas</t>
  </si>
  <si>
    <t>Edredón Ruana Doble</t>
  </si>
  <si>
    <t>Juego de Cama</t>
  </si>
  <si>
    <t>Toalla Cuerpo</t>
  </si>
  <si>
    <t>Toalla Manos</t>
  </si>
  <si>
    <t>Total general</t>
  </si>
  <si>
    <t>Dotación habitaciones</t>
  </si>
  <si>
    <t>Tesorería Inicial</t>
  </si>
  <si>
    <t>Patrimonio neto y pasivo</t>
  </si>
  <si>
    <t>%sobre total</t>
  </si>
  <si>
    <t>Capital</t>
  </si>
  <si>
    <t>Aportaciones en efectivo</t>
  </si>
  <si>
    <t>Patrimonio neto (recursos propios)</t>
  </si>
  <si>
    <t>Pasivo (Recursos agenos)</t>
  </si>
  <si>
    <t>Deudas a largo plazo</t>
  </si>
  <si>
    <t>Préstamos</t>
  </si>
  <si>
    <t>Deudas a corto plazo</t>
  </si>
  <si>
    <t>Patrimonio neto y pasivo total</t>
  </si>
  <si>
    <t>Activo fijo</t>
  </si>
  <si>
    <t>NOTA: Se busca un apalancamiento financiero del 50%, pues tras la recomendación del profesor Gonzalo viloria, así lo encontramos conveniente, buscando un mejor apalancamiento financiero y evitando riesgos muy grandes.</t>
  </si>
  <si>
    <t>Suma de CANTIDAD</t>
  </si>
  <si>
    <t>Administración</t>
  </si>
  <si>
    <t>Computador</t>
  </si>
  <si>
    <t>Teléfono</t>
  </si>
  <si>
    <t>Cocina</t>
  </si>
  <si>
    <t>Comedor</t>
  </si>
  <si>
    <t>Televisor</t>
  </si>
  <si>
    <t>Caja Fuerte</t>
  </si>
  <si>
    <t>Cama</t>
  </si>
  <si>
    <t>Colchón</t>
  </si>
  <si>
    <t>Mesa Televisor</t>
  </si>
  <si>
    <t>Oficina de turismo</t>
  </si>
  <si>
    <t>Recepción</t>
  </si>
  <si>
    <t>Impresora</t>
  </si>
  <si>
    <t>Sala de Reuniones</t>
  </si>
  <si>
    <t>ITEM</t>
    <phoneticPr fontId="0" type="noConversion"/>
  </si>
  <si>
    <t>DESTINO</t>
  </si>
  <si>
    <t>PRODUCCIÓN</t>
    <phoneticPr fontId="0" type="noConversion"/>
  </si>
  <si>
    <t>PROVEEDOR</t>
    <phoneticPr fontId="0" type="noConversion"/>
  </si>
  <si>
    <t>DETALLES</t>
    <phoneticPr fontId="0" type="noConversion"/>
  </si>
  <si>
    <t>PRECIO</t>
    <phoneticPr fontId="0" type="noConversion"/>
  </si>
  <si>
    <t>CANTIDAD</t>
    <phoneticPr fontId="0" type="noConversion"/>
  </si>
  <si>
    <t>COSTO TOTAL</t>
    <phoneticPr fontId="0" type="noConversion"/>
  </si>
  <si>
    <t>PERIODICIDAD DE PAGO (meses)</t>
  </si>
  <si>
    <t>Coste por mes</t>
  </si>
  <si>
    <t>no</t>
  </si>
  <si>
    <t>ÉXITO</t>
  </si>
  <si>
    <t>Alcatel</t>
  </si>
  <si>
    <t>Simply + Impresora</t>
  </si>
  <si>
    <t>Alkosto</t>
  </si>
  <si>
    <t>Sony LCD 40 pulgadas</t>
  </si>
  <si>
    <t>si</t>
  </si>
  <si>
    <t>MAKRO</t>
  </si>
  <si>
    <t>Princess</t>
  </si>
  <si>
    <t>35x25x25</t>
  </si>
  <si>
    <t>Dicolor</t>
  </si>
  <si>
    <t>Matrix</t>
  </si>
  <si>
    <t>Alameda</t>
  </si>
  <si>
    <t>Wenge</t>
  </si>
  <si>
    <t>BCO 500 gr</t>
  </si>
  <si>
    <t>Cannon 650 gr</t>
  </si>
  <si>
    <t>Aro x 30</t>
  </si>
  <si>
    <t>Elite x 18 rollos</t>
  </si>
  <si>
    <t>Lexmark multifuncional wifi</t>
  </si>
  <si>
    <t>Agua (ltr)</t>
  </si>
  <si>
    <t>Servicios</t>
  </si>
  <si>
    <t>Luz</t>
  </si>
  <si>
    <t>Telecomunicaciones</t>
  </si>
  <si>
    <t>Gas</t>
  </si>
  <si>
    <t>Quedan faltando</t>
  </si>
  <si>
    <t>oficina turismo</t>
  </si>
  <si>
    <t>Hotel</t>
  </si>
  <si>
    <t>administración</t>
  </si>
  <si>
    <t>Sala de reuniones</t>
  </si>
  <si>
    <t>escritorio</t>
  </si>
  <si>
    <t>Publicidad</t>
  </si>
  <si>
    <t>sala de juntas</t>
  </si>
  <si>
    <t>Ayudaventas</t>
  </si>
  <si>
    <t>sillas</t>
  </si>
  <si>
    <t>proyector</t>
  </si>
  <si>
    <t>silla</t>
  </si>
  <si>
    <t>Costo de planes</t>
  </si>
  <si>
    <t>Mobiliario</t>
  </si>
  <si>
    <t>Etiquetas de fila</t>
  </si>
  <si>
    <t>PRODUCCIÓN</t>
  </si>
  <si>
    <t>Categoría</t>
  </si>
  <si>
    <t>años de depreciación</t>
  </si>
  <si>
    <t>depreciación anual</t>
  </si>
  <si>
    <t>depreciación mensual</t>
  </si>
  <si>
    <t>muebles y enseres</t>
  </si>
  <si>
    <t>Computación</t>
  </si>
  <si>
    <t>maquinaria y equipos</t>
  </si>
  <si>
    <t>Edicicio</t>
  </si>
  <si>
    <t>Item</t>
  </si>
  <si>
    <t>valor</t>
  </si>
  <si>
    <t>% de depreciación anual</t>
  </si>
  <si>
    <t>Capital en préstamo</t>
  </si>
  <si>
    <t>Años</t>
  </si>
  <si>
    <t># pagos x año</t>
  </si>
  <si>
    <t>Prestamo inicial</t>
  </si>
  <si>
    <t>Interes</t>
  </si>
  <si>
    <t>Cuota</t>
  </si>
  <si>
    <t>Abono a deuda</t>
  </si>
  <si>
    <t>Saldo deuda</t>
  </si>
  <si>
    <t>Inicial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</si>
  <si>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</si>
  <si>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</si>
  <si>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</si>
  <si>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</si>
  <si>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</si>
  <si>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</si>
  <si>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</si>
  <si>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</si>
  <si>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</si>
  <si>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</si>
  <si>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</si>
  <si>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</si>
  <si>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Interés anual</t>
  </si>
  <si>
    <t>Interés mensual</t>
  </si>
  <si>
    <t>PATRONO</t>
  </si>
  <si>
    <t>EMPLEADO</t>
  </si>
  <si>
    <t>TOTAL A PAGAR PATRONO</t>
  </si>
  <si>
    <t>TOTAL A PAGAR EMPLEADO</t>
  </si>
  <si>
    <t>SALARIO BASE</t>
  </si>
  <si>
    <t>SALUD</t>
  </si>
  <si>
    <t>PENSION</t>
  </si>
  <si>
    <t>RIESGOS</t>
  </si>
  <si>
    <t>PARAFISCALES</t>
  </si>
  <si>
    <t>CESANTIAS</t>
  </si>
  <si>
    <t>INT/CESA</t>
  </si>
  <si>
    <t>PRIMA</t>
  </si>
  <si>
    <t>VACACIONES</t>
  </si>
  <si>
    <t>AUX. TRANSPO</t>
  </si>
  <si>
    <t>DOTACION</t>
  </si>
  <si>
    <t>GERENTE</t>
  </si>
  <si>
    <t>SECRETARIA CONTABLE</t>
  </si>
  <si>
    <t>RECEPCIONISTAS</t>
  </si>
  <si>
    <t>BOTONES</t>
  </si>
  <si>
    <t>Costo x persona al mes</t>
  </si>
  <si>
    <t>Costo total al mes</t>
  </si>
  <si>
    <t>Costo toal año</t>
  </si>
  <si>
    <t>Gerente</t>
  </si>
  <si>
    <t>Secretaria contable</t>
  </si>
  <si>
    <t>Recepcionistas</t>
  </si>
  <si>
    <t>Botones</t>
  </si>
  <si>
    <t>Técnico en hotelería y turismo</t>
  </si>
  <si>
    <t>Contador público</t>
  </si>
  <si>
    <t>Basico</t>
  </si>
  <si>
    <t>Habitación 2 personas</t>
  </si>
  <si>
    <t>Unidades a vender</t>
  </si>
  <si>
    <t>precio de venta</t>
  </si>
  <si>
    <t>venta mes</t>
  </si>
  <si>
    <t>Habitación 3 personas</t>
  </si>
  <si>
    <t>Total Ventas</t>
  </si>
  <si>
    <t>IVA</t>
  </si>
  <si>
    <t>% de ocupación</t>
  </si>
  <si>
    <t>Capacidad instalada</t>
  </si>
  <si>
    <t>habitación dos personas</t>
  </si>
  <si>
    <t>habitación tres personas</t>
  </si>
  <si>
    <t>número</t>
  </si>
  <si>
    <t>total mes</t>
  </si>
  <si>
    <t>Presentación</t>
  </si>
  <si>
    <t>Costo</t>
  </si>
  <si>
    <t>Costo x unidad</t>
  </si>
  <si>
    <t>Costo por persona hospedada</t>
  </si>
  <si>
    <t>Tipo de habitación</t>
  </si>
  <si>
    <t>2 personas</t>
  </si>
  <si>
    <t>3 personas</t>
  </si>
  <si>
    <t>Costo por habitación</t>
  </si>
  <si>
    <t>Costo variable x habitación</t>
  </si>
  <si>
    <t>Costos variables unitarios</t>
  </si>
  <si>
    <t>IVA soportado por compras</t>
  </si>
  <si>
    <t>Otros costos variables</t>
  </si>
  <si>
    <t>Agua</t>
  </si>
  <si>
    <t>Iva soportado x otros costos</t>
  </si>
  <si>
    <t>Total costos variables</t>
  </si>
  <si>
    <t>Total costos variables unitarios</t>
  </si>
  <si>
    <t>Concepto</t>
  </si>
  <si>
    <t>Pago deudas</t>
  </si>
  <si>
    <t>Sueldos y Salarios</t>
  </si>
  <si>
    <t>Suministros (telecomunicaciones)</t>
  </si>
  <si>
    <t>Ventas</t>
  </si>
  <si>
    <t>IVA Ventas (16%)</t>
  </si>
  <si>
    <t>Total Ingresos</t>
  </si>
  <si>
    <t>Total Egresos</t>
  </si>
  <si>
    <t>Costes variables</t>
  </si>
  <si>
    <t>IVA soportado por costes variables</t>
  </si>
  <si>
    <t>Liquidación Bimensual de iva</t>
  </si>
  <si>
    <t>Saldo final</t>
  </si>
  <si>
    <t>Caja periodo anterior</t>
  </si>
  <si>
    <t>Caja final del periodo</t>
  </si>
  <si>
    <t>Saldo final del periodo antes de impuestos</t>
  </si>
  <si>
    <t>Coste de ventas</t>
  </si>
  <si>
    <t xml:space="preserve">Margen bruto </t>
  </si>
  <si>
    <t>Suedos y salarios</t>
  </si>
  <si>
    <t>% sobre ventas</t>
  </si>
  <si>
    <t>Cierre 2014</t>
  </si>
  <si>
    <t>Cierre 2015</t>
  </si>
  <si>
    <t>Cierre 2016</t>
  </si>
  <si>
    <t>Total otros costos variables</t>
  </si>
  <si>
    <t>Depreciacion</t>
  </si>
  <si>
    <t>EBITDA</t>
  </si>
  <si>
    <t>EBIT</t>
  </si>
  <si>
    <t>Costos fijos</t>
  </si>
  <si>
    <t>#</t>
  </si>
  <si>
    <t>Coste de de ventas</t>
  </si>
  <si>
    <t>Coste de ventas/ ventas</t>
  </si>
  <si>
    <t>Total Costes</t>
  </si>
  <si>
    <t>% de ocupación pto equilibrio</t>
  </si>
  <si>
    <t>Punto de equilibrio mensual</t>
  </si>
  <si>
    <t>INVERSIÓN INICIAL</t>
  </si>
  <si>
    <t>Cierre 2017</t>
  </si>
  <si>
    <t>Precio 2 personas</t>
  </si>
  <si>
    <t>Precio 3 personas</t>
  </si>
  <si>
    <t>FLUJO</t>
  </si>
  <si>
    <t>La razón del crecimiento de la ocupación no lineal, son las principales ferias del año.</t>
  </si>
  <si>
    <t>NOTA: El contador público se contratará a través de un contrato de servicios, por esta razón no tiene costos adicionales a los 500.000 mensuales.</t>
  </si>
  <si>
    <t>TASA VNA*</t>
  </si>
  <si>
    <t>La tasa corresponde a un CDT en bancolombia de más de 1.000.000 a año y medio.</t>
  </si>
  <si>
    <t>Costos de constitución</t>
  </si>
  <si>
    <t>Costes de constitución</t>
  </si>
  <si>
    <t>PROFESIONAL EN HOTELERÍA Y TURISMO</t>
  </si>
  <si>
    <t>PROFESIONAL EN MERCADEO Y RELACIONES PÚBLICAS</t>
  </si>
  <si>
    <t>APRENDIZ SENA</t>
  </si>
  <si>
    <t>Aprendíz sena</t>
  </si>
  <si>
    <t>Prfo. Mercadeo</t>
  </si>
  <si>
    <t>Cierre 2018</t>
  </si>
  <si>
    <t>Pesimista</t>
  </si>
  <si>
    <t>Feria textil</t>
  </si>
  <si>
    <t>Normal</t>
  </si>
  <si>
    <t>Optimista</t>
  </si>
  <si>
    <t>Lanzamiento</t>
  </si>
  <si>
    <t>Previsión de ventas</t>
  </si>
  <si>
    <t>Página Web</t>
  </si>
  <si>
    <t>Redes Sociales</t>
  </si>
  <si>
    <t>Medios de comunicación</t>
  </si>
  <si>
    <t>Total Costes variables</t>
  </si>
  <si>
    <t>Fecha de pago de costes variables (pagos a 60 días)</t>
  </si>
  <si>
    <t>Aseo y Seguridad</t>
  </si>
  <si>
    <t>Mantenimiento de página web</t>
  </si>
  <si>
    <t>Total Costos Mercadeo</t>
  </si>
  <si>
    <t>Costes de mercadeo</t>
  </si>
  <si>
    <t>IVA soportado por costes Mercadeo</t>
  </si>
  <si>
    <t>Iva costos de Mercadeo</t>
  </si>
  <si>
    <t>VNA (6,06%)</t>
  </si>
  <si>
    <t>Apalancamiento a largo plazo</t>
  </si>
  <si>
    <t>Gasto</t>
  </si>
  <si>
    <t>Aseo y seguridad</t>
  </si>
  <si>
    <t>Var. respecto al ejercicio anterior</t>
  </si>
  <si>
    <t>Costes de mercadeo promedio</t>
  </si>
  <si>
    <t>Renovación de moviliario</t>
  </si>
  <si>
    <t>Ventas - Costos</t>
  </si>
  <si>
    <t>NOTA: Se debe tener en cuenta que no concuerda con el flujo de caja, pues en el flujo de caja se contemplan los 30.000.000 de caja inicial y no se tiene en cuenta la depreciación</t>
  </si>
  <si>
    <t>Periodicidad de pago</t>
  </si>
  <si>
    <t>Coste por mes.</t>
  </si>
  <si>
    <t>Coste total</t>
  </si>
  <si>
    <t>TIR ANUAL (5 años)</t>
  </si>
  <si>
    <t>TIR ANUAL (3 años)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</si>
</sst>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(&quot;$&quot;\ * #,##0_);_(&quot;$&quot;\ * \(#,##0\);_(&quot;$&quot;\ * &quot;-&quot;_);_(@_)"/>
    <numFmt numFmtId="164" formatCode="_-* #,##0_-;\-* #,##0_-;_-* &quot;-&quot;_-;_-@_-"/>
    <numFmt numFmtId="165" formatCode="_-* #,##0.00_-;\-* #,##0.00_-;_-* &quot;-&quot;??_-;_-@_-"/>
    <numFmt numFmtId="166" formatCode="_(* #,##0.0_);_(* \(#,##0.0\);_(* &quot;-&quot;??_);_(@_)"/>
    <numFmt numFmtId="167" formatCode="_(* #,##0_);_(* \(#,##0\);_(* &quot;-&quot;??_);_(@_)"/>
    <numFmt numFmtId="168" formatCode="0.0%"/>
    <numFmt numFmtId="169" formatCode="0.000%"/>
    <numFmt numFmtId="170" formatCode="0.0"/>
    <numFmt numFmtId="171" formatCode="#,##0_ ;[Red]\-#,##0\ "/>
  </numFmts>
  <fonts count="2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0"/>
      <name val="Verdana"/>
    </font>
    <font>
      <sz val="10"/>
      <color theme="0"/>
      <name val="Verdana"/>
    </font>
    <font>
      <sz val="10"/>
      <color theme="1"/>
      <name val="Verdana"/>
    </font>
    <font>
      <b/>
      <sz val="10"/>
      <color theme="1"/>
      <name val="Verdana"/>
    </font>
    <font>
      <b/>
      <sz val="10"/>
      <color rgb="FFFFFFFF"/>
      <name val="Verdana"/>
    </font>
    <font>
      <sz val="10"/>
      <color rgb="FFFFFFFF"/>
      <name val="Verdana"/>
    </font>
    <font>
      <sz val="10"/>
      <color rgb="FF000000"/>
      <name val="Verdana"/>
    </font>
    <font>
      <b/>
      <sz val="10"/>
      <color rgb="FF000000"/>
      <name val="Verdana"/>
    </font>
    <font>
      <b/>
      <sz val="10"/>
      <name val="Verdana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theme="6" tint="-0.249977111117893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rgb="FF76933C"/>
        <bgColor rgb="FF76933C"/>
      </patternFill>
    </fill>
    <fill>
      <patternFill patternType="solid">
        <fgColor rgb="FFC4D79B"/>
        <bgColor rgb="FFC4D79B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009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-0.499984740745262"/>
        <bgColor indexed="64"/>
      </patternFill>
    </fill>
  </fills>
  <borders count="9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theme="6" tint="-0.249977111117893"/>
      </bottom>
      <diagonal/>
    </border>
    <border>
      <left/>
      <right/>
      <top style="thin">
        <color theme="6" tint="-0.249977111117893"/>
      </top>
      <bottom style="thin">
        <color theme="6" tint="0.79998168889431442"/>
      </bottom>
      <diagonal/>
    </border>
    <border>
      <left/>
      <right/>
      <top style="thin">
        <color theme="6" tint="-0.249977111117893"/>
      </top>
      <bottom style="thin">
        <color theme="6" tint="0.59999389629810485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  <border>
      <left/>
      <right/>
      <top style="double">
        <color theme="6" tint="-0.249977111117893"/>
      </top>
      <bottom/>
      <diagonal/>
    </border>
    <border>
      <left/>
      <right/>
      <top/>
      <bottom style="thin">
        <color rgb="FF76933C"/>
      </bottom>
      <diagonal/>
    </border>
    <border>
      <left/>
      <right/>
      <top style="thin">
        <color rgb="FF76933C"/>
      </top>
      <bottom style="thin">
        <color rgb="FFEBF1DE"/>
      </bottom>
      <diagonal/>
    </border>
    <border>
      <left/>
      <right/>
      <top style="thin">
        <color rgb="FF76933C"/>
      </top>
      <bottom style="thin">
        <color rgb="FFD8E4BC"/>
      </bottom>
      <diagonal/>
    </border>
    <border>
      <left/>
      <right/>
      <top style="thin">
        <color rgb="FFEBF1DE"/>
      </top>
      <bottom style="thin">
        <color rgb="FFEBF1DE"/>
      </bottom>
      <diagonal/>
    </border>
    <border>
      <left/>
      <right/>
      <top style="double">
        <color rgb="FF76933C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9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20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/>
    <xf numFmtId="14" fontId="7" fillId="0" borderId="4" xfId="0" applyNumberFormat="1" applyFont="1" applyFill="1" applyBorder="1" applyAlignment="1">
      <alignment horizontal="right" vertical="center" wrapText="1"/>
    </xf>
    <xf numFmtId="2" fontId="5" fillId="0" borderId="7" xfId="0" applyNumberFormat="1" applyFont="1" applyFill="1" applyBorder="1" applyAlignment="1">
      <alignment horizontal="right" vertical="center" wrapText="1"/>
    </xf>
    <xf numFmtId="4" fontId="5" fillId="0" borderId="8" xfId="0" applyNumberFormat="1" applyFont="1" applyFill="1" applyBorder="1" applyAlignment="1">
      <alignment horizontal="center" vertical="center"/>
    </xf>
    <xf numFmtId="4" fontId="5" fillId="0" borderId="8" xfId="0" applyNumberFormat="1" applyFont="1" applyFill="1" applyBorder="1" applyAlignment="1">
      <alignment horizontal="right" vertical="center"/>
    </xf>
    <xf numFmtId="3" fontId="5" fillId="0" borderId="8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right" vertical="center"/>
    </xf>
    <xf numFmtId="3" fontId="5" fillId="0" borderId="9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4" fontId="5" fillId="2" borderId="10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2" fontId="5" fillId="0" borderId="11" xfId="0" applyNumberFormat="1" applyFont="1" applyFill="1" applyBorder="1" applyAlignment="1">
      <alignment horizontal="right"/>
    </xf>
    <xf numFmtId="0" fontId="5" fillId="0" borderId="12" xfId="0" applyFont="1" applyFill="1" applyBorder="1"/>
    <xf numFmtId="0" fontId="6" fillId="0" borderId="12" xfId="0" applyFont="1" applyFill="1" applyBorder="1" applyAlignment="1">
      <alignment horizontal="center"/>
    </xf>
    <xf numFmtId="4" fontId="6" fillId="0" borderId="12" xfId="0" applyNumberFormat="1" applyFont="1" applyFill="1" applyBorder="1"/>
    <xf numFmtId="3" fontId="6" fillId="0" borderId="12" xfId="0" applyNumberFormat="1" applyFont="1" applyFill="1" applyBorder="1"/>
    <xf numFmtId="3" fontId="5" fillId="0" borderId="13" xfId="0" applyNumberFormat="1" applyFont="1" applyFill="1" applyBorder="1"/>
    <xf numFmtId="0" fontId="6" fillId="0" borderId="0" xfId="0" applyFont="1" applyFill="1" applyBorder="1"/>
    <xf numFmtId="2" fontId="6" fillId="0" borderId="14" xfId="0" applyNumberFormat="1" applyFont="1" applyFill="1" applyBorder="1" applyAlignment="1">
      <alignment horizontal="right"/>
    </xf>
    <xf numFmtId="0" fontId="6" fillId="0" borderId="15" xfId="0" applyFont="1" applyFill="1" applyBorder="1"/>
    <xf numFmtId="0" fontId="6" fillId="0" borderId="15" xfId="0" applyFont="1" applyFill="1" applyBorder="1" applyAlignment="1">
      <alignment horizontal="center"/>
    </xf>
    <xf numFmtId="4" fontId="6" fillId="0" borderId="15" xfId="0" applyNumberFormat="1" applyFont="1" applyFill="1" applyBorder="1"/>
    <xf numFmtId="3" fontId="6" fillId="0" borderId="15" xfId="0" applyNumberFormat="1" applyFont="1" applyFill="1" applyBorder="1"/>
    <xf numFmtId="3" fontId="5" fillId="0" borderId="16" xfId="0" applyNumberFormat="1" applyFont="1" applyFill="1" applyBorder="1"/>
    <xf numFmtId="2" fontId="5" fillId="0" borderId="17" xfId="0" applyNumberFormat="1" applyFont="1" applyFill="1" applyBorder="1" applyAlignment="1">
      <alignment horizontal="right"/>
    </xf>
    <xf numFmtId="0" fontId="5" fillId="0" borderId="18" xfId="0" applyFont="1" applyFill="1" applyBorder="1"/>
    <xf numFmtId="0" fontId="5" fillId="0" borderId="18" xfId="0" applyFont="1" applyFill="1" applyBorder="1" applyAlignment="1">
      <alignment horizontal="center"/>
    </xf>
    <xf numFmtId="4" fontId="5" fillId="0" borderId="18" xfId="0" applyNumberFormat="1" applyFont="1" applyFill="1" applyBorder="1"/>
    <xf numFmtId="3" fontId="5" fillId="0" borderId="18" xfId="0" applyNumberFormat="1" applyFont="1" applyFill="1" applyBorder="1"/>
    <xf numFmtId="3" fontId="6" fillId="0" borderId="18" xfId="0" applyNumberFormat="1" applyFont="1" applyFill="1" applyBorder="1"/>
    <xf numFmtId="3" fontId="5" fillId="0" borderId="19" xfId="0" applyNumberFormat="1" applyFont="1" applyFill="1" applyBorder="1"/>
    <xf numFmtId="3" fontId="6" fillId="0" borderId="0" xfId="0" applyNumberFormat="1" applyFont="1" applyFill="1" applyBorder="1"/>
    <xf numFmtId="4" fontId="5" fillId="0" borderId="13" xfId="0" applyNumberFormat="1" applyFont="1" applyFill="1" applyBorder="1"/>
    <xf numFmtId="4" fontId="5" fillId="0" borderId="16" xfId="0" applyNumberFormat="1" applyFont="1" applyFill="1" applyBorder="1"/>
    <xf numFmtId="2" fontId="6" fillId="0" borderId="20" xfId="0" applyNumberFormat="1" applyFont="1" applyFill="1" applyBorder="1" applyAlignment="1">
      <alignment horizontal="right"/>
    </xf>
    <xf numFmtId="0" fontId="6" fillId="0" borderId="21" xfId="0" applyFont="1" applyFill="1" applyBorder="1"/>
    <xf numFmtId="0" fontId="6" fillId="0" borderId="21" xfId="0" applyFont="1" applyFill="1" applyBorder="1" applyAlignment="1">
      <alignment horizontal="center"/>
    </xf>
    <xf numFmtId="4" fontId="0" fillId="0" borderId="21" xfId="0" applyNumberFormat="1" applyFill="1" applyBorder="1"/>
    <xf numFmtId="3" fontId="6" fillId="0" borderId="21" xfId="0" applyNumberFormat="1" applyFont="1" applyFill="1" applyBorder="1"/>
    <xf numFmtId="4" fontId="5" fillId="0" borderId="22" xfId="0" applyNumberFormat="1" applyFont="1" applyFill="1" applyBorder="1"/>
    <xf numFmtId="4" fontId="6" fillId="0" borderId="12" xfId="0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4" fontId="6" fillId="0" borderId="15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4" fontId="6" fillId="0" borderId="21" xfId="0" applyNumberFormat="1" applyFont="1" applyFill="1" applyBorder="1" applyAlignment="1">
      <alignment horizontal="right"/>
    </xf>
    <xf numFmtId="3" fontId="6" fillId="0" borderId="21" xfId="0" applyNumberFormat="1" applyFont="1" applyFill="1" applyBorder="1" applyAlignment="1">
      <alignment horizontal="right"/>
    </xf>
    <xf numFmtId="3" fontId="5" fillId="0" borderId="22" xfId="0" applyNumberFormat="1" applyFont="1" applyFill="1" applyBorder="1"/>
    <xf numFmtId="165" fontId="5" fillId="0" borderId="0" xfId="1" applyFont="1" applyFill="1"/>
    <xf numFmtId="0" fontId="5" fillId="0" borderId="0" xfId="0" applyFont="1" applyFill="1"/>
    <xf numFmtId="2" fontId="6" fillId="0" borderId="23" xfId="0" applyNumberFormat="1" applyFont="1" applyFill="1" applyBorder="1" applyAlignment="1">
      <alignment horizontal="right"/>
    </xf>
    <xf numFmtId="3" fontId="6" fillId="0" borderId="0" xfId="0" applyNumberFormat="1" applyFont="1" applyFill="1"/>
    <xf numFmtId="2" fontId="5" fillId="0" borderId="24" xfId="0" applyNumberFormat="1" applyFont="1" applyFill="1" applyBorder="1" applyAlignment="1">
      <alignment horizontal="right"/>
    </xf>
    <xf numFmtId="0" fontId="5" fillId="0" borderId="25" xfId="0" applyFont="1" applyFill="1" applyBorder="1"/>
    <xf numFmtId="0" fontId="6" fillId="0" borderId="26" xfId="0" applyFont="1" applyFill="1" applyBorder="1" applyAlignment="1">
      <alignment horizontal="center"/>
    </xf>
    <xf numFmtId="4" fontId="6" fillId="0" borderId="26" xfId="0" applyNumberFormat="1" applyFont="1" applyFill="1" applyBorder="1" applyAlignment="1">
      <alignment horizontal="right"/>
    </xf>
    <xf numFmtId="3" fontId="6" fillId="0" borderId="26" xfId="0" applyNumberFormat="1" applyFont="1" applyFill="1" applyBorder="1"/>
    <xf numFmtId="3" fontId="6" fillId="0" borderId="26" xfId="0" applyNumberFormat="1" applyFont="1" applyFill="1" applyBorder="1" applyAlignment="1">
      <alignment horizontal="right"/>
    </xf>
    <xf numFmtId="3" fontId="5" fillId="0" borderId="27" xfId="0" applyNumberFormat="1" applyFont="1" applyFill="1" applyBorder="1"/>
    <xf numFmtId="4" fontId="6" fillId="0" borderId="15" xfId="0" applyNumberFormat="1" applyFont="1" applyFill="1" applyBorder="1" applyAlignment="1">
      <alignment horizontal="center" vertical="center"/>
    </xf>
    <xf numFmtId="2" fontId="6" fillId="0" borderId="17" xfId="0" applyNumberFormat="1" applyFont="1" applyFill="1" applyBorder="1" applyAlignment="1">
      <alignment horizontal="right"/>
    </xf>
    <xf numFmtId="4" fontId="6" fillId="0" borderId="18" xfId="0" applyNumberFormat="1" applyFont="1" applyFill="1" applyBorder="1" applyAlignment="1">
      <alignment horizontal="center" vertical="center"/>
    </xf>
    <xf numFmtId="4" fontId="6" fillId="0" borderId="18" xfId="0" applyNumberFormat="1" applyFont="1" applyFill="1" applyBorder="1" applyAlignment="1">
      <alignment horizontal="right"/>
    </xf>
    <xf numFmtId="3" fontId="5" fillId="0" borderId="18" xfId="0" applyNumberFormat="1" applyFont="1" applyFill="1" applyBorder="1" applyAlignment="1">
      <alignment horizontal="right"/>
    </xf>
    <xf numFmtId="166" fontId="6" fillId="0" borderId="0" xfId="1" applyNumberFormat="1" applyFont="1" applyFill="1"/>
    <xf numFmtId="4" fontId="6" fillId="0" borderId="12" xfId="0" applyNumberFormat="1" applyFont="1" applyFill="1" applyBorder="1" applyAlignment="1">
      <alignment horizontal="center" vertical="center"/>
    </xf>
    <xf numFmtId="2" fontId="5" fillId="0" borderId="28" xfId="0" applyNumberFormat="1" applyFont="1" applyFill="1" applyBorder="1" applyAlignment="1">
      <alignment horizontal="right"/>
    </xf>
    <xf numFmtId="4" fontId="5" fillId="0" borderId="29" xfId="0" applyNumberFormat="1" applyFont="1" applyFill="1" applyBorder="1" applyAlignment="1">
      <alignment horizontal="left" vertical="center"/>
    </xf>
    <xf numFmtId="4" fontId="5" fillId="0" borderId="30" xfId="0" applyNumberFormat="1" applyFont="1" applyFill="1" applyBorder="1" applyAlignment="1">
      <alignment horizontal="center" vertical="center"/>
    </xf>
    <xf numFmtId="4" fontId="6" fillId="0" borderId="30" xfId="0" applyNumberFormat="1" applyFont="1" applyFill="1" applyBorder="1" applyAlignment="1">
      <alignment horizontal="right"/>
    </xf>
    <xf numFmtId="3" fontId="6" fillId="0" borderId="30" xfId="0" applyNumberFormat="1" applyFont="1" applyFill="1" applyBorder="1"/>
    <xf numFmtId="3" fontId="6" fillId="0" borderId="30" xfId="0" applyNumberFormat="1" applyFont="1" applyFill="1" applyBorder="1" applyAlignment="1">
      <alignment horizontal="right"/>
    </xf>
    <xf numFmtId="3" fontId="5" fillId="0" borderId="31" xfId="0" applyNumberFormat="1" applyFont="1" applyFill="1" applyBorder="1"/>
    <xf numFmtId="4" fontId="6" fillId="0" borderId="15" xfId="0" applyNumberFormat="1" applyFont="1" applyFill="1" applyBorder="1" applyAlignment="1">
      <alignment horizontal="left" vertical="center"/>
    </xf>
    <xf numFmtId="4" fontId="6" fillId="0" borderId="21" xfId="0" applyNumberFormat="1" applyFont="1" applyFill="1" applyBorder="1" applyAlignment="1">
      <alignment horizontal="left" vertical="center"/>
    </xf>
    <xf numFmtId="4" fontId="6" fillId="0" borderId="21" xfId="0" applyNumberFormat="1" applyFont="1" applyFill="1" applyBorder="1" applyAlignment="1">
      <alignment horizontal="center" vertical="center"/>
    </xf>
    <xf numFmtId="2" fontId="5" fillId="0" borderId="28" xfId="0" applyNumberFormat="1" applyFont="1" applyFill="1" applyBorder="1" applyAlignment="1">
      <alignment horizontal="right" vertical="center"/>
    </xf>
    <xf numFmtId="2" fontId="6" fillId="0" borderId="14" xfId="0" applyNumberFormat="1" applyFont="1" applyFill="1" applyBorder="1" applyAlignment="1">
      <alignment horizontal="right" vertical="center"/>
    </xf>
    <xf numFmtId="2" fontId="5" fillId="0" borderId="11" xfId="0" applyNumberFormat="1" applyFont="1" applyFill="1" applyBorder="1" applyAlignment="1">
      <alignment horizontal="right" vertical="center"/>
    </xf>
    <xf numFmtId="4" fontId="5" fillId="0" borderId="12" xfId="0" applyNumberFormat="1" applyFont="1" applyFill="1" applyBorder="1" applyAlignment="1">
      <alignment horizontal="left" vertical="center"/>
    </xf>
    <xf numFmtId="4" fontId="5" fillId="0" borderId="12" xfId="0" applyNumberFormat="1" applyFont="1" applyFill="1" applyBorder="1" applyAlignment="1">
      <alignment horizontal="center" vertical="center"/>
    </xf>
    <xf numFmtId="2" fontId="6" fillId="0" borderId="20" xfId="0" applyNumberFormat="1" applyFont="1" applyFill="1" applyBorder="1" applyAlignment="1">
      <alignment horizontal="right" vertical="center"/>
    </xf>
    <xf numFmtId="2" fontId="6" fillId="0" borderId="23" xfId="0" applyNumberFormat="1" applyFont="1" applyFill="1" applyBorder="1" applyAlignment="1">
      <alignment horizontal="right" vertical="center"/>
    </xf>
    <xf numFmtId="4" fontId="5" fillId="0" borderId="30" xfId="0" applyNumberFormat="1" applyFont="1" applyFill="1" applyBorder="1" applyAlignment="1">
      <alignment horizontal="right" vertical="center"/>
    </xf>
    <xf numFmtId="3" fontId="5" fillId="0" borderId="30" xfId="0" applyNumberFormat="1" applyFont="1" applyFill="1" applyBorder="1" applyAlignment="1">
      <alignment horizontal="right" vertical="center"/>
    </xf>
    <xf numFmtId="3" fontId="5" fillId="0" borderId="31" xfId="0" applyNumberFormat="1" applyFont="1" applyFill="1" applyBorder="1" applyAlignment="1">
      <alignment horizontal="right" vertical="center"/>
    </xf>
    <xf numFmtId="4" fontId="6" fillId="0" borderId="15" xfId="0" applyNumberFormat="1" applyFont="1" applyFill="1" applyBorder="1" applyAlignment="1">
      <alignment horizontal="right" vertical="center"/>
    </xf>
    <xf numFmtId="3" fontId="8" fillId="0" borderId="15" xfId="0" applyNumberFormat="1" applyFont="1" applyFill="1" applyBorder="1"/>
    <xf numFmtId="3" fontId="8" fillId="0" borderId="15" xfId="0" applyNumberFormat="1" applyFont="1" applyFill="1" applyBorder="1" applyAlignment="1">
      <alignment horizontal="right" vertical="center"/>
    </xf>
    <xf numFmtId="3" fontId="5" fillId="0" borderId="16" xfId="0" applyNumberFormat="1" applyFont="1" applyFill="1" applyBorder="1" applyAlignment="1">
      <alignment horizontal="right" vertical="center"/>
    </xf>
    <xf numFmtId="4" fontId="5" fillId="0" borderId="12" xfId="0" applyNumberFormat="1" applyFont="1" applyFill="1" applyBorder="1" applyAlignment="1">
      <alignment horizontal="right" vertical="center"/>
    </xf>
    <xf numFmtId="3" fontId="5" fillId="0" borderId="12" xfId="0" applyNumberFormat="1" applyFont="1" applyFill="1" applyBorder="1" applyAlignment="1">
      <alignment horizontal="right" vertical="center"/>
    </xf>
    <xf numFmtId="3" fontId="5" fillId="0" borderId="13" xfId="0" applyNumberFormat="1" applyFont="1" applyFill="1" applyBorder="1" applyAlignment="1">
      <alignment horizontal="right" vertical="center"/>
    </xf>
    <xf numFmtId="4" fontId="6" fillId="0" borderId="21" xfId="0" applyNumberFormat="1" applyFont="1" applyFill="1" applyBorder="1" applyAlignment="1">
      <alignment horizontal="right" vertical="center"/>
    </xf>
    <xf numFmtId="3" fontId="6" fillId="0" borderId="21" xfId="0" applyNumberFormat="1" applyFont="1" applyFill="1" applyBorder="1" applyAlignment="1">
      <alignment horizontal="right" vertical="center"/>
    </xf>
    <xf numFmtId="3" fontId="5" fillId="0" borderId="22" xfId="0" applyNumberFormat="1" applyFont="1" applyFill="1" applyBorder="1" applyAlignment="1">
      <alignment horizontal="right" vertical="center"/>
    </xf>
    <xf numFmtId="4" fontId="6" fillId="0" borderId="12" xfId="0" applyNumberFormat="1" applyFont="1" applyFill="1" applyBorder="1" applyAlignment="1">
      <alignment horizontal="right" vertical="center"/>
    </xf>
    <xf numFmtId="3" fontId="6" fillId="0" borderId="12" xfId="0" applyNumberFormat="1" applyFont="1" applyFill="1" applyBorder="1" applyAlignment="1">
      <alignment horizontal="right" vertical="center"/>
    </xf>
    <xf numFmtId="3" fontId="6" fillId="0" borderId="15" xfId="0" applyNumberFormat="1" applyFont="1" applyFill="1" applyBorder="1" applyAlignment="1">
      <alignment horizontal="right" vertical="center"/>
    </xf>
    <xf numFmtId="4" fontId="6" fillId="0" borderId="21" xfId="0" applyNumberFormat="1" applyFont="1" applyFill="1" applyBorder="1" applyAlignment="1">
      <alignment horizontal="left" vertical="center" wrapText="1"/>
    </xf>
    <xf numFmtId="0" fontId="6" fillId="0" borderId="12" xfId="0" applyFont="1" applyFill="1" applyBorder="1"/>
    <xf numFmtId="0" fontId="6" fillId="0" borderId="15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horizontal="center" vertical="center"/>
    </xf>
    <xf numFmtId="3" fontId="6" fillId="0" borderId="15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 applyProtection="1">
      <alignment horizontal="center" wrapText="1"/>
    </xf>
    <xf numFmtId="2" fontId="5" fillId="0" borderId="24" xfId="0" applyNumberFormat="1" applyFont="1" applyFill="1" applyBorder="1" applyAlignment="1">
      <alignment horizontal="right" vertical="center"/>
    </xf>
    <xf numFmtId="3" fontId="5" fillId="0" borderId="27" xfId="0" applyNumberFormat="1" applyFont="1" applyFill="1" applyBorder="1" applyAlignment="1">
      <alignment horizontal="right" vertical="center"/>
    </xf>
    <xf numFmtId="3" fontId="6" fillId="0" borderId="15" xfId="0" applyNumberFormat="1" applyFont="1" applyFill="1" applyBorder="1" applyAlignment="1">
      <alignment horizontal="center"/>
    </xf>
    <xf numFmtId="2" fontId="5" fillId="0" borderId="32" xfId="0" applyNumberFormat="1" applyFont="1" applyFill="1" applyBorder="1" applyAlignment="1">
      <alignment horizontal="right" vertical="center"/>
    </xf>
    <xf numFmtId="4" fontId="5" fillId="0" borderId="33" xfId="0" applyNumberFormat="1" applyFont="1" applyFill="1" applyBorder="1" applyAlignment="1">
      <alignment horizontal="left" vertical="center"/>
    </xf>
    <xf numFmtId="4" fontId="5" fillId="0" borderId="18" xfId="0" applyNumberFormat="1" applyFont="1" applyFill="1" applyBorder="1" applyAlignment="1">
      <alignment horizontal="center" vertical="center"/>
    </xf>
    <xf numFmtId="4" fontId="5" fillId="0" borderId="18" xfId="0" applyNumberFormat="1" applyFont="1" applyFill="1" applyBorder="1" applyAlignment="1">
      <alignment horizontal="right" vertical="center"/>
    </xf>
    <xf numFmtId="3" fontId="5" fillId="0" borderId="18" xfId="0" applyNumberFormat="1" applyFont="1" applyFill="1" applyBorder="1" applyAlignment="1">
      <alignment horizontal="right" vertical="center"/>
    </xf>
    <xf numFmtId="3" fontId="5" fillId="0" borderId="19" xfId="0" applyNumberFormat="1" applyFont="1" applyFill="1" applyBorder="1" applyAlignment="1">
      <alignment horizontal="right" vertical="center"/>
    </xf>
    <xf numFmtId="4" fontId="6" fillId="0" borderId="21" xfId="0" applyNumberFormat="1" applyFont="1" applyFill="1" applyBorder="1"/>
    <xf numFmtId="4" fontId="6" fillId="0" borderId="26" xfId="0" applyNumberFormat="1" applyFont="1" applyFill="1" applyBorder="1" applyAlignment="1">
      <alignment horizontal="left" vertical="center"/>
    </xf>
    <xf numFmtId="4" fontId="6" fillId="0" borderId="26" xfId="0" applyNumberFormat="1" applyFont="1" applyFill="1" applyBorder="1" applyAlignment="1">
      <alignment horizontal="center" vertical="center"/>
    </xf>
    <xf numFmtId="4" fontId="6" fillId="0" borderId="26" xfId="0" applyNumberFormat="1" applyFont="1" applyFill="1" applyBorder="1" applyAlignment="1">
      <alignment horizontal="right" vertical="center"/>
    </xf>
    <xf numFmtId="3" fontId="6" fillId="0" borderId="26" xfId="0" applyNumberFormat="1" applyFont="1" applyFill="1" applyBorder="1" applyAlignment="1">
      <alignment horizontal="right" vertical="center"/>
    </xf>
    <xf numFmtId="2" fontId="5" fillId="0" borderId="34" xfId="0" applyNumberFormat="1" applyFont="1" applyFill="1" applyBorder="1" applyAlignment="1">
      <alignment horizontal="right" vertical="center"/>
    </xf>
    <xf numFmtId="4" fontId="5" fillId="0" borderId="35" xfId="0" applyNumberFormat="1" applyFont="1" applyFill="1" applyBorder="1" applyAlignment="1">
      <alignment horizontal="left" vertical="center"/>
    </xf>
    <xf numFmtId="4" fontId="5" fillId="0" borderId="18" xfId="0" applyNumberFormat="1" applyFont="1" applyFill="1" applyBorder="1" applyAlignment="1">
      <alignment horizontal="right"/>
    </xf>
    <xf numFmtId="2" fontId="5" fillId="0" borderId="17" xfId="0" applyNumberFormat="1" applyFont="1" applyFill="1" applyBorder="1" applyAlignment="1">
      <alignment horizontal="right" vertical="center"/>
    </xf>
    <xf numFmtId="4" fontId="5" fillId="0" borderId="18" xfId="0" applyNumberFormat="1" applyFont="1" applyFill="1" applyBorder="1" applyAlignment="1">
      <alignment horizontal="left" vertical="center"/>
    </xf>
    <xf numFmtId="2" fontId="5" fillId="0" borderId="14" xfId="0" applyNumberFormat="1" applyFont="1" applyFill="1" applyBorder="1" applyAlignment="1">
      <alignment horizontal="right" vertical="center"/>
    </xf>
    <xf numFmtId="4" fontId="5" fillId="0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Fill="1" applyBorder="1" applyAlignment="1">
      <alignment horizontal="center" vertical="center"/>
    </xf>
    <xf numFmtId="4" fontId="5" fillId="0" borderId="15" xfId="0" applyNumberFormat="1" applyFont="1" applyFill="1" applyBorder="1" applyAlignment="1">
      <alignment horizontal="right" vertical="center"/>
    </xf>
    <xf numFmtId="3" fontId="5" fillId="0" borderId="15" xfId="0" applyNumberFormat="1" applyFont="1" applyFill="1" applyBorder="1" applyAlignment="1">
      <alignment horizontal="right" vertical="center"/>
    </xf>
    <xf numFmtId="2" fontId="6" fillId="0" borderId="34" xfId="0" applyNumberFormat="1" applyFont="1" applyFill="1" applyBorder="1" applyAlignment="1">
      <alignment horizontal="right" vertical="center"/>
    </xf>
    <xf numFmtId="4" fontId="6" fillId="0" borderId="35" xfId="0" applyNumberFormat="1" applyFont="1" applyFill="1" applyBorder="1" applyAlignment="1">
      <alignment horizontal="left" vertical="center"/>
    </xf>
    <xf numFmtId="4" fontId="6" fillId="0" borderId="12" xfId="0" applyNumberFormat="1" applyFont="1" applyFill="1" applyBorder="1" applyAlignment="1">
      <alignment horizontal="left" vertical="center"/>
    </xf>
    <xf numFmtId="3" fontId="6" fillId="0" borderId="12" xfId="0" applyNumberFormat="1" applyFont="1" applyFill="1" applyBorder="1" applyAlignment="1">
      <alignment horizontal="left" vertical="center"/>
    </xf>
    <xf numFmtId="3" fontId="5" fillId="0" borderId="13" xfId="0" applyNumberFormat="1" applyFont="1" applyFill="1" applyBorder="1" applyAlignment="1">
      <alignment horizontal="left" vertical="center"/>
    </xf>
    <xf numFmtId="2" fontId="6" fillId="0" borderId="36" xfId="0" applyNumberFormat="1" applyFont="1" applyFill="1" applyBorder="1" applyAlignment="1">
      <alignment horizontal="right" vertical="center"/>
    </xf>
    <xf numFmtId="4" fontId="6" fillId="0" borderId="37" xfId="0" applyNumberFormat="1" applyFont="1" applyFill="1" applyBorder="1" applyAlignment="1">
      <alignment horizontal="left" vertical="center"/>
    </xf>
    <xf numFmtId="3" fontId="6" fillId="0" borderId="15" xfId="0" applyNumberFormat="1" applyFont="1" applyFill="1" applyBorder="1" applyAlignment="1">
      <alignment horizontal="left" vertical="center"/>
    </xf>
    <xf numFmtId="3" fontId="5" fillId="0" borderId="16" xfId="0" applyNumberFormat="1" applyFont="1" applyFill="1" applyBorder="1" applyAlignment="1">
      <alignment horizontal="left" vertical="center"/>
    </xf>
    <xf numFmtId="2" fontId="6" fillId="0" borderId="38" xfId="0" applyNumberFormat="1" applyFont="1" applyFill="1" applyBorder="1" applyAlignment="1">
      <alignment horizontal="right" vertical="center"/>
    </xf>
    <xf numFmtId="4" fontId="6" fillId="0" borderId="39" xfId="0" applyNumberFormat="1" applyFont="1" applyFill="1" applyBorder="1" applyAlignment="1">
      <alignment horizontal="left" vertical="center"/>
    </xf>
    <xf numFmtId="3" fontId="6" fillId="0" borderId="21" xfId="0" applyNumberFormat="1" applyFont="1" applyFill="1" applyBorder="1" applyAlignment="1">
      <alignment horizontal="left" vertical="center"/>
    </xf>
    <xf numFmtId="3" fontId="5" fillId="0" borderId="22" xfId="0" applyNumberFormat="1" applyFont="1" applyFill="1" applyBorder="1" applyAlignment="1">
      <alignment horizontal="left" vertical="center"/>
    </xf>
    <xf numFmtId="2" fontId="6" fillId="0" borderId="4" xfId="0" applyNumberFormat="1" applyFont="1" applyFill="1" applyBorder="1" applyAlignment="1">
      <alignment horizontal="right" vertical="center"/>
    </xf>
    <xf numFmtId="4" fontId="6" fillId="0" borderId="40" xfId="0" applyNumberFormat="1" applyFont="1" applyFill="1" applyBorder="1" applyAlignment="1">
      <alignment horizontal="left" vertical="center"/>
    </xf>
    <xf numFmtId="4" fontId="6" fillId="0" borderId="41" xfId="0" applyNumberFormat="1" applyFont="1" applyFill="1" applyBorder="1" applyAlignment="1">
      <alignment horizontal="left" vertical="center"/>
    </xf>
    <xf numFmtId="4" fontId="6" fillId="0" borderId="41" xfId="0" applyNumberFormat="1" applyFont="1" applyFill="1" applyBorder="1" applyAlignment="1">
      <alignment horizontal="right" vertical="center"/>
    </xf>
    <xf numFmtId="3" fontId="6" fillId="0" borderId="41" xfId="0" applyNumberFormat="1" applyFont="1" applyFill="1" applyBorder="1" applyAlignment="1">
      <alignment horizontal="left" vertical="center"/>
    </xf>
    <xf numFmtId="3" fontId="6" fillId="0" borderId="41" xfId="0" applyNumberFormat="1" applyFont="1" applyFill="1" applyBorder="1" applyAlignment="1">
      <alignment horizontal="right" vertical="center"/>
    </xf>
    <xf numFmtId="3" fontId="5" fillId="0" borderId="42" xfId="0" applyNumberFormat="1" applyFont="1" applyFill="1" applyBorder="1" applyAlignment="1">
      <alignment horizontal="left" vertical="center"/>
    </xf>
    <xf numFmtId="2" fontId="5" fillId="4" borderId="43" xfId="0" applyNumberFormat="1" applyFont="1" applyFill="1" applyBorder="1" applyAlignment="1">
      <alignment horizontal="right" vertical="center"/>
    </xf>
    <xf numFmtId="4" fontId="5" fillId="4" borderId="44" xfId="0" applyNumberFormat="1" applyFont="1" applyFill="1" applyBorder="1" applyAlignment="1">
      <alignment horizontal="left" vertical="center"/>
    </xf>
    <xf numFmtId="4" fontId="5" fillId="4" borderId="44" xfId="0" applyNumberFormat="1" applyFont="1" applyFill="1" applyBorder="1" applyAlignment="1">
      <alignment horizontal="center" vertical="center"/>
    </xf>
    <xf numFmtId="4" fontId="5" fillId="4" borderId="44" xfId="0" applyNumberFormat="1" applyFont="1" applyFill="1" applyBorder="1" applyAlignment="1">
      <alignment horizontal="right" vertical="center"/>
    </xf>
    <xf numFmtId="3" fontId="5" fillId="4" borderId="44" xfId="0" applyNumberFormat="1" applyFont="1" applyFill="1" applyBorder="1" applyAlignment="1">
      <alignment horizontal="right" vertical="center"/>
    </xf>
    <xf numFmtId="3" fontId="5" fillId="4" borderId="45" xfId="0" applyNumberFormat="1" applyFont="1" applyFill="1" applyBorder="1" applyAlignment="1">
      <alignment horizontal="right" vertical="center"/>
    </xf>
    <xf numFmtId="2" fontId="5" fillId="0" borderId="46" xfId="0" applyNumberFormat="1" applyFont="1" applyFill="1" applyBorder="1" applyAlignment="1">
      <alignment horizontal="right" vertical="center"/>
    </xf>
    <xf numFmtId="4" fontId="5" fillId="0" borderId="41" xfId="0" applyNumberFormat="1" applyFont="1" applyFill="1" applyBorder="1" applyAlignment="1">
      <alignment horizontal="left" vertical="center"/>
    </xf>
    <xf numFmtId="4" fontId="6" fillId="0" borderId="41" xfId="0" applyNumberFormat="1" applyFont="1" applyFill="1" applyBorder="1" applyAlignment="1">
      <alignment horizontal="center" vertical="center"/>
    </xf>
    <xf numFmtId="3" fontId="5" fillId="0" borderId="41" xfId="0" applyNumberFormat="1" applyFont="1" applyFill="1" applyBorder="1" applyAlignment="1">
      <alignment horizontal="right" vertical="center"/>
    </xf>
    <xf numFmtId="3" fontId="5" fillId="0" borderId="42" xfId="0" applyNumberFormat="1" applyFont="1" applyFill="1" applyBorder="1" applyAlignment="1">
      <alignment horizontal="right" vertical="center"/>
    </xf>
    <xf numFmtId="2" fontId="5" fillId="4" borderId="47" xfId="0" applyNumberFormat="1" applyFont="1" applyFill="1" applyBorder="1" applyAlignment="1">
      <alignment horizontal="right" vertical="center"/>
    </xf>
    <xf numFmtId="4" fontId="5" fillId="4" borderId="48" xfId="0" applyNumberFormat="1" applyFont="1" applyFill="1" applyBorder="1" applyAlignment="1">
      <alignment horizontal="left" vertical="center"/>
    </xf>
    <xf numFmtId="4" fontId="5" fillId="4" borderId="48" xfId="0" applyNumberFormat="1" applyFont="1" applyFill="1" applyBorder="1" applyAlignment="1">
      <alignment horizontal="center" vertical="center"/>
    </xf>
    <xf numFmtId="4" fontId="5" fillId="4" borderId="48" xfId="0" applyNumberFormat="1" applyFont="1" applyFill="1" applyBorder="1" applyAlignment="1">
      <alignment horizontal="right" vertical="center"/>
    </xf>
    <xf numFmtId="3" fontId="5" fillId="4" borderId="48" xfId="0" applyNumberFormat="1" applyFont="1" applyFill="1" applyBorder="1" applyAlignment="1">
      <alignment horizontal="right" vertical="center"/>
    </xf>
    <xf numFmtId="3" fontId="5" fillId="4" borderId="49" xfId="0" applyNumberFormat="1" applyFont="1" applyFill="1" applyBorder="1" applyAlignment="1">
      <alignment horizontal="center" vertical="center"/>
    </xf>
    <xf numFmtId="2" fontId="5" fillId="0" borderId="50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left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center"/>
    </xf>
    <xf numFmtId="3" fontId="5" fillId="0" borderId="51" xfId="0" applyNumberFormat="1" applyFont="1" applyFill="1" applyBorder="1" applyAlignment="1">
      <alignment horizontal="right" vertical="center"/>
    </xf>
    <xf numFmtId="3" fontId="5" fillId="0" borderId="53" xfId="0" applyNumberFormat="1" applyFont="1" applyFill="1" applyBorder="1" applyAlignment="1">
      <alignment horizontal="center" vertical="center"/>
    </xf>
    <xf numFmtId="2" fontId="6" fillId="0" borderId="50" xfId="0" applyNumberFormat="1" applyFont="1" applyFill="1" applyBorder="1" applyAlignment="1">
      <alignment horizontal="right" vertical="center"/>
    </xf>
    <xf numFmtId="4" fontId="6" fillId="0" borderId="43" xfId="0" applyNumberFormat="1" applyFont="1" applyFill="1" applyBorder="1" applyAlignment="1">
      <alignment horizontal="left" vertical="center"/>
    </xf>
    <xf numFmtId="4" fontId="6" fillId="0" borderId="44" xfId="0" applyNumberFormat="1" applyFont="1" applyFill="1" applyBorder="1" applyAlignment="1">
      <alignment horizontal="center" vertical="center"/>
    </xf>
    <xf numFmtId="4" fontId="6" fillId="0" borderId="44" xfId="0" applyNumberFormat="1" applyFont="1" applyFill="1" applyBorder="1" applyAlignment="1">
      <alignment horizontal="right" vertical="center"/>
    </xf>
    <xf numFmtId="3" fontId="6" fillId="0" borderId="44" xfId="0" applyNumberFormat="1" applyFont="1" applyFill="1" applyBorder="1" applyAlignment="1">
      <alignment horizontal="right" vertical="center"/>
    </xf>
    <xf numFmtId="3" fontId="5" fillId="0" borderId="49" xfId="0" applyNumberFormat="1" applyFont="1" applyFill="1" applyBorder="1" applyAlignment="1">
      <alignment horizontal="left" vertical="center"/>
    </xf>
    <xf numFmtId="2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center"/>
    </xf>
    <xf numFmtId="4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5" fillId="0" borderId="0" xfId="0" applyNumberFormat="1" applyFont="1" applyFill="1"/>
    <xf numFmtId="9" fontId="6" fillId="0" borderId="0" xfId="0" applyNumberFormat="1" applyFont="1" applyFill="1" applyAlignment="1">
      <alignment horizontal="right"/>
    </xf>
    <xf numFmtId="0" fontId="11" fillId="5" borderId="54" xfId="0" applyFont="1" applyFill="1" applyBorder="1"/>
    <xf numFmtId="0" fontId="12" fillId="5" borderId="54" xfId="0" applyFont="1" applyFill="1" applyBorder="1"/>
    <xf numFmtId="0" fontId="12" fillId="5" borderId="55" xfId="0" applyFont="1" applyFill="1" applyBorder="1" applyAlignment="1">
      <alignment wrapText="1"/>
    </xf>
    <xf numFmtId="0" fontId="12" fillId="6" borderId="57" xfId="0" applyFont="1" applyFill="1" applyBorder="1" applyAlignment="1">
      <alignment horizontal="left"/>
    </xf>
    <xf numFmtId="164" fontId="12" fillId="6" borderId="57" xfId="0" applyNumberFormat="1" applyFont="1" applyFill="1" applyBorder="1"/>
    <xf numFmtId="0" fontId="13" fillId="0" borderId="57" xfId="0" applyFont="1" applyBorder="1" applyAlignment="1">
      <alignment horizontal="left" indent="1"/>
    </xf>
    <xf numFmtId="164" fontId="13" fillId="0" borderId="57" xfId="0" applyNumberFormat="1" applyFont="1" applyBorder="1"/>
    <xf numFmtId="0" fontId="14" fillId="0" borderId="58" xfId="0" applyFont="1" applyBorder="1" applyAlignment="1">
      <alignment horizontal="left"/>
    </xf>
    <xf numFmtId="164" fontId="14" fillId="0" borderId="58" xfId="0" applyNumberFormat="1" applyFont="1" applyBorder="1"/>
    <xf numFmtId="164" fontId="0" fillId="0" borderId="0" xfId="0" applyNumberFormat="1"/>
    <xf numFmtId="0" fontId="15" fillId="7" borderId="59" xfId="0" applyFont="1" applyFill="1" applyBorder="1"/>
    <xf numFmtId="0" fontId="16" fillId="7" borderId="59" xfId="0" applyFont="1" applyFill="1" applyBorder="1"/>
    <xf numFmtId="0" fontId="16" fillId="7" borderId="60" xfId="0" applyFont="1" applyFill="1" applyBorder="1" applyAlignment="1">
      <alignment wrapText="1"/>
    </xf>
    <xf numFmtId="0" fontId="16" fillId="7" borderId="61" xfId="0" applyFont="1" applyFill="1" applyBorder="1" applyAlignment="1">
      <alignment wrapText="1"/>
    </xf>
    <xf numFmtId="0" fontId="16" fillId="8" borderId="62" xfId="0" applyFont="1" applyFill="1" applyBorder="1" applyAlignment="1">
      <alignment horizontal="left"/>
    </xf>
    <xf numFmtId="164" fontId="16" fillId="8" borderId="62" xfId="0" applyNumberFormat="1" applyFont="1" applyFill="1" applyBorder="1"/>
    <xf numFmtId="0" fontId="17" fillId="0" borderId="62" xfId="0" applyFont="1" applyBorder="1" applyAlignment="1">
      <alignment horizontal="left" indent="1"/>
    </xf>
    <xf numFmtId="164" fontId="17" fillId="0" borderId="62" xfId="0" applyNumberFormat="1" applyFont="1" applyBorder="1"/>
    <xf numFmtId="0" fontId="18" fillId="0" borderId="63" xfId="0" applyFont="1" applyBorder="1" applyAlignment="1">
      <alignment horizontal="left"/>
    </xf>
    <xf numFmtId="164" fontId="18" fillId="0" borderId="63" xfId="0" applyNumberFormat="1" applyFont="1" applyBorder="1"/>
    <xf numFmtId="0" fontId="3" fillId="3" borderId="32" xfId="0" applyFont="1" applyFill="1" applyBorder="1" applyAlignment="1">
      <alignment vertical="center" wrapText="1"/>
    </xf>
    <xf numFmtId="164" fontId="0" fillId="3" borderId="32" xfId="2" applyFont="1" applyFill="1" applyBorder="1" applyAlignment="1">
      <alignment vertical="center"/>
    </xf>
    <xf numFmtId="9" fontId="0" fillId="3" borderId="32" xfId="3" applyFont="1" applyFill="1" applyBorder="1" applyAlignment="1">
      <alignment vertical="center"/>
    </xf>
    <xf numFmtId="0" fontId="0" fillId="0" borderId="32" xfId="0" applyBorder="1" applyAlignment="1">
      <alignment horizontal="left" vertical="center" wrapText="1"/>
    </xf>
    <xf numFmtId="164" fontId="0" fillId="0" borderId="32" xfId="2" applyFont="1" applyBorder="1" applyAlignment="1">
      <alignment vertical="center"/>
    </xf>
    <xf numFmtId="9" fontId="0" fillId="0" borderId="32" xfId="3" applyFont="1" applyBorder="1" applyAlignment="1">
      <alignment vertical="center"/>
    </xf>
    <xf numFmtId="0" fontId="0" fillId="0" borderId="32" xfId="0" applyBorder="1" applyAlignment="1">
      <alignment vertical="center" wrapText="1"/>
    </xf>
    <xf numFmtId="164" fontId="3" fillId="3" borderId="32" xfId="2" applyFont="1" applyFill="1" applyBorder="1" applyAlignment="1">
      <alignment vertical="center"/>
    </xf>
    <xf numFmtId="9" fontId="3" fillId="3" borderId="32" xfId="3" applyFont="1" applyFill="1" applyBorder="1" applyAlignment="1">
      <alignment vertical="center"/>
    </xf>
    <xf numFmtId="164" fontId="0" fillId="0" borderId="0" xfId="2" applyFont="1"/>
    <xf numFmtId="0" fontId="0" fillId="3" borderId="32" xfId="0" applyFill="1" applyBorder="1" applyAlignment="1">
      <alignment wrapText="1"/>
    </xf>
    <xf numFmtId="164" fontId="0" fillId="3" borderId="32" xfId="2" applyFont="1" applyFill="1" applyBorder="1"/>
    <xf numFmtId="9" fontId="0" fillId="3" borderId="32" xfId="3" applyFont="1" applyFill="1" applyBorder="1"/>
    <xf numFmtId="0" fontId="0" fillId="0" borderId="32" xfId="0" applyBorder="1" applyAlignment="1">
      <alignment wrapText="1"/>
    </xf>
    <xf numFmtId="164" fontId="0" fillId="0" borderId="32" xfId="2" applyFont="1" applyBorder="1"/>
    <xf numFmtId="9" fontId="0" fillId="0" borderId="32" xfId="3" applyFont="1" applyBorder="1"/>
    <xf numFmtId="0" fontId="12" fillId="5" borderId="56" xfId="0" applyFont="1" applyFill="1" applyBorder="1"/>
    <xf numFmtId="164" fontId="0" fillId="0" borderId="32" xfId="2" applyFont="1" applyBorder="1" applyAlignment="1">
      <alignment horizontal="center" vertical="center" wrapText="1"/>
    </xf>
    <xf numFmtId="164" fontId="0" fillId="0" borderId="0" xfId="2" applyFont="1" applyAlignment="1">
      <alignment horizontal="center" vertical="center" wrapText="1"/>
    </xf>
    <xf numFmtId="0" fontId="0" fillId="0" borderId="32" xfId="2" applyNumberFormat="1" applyFont="1" applyBorder="1"/>
    <xf numFmtId="167" fontId="0" fillId="0" borderId="32" xfId="1" applyNumberFormat="1" applyFont="1" applyBorder="1"/>
    <xf numFmtId="164" fontId="19" fillId="0" borderId="0" xfId="2" applyFont="1"/>
    <xf numFmtId="0" fontId="0" fillId="0" borderId="0" xfId="0" pivotButton="1"/>
    <xf numFmtId="0" fontId="0" fillId="0" borderId="32" xfId="0" applyBorder="1"/>
    <xf numFmtId="164" fontId="0" fillId="0" borderId="32" xfId="0" applyNumberFormat="1" applyBorder="1"/>
    <xf numFmtId="0" fontId="0" fillId="0" borderId="0" xfId="0" applyAlignment="1">
      <alignment horizontal="center" vertical="center" wrapText="1"/>
    </xf>
    <xf numFmtId="10" fontId="0" fillId="0" borderId="32" xfId="3" applyNumberFormat="1" applyFont="1" applyBorder="1"/>
    <xf numFmtId="0" fontId="21" fillId="0" borderId="0" xfId="0" applyFont="1" applyAlignment="1">
      <alignment horizontal="center"/>
    </xf>
    <xf numFmtId="0" fontId="20" fillId="0" borderId="32" xfId="0" applyFont="1" applyBorder="1"/>
    <xf numFmtId="42" fontId="20" fillId="0" borderId="32" xfId="0" applyNumberFormat="1" applyFont="1" applyBorder="1"/>
    <xf numFmtId="0" fontId="21" fillId="0" borderId="32" xfId="0" applyFont="1" applyBorder="1" applyAlignment="1">
      <alignment horizontal="center"/>
    </xf>
    <xf numFmtId="42" fontId="20" fillId="10" borderId="32" xfId="0" applyNumberFormat="1" applyFont="1" applyFill="1" applyBorder="1"/>
    <xf numFmtId="0" fontId="20" fillId="0" borderId="32" xfId="0" applyFont="1" applyBorder="1" applyAlignment="1">
      <alignment horizontal="center"/>
    </xf>
    <xf numFmtId="168" fontId="20" fillId="0" borderId="32" xfId="0" applyNumberFormat="1" applyFont="1" applyBorder="1"/>
    <xf numFmtId="169" fontId="20" fillId="0" borderId="32" xfId="0" applyNumberFormat="1" applyFont="1" applyBorder="1"/>
    <xf numFmtId="10" fontId="20" fillId="0" borderId="32" xfId="0" applyNumberFormat="1" applyFont="1" applyBorder="1"/>
    <xf numFmtId="0" fontId="0" fillId="0" borderId="32" xfId="0" applyBorder="1" applyAlignment="1">
      <alignment horizontal="left" wrapText="1"/>
    </xf>
    <xf numFmtId="0" fontId="0" fillId="0" borderId="32" xfId="0" applyBorder="1" applyAlignment="1">
      <alignment horizontal="center" wrapText="1"/>
    </xf>
    <xf numFmtId="164" fontId="0" fillId="0" borderId="32" xfId="2" applyFont="1" applyBorder="1" applyAlignment="1">
      <alignment horizontal="center" wrapText="1"/>
    </xf>
    <xf numFmtId="0" fontId="3" fillId="0" borderId="32" xfId="0" applyFont="1" applyBorder="1"/>
    <xf numFmtId="164" fontId="25" fillId="0" borderId="32" xfId="0" applyNumberFormat="1" applyFont="1" applyBorder="1" applyAlignment="1">
      <alignment horizontal="center" wrapText="1"/>
    </xf>
    <xf numFmtId="10" fontId="0" fillId="0" borderId="32" xfId="0" applyNumberFormat="1" applyBorder="1"/>
    <xf numFmtId="164" fontId="3" fillId="0" borderId="32" xfId="2" applyFont="1" applyBorder="1"/>
    <xf numFmtId="0" fontId="2" fillId="11" borderId="32" xfId="0" applyFont="1" applyFill="1" applyBorder="1"/>
    <xf numFmtId="164" fontId="2" fillId="11" borderId="32" xfId="0" applyNumberFormat="1" applyFont="1" applyFill="1" applyBorder="1"/>
    <xf numFmtId="164" fontId="2" fillId="11" borderId="32" xfId="2" applyFont="1" applyFill="1" applyBorder="1"/>
    <xf numFmtId="0" fontId="3" fillId="0" borderId="32" xfId="0" applyFont="1" applyBorder="1" applyAlignment="1">
      <alignment horizontal="center" wrapText="1"/>
    </xf>
    <xf numFmtId="10" fontId="2" fillId="11" borderId="32" xfId="0" applyNumberFormat="1" applyFont="1" applyFill="1" applyBorder="1"/>
    <xf numFmtId="0" fontId="0" fillId="0" borderId="32" xfId="0" applyFill="1" applyBorder="1"/>
    <xf numFmtId="0" fontId="0" fillId="0" borderId="32" xfId="0" applyBorder="1" applyAlignment="1">
      <alignment horizontal="center" vertical="center"/>
    </xf>
    <xf numFmtId="0" fontId="24" fillId="11" borderId="0" xfId="0" applyFont="1" applyFill="1"/>
    <xf numFmtId="0" fontId="2" fillId="11" borderId="0" xfId="0" applyFont="1" applyFill="1"/>
    <xf numFmtId="164" fontId="2" fillId="11" borderId="0" xfId="0" applyNumberFormat="1" applyFont="1" applyFill="1"/>
    <xf numFmtId="0" fontId="24" fillId="11" borderId="32" xfId="0" applyFont="1" applyFill="1" applyBorder="1"/>
    <xf numFmtId="164" fontId="24" fillId="11" borderId="32" xfId="2" applyFont="1" applyFill="1" applyBorder="1"/>
    <xf numFmtId="0" fontId="24" fillId="11" borderId="32" xfId="0" applyFont="1" applyFill="1" applyBorder="1" applyAlignment="1">
      <alignment wrapText="1"/>
    </xf>
    <xf numFmtId="9" fontId="0" fillId="0" borderId="32" xfId="3" applyFont="1" applyBorder="1" applyAlignment="1">
      <alignment horizontal="center" vertical="center" wrapText="1"/>
    </xf>
    <xf numFmtId="9" fontId="0" fillId="0" borderId="71" xfId="3" applyFont="1" applyBorder="1" applyAlignment="1">
      <alignment horizontal="center" vertical="center" wrapText="1"/>
    </xf>
    <xf numFmtId="9" fontId="0" fillId="0" borderId="73" xfId="3" applyFont="1" applyBorder="1" applyAlignment="1">
      <alignment horizontal="center" vertical="center" wrapText="1"/>
    </xf>
    <xf numFmtId="9" fontId="0" fillId="0" borderId="74" xfId="3" applyFont="1" applyBorder="1" applyAlignment="1">
      <alignment horizontal="center" vertical="center" wrapText="1"/>
    </xf>
    <xf numFmtId="9" fontId="0" fillId="0" borderId="82" xfId="3" applyFont="1" applyBorder="1" applyAlignment="1">
      <alignment horizontal="center" vertical="center" wrapText="1"/>
    </xf>
    <xf numFmtId="9" fontId="0" fillId="0" borderId="7" xfId="3" applyFont="1" applyBorder="1" applyAlignment="1">
      <alignment horizontal="center" vertical="center" wrapText="1"/>
    </xf>
    <xf numFmtId="9" fontId="0" fillId="0" borderId="69" xfId="3" applyFont="1" applyBorder="1" applyAlignment="1">
      <alignment horizontal="center" vertical="center" wrapText="1"/>
    </xf>
    <xf numFmtId="9" fontId="0" fillId="0" borderId="68" xfId="3" applyFont="1" applyBorder="1" applyAlignment="1">
      <alignment horizontal="center" vertical="center" wrapText="1"/>
    </xf>
    <xf numFmtId="164" fontId="24" fillId="11" borderId="0" xfId="2" applyFont="1" applyFill="1"/>
    <xf numFmtId="0" fontId="0" fillId="12" borderId="0" xfId="0" applyFill="1"/>
    <xf numFmtId="164" fontId="0" fillId="12" borderId="0" xfId="2" applyFont="1" applyFill="1"/>
    <xf numFmtId="0" fontId="0" fillId="11" borderId="0" xfId="0" applyFill="1"/>
    <xf numFmtId="0" fontId="24" fillId="11" borderId="32" xfId="0" applyFont="1" applyFill="1" applyBorder="1" applyAlignment="1">
      <alignment horizontal="center" vertical="center"/>
    </xf>
    <xf numFmtId="0" fontId="24" fillId="12" borderId="0" xfId="0" applyFont="1" applyFill="1"/>
    <xf numFmtId="9" fontId="3" fillId="0" borderId="90" xfId="3" applyFont="1" applyBorder="1" applyAlignment="1">
      <alignment horizontal="center" vertical="center" wrapText="1"/>
    </xf>
    <xf numFmtId="9" fontId="3" fillId="0" borderId="28" xfId="3" applyFont="1" applyBorder="1" applyAlignment="1">
      <alignment horizontal="center" vertical="center" wrapText="1"/>
    </xf>
    <xf numFmtId="9" fontId="0" fillId="0" borderId="0" xfId="3" applyFont="1"/>
    <xf numFmtId="9" fontId="0" fillId="0" borderId="32" xfId="3" applyFont="1" applyBorder="1" applyAlignment="1">
      <alignment horizontal="center" vertical="center"/>
    </xf>
    <xf numFmtId="168" fontId="0" fillId="0" borderId="0" xfId="3" applyNumberFormat="1" applyFont="1"/>
    <xf numFmtId="0" fontId="3" fillId="0" borderId="0" xfId="0" applyFont="1" applyFill="1" applyBorder="1" applyAlignment="1">
      <alignment horizontal="center" vertical="center"/>
    </xf>
    <xf numFmtId="170" fontId="0" fillId="0" borderId="32" xfId="0" applyNumberFormat="1" applyBorder="1"/>
    <xf numFmtId="164" fontId="3" fillId="0" borderId="32" xfId="0" applyNumberFormat="1" applyFont="1" applyBorder="1"/>
    <xf numFmtId="9" fontId="0" fillId="0" borderId="0" xfId="0" applyNumberFormat="1"/>
    <xf numFmtId="9" fontId="0" fillId="0" borderId="32" xfId="0" applyNumberFormat="1" applyBorder="1"/>
    <xf numFmtId="0" fontId="2" fillId="11" borderId="32" xfId="0" applyFont="1" applyFill="1" applyBorder="1" applyAlignment="1">
      <alignment horizontal="center" vertical="center"/>
    </xf>
    <xf numFmtId="0" fontId="24" fillId="13" borderId="67" xfId="0" applyFont="1" applyFill="1" applyBorder="1"/>
    <xf numFmtId="0" fontId="24" fillId="13" borderId="68" xfId="0" applyFont="1" applyFill="1" applyBorder="1"/>
    <xf numFmtId="0" fontId="24" fillId="13" borderId="69" xfId="0" applyFont="1" applyFill="1" applyBorder="1"/>
    <xf numFmtId="0" fontId="0" fillId="0" borderId="70" xfId="0" applyBorder="1" applyAlignment="1">
      <alignment horizontal="left"/>
    </xf>
    <xf numFmtId="164" fontId="0" fillId="0" borderId="71" xfId="0" applyNumberFormat="1" applyBorder="1"/>
    <xf numFmtId="164" fontId="0" fillId="0" borderId="71" xfId="2" applyFont="1" applyBorder="1"/>
    <xf numFmtId="0" fontId="0" fillId="0" borderId="72" xfId="0" applyBorder="1" applyAlignment="1">
      <alignment horizontal="left"/>
    </xf>
    <xf numFmtId="164" fontId="0" fillId="0" borderId="73" xfId="2" applyFont="1" applyBorder="1"/>
    <xf numFmtId="164" fontId="0" fillId="0" borderId="73" xfId="0" applyNumberFormat="1" applyBorder="1"/>
    <xf numFmtId="164" fontId="0" fillId="0" borderId="74" xfId="0" applyNumberFormat="1" applyBorder="1"/>
    <xf numFmtId="164" fontId="22" fillId="0" borderId="32" xfId="2" applyFont="1" applyBorder="1" applyAlignment="1">
      <alignment horizontal="center"/>
    </xf>
    <xf numFmtId="164" fontId="20" fillId="0" borderId="32" xfId="2" applyFont="1" applyBorder="1" applyAlignment="1">
      <alignment horizontal="center"/>
    </xf>
    <xf numFmtId="164" fontId="20" fillId="0" borderId="32" xfId="2" applyFont="1" applyBorder="1"/>
    <xf numFmtId="164" fontId="23" fillId="0" borderId="32" xfId="2" applyFont="1" applyBorder="1"/>
    <xf numFmtId="0" fontId="2" fillId="11" borderId="32" xfId="0" applyFont="1" applyFill="1" applyBorder="1" applyAlignment="1">
      <alignment wrapText="1"/>
    </xf>
    <xf numFmtId="168" fontId="0" fillId="0" borderId="32" xfId="3" applyNumberFormat="1" applyFont="1" applyBorder="1" applyAlignment="1">
      <alignment vertical="center"/>
    </xf>
    <xf numFmtId="9" fontId="2" fillId="11" borderId="74" xfId="3" applyFont="1" applyFill="1" applyBorder="1" applyAlignment="1">
      <alignment horizontal="center" vertical="center" wrapText="1"/>
    </xf>
    <xf numFmtId="9" fontId="2" fillId="11" borderId="73" xfId="3" applyFont="1" applyFill="1" applyBorder="1" applyAlignment="1">
      <alignment horizontal="center" vertical="center" wrapText="1"/>
    </xf>
    <xf numFmtId="9" fontId="2" fillId="11" borderId="71" xfId="3" applyFont="1" applyFill="1" applyBorder="1" applyAlignment="1">
      <alignment horizontal="center" vertical="center" wrapText="1"/>
    </xf>
    <xf numFmtId="164" fontId="24" fillId="11" borderId="32" xfId="0" applyNumberFormat="1" applyFont="1" applyFill="1" applyBorder="1"/>
    <xf numFmtId="0" fontId="24" fillId="11" borderId="32" xfId="0" applyFont="1" applyFill="1" applyBorder="1" applyAlignment="1">
      <alignment horizontal="center" vertical="center" wrapText="1"/>
    </xf>
    <xf numFmtId="164" fontId="0" fillId="0" borderId="32" xfId="0" applyNumberFormat="1" applyBorder="1" applyAlignment="1">
      <alignment wrapText="1"/>
    </xf>
    <xf numFmtId="9" fontId="0" fillId="0" borderId="32" xfId="0" applyNumberFormat="1" applyBorder="1" applyAlignment="1">
      <alignment wrapText="1"/>
    </xf>
    <xf numFmtId="10" fontId="0" fillId="0" borderId="32" xfId="0" applyNumberFormat="1" applyBorder="1" applyAlignment="1">
      <alignment wrapText="1"/>
    </xf>
    <xf numFmtId="9" fontId="0" fillId="0" borderId="32" xfId="3" applyFont="1" applyBorder="1" applyAlignment="1">
      <alignment wrapText="1"/>
    </xf>
    <xf numFmtId="171" fontId="0" fillId="0" borderId="32" xfId="0" applyNumberFormat="1" applyBorder="1"/>
    <xf numFmtId="171" fontId="0" fillId="0" borderId="32" xfId="0" applyNumberFormat="1" applyBorder="1" applyAlignment="1">
      <alignment wrapText="1"/>
    </xf>
    <xf numFmtId="171" fontId="3" fillId="0" borderId="32" xfId="0" applyNumberFormat="1" applyFont="1" applyBorder="1"/>
    <xf numFmtId="0" fontId="2" fillId="11" borderId="32" xfId="0" applyFont="1" applyFill="1" applyBorder="1" applyAlignment="1">
      <alignment vertical="center" wrapText="1"/>
    </xf>
    <xf numFmtId="164" fontId="2" fillId="11" borderId="32" xfId="2" applyFont="1" applyFill="1" applyBorder="1" applyAlignment="1">
      <alignment vertical="center"/>
    </xf>
    <xf numFmtId="0" fontId="2" fillId="11" borderId="32" xfId="0" applyFont="1" applyFill="1" applyBorder="1" applyAlignment="1">
      <alignment vertical="center"/>
    </xf>
    <xf numFmtId="9" fontId="2" fillId="11" borderId="32" xfId="3" applyFont="1" applyFill="1" applyBorder="1"/>
    <xf numFmtId="9" fontId="2" fillId="11" borderId="32" xfId="3" applyFont="1" applyFill="1" applyBorder="1" applyAlignment="1">
      <alignment vertical="center"/>
    </xf>
    <xf numFmtId="0" fontId="24" fillId="12" borderId="64" xfId="0" applyFont="1" applyFill="1" applyBorder="1" applyAlignment="1">
      <alignment vertical="center" wrapText="1"/>
    </xf>
    <xf numFmtId="164" fontId="24" fillId="12" borderId="65" xfId="0" applyNumberFormat="1" applyFont="1" applyFill="1" applyBorder="1" applyAlignment="1">
      <alignment vertical="center" wrapText="1"/>
    </xf>
    <xf numFmtId="9" fontId="24" fillId="12" borderId="66" xfId="3" applyFont="1" applyFill="1" applyBorder="1" applyAlignment="1">
      <alignment vertical="center" wrapText="1"/>
    </xf>
    <xf numFmtId="0" fontId="24" fillId="12" borderId="32" xfId="0" applyFont="1" applyFill="1" applyBorder="1" applyAlignment="1">
      <alignment wrapText="1"/>
    </xf>
    <xf numFmtId="164" fontId="24" fillId="12" borderId="32" xfId="0" applyNumberFormat="1" applyFont="1" applyFill="1" applyBorder="1" applyAlignment="1">
      <alignment wrapText="1"/>
    </xf>
    <xf numFmtId="9" fontId="24" fillId="12" borderId="32" xfId="3" applyFont="1" applyFill="1" applyBorder="1" applyAlignment="1">
      <alignment wrapText="1"/>
    </xf>
    <xf numFmtId="3" fontId="24" fillId="11" borderId="32" xfId="0" applyNumberFormat="1" applyFont="1" applyFill="1" applyBorder="1" applyAlignment="1">
      <alignment wrapText="1"/>
    </xf>
    <xf numFmtId="3" fontId="24" fillId="11" borderId="32" xfId="0" applyNumberFormat="1" applyFont="1" applyFill="1" applyBorder="1"/>
    <xf numFmtId="3" fontId="0" fillId="0" borderId="0" xfId="0" applyNumberFormat="1"/>
    <xf numFmtId="3" fontId="0" fillId="0" borderId="32" xfId="0" applyNumberFormat="1" applyBorder="1"/>
    <xf numFmtId="3" fontId="2" fillId="11" borderId="32" xfId="0" applyNumberFormat="1" applyFont="1" applyFill="1" applyBorder="1" applyAlignment="1">
      <alignment wrapText="1"/>
    </xf>
    <xf numFmtId="3" fontId="3" fillId="14" borderId="32" xfId="0" applyNumberFormat="1" applyFont="1" applyFill="1" applyBorder="1"/>
    <xf numFmtId="3" fontId="3" fillId="0" borderId="0" xfId="0" applyNumberFormat="1" applyFont="1"/>
    <xf numFmtId="3" fontId="24" fillId="11" borderId="32" xfId="2" applyNumberFormat="1" applyFont="1" applyFill="1" applyBorder="1" applyAlignment="1">
      <alignment wrapText="1"/>
    </xf>
    <xf numFmtId="3" fontId="0" fillId="0" borderId="32" xfId="2" applyNumberFormat="1" applyFont="1" applyBorder="1"/>
    <xf numFmtId="3" fontId="0" fillId="0" borderId="0" xfId="2" applyNumberFormat="1" applyFont="1"/>
    <xf numFmtId="3" fontId="2" fillId="15" borderId="32" xfId="0" applyNumberFormat="1" applyFont="1" applyFill="1" applyBorder="1" applyAlignment="1">
      <alignment wrapText="1"/>
    </xf>
    <xf numFmtId="3" fontId="2" fillId="15" borderId="32" xfId="0" applyNumberFormat="1" applyFont="1" applyFill="1" applyBorder="1"/>
    <xf numFmtId="3" fontId="24" fillId="0" borderId="32" xfId="0" applyNumberFormat="1" applyFont="1" applyFill="1" applyBorder="1"/>
    <xf numFmtId="3" fontId="24" fillId="15" borderId="32" xfId="0" applyNumberFormat="1" applyFont="1" applyFill="1" applyBorder="1" applyAlignment="1">
      <alignment wrapText="1"/>
    </xf>
    <xf numFmtId="3" fontId="24" fillId="15" borderId="32" xfId="0" applyNumberFormat="1" applyFont="1" applyFill="1" applyBorder="1"/>
    <xf numFmtId="3" fontId="24" fillId="15" borderId="32" xfId="2" applyNumberFormat="1" applyFont="1" applyFill="1" applyBorder="1"/>
    <xf numFmtId="3" fontId="0" fillId="0" borderId="0" xfId="0" applyNumberFormat="1" applyAlignment="1">
      <alignment wrapText="1"/>
    </xf>
    <xf numFmtId="3" fontId="0" fillId="0" borderId="0" xfId="2" applyNumberFormat="1" applyFon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2" fillId="11" borderId="83" xfId="0" applyNumberFormat="1" applyFont="1" applyFill="1" applyBorder="1" applyAlignment="1">
      <alignment wrapText="1"/>
    </xf>
    <xf numFmtId="3" fontId="2" fillId="11" borderId="84" xfId="2" applyNumberFormat="1" applyFont="1" applyFill="1" applyBorder="1" applyAlignment="1">
      <alignment horizontal="center" vertical="center" wrapText="1"/>
    </xf>
    <xf numFmtId="3" fontId="2" fillId="11" borderId="84" xfId="0" applyNumberFormat="1" applyFont="1" applyFill="1" applyBorder="1" applyAlignment="1">
      <alignment horizontal="center" vertical="center" wrapText="1"/>
    </xf>
    <xf numFmtId="3" fontId="2" fillId="11" borderId="87" xfId="0" applyNumberFormat="1" applyFont="1" applyFill="1" applyBorder="1" applyAlignment="1">
      <alignment horizontal="center" vertical="center" wrapText="1"/>
    </xf>
    <xf numFmtId="3" fontId="0" fillId="0" borderId="75" xfId="0" applyNumberFormat="1" applyBorder="1" applyAlignment="1">
      <alignment wrapText="1"/>
    </xf>
    <xf numFmtId="3" fontId="0" fillId="0" borderId="67" xfId="2" applyNumberFormat="1" applyFont="1" applyBorder="1" applyAlignment="1">
      <alignment horizontal="center" vertical="center" wrapText="1"/>
    </xf>
    <xf numFmtId="3" fontId="0" fillId="0" borderId="78" xfId="2" applyNumberFormat="1" applyFont="1" applyBorder="1" applyAlignment="1">
      <alignment horizontal="center" vertical="center" wrapText="1"/>
    </xf>
    <xf numFmtId="3" fontId="0" fillId="0" borderId="76" xfId="0" applyNumberFormat="1" applyBorder="1" applyAlignment="1">
      <alignment wrapText="1"/>
    </xf>
    <xf numFmtId="3" fontId="0" fillId="0" borderId="70" xfId="2" applyNumberFormat="1" applyFont="1" applyBorder="1" applyAlignment="1">
      <alignment horizontal="center" vertical="center" wrapText="1"/>
    </xf>
    <xf numFmtId="3" fontId="0" fillId="0" borderId="70" xfId="0" applyNumberFormat="1" applyBorder="1" applyAlignment="1">
      <alignment horizontal="center" vertical="center" wrapText="1"/>
    </xf>
    <xf numFmtId="3" fontId="0" fillId="0" borderId="66" xfId="2" applyNumberFormat="1" applyFont="1" applyBorder="1" applyAlignment="1">
      <alignment horizontal="center" vertical="center" wrapText="1"/>
    </xf>
    <xf numFmtId="3" fontId="2" fillId="11" borderId="77" xfId="0" applyNumberFormat="1" applyFont="1" applyFill="1" applyBorder="1" applyAlignment="1">
      <alignment wrapText="1"/>
    </xf>
    <xf numFmtId="3" fontId="2" fillId="11" borderId="72" xfId="2" applyNumberFormat="1" applyFont="1" applyFill="1" applyBorder="1" applyAlignment="1">
      <alignment horizontal="center" vertical="center" wrapText="1"/>
    </xf>
    <xf numFmtId="3" fontId="2" fillId="11" borderId="79" xfId="2" applyNumberFormat="1" applyFont="1" applyFill="1" applyBorder="1" applyAlignment="1">
      <alignment horizontal="center" vertical="center" wrapText="1"/>
    </xf>
    <xf numFmtId="3" fontId="0" fillId="0" borderId="67" xfId="0" applyNumberFormat="1" applyBorder="1" applyAlignment="1">
      <alignment horizontal="center" vertical="center" wrapText="1"/>
    </xf>
    <xf numFmtId="3" fontId="0" fillId="0" borderId="78" xfId="0" applyNumberFormat="1" applyBorder="1" applyAlignment="1">
      <alignment horizontal="center" vertical="center" wrapText="1"/>
    </xf>
    <xf numFmtId="3" fontId="0" fillId="0" borderId="66" xfId="0" applyNumberFormat="1" applyBorder="1" applyAlignment="1">
      <alignment horizontal="center" vertical="center" wrapText="1"/>
    </xf>
    <xf numFmtId="3" fontId="0" fillId="0" borderId="91" xfId="0" applyNumberFormat="1" applyBorder="1" applyAlignment="1">
      <alignment wrapText="1"/>
    </xf>
    <xf numFmtId="3" fontId="0" fillId="0" borderId="92" xfId="2" applyNumberFormat="1" applyFont="1" applyBorder="1" applyAlignment="1">
      <alignment horizontal="center" vertical="center" wrapText="1"/>
    </xf>
    <xf numFmtId="3" fontId="0" fillId="0" borderId="92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3" fillId="0" borderId="88" xfId="0" applyNumberFormat="1" applyFont="1" applyBorder="1" applyAlignment="1">
      <alignment wrapText="1"/>
    </xf>
    <xf numFmtId="3" fontId="3" fillId="0" borderId="89" xfId="2" applyNumberFormat="1" applyFont="1" applyBorder="1" applyAlignment="1">
      <alignment horizontal="center" vertical="center" wrapText="1"/>
    </xf>
    <xf numFmtId="3" fontId="3" fillId="0" borderId="51" xfId="2" applyNumberFormat="1" applyFont="1" applyBorder="1" applyAlignment="1">
      <alignment horizontal="center" vertical="center" wrapText="1"/>
    </xf>
    <xf numFmtId="3" fontId="2" fillId="11" borderId="76" xfId="0" applyNumberFormat="1" applyFont="1" applyFill="1" applyBorder="1" applyAlignment="1">
      <alignment wrapText="1"/>
    </xf>
    <xf numFmtId="3" fontId="2" fillId="11" borderId="70" xfId="2" applyNumberFormat="1" applyFont="1" applyFill="1" applyBorder="1" applyAlignment="1">
      <alignment horizontal="center" vertical="center" wrapText="1"/>
    </xf>
    <xf numFmtId="3" fontId="0" fillId="0" borderId="77" xfId="0" applyNumberFormat="1" applyBorder="1" applyAlignment="1">
      <alignment wrapText="1"/>
    </xf>
    <xf numFmtId="3" fontId="0" fillId="0" borderId="72" xfId="2" applyNumberFormat="1" applyFont="1" applyBorder="1" applyAlignment="1">
      <alignment horizontal="center" vertical="center" wrapText="1"/>
    </xf>
    <xf numFmtId="3" fontId="0" fillId="0" borderId="79" xfId="2" applyNumberFormat="1" applyFont="1" applyBorder="1" applyAlignment="1">
      <alignment horizontal="center" vertical="center" wrapText="1"/>
    </xf>
    <xf numFmtId="3" fontId="0" fillId="0" borderId="80" xfId="0" applyNumberFormat="1" applyBorder="1" applyAlignment="1">
      <alignment wrapText="1"/>
    </xf>
    <xf numFmtId="3" fontId="0" fillId="0" borderId="81" xfId="2" applyNumberFormat="1" applyFont="1" applyBorder="1" applyAlignment="1">
      <alignment horizontal="center" vertical="center" wrapText="1"/>
    </xf>
    <xf numFmtId="3" fontId="0" fillId="0" borderId="9" xfId="2" applyNumberFormat="1" applyFont="1" applyBorder="1" applyAlignment="1">
      <alignment horizontal="center" vertical="center" wrapText="1"/>
    </xf>
    <xf numFmtId="9" fontId="0" fillId="0" borderId="0" xfId="3" applyFont="1" applyAlignment="1">
      <alignment horizontal="center" vertical="center" wrapText="1"/>
    </xf>
    <xf numFmtId="9" fontId="2" fillId="11" borderId="85" xfId="3" applyFont="1" applyFill="1" applyBorder="1" applyAlignment="1">
      <alignment horizontal="center" vertical="center" wrapText="1"/>
    </xf>
    <xf numFmtId="9" fontId="2" fillId="11" borderId="86" xfId="3" applyFont="1" applyFill="1" applyBorder="1" applyAlignment="1">
      <alignment horizontal="center" vertical="center" wrapText="1"/>
    </xf>
    <xf numFmtId="10" fontId="3" fillId="0" borderId="32" xfId="0" applyNumberFormat="1" applyFont="1" applyBorder="1"/>
    <xf numFmtId="164" fontId="0" fillId="0" borderId="0" xfId="0" pivotButton="1" applyNumberFormat="1"/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left" indent="1"/>
    </xf>
    <xf numFmtId="3" fontId="0" fillId="0" borderId="32" xfId="0" applyNumberFormat="1" applyBorder="1" applyAlignment="1">
      <alignment wrapText="1"/>
    </xf>
    <xf numFmtId="164" fontId="24" fillId="11" borderId="32" xfId="2" applyFont="1" applyFill="1" applyBorder="1" applyAlignment="1">
      <alignment horizontal="center" vertical="center" wrapText="1"/>
    </xf>
    <xf numFmtId="0" fontId="24" fillId="11" borderId="32" xfId="0" applyFont="1" applyFill="1" applyBorder="1" applyAlignment="1">
      <alignment horizontal="center"/>
    </xf>
    <xf numFmtId="164" fontId="0" fillId="0" borderId="32" xfId="2" applyFont="1" applyBorder="1" applyAlignment="1">
      <alignment horizontal="left"/>
    </xf>
    <xf numFmtId="0" fontId="0" fillId="0" borderId="3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11" borderId="64" xfId="0" applyFont="1" applyFill="1" applyBorder="1" applyAlignment="1">
      <alignment horizontal="center"/>
    </xf>
    <xf numFmtId="0" fontId="2" fillId="11" borderId="66" xfId="0" applyFont="1" applyFill="1" applyBorder="1" applyAlignment="1">
      <alignment horizontal="center"/>
    </xf>
    <xf numFmtId="0" fontId="3" fillId="0" borderId="32" xfId="0" applyFont="1" applyBorder="1" applyAlignment="1">
      <alignment horizontal="center" wrapText="1"/>
    </xf>
    <xf numFmtId="0" fontId="24" fillId="11" borderId="8" xfId="0" applyFont="1" applyFill="1" applyBorder="1" applyAlignment="1">
      <alignment horizontal="center"/>
    </xf>
    <xf numFmtId="0" fontId="0" fillId="9" borderId="0" xfId="0" applyFill="1" applyAlignment="1">
      <alignment horizontal="left" vertical="top" wrapText="1"/>
    </xf>
    <xf numFmtId="0" fontId="0" fillId="0" borderId="64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32" xfId="0" applyBorder="1" applyAlignment="1">
      <alignment horizontal="center"/>
    </xf>
    <xf numFmtId="164" fontId="0" fillId="0" borderId="32" xfId="2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0" fillId="0" borderId="3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32" xfId="2" applyFont="1" applyFill="1" applyBorder="1" applyAlignment="1">
      <alignment horizontal="center"/>
    </xf>
    <xf numFmtId="0" fontId="0" fillId="0" borderId="32" xfId="0" applyBorder="1" applyAlignment="1">
      <alignment horizontal="center" vertical="center" textRotation="90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3" fontId="5" fillId="4" borderId="48" xfId="0" applyNumberFormat="1" applyFont="1" applyFill="1" applyBorder="1" applyAlignment="1">
      <alignment horizontal="center" vertical="center"/>
    </xf>
    <xf numFmtId="3" fontId="5" fillId="4" borderId="52" xfId="0" applyNumberFormat="1" applyFont="1" applyFill="1" applyBorder="1" applyAlignment="1">
      <alignment horizontal="center" vertical="center"/>
    </xf>
  </cellXfs>
  <cellStyles count="296"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" xfId="38" builtinId="8" hidden="1"/>
    <cellStyle name="Hipervínculo" xfId="40" builtinId="8" hidden="1"/>
    <cellStyle name="Hipervínculo" xfId="42" builtinId="8" hidden="1"/>
    <cellStyle name="Hipervínculo" xfId="44" builtinId="8" hidden="1"/>
    <cellStyle name="Hipervínculo" xfId="46" builtinId="8" hidde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" xfId="78" builtinId="8" hidden="1"/>
    <cellStyle name="Hipervínculo" xfId="80" builtinId="8" hidden="1"/>
    <cellStyle name="Hipervínculo" xfId="82" builtinId="8" hidden="1"/>
    <cellStyle name="Hipervínculo" xfId="84" builtinId="8" hidden="1"/>
    <cellStyle name="Hipervínculo" xfId="86" builtinId="8" hidden="1"/>
    <cellStyle name="Hipervínculo" xfId="88" builtinId="8" hidden="1"/>
    <cellStyle name="Hipervínculo" xfId="90" builtinId="8" hidden="1"/>
    <cellStyle name="Hipervínculo" xfId="92" builtinId="8" hidden="1"/>
    <cellStyle name="Hipervínculo" xfId="94" builtinId="8" hidden="1"/>
    <cellStyle name="Hipervínculo" xfId="96" builtinId="8" hidden="1"/>
    <cellStyle name="Hipervínculo" xfId="98" builtinId="8" hidden="1"/>
    <cellStyle name="Hipervínculo" xfId="100" builtinId="8" hidden="1"/>
    <cellStyle name="Hipervínculo" xfId="102" builtinId="8" hidden="1"/>
    <cellStyle name="Hipervínculo" xfId="104" builtinId="8" hidden="1"/>
    <cellStyle name="Hipervínculo" xfId="106" builtinId="8" hidden="1"/>
    <cellStyle name="Hipervínculo" xfId="108" builtinId="8" hidden="1"/>
    <cellStyle name="Hipervínculo" xfId="110" builtinId="8" hidden="1"/>
    <cellStyle name="Hipervínculo" xfId="112" builtinId="8" hidden="1"/>
    <cellStyle name="Hipervínculo" xfId="114" builtinId="8" hidden="1"/>
    <cellStyle name="Hipervínculo" xfId="116" builtinId="8" hidden="1"/>
    <cellStyle name="Hipervínculo" xfId="118" builtinId="8" hidden="1"/>
    <cellStyle name="Hipervínculo" xfId="120" builtinId="8" hidden="1"/>
    <cellStyle name="Hipervínculo" xfId="122" builtinId="8" hidden="1"/>
    <cellStyle name="Hipervínculo" xfId="124" builtinId="8" hidden="1"/>
    <cellStyle name="Hipervínculo" xfId="126" builtinId="8" hidden="1"/>
    <cellStyle name="Hipervínculo" xfId="128" builtinId="8" hidden="1"/>
    <cellStyle name="Hipervínculo" xfId="130" builtinId="8" hidden="1"/>
    <cellStyle name="Hipervínculo" xfId="132" builtinId="8" hidden="1"/>
    <cellStyle name="Hipervínculo" xfId="134" builtinId="8" hidden="1"/>
    <cellStyle name="Hipervínculo" xfId="136" builtinId="8" hidden="1"/>
    <cellStyle name="Hipervínculo" xfId="138" builtinId="8" hidden="1"/>
    <cellStyle name="Hipervínculo" xfId="140" builtinId="8" hidden="1"/>
    <cellStyle name="Hipervínculo" xfId="142" builtinId="8" hidden="1"/>
    <cellStyle name="Hipervínculo" xfId="144" builtinId="8" hidden="1"/>
    <cellStyle name="Hipervínculo" xfId="146" builtinId="8" hidden="1"/>
    <cellStyle name="Hipervínculo" xfId="148" builtinId="8" hidden="1"/>
    <cellStyle name="Hipervínculo" xfId="150" builtinId="8" hidden="1"/>
    <cellStyle name="Hipervínculo" xfId="152" builtinId="8" hidden="1"/>
    <cellStyle name="Hipervínculo" xfId="154" builtinId="8" hidden="1"/>
    <cellStyle name="Hipervínculo" xfId="156" builtinId="8" hidden="1"/>
    <cellStyle name="Hipervínculo" xfId="158" builtinId="8" hidden="1"/>
    <cellStyle name="Hipervínculo" xfId="160" builtinId="8" hidden="1"/>
    <cellStyle name="Hipervínculo" xfId="162" builtinId="8" hidden="1"/>
    <cellStyle name="Hipervínculo" xfId="164" builtinId="8" hidden="1"/>
    <cellStyle name="Hipervínculo" xfId="166" builtinId="8" hidden="1"/>
    <cellStyle name="Hipervínculo" xfId="168" builtinId="8" hidden="1"/>
    <cellStyle name="Hipervínculo" xfId="170" builtinId="8" hidden="1"/>
    <cellStyle name="Hipervínculo" xfId="172" builtinId="8" hidden="1"/>
    <cellStyle name="Hipervínculo" xfId="174" builtinId="8" hidden="1"/>
    <cellStyle name="Hipervínculo" xfId="176" builtinId="8" hidden="1"/>
    <cellStyle name="Hipervínculo" xfId="178" builtinId="8" hidden="1"/>
    <cellStyle name="Hipervínculo" xfId="180" builtinId="8" hidden="1"/>
    <cellStyle name="Hipervínculo" xfId="182" builtinId="8" hidden="1"/>
    <cellStyle name="Hipervínculo" xfId="184" builtinId="8" hidden="1"/>
    <cellStyle name="Hipervínculo" xfId="186" builtinId="8" hidden="1"/>
    <cellStyle name="Hipervínculo" xfId="188" builtinId="8" hidden="1"/>
    <cellStyle name="Hipervínculo" xfId="190" builtinId="8" hidden="1"/>
    <cellStyle name="Hipervínculo" xfId="192" builtinId="8" hidden="1"/>
    <cellStyle name="Hipervínculo" xfId="194" builtinId="8" hidden="1"/>
    <cellStyle name="Hipervínculo" xfId="196" builtinId="8" hidden="1"/>
    <cellStyle name="Hipervínculo" xfId="198" builtinId="8" hidden="1"/>
    <cellStyle name="Hipervínculo" xfId="200" builtinId="8" hidden="1"/>
    <cellStyle name="Hipervínculo" xfId="202" builtinId="8" hidden="1"/>
    <cellStyle name="Hipervínculo" xfId="204" builtinId="8" hidden="1"/>
    <cellStyle name="Hipervínculo" xfId="206" builtinId="8" hidden="1"/>
    <cellStyle name="Hipervínculo" xfId="208" builtinId="8" hidden="1"/>
    <cellStyle name="Hipervínculo" xfId="210" builtinId="8" hidden="1"/>
    <cellStyle name="Hipervínculo" xfId="212" builtinId="8" hidden="1"/>
    <cellStyle name="Hipervínculo" xfId="214" builtinId="8" hidden="1"/>
    <cellStyle name="Hipervínculo" xfId="216" builtinId="8" hidden="1"/>
    <cellStyle name="Hipervínculo" xfId="218" builtinId="8" hidden="1"/>
    <cellStyle name="Hipervínculo" xfId="220" builtinId="8" hidden="1"/>
    <cellStyle name="Hipervínculo" xfId="222" builtinId="8" hidden="1"/>
    <cellStyle name="Hipervínculo" xfId="224" builtinId="8" hidden="1"/>
    <cellStyle name="Hipervínculo" xfId="226" builtinId="8" hidden="1"/>
    <cellStyle name="Hipervínculo" xfId="228" builtinId="8" hidden="1"/>
    <cellStyle name="Hipervínculo" xfId="230" builtinId="8" hidden="1"/>
    <cellStyle name="Hipervínculo" xfId="232" builtinId="8" hidden="1"/>
    <cellStyle name="Hipervínculo" xfId="234" builtinId="8" hidden="1"/>
    <cellStyle name="Hipervínculo" xfId="236" builtinId="8" hidden="1"/>
    <cellStyle name="Hipervínculo" xfId="238" builtinId="8" hidden="1"/>
    <cellStyle name="Hipervínculo" xfId="240" builtinId="8" hidden="1"/>
    <cellStyle name="Hipervínculo" xfId="242" builtinId="8" hidden="1"/>
    <cellStyle name="Hipervínculo" xfId="244" builtinId="8" hidden="1"/>
    <cellStyle name="Hipervínculo" xfId="246" builtinId="8" hidden="1"/>
    <cellStyle name="Hipervínculo" xfId="248" builtinId="8" hidden="1"/>
    <cellStyle name="Hipervínculo" xfId="250" builtinId="8" hidden="1"/>
    <cellStyle name="Hipervínculo" xfId="252" builtinId="8" hidden="1"/>
    <cellStyle name="Hipervínculo" xfId="254" builtinId="8" hidden="1"/>
    <cellStyle name="Hipervínculo" xfId="256" builtinId="8" hidden="1"/>
    <cellStyle name="Hipervínculo" xfId="258" builtinId="8" hidden="1"/>
    <cellStyle name="Hipervínculo" xfId="260" builtinId="8" hidden="1"/>
    <cellStyle name="Hipervínculo" xfId="262" builtinId="8" hidden="1"/>
    <cellStyle name="Hipervínculo" xfId="264" builtinId="8" hidden="1"/>
    <cellStyle name="Hipervínculo" xfId="266" builtinId="8" hidden="1"/>
    <cellStyle name="Hipervínculo" xfId="268" builtinId="8" hidden="1"/>
    <cellStyle name="Hipervínculo" xfId="270" builtinId="8" hidden="1"/>
    <cellStyle name="Hipervínculo" xfId="272" builtinId="8" hidden="1"/>
    <cellStyle name="Hipervínculo" xfId="274" builtinId="8" hidden="1"/>
    <cellStyle name="Hipervínculo" xfId="276" builtinId="8" hidden="1"/>
    <cellStyle name="Hipervínculo" xfId="278" builtinId="8" hidden="1"/>
    <cellStyle name="Hipervínculo" xfId="280" builtinId="8" hidden="1"/>
    <cellStyle name="Hipervínculo" xfId="282" builtinId="8" hidden="1"/>
    <cellStyle name="Hipervínculo" xfId="284" builtinId="8" hidden="1"/>
    <cellStyle name="Hipervínculo" xfId="286" builtinId="8" hidden="1"/>
    <cellStyle name="Hipervínculo" xfId="288" builtinId="8" hidden="1"/>
    <cellStyle name="Hipervínculo" xfId="290" builtinId="8" hidden="1"/>
    <cellStyle name="Hipervínculo" xfId="292" builtinId="8" hidden="1"/>
    <cellStyle name="Hipervínculo" xfId="294" builtinId="8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Hipervínculo visitado" xfId="39" builtinId="9" hidden="1"/>
    <cellStyle name="Hipervínculo visitado" xfId="41" builtinId="9" hidden="1"/>
    <cellStyle name="Hipervínculo visitado" xfId="43" builtinId="9" hidden="1"/>
    <cellStyle name="Hipervínculo visitado" xfId="45" builtinId="9" hidden="1"/>
    <cellStyle name="Hipervínculo visitado" xfId="47" builtinId="9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Hipervínculo visitado" xfId="79" builtinId="9" hidden="1"/>
    <cellStyle name="Hipervínculo visitado" xfId="81" builtinId="9" hidden="1"/>
    <cellStyle name="Hipervínculo visitado" xfId="83" builtinId="9" hidden="1"/>
    <cellStyle name="Hipervínculo visitado" xfId="85" builtinId="9" hidden="1"/>
    <cellStyle name="Hipervínculo visitado" xfId="87" builtinId="9" hidden="1"/>
    <cellStyle name="Hipervínculo visitado" xfId="89" builtinId="9" hidden="1"/>
    <cellStyle name="Hipervínculo visitado" xfId="91" builtinId="9" hidden="1"/>
    <cellStyle name="Hipervínculo visitado" xfId="93" builtinId="9" hidden="1"/>
    <cellStyle name="Hipervínculo visitado" xfId="95" builtinId="9" hidden="1"/>
    <cellStyle name="Hipervínculo visitado" xfId="97" builtinId="9" hidden="1"/>
    <cellStyle name="Hipervínculo visitado" xfId="99" builtinId="9" hidden="1"/>
    <cellStyle name="Hipervínculo visitado" xfId="101" builtinId="9" hidden="1"/>
    <cellStyle name="Hipervínculo visitado" xfId="103" builtinId="9" hidden="1"/>
    <cellStyle name="Hipervínculo visitado" xfId="105" builtinId="9" hidden="1"/>
    <cellStyle name="Hipervínculo visitado" xfId="107" builtinId="9" hidden="1"/>
    <cellStyle name="Hipervínculo visitado" xfId="109" builtinId="9" hidden="1"/>
    <cellStyle name="Hipervínculo visitado" xfId="111" builtinId="9" hidden="1"/>
    <cellStyle name="Hipervínculo visitado" xfId="113" builtinId="9" hidden="1"/>
    <cellStyle name="Hipervínculo visitado" xfId="115" builtinId="9" hidden="1"/>
    <cellStyle name="Hipervínculo visitado" xfId="117" builtinId="9" hidden="1"/>
    <cellStyle name="Hipervínculo visitado" xfId="119" builtinId="9" hidden="1"/>
    <cellStyle name="Hipervínculo visitado" xfId="121" builtinId="9" hidden="1"/>
    <cellStyle name="Hipervínculo visitado" xfId="123" builtinId="9" hidden="1"/>
    <cellStyle name="Hipervínculo visitado" xfId="125" builtinId="9" hidden="1"/>
    <cellStyle name="Hipervínculo visitado" xfId="127" builtinId="9" hidden="1"/>
    <cellStyle name="Hipervínculo visitado" xfId="129" builtinId="9" hidden="1"/>
    <cellStyle name="Hipervínculo visitado" xfId="131" builtinId="9" hidden="1"/>
    <cellStyle name="Hipervínculo visitado" xfId="133" builtinId="9" hidden="1"/>
    <cellStyle name="Hipervínculo visitado" xfId="135" builtinId="9" hidden="1"/>
    <cellStyle name="Hipervínculo visitado" xfId="137" builtinId="9" hidden="1"/>
    <cellStyle name="Hipervínculo visitado" xfId="139" builtinId="9" hidden="1"/>
    <cellStyle name="Hipervínculo visitado" xfId="141" builtinId="9" hidden="1"/>
    <cellStyle name="Hipervínculo visitado" xfId="143" builtinId="9" hidden="1"/>
    <cellStyle name="Hipervínculo visitado" xfId="145" builtinId="9" hidden="1"/>
    <cellStyle name="Hipervínculo visitado" xfId="147" builtinId="9" hidden="1"/>
    <cellStyle name="Hipervínculo visitado" xfId="149" builtinId="9" hidden="1"/>
    <cellStyle name="Hipervínculo visitado" xfId="151" builtinId="9" hidden="1"/>
    <cellStyle name="Hipervínculo visitado" xfId="153" builtinId="9" hidden="1"/>
    <cellStyle name="Hipervínculo visitado" xfId="155" builtinId="9" hidden="1"/>
    <cellStyle name="Hipervínculo visitado" xfId="157" builtinId="9" hidden="1"/>
    <cellStyle name="Hipervínculo visitado" xfId="159" builtinId="9" hidden="1"/>
    <cellStyle name="Hipervínculo visitado" xfId="161" builtinId="9" hidden="1"/>
    <cellStyle name="Hipervínculo visitado" xfId="163" builtinId="9" hidden="1"/>
    <cellStyle name="Hipervínculo visitado" xfId="165" builtinId="9" hidden="1"/>
    <cellStyle name="Hipervínculo visitado" xfId="167" builtinId="9" hidden="1"/>
    <cellStyle name="Hipervínculo visitado" xfId="169" builtinId="9" hidden="1"/>
    <cellStyle name="Hipervínculo visitado" xfId="171" builtinId="9" hidden="1"/>
    <cellStyle name="Hipervínculo visitado" xfId="173" builtinId="9" hidden="1"/>
    <cellStyle name="Hipervínculo visitado" xfId="175" builtinId="9" hidden="1"/>
    <cellStyle name="Hipervínculo visitado" xfId="177" builtinId="9" hidden="1"/>
    <cellStyle name="Hipervínculo visitado" xfId="179" builtinId="9" hidden="1"/>
    <cellStyle name="Hipervínculo visitado" xfId="181" builtinId="9" hidden="1"/>
    <cellStyle name="Hipervínculo visitado" xfId="183" builtinId="9" hidden="1"/>
    <cellStyle name="Hipervínculo visitado" xfId="185" builtinId="9" hidden="1"/>
    <cellStyle name="Hipervínculo visitado" xfId="187" builtinId="9" hidden="1"/>
    <cellStyle name="Hipervínculo visitado" xfId="189" builtinId="9" hidden="1"/>
    <cellStyle name="Hipervínculo visitado" xfId="191" builtinId="9" hidden="1"/>
    <cellStyle name="Hipervínculo visitado" xfId="193" builtinId="9" hidden="1"/>
    <cellStyle name="Hipervínculo visitado" xfId="195" builtinId="9" hidden="1"/>
    <cellStyle name="Hipervínculo visitado" xfId="197" builtinId="9" hidden="1"/>
    <cellStyle name="Hipervínculo visitado" xfId="199" builtinId="9" hidden="1"/>
    <cellStyle name="Hipervínculo visitado" xfId="201" builtinId="9" hidden="1"/>
    <cellStyle name="Hipervínculo visitado" xfId="203" builtinId="9" hidden="1"/>
    <cellStyle name="Hipervínculo visitado" xfId="205" builtinId="9" hidden="1"/>
    <cellStyle name="Hipervínculo visitado" xfId="207" builtinId="9" hidden="1"/>
    <cellStyle name="Hipervínculo visitado" xfId="209" builtinId="9" hidden="1"/>
    <cellStyle name="Hipervínculo visitado" xfId="211" builtinId="9" hidden="1"/>
    <cellStyle name="Hipervínculo visitado" xfId="213" builtinId="9" hidden="1"/>
    <cellStyle name="Hipervínculo visitado" xfId="215" builtinId="9" hidden="1"/>
    <cellStyle name="Hipervínculo visitado" xfId="217" builtinId="9" hidden="1"/>
    <cellStyle name="Hipervínculo visitado" xfId="219" builtinId="9" hidden="1"/>
    <cellStyle name="Hipervínculo visitado" xfId="221" builtinId="9" hidden="1"/>
    <cellStyle name="Hipervínculo visitado" xfId="223" builtinId="9" hidden="1"/>
    <cellStyle name="Hipervínculo visitado" xfId="225" builtinId="9" hidden="1"/>
    <cellStyle name="Hipervínculo visitado" xfId="227" builtinId="9" hidden="1"/>
    <cellStyle name="Hipervínculo visitado" xfId="229" builtinId="9" hidden="1"/>
    <cellStyle name="Hipervínculo visitado" xfId="231" builtinId="9" hidden="1"/>
    <cellStyle name="Hipervínculo visitado" xfId="233" builtinId="9" hidden="1"/>
    <cellStyle name="Hipervínculo visitado" xfId="235" builtinId="9" hidden="1"/>
    <cellStyle name="Hipervínculo visitado" xfId="237" builtinId="9" hidden="1"/>
    <cellStyle name="Hipervínculo visitado" xfId="239" builtinId="9" hidden="1"/>
    <cellStyle name="Hipervínculo visitado" xfId="241" builtinId="9" hidden="1"/>
    <cellStyle name="Hipervínculo visitado" xfId="243" builtinId="9" hidden="1"/>
    <cellStyle name="Hipervínculo visitado" xfId="245" builtinId="9" hidden="1"/>
    <cellStyle name="Hipervínculo visitado" xfId="247" builtinId="9" hidden="1"/>
    <cellStyle name="Hipervínculo visitado" xfId="249" builtinId="9" hidden="1"/>
    <cellStyle name="Hipervínculo visitado" xfId="251" builtinId="9" hidden="1"/>
    <cellStyle name="Hipervínculo visitado" xfId="253" builtinId="9" hidden="1"/>
    <cellStyle name="Hipervínculo visitado" xfId="255" builtinId="9" hidden="1"/>
    <cellStyle name="Hipervínculo visitado" xfId="257" builtinId="9" hidden="1"/>
    <cellStyle name="Hipervínculo visitado" xfId="259" builtinId="9" hidden="1"/>
    <cellStyle name="Hipervínculo visitado" xfId="261" builtinId="9" hidden="1"/>
    <cellStyle name="Hipervínculo visitado" xfId="263" builtinId="9" hidden="1"/>
    <cellStyle name="Hipervínculo visitado" xfId="265" builtinId="9" hidden="1"/>
    <cellStyle name="Hipervínculo visitado" xfId="267" builtinId="9" hidden="1"/>
    <cellStyle name="Hipervínculo visitado" xfId="269" builtinId="9" hidden="1"/>
    <cellStyle name="Hipervínculo visitado" xfId="271" builtinId="9" hidden="1"/>
    <cellStyle name="Hipervínculo visitado" xfId="273" builtinId="9" hidden="1"/>
    <cellStyle name="Hipervínculo visitado" xfId="275" builtinId="9" hidden="1"/>
    <cellStyle name="Hipervínculo visitado" xfId="277" builtinId="9" hidden="1"/>
    <cellStyle name="Hipervínculo visitado" xfId="279" builtinId="9" hidden="1"/>
    <cellStyle name="Hipervínculo visitado" xfId="281" builtinId="9" hidden="1"/>
    <cellStyle name="Hipervínculo visitado" xfId="283" builtinId="9" hidden="1"/>
    <cellStyle name="Hipervínculo visitado" xfId="285" builtinId="9" hidden="1"/>
    <cellStyle name="Hipervínculo visitado" xfId="287" builtinId="9" hidden="1"/>
    <cellStyle name="Hipervínculo visitado" xfId="289" builtinId="9" hidden="1"/>
    <cellStyle name="Hipervínculo visitado" xfId="291" builtinId="9" hidden="1"/>
    <cellStyle name="Hipervínculo visitado" xfId="293" builtinId="9" hidden="1"/>
    <cellStyle name="Hipervínculo visitado" xfId="295" builtinId="9" hidden="1"/>
    <cellStyle name="Millares" xfId="1" builtinId="3"/>
    <cellStyle name="Millares [0]" xfId="2" builtinId="6"/>
    <cellStyle name="Normal" xfId="0" builtinId="0"/>
    <cellStyle name="Porcentaje" xfId="3" builtinId="5"/>
  </cellStyles>
  <dxfs count="6">
    <dxf>
      <numFmt numFmtId="164" formatCode="_-* #,##0_-;\-* #,##0_-;_-* &quot;-&quot;_-;_-@_-"/>
    </dxf>
    <dxf>
      <numFmt numFmtId="164" formatCode="_-* #,##0_-;\-* #,##0_-;_-* &quot;-&quot;_-;_-@_-"/>
    </dxf>
    <dxf>
      <numFmt numFmtId="164" formatCode="_-* #,##0_-;\-* #,##0_-;_-* &quot;-&quot;_-;_-@_-"/>
    </dxf>
    <dxf>
      <numFmt numFmtId="164" formatCode="_-* #,##0_-;\-* #,##0_-;_-* &quot;-&quot;_-;_-@_-"/>
    </dxf>
    <dxf>
      <numFmt numFmtId="164" formatCode="_-* #,##0_-;\-* #,##0_-;_-* &quot;-&quot;_-;_-@_-"/>
    </dxf>
    <dxf>
      <numFmt numFmtId="164" formatCode="_-* #,##0_-;\-* #,##0_-;_-* &quot;-&quot;_-;_-@_-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Users\Anita\Desktop\AAA\CLIENTES\CEDRO%20POINT\PLANOS%20Y%20DOCUMENTOS%20BASE\PRESU_5-APUs_CEDRO%20POI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Users\Anita\Desktop\AAA\CLIENTES\CEDRO%20POINT\PLANOS%20Y%20DOCUMENTOS%20BASE\PRESU_5-APUs_CEDRO%20POI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 energia"/>
      <sheetName val="prov acueducto"/>
      <sheetName val="prov telefono"/>
      <sheetName val="prehuecos pilotes"/>
      <sheetName val="excava manual viga guia"/>
      <sheetName val="viga guia conc"/>
      <sheetName val="refuerzo viga guia"/>
      <sheetName val="comis topogra"/>
      <sheetName val="señaliz vias"/>
      <sheetName val="demolicion cons"/>
      <sheetName val="demolicion cimientos"/>
      <sheetName val="cerramiento mad"/>
      <sheetName val="cerramiento lam"/>
      <sheetName val="valla"/>
      <sheetName val="campamento"/>
      <sheetName val="dotacion camp"/>
      <sheetName val="local replant"/>
      <sheetName val="excava mecan"/>
      <sheetName val="excava manual"/>
      <sheetName val="excava 2 sotano"/>
      <sheetName val="relleno recebo"/>
      <sheetName val="retiro mat excav"/>
      <sheetName val="base concreto pobre"/>
      <sheetName val="proteccion taludes"/>
      <sheetName val="entibado zanjas"/>
      <sheetName val="demolicion cabeza pilotes"/>
      <sheetName val="demolicion viga cabeza"/>
      <sheetName val="concreto viga cabezal"/>
      <sheetName val="concreto viga cinturon"/>
      <sheetName val="concreto viga puntal"/>
      <sheetName val="dados en concreto"/>
      <sheetName val="viga amarre"/>
      <sheetName val="placa contrapiso"/>
      <sheetName val="pozo eyector"/>
      <sheetName val="tanque agua"/>
      <sheetName val="refuerzo figurado"/>
      <sheetName val="manejo acero c"/>
      <sheetName val="anclaje 8-7-6"/>
      <sheetName val="anclaje 5-4-3"/>
      <sheetName val="pilote .6"/>
      <sheetName val="pilote CONST"/>
      <sheetName val="exca almeja"/>
      <sheetName val="acero ref pilo"/>
      <sheetName val="manejo acero pil"/>
      <sheetName val="tremie pilo"/>
      <sheetName val="tremie pantalla"/>
      <sheetName val="muro bloque 4"/>
      <sheetName val="muro bloque 4 L"/>
      <sheetName val="muro bloque 5 of"/>
      <sheetName val="chazos"/>
      <sheetName val="muro bloque 4 f"/>
      <sheetName val="muro bloque 4 L f"/>
      <sheetName val="dintel concreto"/>
      <sheetName val="ref dintel"/>
      <sheetName val="grouting"/>
      <sheetName val="anclaje mamp"/>
      <sheetName val="ref celdas mamp"/>
      <sheetName val="descargue ladrillo"/>
      <sheetName val="pañete int"/>
      <sheetName val="pañete int L"/>
      <sheetName val="pañete int-imp"/>
      <sheetName val="pañete int-imp L"/>
      <sheetName val="pañete ext-imp"/>
      <sheetName val="pañete ext-imp L"/>
      <sheetName val="pañete imp ascensor"/>
      <sheetName val="pañete imp tanque"/>
      <sheetName val="filo dil"/>
      <sheetName val="viga puntal piso1"/>
      <sheetName val="placa alig metaldeck"/>
      <sheetName val="pantallas"/>
      <sheetName val="columnas"/>
      <sheetName val="hierro estruc"/>
      <sheetName val="mallas"/>
      <sheetName val="descargue acero e"/>
      <sheetName val="escalera metal"/>
      <sheetName val="alist pend cub"/>
      <sheetName val="media caña imp"/>
      <sheetName val="tapa concr ductos"/>
      <sheetName val="pergolas en teka"/>
      <sheetName val="polietileno"/>
      <sheetName val="manto terraza"/>
      <sheetName val="manto cub transit"/>
      <sheetName val="manto con foil"/>
      <sheetName val="cieloraso dry"/>
      <sheetName val="afinado piso"/>
      <sheetName val="afinado piso imp"/>
      <sheetName val="afinado piso imp terr"/>
      <sheetName val="carcamo"/>
      <sheetName val="cañuela"/>
      <sheetName val="topes pref"/>
      <sheetName val="descargue cemento"/>
      <sheetName val="piso porcelanato"/>
      <sheetName val="piso granito"/>
      <sheetName val="piso ladr moore"/>
      <sheetName val="piso alfombra sint"/>
      <sheetName val="paso escal grani "/>
      <sheetName val="descan esc grani"/>
      <sheetName val="pizarra negra"/>
      <sheetName val="deck"/>
      <sheetName val="guard grani"/>
      <sheetName val="guarda cuarto 26"/>
      <sheetName val="guarda porcelan"/>
      <sheetName val="enchape porcelanato baño"/>
      <sheetName val="enchape porcelanato L"/>
      <sheetName val="ceramica muro .20.20"/>
      <sheetName val="ceramica muro .20.20 L"/>
      <sheetName val="win"/>
      <sheetName val="pizarra muro"/>
      <sheetName val="papelera inox"/>
      <sheetName val="disp jabon"/>
      <sheetName val="disp toallas"/>
      <sheetName val="secador elec"/>
      <sheetName val="barra minus piso-muro"/>
      <sheetName val="jgo incrus "/>
      <sheetName val="estuco y vinilo"/>
      <sheetName val="estuco y vinilo L"/>
      <sheetName val="filos y dil"/>
      <sheetName val="vinilo sobre pañete"/>
      <sheetName val="vinilo sobre pañete L"/>
      <sheetName val="vinilo dry wall"/>
      <sheetName val="koraza ext"/>
      <sheetName val="koraza ext  L"/>
      <sheetName val="esmalte puertas"/>
      <sheetName val="esmalte marcos"/>
      <sheetName val="esmalte tuberia"/>
      <sheetName val="pintura traf"/>
      <sheetName val="pintura topes"/>
      <sheetName val="lampara fluo"/>
      <sheetName val="ojo de buey"/>
      <sheetName val="aplique de muro"/>
      <sheetName val="bala halog"/>
      <sheetName val="puerta madera"/>
      <sheetName val="mueble porte"/>
      <sheetName val="ventana alum"/>
      <sheetName val="puerta vidrio 2"/>
      <sheetName val="puerta vidrio 1,5"/>
      <sheetName val="puerta vidrio 1"/>
      <sheetName val="electro iman"/>
      <sheetName val="combo sanit"/>
      <sheetName val="sanit tanque"/>
      <sheetName val="sanit tanque minus"/>
      <sheetName val="lavaman"/>
      <sheetName val="griferia"/>
      <sheetName val="llave"/>
      <sheetName val="rejilla4"/>
      <sheetName val="rejilla2"/>
      <sheetName val="tapa reg PVC"/>
      <sheetName val="tapa reg acero"/>
      <sheetName val="cerradura of"/>
      <sheetName val="cerradura baño"/>
      <sheetName val="cerradura baño (2)"/>
      <sheetName val="tope puerta"/>
      <sheetName val="brazo"/>
      <sheetName val="espejo"/>
      <sheetName val="adoquin vehic"/>
      <sheetName val="adoquin peaton"/>
      <sheetName val="cinta conf"/>
      <sheetName val="señalizacion edif"/>
      <sheetName val="señalizacion loc"/>
      <sheetName val="señalizacion ofici"/>
      <sheetName val="señalizacion z.comun"/>
      <sheetName val="aseo dia"/>
      <sheetName val="aseo sotano"/>
      <sheetName val="aseo z.comun"/>
      <sheetName val="aseo fachad"/>
      <sheetName val="polisombra fachada"/>
      <sheetName val="retiro escombros"/>
      <sheetName val="brocas"/>
      <sheetName val="dotacion obreros"/>
      <sheetName val="dotacion prof"/>
      <sheetName val="herramientas"/>
      <sheetName val="Instrumentacion"/>
      <sheetName val="planta elec"/>
      <sheetName val="laboratorio"/>
      <sheetName val="compra cilindros"/>
      <sheetName val="compra cono A"/>
      <sheetName val="shut escombros"/>
      <sheetName val="imp tanque "/>
      <sheetName val="retiro mat pilot"/>
      <sheetName val="retiro mat pantal"/>
      <sheetName val="persiana madera"/>
      <sheetName val="dry wall"/>
      <sheetName val="placa ESTANCA"/>
      <sheetName val="MANO DE OBRA 5"/>
      <sheetName val="lista mater 5 glas haus"/>
      <sheetName val="presupuesto 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>
        <row r="115">
          <cell r="E115">
            <v>12756.8</v>
          </cell>
          <cell r="F115">
            <v>6521.4000000000005</v>
          </cell>
        </row>
        <row r="123">
          <cell r="E123">
            <v>3855.8199999999997</v>
          </cell>
          <cell r="F123">
            <v>5217.12</v>
          </cell>
        </row>
        <row r="124">
          <cell r="E124">
            <v>2153.2152000000001</v>
          </cell>
        </row>
        <row r="137">
          <cell r="E137">
            <v>2983.96</v>
          </cell>
        </row>
        <row r="143">
          <cell r="E143">
            <v>4847.6799999999994</v>
          </cell>
        </row>
        <row r="145">
          <cell r="E145">
            <v>187.6</v>
          </cell>
        </row>
        <row r="151">
          <cell r="E151">
            <v>14032.68</v>
          </cell>
          <cell r="F151">
            <v>6521.4000000000005</v>
          </cell>
        </row>
        <row r="152">
          <cell r="E152">
            <v>2569.31</v>
          </cell>
          <cell r="F152">
            <v>4637.4400000000005</v>
          </cell>
        </row>
        <row r="162">
          <cell r="E162">
            <v>1887.5</v>
          </cell>
          <cell r="F162">
            <v>853.76</v>
          </cell>
        </row>
        <row r="181">
          <cell r="E181">
            <v>7336.16</v>
          </cell>
          <cell r="F181">
            <v>5072.2</v>
          </cell>
        </row>
        <row r="198">
          <cell r="F198">
            <v>8695.1999999999989</v>
          </cell>
        </row>
        <row r="210">
          <cell r="F210">
            <v>7246</v>
          </cell>
        </row>
        <row r="229">
          <cell r="E229">
            <v>34900</v>
          </cell>
          <cell r="F229">
            <v>9156</v>
          </cell>
        </row>
        <row r="615">
          <cell r="E615">
            <v>7335.2</v>
          </cell>
          <cell r="F615">
            <v>2591.36</v>
          </cell>
        </row>
        <row r="620">
          <cell r="E620">
            <v>6012</v>
          </cell>
          <cell r="F620">
            <v>4509</v>
          </cell>
        </row>
        <row r="627">
          <cell r="E627">
            <v>5569</v>
          </cell>
          <cell r="F627">
            <v>3271.86</v>
          </cell>
        </row>
        <row r="628">
          <cell r="E628">
            <v>2551</v>
          </cell>
          <cell r="F628">
            <v>1117.71</v>
          </cell>
        </row>
        <row r="629">
          <cell r="E629">
            <v>1825</v>
          </cell>
          <cell r="F629">
            <v>776.49</v>
          </cell>
        </row>
        <row r="632">
          <cell r="E632">
            <v>1928</v>
          </cell>
          <cell r="F632">
            <v>824.9</v>
          </cell>
        </row>
        <row r="633">
          <cell r="E633">
            <v>1928</v>
          </cell>
          <cell r="F633">
            <v>824.9</v>
          </cell>
        </row>
        <row r="694">
          <cell r="E694">
            <v>44009.45</v>
          </cell>
        </row>
        <row r="695">
          <cell r="E695">
            <v>15943.279999999999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 energia"/>
      <sheetName val="prov acueducto"/>
      <sheetName val="prov telefono"/>
      <sheetName val="prehuecos pilotes"/>
      <sheetName val="excava manual viga guia"/>
      <sheetName val="viga guia conc"/>
      <sheetName val="refuerzo viga guia"/>
      <sheetName val="comis topogra"/>
      <sheetName val="señaliz vias"/>
      <sheetName val="demolicion cons"/>
      <sheetName val="demolicion cimientos"/>
      <sheetName val="cerramiento mad"/>
      <sheetName val="cerramiento lam"/>
      <sheetName val="valla"/>
      <sheetName val="campamento"/>
      <sheetName val="dotacion camp"/>
      <sheetName val="local replant"/>
      <sheetName val="excava mecan"/>
      <sheetName val="excava manual"/>
      <sheetName val="excava 2 sotano"/>
      <sheetName val="relleno recebo"/>
      <sheetName val="retiro mat excav"/>
      <sheetName val="base concreto pobre"/>
      <sheetName val="proteccion taludes"/>
      <sheetName val="entibado zanjas"/>
      <sheetName val="demolicion cabeza pilotes"/>
      <sheetName val="demolicion viga cabeza"/>
      <sheetName val="concreto viga cabezal"/>
      <sheetName val="concreto viga cinturon"/>
      <sheetName val="concreto viga puntal"/>
      <sheetName val="dados en concreto"/>
      <sheetName val="viga amarre"/>
      <sheetName val="placa contrapiso"/>
      <sheetName val="pozo eyector"/>
      <sheetName val="tanque agua"/>
      <sheetName val="refuerzo figurado"/>
      <sheetName val="manejo acero c"/>
      <sheetName val="anclaje 8-7-6"/>
      <sheetName val="anclaje 5-4-3"/>
      <sheetName val="pilote .6"/>
      <sheetName val="pilote CONST"/>
      <sheetName val="exca almeja"/>
      <sheetName val="acero ref pilo"/>
      <sheetName val="manejo acero pil"/>
      <sheetName val="tremie pilo"/>
      <sheetName val="tremie pantalla"/>
      <sheetName val="muro bloque 4"/>
      <sheetName val="muro bloque 4 L"/>
      <sheetName val="muro bloque 5 of"/>
      <sheetName val="chazos"/>
      <sheetName val="muro bloque 4 f"/>
      <sheetName val="muro bloque 4 L f"/>
      <sheetName val="dintel concreto"/>
      <sheetName val="ref dintel"/>
      <sheetName val="grouting"/>
      <sheetName val="anclaje mamp"/>
      <sheetName val="ref celdas mamp"/>
      <sheetName val="descargue ladrillo"/>
      <sheetName val="pañete int"/>
      <sheetName val="pañete int L"/>
      <sheetName val="pañete int-imp"/>
      <sheetName val="pañete int-imp L"/>
      <sheetName val="pañete ext-imp"/>
      <sheetName val="pañete ext-imp L"/>
      <sheetName val="pañete imp ascensor"/>
      <sheetName val="pañete imp tanque"/>
      <sheetName val="filo dil"/>
      <sheetName val="viga puntal piso1"/>
      <sheetName val="placa alig metaldeck"/>
      <sheetName val="pantallas"/>
      <sheetName val="columnas"/>
      <sheetName val="hierro estruc"/>
      <sheetName val="mallas"/>
      <sheetName val="descargue acero e"/>
      <sheetName val="escalera metal"/>
      <sheetName val="alist pend cub"/>
      <sheetName val="media caña imp"/>
      <sheetName val="tapa concr ductos"/>
      <sheetName val="pergolas en teka"/>
      <sheetName val="polietileno"/>
      <sheetName val="manto terraza"/>
      <sheetName val="manto cub transit"/>
      <sheetName val="manto con foil"/>
      <sheetName val="cieloraso dry"/>
      <sheetName val="afinado piso"/>
      <sheetName val="afinado piso imp"/>
      <sheetName val="afinado piso imp terr"/>
      <sheetName val="carcamo"/>
      <sheetName val="cañuela"/>
      <sheetName val="topes pref"/>
      <sheetName val="descargue cemento"/>
      <sheetName val="piso porcelanato"/>
      <sheetName val="piso granito"/>
      <sheetName val="piso ladr moore"/>
      <sheetName val="piso alfombra sint"/>
      <sheetName val="paso escal grani "/>
      <sheetName val="descan esc grani"/>
      <sheetName val="pizarra negra"/>
      <sheetName val="deck"/>
      <sheetName val="guard grani"/>
      <sheetName val="guarda cuarto 26"/>
      <sheetName val="guarda porcelan"/>
      <sheetName val="enchape porcelanato baño"/>
      <sheetName val="enchape porcelanato L"/>
      <sheetName val="ceramica muro .20.20"/>
      <sheetName val="ceramica muro .20.20 L"/>
      <sheetName val="win"/>
      <sheetName val="pizarra muro"/>
      <sheetName val="papelera inox"/>
      <sheetName val="disp jabon"/>
      <sheetName val="disp toallas"/>
      <sheetName val="secador elec"/>
      <sheetName val="barra minus piso-muro"/>
      <sheetName val="jgo incrus "/>
      <sheetName val="estuco y vinilo"/>
      <sheetName val="estuco y vinilo L"/>
      <sheetName val="filos y dil"/>
      <sheetName val="vinilo sobre pañete"/>
      <sheetName val="vinilo sobre pañete L"/>
      <sheetName val="vinilo dry wall"/>
      <sheetName val="koraza ext"/>
      <sheetName val="koraza ext  L"/>
      <sheetName val="esmalte puertas"/>
      <sheetName val="esmalte marcos"/>
      <sheetName val="esmalte tuberia"/>
      <sheetName val="pintura traf"/>
      <sheetName val="pintura topes"/>
      <sheetName val="lampara fluo"/>
      <sheetName val="ojo de buey"/>
      <sheetName val="aplique de muro"/>
      <sheetName val="bala halog"/>
      <sheetName val="puerta madera"/>
      <sheetName val="mueble porte"/>
      <sheetName val="ventana alum"/>
      <sheetName val="puerta vidrio 2"/>
      <sheetName val="puerta vidrio 1,5"/>
      <sheetName val="puerta vidrio 1"/>
      <sheetName val="electro iman"/>
      <sheetName val="combo sanit"/>
      <sheetName val="sanit tanque"/>
      <sheetName val="sanit tanque minus"/>
      <sheetName val="lavaman"/>
      <sheetName val="griferia"/>
      <sheetName val="llave"/>
      <sheetName val="rejilla4"/>
      <sheetName val="rejilla2"/>
      <sheetName val="tapa reg PVC"/>
      <sheetName val="tapa reg acero"/>
      <sheetName val="cerradura of"/>
      <sheetName val="cerradura baño"/>
      <sheetName val="cerradura baño (2)"/>
      <sheetName val="tope puerta"/>
      <sheetName val="brazo"/>
      <sheetName val="espejo"/>
      <sheetName val="adoquin vehic"/>
      <sheetName val="adoquin peaton"/>
      <sheetName val="cinta conf"/>
      <sheetName val="señalizacion edif"/>
      <sheetName val="señalizacion loc"/>
      <sheetName val="señalizacion ofici"/>
      <sheetName val="señalizacion z.comun"/>
      <sheetName val="aseo dia"/>
      <sheetName val="aseo sotano"/>
      <sheetName val="aseo z.comun"/>
      <sheetName val="aseo fachad"/>
      <sheetName val="polisombra fachada"/>
      <sheetName val="retiro escombros"/>
      <sheetName val="brocas"/>
      <sheetName val="dotacion obreros"/>
      <sheetName val="dotacion prof"/>
      <sheetName val="herramientas"/>
      <sheetName val="Instrumentacion"/>
      <sheetName val="planta elec"/>
      <sheetName val="laboratorio"/>
      <sheetName val="compra cilindros"/>
      <sheetName val="compra cono A"/>
      <sheetName val="shut escombros"/>
      <sheetName val="imp tanque "/>
      <sheetName val="retiro mat pilot"/>
      <sheetName val="retiro mat pantal"/>
      <sheetName val="persiana madera"/>
      <sheetName val="dry wall"/>
      <sheetName val="placa ESTANCA"/>
      <sheetName val="MANO DE OBRA 5"/>
      <sheetName val="lista mater 5 glas haus"/>
      <sheetName val="presupuesto 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>
        <row r="224">
          <cell r="F224">
            <v>2014.32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uan David López" refreshedDate="41053.486930787039" createdVersion="4" refreshedVersion="4" minRefreshableVersion="3" recordCount="35">
  <cacheSource type="worksheet">
    <worksheetSource ref="A1:J36" sheet="Comparativo de costes"/>
  </cacheSource>
  <cacheFields count="10">
    <cacheField name="ITEM" numFmtId="164">
      <sharedItems containsBlank="1" count="23">
        <s v="Teléfono"/>
        <s v="Computador"/>
        <s v="Televisor"/>
        <s v="Almohadas"/>
        <s v="Caja Fuerte"/>
        <s v="Cama"/>
        <s v="Colchón"/>
        <s v="Edredón Ruana Doble"/>
        <s v="Juego de Cama"/>
        <s v="Mesa Televisor"/>
        <s v="Toalla Cuerpo"/>
        <s v="Toalla Manos"/>
        <s v="Jabón líquido para baño"/>
        <s v="Shampoo"/>
        <s v="Palel higénico"/>
        <s v="Impresora"/>
        <s v="Agua (ltr)"/>
        <s v="Luz"/>
        <s v="Telecomunicaciones"/>
        <s v="Gas"/>
        <s v="Honorarios mensuales"/>
        <s v="Aseo"/>
        <m/>
      </sharedItems>
    </cacheField>
    <cacheField name="DESTINO" numFmtId="164">
      <sharedItems containsBlank="1"/>
    </cacheField>
    <cacheField name="PRODUCCIÓN" numFmtId="164">
      <sharedItems containsBlank="1" count="3">
        <s v="no"/>
        <s v="si"/>
        <m/>
      </sharedItems>
    </cacheField>
    <cacheField name="PROVEEDOR" numFmtId="164">
      <sharedItems containsBlank="1"/>
    </cacheField>
    <cacheField name="DETALLES" numFmtId="164">
      <sharedItems containsBlank="1"/>
    </cacheField>
    <cacheField name="PRECIO" numFmtId="0">
      <sharedItems containsString="0" containsBlank="1" containsNumber="1" containsInteger="1" minValue="5900" maxValue="10200000"/>
    </cacheField>
    <cacheField name="CANTIDAD" numFmtId="164">
      <sharedItems containsString="0" containsBlank="1" containsNumber="1" containsInteger="1" minValue="1" maxValue="240"/>
    </cacheField>
    <cacheField name="COSTO TOTAL" numFmtId="164">
      <sharedItems containsString="0" containsBlank="1" containsNumber="1" containsInteger="1" minValue="29900" maxValue="49348000"/>
    </cacheField>
    <cacheField name="PERIODICIDAD DE PAGO (meses)" numFmtId="164">
      <sharedItems containsString="0" containsBlank="1" containsNumber="1" containsInteger="1" minValue="1" maxValue="12"/>
    </cacheField>
    <cacheField name="Coste por mes" numFmtId="0">
      <sharedItems containsString="0" containsBlank="1" containsNumber="1" minValue="51133.333333333336" maxValue="102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Juan David López" refreshedDate="41101.974930208336" createdVersion="4" refreshedVersion="4" minRefreshableVersion="3" recordCount="31">
  <cacheSource type="worksheet">
    <worksheetSource ref="A1:J32" sheet="Comparativo de costes"/>
  </cacheSource>
  <cacheFields count="10">
    <cacheField name="ITEM" numFmtId="164">
      <sharedItems count="22">
        <s v="Teléfono"/>
        <s v="Computador"/>
        <s v="Televisor"/>
        <s v="Almohadas"/>
        <s v="Caja Fuerte"/>
        <s v="Cama"/>
        <s v="Colchón"/>
        <s v="Edredón Ruana Doble"/>
        <s v="Juego de Cama"/>
        <s v="Mesa Televisor"/>
        <s v="Toalla Cuerpo"/>
        <s v="Toalla Manos"/>
        <s v="Jabón líquido para baño"/>
        <s v="Shampoo"/>
        <s v="Palel higénico"/>
        <s v="Impresora"/>
        <s v="Agua (ltr)"/>
        <s v="Luz"/>
        <s v="Telecomunicaciones"/>
        <s v="Gas"/>
        <s v="Honorarios mensuales"/>
        <s v="Aseo"/>
      </sharedItems>
    </cacheField>
    <cacheField name="DESTINO" numFmtId="164">
      <sharedItems count="10">
        <s v="Administración"/>
        <s v="Cocina"/>
        <s v="Comedor"/>
        <s v="Lencería"/>
        <s v="Habitaciones"/>
        <s v="Oficina de turismo"/>
        <s v="Recepción"/>
        <s v="Sala de Reuniones"/>
        <s v="Servicios"/>
        <s v="general"/>
      </sharedItems>
    </cacheField>
    <cacheField name="PRODUCCIÓN" numFmtId="164">
      <sharedItems count="2">
        <s v="no"/>
        <s v="si"/>
      </sharedItems>
    </cacheField>
    <cacheField name="PROVEEDOR" numFmtId="164">
      <sharedItems containsBlank="1"/>
    </cacheField>
    <cacheField name="DETALLES" numFmtId="164">
      <sharedItems containsBlank="1"/>
    </cacheField>
    <cacheField name="PRECIO" numFmtId="0">
      <sharedItems containsString="0" containsBlank="1" containsNumber="1" containsInteger="1" minValue="5900" maxValue="10200000"/>
    </cacheField>
    <cacheField name="CANTIDAD" numFmtId="164">
      <sharedItems containsString="0" containsBlank="1" containsNumber="1" containsInteger="1" minValue="1" maxValue="240"/>
    </cacheField>
    <cacheField name="COSTO TOTAL" numFmtId="164">
      <sharedItems containsSemiMixedTypes="0" containsString="0" containsNumber="1" containsInteger="1" minValue="29900" maxValue="49348000"/>
    </cacheField>
    <cacheField name="PERIODICIDAD DE PAGO (meses)" numFmtId="164">
      <sharedItems containsString="0" containsBlank="1" containsNumber="1" containsInteger="1" minValue="1" maxValue="12"/>
    </cacheField>
    <cacheField name="Coste por mes" numFmtId="0">
      <sharedItems containsString="0" containsBlank="1" containsNumber="1" minValue="51133.333333333336" maxValue="102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5">
  <r>
    <x v="0"/>
    <s v="Administración"/>
    <x v="0"/>
    <s v="ÉXITO"/>
    <s v="Alcatel"/>
    <n v="29900"/>
    <n v="1"/>
    <n v="29900"/>
    <m/>
    <m/>
  </r>
  <r>
    <x v="1"/>
    <s v="Administración"/>
    <x v="0"/>
    <s v="ÉXITO"/>
    <s v="Simply + Impresora"/>
    <n v="749000"/>
    <n v="1"/>
    <n v="749000"/>
    <m/>
    <m/>
  </r>
  <r>
    <x v="0"/>
    <s v="Cocina"/>
    <x v="0"/>
    <s v="ÉXITO"/>
    <s v="Alcatel"/>
    <n v="29900"/>
    <n v="1"/>
    <n v="29900"/>
    <m/>
    <m/>
  </r>
  <r>
    <x v="2"/>
    <s v="Comedor"/>
    <x v="0"/>
    <s v="Alkosto"/>
    <s v="Sony LCD 40 pulgadas"/>
    <n v="949000"/>
    <n v="1"/>
    <n v="949000"/>
    <m/>
    <m/>
  </r>
  <r>
    <x v="3"/>
    <s v="Lencería"/>
    <x v="1"/>
    <s v="MAKRO"/>
    <s v="Princess"/>
    <n v="24900"/>
    <n v="180"/>
    <n v="4482000"/>
    <n v="12"/>
    <n v="373500"/>
  </r>
  <r>
    <x v="4"/>
    <s v="Habitaciones"/>
    <x v="0"/>
    <s v="MAKRO"/>
    <s v="35x25x25"/>
    <n v="109900"/>
    <n v="52"/>
    <n v="5714800"/>
    <m/>
    <m/>
  </r>
  <r>
    <x v="5"/>
    <s v="Habitaciones"/>
    <x v="0"/>
    <s v="MAKRO"/>
    <s v="Dicolor"/>
    <n v="299900"/>
    <n v="52"/>
    <n v="15594800"/>
    <m/>
    <m/>
  </r>
  <r>
    <x v="6"/>
    <s v="Habitaciones"/>
    <x v="0"/>
    <s v="ÉXITO"/>
    <s v="ÉXITO"/>
    <n v="268900"/>
    <n v="52"/>
    <n v="13982800"/>
    <m/>
    <m/>
  </r>
  <r>
    <x v="7"/>
    <s v="Lencería"/>
    <x v="1"/>
    <s v="MAKRO"/>
    <s v="Matrix"/>
    <n v="86900"/>
    <n v="78"/>
    <n v="6778200"/>
    <n v="12"/>
    <n v="564850"/>
  </r>
  <r>
    <x v="8"/>
    <s v="Lencería"/>
    <x v="1"/>
    <s v="Alkosto"/>
    <s v="Alameda"/>
    <n v="57900"/>
    <n v="104"/>
    <n v="6021600"/>
    <n v="12"/>
    <n v="501800"/>
  </r>
  <r>
    <x v="9"/>
    <s v="Habitaciones"/>
    <x v="0"/>
    <s v="Alkosto"/>
    <s v="Wenge"/>
    <n v="59900"/>
    <n v="52"/>
    <n v="3114800"/>
    <m/>
    <m/>
  </r>
  <r>
    <x v="0"/>
    <s v="Habitaciones"/>
    <x v="0"/>
    <s v="ÉXITO"/>
    <s v="Alcatel"/>
    <n v="29900"/>
    <n v="52"/>
    <n v="1554800"/>
    <m/>
    <m/>
  </r>
  <r>
    <x v="2"/>
    <s v="Habitaciones"/>
    <x v="0"/>
    <s v="Alkosto"/>
    <s v="Sony LCD 40 pulgadas"/>
    <n v="949000"/>
    <n v="52"/>
    <n v="49348000"/>
    <m/>
    <m/>
  </r>
  <r>
    <x v="10"/>
    <s v="Lencería"/>
    <x v="1"/>
    <s v="MAKRO"/>
    <s v="BCO 500 gr"/>
    <n v="10900"/>
    <n v="240"/>
    <n v="2616000"/>
    <n v="12"/>
    <n v="218000"/>
  </r>
  <r>
    <x v="11"/>
    <s v="Lencería"/>
    <x v="1"/>
    <s v="ÉXITO"/>
    <s v="Cannon 650 gr"/>
    <n v="5900"/>
    <n v="104"/>
    <n v="613600"/>
    <n v="12"/>
    <n v="51133.333333333336"/>
  </r>
  <r>
    <x v="12"/>
    <s v="Habitaciones"/>
    <x v="1"/>
    <s v="MAKRO"/>
    <s v="Aro x 30"/>
    <n v="19620"/>
    <n v="110"/>
    <n v="2158200"/>
    <n v="1"/>
    <n v="2158200"/>
  </r>
  <r>
    <x v="13"/>
    <s v="Habitaciones"/>
    <x v="1"/>
    <s v="MAKRO"/>
    <s v="Aro x 30"/>
    <n v="23190"/>
    <n v="110"/>
    <n v="2550900"/>
    <n v="1"/>
    <n v="2550900"/>
  </r>
  <r>
    <x v="14"/>
    <s v="Habitaciones"/>
    <x v="1"/>
    <s v="MAKRO"/>
    <s v="Elite x 18 rollos"/>
    <n v="12990"/>
    <n v="30"/>
    <n v="389700"/>
    <n v="1"/>
    <n v="389700"/>
  </r>
  <r>
    <x v="0"/>
    <s v="Oficina de turismo"/>
    <x v="0"/>
    <s v="ÉXITO"/>
    <s v="Alcatel"/>
    <n v="29900"/>
    <n v="1"/>
    <n v="29900"/>
    <m/>
    <m/>
  </r>
  <r>
    <x v="1"/>
    <s v="Oficina de turismo"/>
    <x v="0"/>
    <s v="ÉXITO"/>
    <s v="Simply + Impresora"/>
    <n v="749000"/>
    <n v="1"/>
    <n v="749000"/>
    <m/>
    <m/>
  </r>
  <r>
    <x v="0"/>
    <s v="Recepción"/>
    <x v="0"/>
    <s v="ÉXITO"/>
    <s v="Alcatel"/>
    <n v="29900"/>
    <n v="1"/>
    <n v="29900"/>
    <m/>
    <m/>
  </r>
  <r>
    <x v="15"/>
    <s v="Recepción"/>
    <x v="0"/>
    <s v="Alkosto"/>
    <s v="Lexmark multifuncional wifi"/>
    <n v="149500"/>
    <n v="1"/>
    <n v="149500"/>
    <m/>
    <m/>
  </r>
  <r>
    <x v="1"/>
    <s v="Recepción"/>
    <x v="0"/>
    <s v="ÉXITO"/>
    <s v="Simply + Impresora"/>
    <n v="749000"/>
    <n v="1"/>
    <n v="749000"/>
    <m/>
    <m/>
  </r>
  <r>
    <x v="0"/>
    <s v="Sala de Reuniones"/>
    <x v="0"/>
    <s v="ÉXITO"/>
    <s v="Alcatel"/>
    <n v="29900"/>
    <n v="1"/>
    <n v="29900"/>
    <m/>
    <m/>
  </r>
  <r>
    <x v="2"/>
    <s v="Sala de Reuniones"/>
    <x v="0"/>
    <s v="Alkosto"/>
    <s v="Sony LCD 40 pulgadas"/>
    <n v="949000"/>
    <n v="1"/>
    <n v="949000"/>
    <m/>
    <m/>
  </r>
  <r>
    <x v="16"/>
    <s v="Servicios"/>
    <x v="1"/>
    <m/>
    <m/>
    <m/>
    <m/>
    <n v="3000000"/>
    <n v="1"/>
    <n v="3000000"/>
  </r>
  <r>
    <x v="17"/>
    <s v="Servicios"/>
    <x v="1"/>
    <m/>
    <m/>
    <m/>
    <m/>
    <n v="1000000"/>
    <n v="1"/>
    <n v="1000000"/>
  </r>
  <r>
    <x v="18"/>
    <s v="Servicios"/>
    <x v="1"/>
    <m/>
    <m/>
    <m/>
    <m/>
    <n v="500000"/>
    <n v="1"/>
    <n v="500000"/>
  </r>
  <r>
    <x v="19"/>
    <s v="Servicios"/>
    <x v="1"/>
    <m/>
    <m/>
    <m/>
    <m/>
    <n v="500000"/>
    <n v="1"/>
    <n v="500000"/>
  </r>
  <r>
    <x v="20"/>
    <s v="general"/>
    <x v="1"/>
    <m/>
    <m/>
    <n v="10200000"/>
    <n v="1"/>
    <n v="10200000"/>
    <n v="1"/>
    <n v="10200000"/>
  </r>
  <r>
    <x v="21"/>
    <s v="general"/>
    <x v="1"/>
    <m/>
    <m/>
    <n v="2000000"/>
    <n v="1"/>
    <n v="2000000"/>
    <n v="1"/>
    <n v="2000000"/>
  </r>
  <r>
    <x v="22"/>
    <m/>
    <x v="2"/>
    <m/>
    <m/>
    <m/>
    <m/>
    <m/>
    <m/>
    <m/>
  </r>
  <r>
    <x v="22"/>
    <m/>
    <x v="2"/>
    <m/>
    <m/>
    <m/>
    <m/>
    <m/>
    <m/>
    <m/>
  </r>
  <r>
    <x v="22"/>
    <m/>
    <x v="2"/>
    <m/>
    <m/>
    <m/>
    <m/>
    <m/>
    <m/>
    <m/>
  </r>
  <r>
    <x v="22"/>
    <m/>
    <x v="2"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1">
  <r>
    <x v="0"/>
    <x v="0"/>
    <x v="0"/>
    <s v="ÉXITO"/>
    <s v="Alcatel"/>
    <n v="29900"/>
    <n v="1"/>
    <n v="29900"/>
    <m/>
    <m/>
  </r>
  <r>
    <x v="1"/>
    <x v="0"/>
    <x v="0"/>
    <s v="ÉXITO"/>
    <s v="Simply + Impresora"/>
    <n v="749000"/>
    <n v="1"/>
    <n v="749000"/>
    <m/>
    <m/>
  </r>
  <r>
    <x v="0"/>
    <x v="1"/>
    <x v="0"/>
    <s v="ÉXITO"/>
    <s v="Alcatel"/>
    <n v="29900"/>
    <n v="1"/>
    <n v="29900"/>
    <m/>
    <m/>
  </r>
  <r>
    <x v="2"/>
    <x v="2"/>
    <x v="0"/>
    <s v="Alkosto"/>
    <s v="Sony LCD 40 pulgadas"/>
    <n v="949000"/>
    <n v="1"/>
    <n v="949000"/>
    <m/>
    <m/>
  </r>
  <r>
    <x v="3"/>
    <x v="3"/>
    <x v="1"/>
    <s v="MAKRO"/>
    <s v="Princess"/>
    <n v="24900"/>
    <n v="180"/>
    <n v="4482000"/>
    <n v="12"/>
    <n v="373500"/>
  </r>
  <r>
    <x v="4"/>
    <x v="4"/>
    <x v="0"/>
    <s v="MAKRO"/>
    <s v="35x25x25"/>
    <n v="109900"/>
    <n v="52"/>
    <n v="5714800"/>
    <m/>
    <m/>
  </r>
  <r>
    <x v="5"/>
    <x v="4"/>
    <x v="0"/>
    <s v="MAKRO"/>
    <s v="Dicolor"/>
    <n v="299900"/>
    <n v="52"/>
    <n v="15594800"/>
    <m/>
    <m/>
  </r>
  <r>
    <x v="6"/>
    <x v="4"/>
    <x v="0"/>
    <s v="ÉXITO"/>
    <s v="ÉXITO"/>
    <n v="268900"/>
    <n v="52"/>
    <n v="13982800"/>
    <m/>
    <m/>
  </r>
  <r>
    <x v="7"/>
    <x v="3"/>
    <x v="1"/>
    <s v="MAKRO"/>
    <s v="Matrix"/>
    <n v="86900"/>
    <n v="78"/>
    <n v="6778200"/>
    <n v="12"/>
    <n v="564850"/>
  </r>
  <r>
    <x v="8"/>
    <x v="3"/>
    <x v="1"/>
    <s v="Alkosto"/>
    <s v="Alameda"/>
    <n v="57900"/>
    <n v="104"/>
    <n v="6021600"/>
    <n v="12"/>
    <n v="501800"/>
  </r>
  <r>
    <x v="9"/>
    <x v="4"/>
    <x v="0"/>
    <s v="Alkosto"/>
    <s v="Wenge"/>
    <n v="59900"/>
    <n v="52"/>
    <n v="3114800"/>
    <m/>
    <m/>
  </r>
  <r>
    <x v="0"/>
    <x v="4"/>
    <x v="0"/>
    <s v="ÉXITO"/>
    <s v="Alcatel"/>
    <n v="29900"/>
    <n v="52"/>
    <n v="1554800"/>
    <m/>
    <m/>
  </r>
  <r>
    <x v="2"/>
    <x v="4"/>
    <x v="0"/>
    <s v="Alkosto"/>
    <s v="Sony LCD 40 pulgadas"/>
    <n v="949000"/>
    <n v="52"/>
    <n v="49348000"/>
    <m/>
    <m/>
  </r>
  <r>
    <x v="10"/>
    <x v="3"/>
    <x v="1"/>
    <s v="MAKRO"/>
    <s v="BCO 500 gr"/>
    <n v="10900"/>
    <n v="240"/>
    <n v="2616000"/>
    <n v="12"/>
    <n v="218000"/>
  </r>
  <r>
    <x v="11"/>
    <x v="3"/>
    <x v="1"/>
    <s v="ÉXITO"/>
    <s v="Cannon 650 gr"/>
    <n v="5900"/>
    <n v="104"/>
    <n v="613600"/>
    <n v="12"/>
    <n v="51133.333333333336"/>
  </r>
  <r>
    <x v="12"/>
    <x v="4"/>
    <x v="1"/>
    <s v="MAKRO"/>
    <s v="Aro x 30"/>
    <n v="19620"/>
    <n v="110"/>
    <n v="2158200"/>
    <n v="1"/>
    <n v="2158200"/>
  </r>
  <r>
    <x v="13"/>
    <x v="4"/>
    <x v="1"/>
    <s v="MAKRO"/>
    <s v="Aro x 30"/>
    <n v="23190"/>
    <n v="110"/>
    <n v="2550900"/>
    <n v="1"/>
    <n v="2550900"/>
  </r>
  <r>
    <x v="14"/>
    <x v="4"/>
    <x v="1"/>
    <s v="MAKRO"/>
    <s v="Elite x 18 rollos"/>
    <n v="12990"/>
    <n v="30"/>
    <n v="389700"/>
    <n v="1"/>
    <n v="389700"/>
  </r>
  <r>
    <x v="0"/>
    <x v="5"/>
    <x v="0"/>
    <s v="ÉXITO"/>
    <s v="Alcatel"/>
    <n v="29900"/>
    <n v="1"/>
    <n v="29900"/>
    <m/>
    <m/>
  </r>
  <r>
    <x v="1"/>
    <x v="5"/>
    <x v="0"/>
    <s v="ÉXITO"/>
    <s v="Simply + Impresora"/>
    <n v="749000"/>
    <n v="1"/>
    <n v="749000"/>
    <m/>
    <m/>
  </r>
  <r>
    <x v="0"/>
    <x v="6"/>
    <x v="0"/>
    <s v="ÉXITO"/>
    <s v="Alcatel"/>
    <n v="29900"/>
    <n v="1"/>
    <n v="29900"/>
    <m/>
    <m/>
  </r>
  <r>
    <x v="15"/>
    <x v="6"/>
    <x v="0"/>
    <s v="Alkosto"/>
    <s v="Lexmark multifuncional wifi"/>
    <n v="149500"/>
    <n v="1"/>
    <n v="149500"/>
    <m/>
    <m/>
  </r>
  <r>
    <x v="1"/>
    <x v="6"/>
    <x v="0"/>
    <s v="ÉXITO"/>
    <s v="Simply + Impresora"/>
    <n v="749000"/>
    <n v="1"/>
    <n v="749000"/>
    <m/>
    <m/>
  </r>
  <r>
    <x v="0"/>
    <x v="7"/>
    <x v="0"/>
    <s v="ÉXITO"/>
    <s v="Alcatel"/>
    <n v="29900"/>
    <n v="1"/>
    <n v="29900"/>
    <m/>
    <m/>
  </r>
  <r>
    <x v="2"/>
    <x v="7"/>
    <x v="0"/>
    <s v="Alkosto"/>
    <s v="Sony LCD 40 pulgadas"/>
    <n v="949000"/>
    <n v="1"/>
    <n v="949000"/>
    <m/>
    <m/>
  </r>
  <r>
    <x v="16"/>
    <x v="8"/>
    <x v="1"/>
    <m/>
    <m/>
    <m/>
    <m/>
    <n v="3000000"/>
    <n v="1"/>
    <n v="5000000"/>
  </r>
  <r>
    <x v="17"/>
    <x v="8"/>
    <x v="1"/>
    <m/>
    <m/>
    <m/>
    <m/>
    <n v="1000000"/>
    <n v="1"/>
    <n v="2000000"/>
  </r>
  <r>
    <x v="18"/>
    <x v="8"/>
    <x v="1"/>
    <m/>
    <m/>
    <m/>
    <m/>
    <n v="500000"/>
    <n v="1"/>
    <n v="1000000"/>
  </r>
  <r>
    <x v="19"/>
    <x v="8"/>
    <x v="1"/>
    <m/>
    <m/>
    <m/>
    <m/>
    <n v="500000"/>
    <n v="1"/>
    <n v="1000000"/>
  </r>
  <r>
    <x v="20"/>
    <x v="9"/>
    <x v="1"/>
    <m/>
    <m/>
    <n v="10200000"/>
    <n v="1"/>
    <n v="10200000"/>
    <n v="1"/>
    <n v="10200000"/>
  </r>
  <r>
    <x v="21"/>
    <x v="9"/>
    <x v="1"/>
    <m/>
    <m/>
    <n v="2000000"/>
    <n v="1"/>
    <n v="2000000"/>
    <n v="1"/>
    <n v="20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a dinámica4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gridDropZones="1" multipleFieldFilters="0">
  <location ref="F3:G13" firstHeaderRow="2" firstDataRow="2" firstDataCol="1" rowPageCount="1" colPageCount="1"/>
  <pivotFields count="10">
    <pivotField axis="axisRow" showAll="0">
      <items count="24">
        <item x="16"/>
        <item x="3"/>
        <item x="21"/>
        <item x="4"/>
        <item x="5"/>
        <item x="6"/>
        <item x="1"/>
        <item x="7"/>
        <item x="19"/>
        <item x="20"/>
        <item x="15"/>
        <item x="12"/>
        <item x="8"/>
        <item x="17"/>
        <item x="9"/>
        <item x="14"/>
        <item x="13"/>
        <item x="18"/>
        <item x="0"/>
        <item x="2"/>
        <item x="10"/>
        <item x="11"/>
        <item x="22"/>
        <item t="default"/>
      </items>
    </pivotField>
    <pivotField showAll="0"/>
    <pivotField axis="axisPage" multipleItemSelectionAllowed="1" showAll="0">
      <items count="4">
        <item x="0"/>
        <item h="1" x="1"/>
        <item h="1" x="2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</pivotFields>
  <rowFields count="1">
    <field x="0"/>
  </rowFields>
  <rowItems count="9">
    <i>
      <x v="3"/>
    </i>
    <i>
      <x v="4"/>
    </i>
    <i>
      <x v="5"/>
    </i>
    <i>
      <x v="6"/>
    </i>
    <i>
      <x v="10"/>
    </i>
    <i>
      <x v="14"/>
    </i>
    <i>
      <x v="18"/>
    </i>
    <i>
      <x v="19"/>
    </i>
    <i t="grand">
      <x/>
    </i>
  </rowItems>
  <colItems count="1">
    <i/>
  </colItems>
  <pageFields count="1">
    <pageField fld="2" hier="-1"/>
  </pageFields>
  <dataFields count="1">
    <dataField name="Suma de COSTO TOTAL" fld="7" baseField="0" baseItem="0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 dinámica1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gridDropZones="1" multipleFieldFilters="0" rowHeaderCaption="">
  <location ref="B3:E23" firstHeaderRow="1" firstDataRow="2" firstDataCol="1" rowPageCount="1" colPageCount="1"/>
  <pivotFields count="10">
    <pivotField axis="axisRow" showAll="0">
      <items count="23">
        <item x="16"/>
        <item x="3"/>
        <item x="21"/>
        <item x="4"/>
        <item x="5"/>
        <item x="6"/>
        <item x="1"/>
        <item x="7"/>
        <item x="19"/>
        <item x="20"/>
        <item x="15"/>
        <item x="12"/>
        <item x="8"/>
        <item x="17"/>
        <item x="9"/>
        <item x="14"/>
        <item x="13"/>
        <item x="18"/>
        <item x="0"/>
        <item x="2"/>
        <item x="10"/>
        <item x="11"/>
        <item t="default"/>
      </items>
    </pivotField>
    <pivotField axis="axisRow" showAll="0">
      <items count="11">
        <item x="0"/>
        <item x="1"/>
        <item x="2"/>
        <item x="9"/>
        <item x="4"/>
        <item x="3"/>
        <item x="5"/>
        <item x="6"/>
        <item x="7"/>
        <item x="8"/>
        <item t="default"/>
      </items>
    </pivotField>
    <pivotField axis="axisPage" multipleItemSelectionAllowed="1" showAll="0">
      <items count="3">
        <item h="1" x="0"/>
        <item x="1"/>
        <item t="default"/>
      </items>
    </pivotField>
    <pivotField showAll="0"/>
    <pivotField showAll="0"/>
    <pivotField showAll="0"/>
    <pivotField showAll="0"/>
    <pivotField dataField="1" numFmtId="164" showAll="0"/>
    <pivotField dataField="1" showAll="0"/>
    <pivotField dataField="1" showAll="0"/>
  </pivotFields>
  <rowFields count="2">
    <field x="1"/>
    <field x="0"/>
  </rowFields>
  <rowItems count="19">
    <i>
      <x v="3"/>
    </i>
    <i r="1">
      <x v="2"/>
    </i>
    <i r="1">
      <x v="9"/>
    </i>
    <i>
      <x v="4"/>
    </i>
    <i r="1">
      <x v="11"/>
    </i>
    <i r="1">
      <x v="15"/>
    </i>
    <i r="1">
      <x v="16"/>
    </i>
    <i>
      <x v="5"/>
    </i>
    <i r="1">
      <x v="1"/>
    </i>
    <i r="1">
      <x v="7"/>
    </i>
    <i r="1">
      <x v="12"/>
    </i>
    <i r="1">
      <x v="20"/>
    </i>
    <i r="1">
      <x v="21"/>
    </i>
    <i>
      <x v="9"/>
    </i>
    <i r="1">
      <x/>
    </i>
    <i r="1">
      <x v="8"/>
    </i>
    <i r="1">
      <x v="13"/>
    </i>
    <i r="1">
      <x v="17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2" hier="-1"/>
  </pageFields>
  <dataFields count="3">
    <dataField name="Coste total" fld="7" baseField="0" baseItem="0"/>
    <dataField name="Periodicidad de pago" fld="8" subtotal="average" baseField="0" baseItem="0"/>
    <dataField name="Coste por mes." fld="9" baseField="0" baseItem="0"/>
  </dataFields>
  <formats count="6">
    <format dxfId="5">
      <pivotArea outline="0" collapsedLevelsAreSubtotals="1" fieldPosition="0"/>
    </format>
    <format dxfId="4">
      <pivotArea field="1" type="button" dataOnly="0" labelOnly="1" outline="0" axis="axisRow" fieldPosition="0"/>
    </format>
    <format dxfId="3">
      <pivotArea dataOnly="0" labelOnly="1" fieldPosition="0">
        <references count="1">
          <reference field="1" count="4">
            <x v="3"/>
            <x v="4"/>
            <x v="5"/>
            <x v="9"/>
          </reference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2">
          <reference field="0" count="14">
            <x v="0"/>
            <x v="1"/>
            <x v="2"/>
            <x v="7"/>
            <x v="8"/>
            <x v="9"/>
            <x v="11"/>
            <x v="12"/>
            <x v="13"/>
            <x v="15"/>
            <x v="16"/>
            <x v="17"/>
            <x v="20"/>
            <x v="21"/>
          </reference>
          <reference field="1" count="1" selected="0">
            <x v="3"/>
          </reference>
        </references>
      </pivotArea>
    </format>
    <format dxfId="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</sheetPr>
  <dimension ref="B3:E25"/>
  <sheetViews>
    <sheetView topLeftCell="A2" workbookViewId="0">
      <selection activeCell="C4" sqref="C4:C6"/>
    </sheetView>
  </sheetViews>
  <sheetFormatPr baseColWidth="10" defaultRowHeight="15.75" x14ac:dyDescent="0.25"/>
  <cols>
    <col min="2" max="2" width="18.625" style="3" customWidth="1"/>
    <col min="3" max="3" width="14.125" style="3" bestFit="1" customWidth="1"/>
  </cols>
  <sheetData>
    <row r="3" spans="2:5" x14ac:dyDescent="0.25">
      <c r="B3" s="395" t="s">
        <v>498</v>
      </c>
      <c r="C3" s="395"/>
    </row>
    <row r="4" spans="2:5" x14ac:dyDescent="0.25">
      <c r="B4" s="314" t="s">
        <v>494</v>
      </c>
      <c r="C4" s="391">
        <f>-'Previsión inicial de inv.'!C20</f>
        <v>-1399563927.2056944</v>
      </c>
    </row>
    <row r="5" spans="2:5" x14ac:dyDescent="0.25">
      <c r="B5" s="314">
        <v>2014</v>
      </c>
      <c r="C5" s="320">
        <f>+'Cta resultados 5 años'!C13+'Cta resultados 5 años'!C19</f>
        <v>692886179.78834677</v>
      </c>
      <c r="D5" s="285"/>
    </row>
    <row r="6" spans="2:5" x14ac:dyDescent="0.25">
      <c r="B6" s="314">
        <v>2015</v>
      </c>
      <c r="C6" s="320">
        <f>+'Cta resultados 5 años'!E13+'Cta resultados 5 años'!E19</f>
        <v>791558997.20280015</v>
      </c>
      <c r="E6" s="285"/>
    </row>
    <row r="7" spans="2:5" x14ac:dyDescent="0.25">
      <c r="B7" s="314">
        <v>2016</v>
      </c>
      <c r="C7" s="320">
        <f>+'Cta resultados 5 años'!H13+'Cta resultados 5 años'!H19</f>
        <v>916148718.30183184</v>
      </c>
      <c r="E7" s="285"/>
    </row>
    <row r="8" spans="2:5" x14ac:dyDescent="0.25">
      <c r="B8" s="314">
        <v>2017</v>
      </c>
      <c r="C8" s="320">
        <f>+'Cta resultados 5 años'!K16+'Cta resultados 5 años'!K19</f>
        <v>907612321.01692057</v>
      </c>
      <c r="E8" s="285"/>
    </row>
    <row r="9" spans="2:5" x14ac:dyDescent="0.25">
      <c r="B9" s="314">
        <v>2018</v>
      </c>
      <c r="C9" s="320">
        <f>+'Cta resultados 5 años'!N16+'Cta resultados 5 años'!N19</f>
        <v>974100910.86636853</v>
      </c>
    </row>
    <row r="14" spans="2:5" x14ac:dyDescent="0.25">
      <c r="B14" s="268" t="s">
        <v>540</v>
      </c>
      <c r="C14" s="316">
        <f>+IRR(C4:C9)</f>
        <v>0.49694568931207228</v>
      </c>
      <c r="D14" s="285"/>
    </row>
    <row r="15" spans="2:5" x14ac:dyDescent="0.25">
      <c r="B15" s="268" t="s">
        <v>541</v>
      </c>
      <c r="C15" s="316">
        <f>+IRR(C4:C7)</f>
        <v>0.30908706351786819</v>
      </c>
      <c r="D15" s="285"/>
    </row>
    <row r="16" spans="2:5" x14ac:dyDescent="0.25">
      <c r="B16" s="268" t="s">
        <v>528</v>
      </c>
      <c r="C16" s="315">
        <f>+NPV(C17,C5:C9)+C4</f>
        <v>2168468508.982173</v>
      </c>
    </row>
    <row r="17" spans="2:3" hidden="1" x14ac:dyDescent="0.25">
      <c r="B17" s="268" t="s">
        <v>501</v>
      </c>
      <c r="C17" s="317">
        <v>6.0600000000000001E-2</v>
      </c>
    </row>
    <row r="18" spans="2:3" ht="31.5" x14ac:dyDescent="0.25">
      <c r="B18" s="268" t="s">
        <v>529</v>
      </c>
      <c r="C18" s="318">
        <f>+'Previsión inicial de inv.'!C25/'Previsión inicial de inv.'!C15</f>
        <v>0.4</v>
      </c>
    </row>
    <row r="20" spans="2:3" ht="51.95" customHeight="1" x14ac:dyDescent="0.25">
      <c r="B20" s="396" t="s">
        <v>502</v>
      </c>
      <c r="C20" s="396"/>
    </row>
    <row r="25" spans="2:3" x14ac:dyDescent="0.25">
      <c r="B25" s="3" t="s">
        <v>530</v>
      </c>
    </row>
  </sheetData>
  <mergeCells count="2">
    <mergeCell ref="B3:C3"/>
    <mergeCell ref="B20:C20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9"/>
  <sheetViews>
    <sheetView topLeftCell="A22" workbookViewId="0">
      <selection activeCell="C49" sqref="C49"/>
    </sheetView>
  </sheetViews>
  <sheetFormatPr baseColWidth="10" defaultRowHeight="15.75" x14ac:dyDescent="0.25"/>
  <cols>
    <col min="1" max="1" width="27" bestFit="1" customWidth="1"/>
    <col min="2" max="2" width="25.5" bestFit="1" customWidth="1"/>
    <col min="3" max="3" width="14.875" bestFit="1" customWidth="1"/>
    <col min="4" max="4" width="11.625" bestFit="1" customWidth="1"/>
    <col min="5" max="5" width="13.125" bestFit="1" customWidth="1"/>
    <col min="6" max="6" width="18.125" bestFit="1" customWidth="1"/>
    <col min="7" max="9" width="11.625" bestFit="1" customWidth="1"/>
    <col min="10" max="14" width="12.625" bestFit="1" customWidth="1"/>
  </cols>
  <sheetData>
    <row r="2" spans="1:6" x14ac:dyDescent="0.25">
      <c r="B2" t="s">
        <v>448</v>
      </c>
    </row>
    <row r="4" spans="1:6" x14ac:dyDescent="0.25">
      <c r="A4" s="236" t="s">
        <v>449</v>
      </c>
      <c r="B4" s="236" t="s">
        <v>377</v>
      </c>
      <c r="C4" s="236" t="s">
        <v>445</v>
      </c>
      <c r="D4" s="236" t="s">
        <v>446</v>
      </c>
      <c r="E4" s="236" t="s">
        <v>447</v>
      </c>
      <c r="F4" s="261" t="s">
        <v>452</v>
      </c>
    </row>
    <row r="5" spans="1:6" x14ac:dyDescent="0.25">
      <c r="A5" s="408" t="s">
        <v>450</v>
      </c>
      <c r="B5" s="227" t="s">
        <v>280</v>
      </c>
      <c r="C5" s="227" t="s">
        <v>345</v>
      </c>
      <c r="D5" s="227">
        <v>19620</v>
      </c>
      <c r="E5" s="227">
        <f>+D5/30</f>
        <v>654</v>
      </c>
      <c r="F5" s="236">
        <f>+E5*2</f>
        <v>1308</v>
      </c>
    </row>
    <row r="6" spans="1:6" x14ac:dyDescent="0.25">
      <c r="A6" s="408"/>
      <c r="B6" s="227" t="s">
        <v>282</v>
      </c>
      <c r="C6" s="227" t="s">
        <v>345</v>
      </c>
      <c r="D6" s="233">
        <v>23190</v>
      </c>
      <c r="E6" s="227">
        <f>+D6/30</f>
        <v>773</v>
      </c>
      <c r="F6" s="236">
        <f>+E6*2</f>
        <v>1546</v>
      </c>
    </row>
    <row r="7" spans="1:6" x14ac:dyDescent="0.25">
      <c r="A7" s="408"/>
      <c r="B7" s="227" t="s">
        <v>281</v>
      </c>
      <c r="C7" s="227" t="s">
        <v>346</v>
      </c>
      <c r="D7" s="227">
        <v>12990</v>
      </c>
      <c r="E7" s="227">
        <f>+D7/18</f>
        <v>721.66666666666663</v>
      </c>
      <c r="F7" s="237">
        <f>+E7</f>
        <v>721.66666666666663</v>
      </c>
    </row>
    <row r="8" spans="1:6" x14ac:dyDescent="0.25">
      <c r="A8" s="408"/>
      <c r="B8" s="412" t="s">
        <v>5</v>
      </c>
      <c r="C8" s="412"/>
      <c r="D8" s="412"/>
      <c r="E8" s="412"/>
      <c r="F8" s="237">
        <f>+SUM(F5:F7)</f>
        <v>3575.6666666666665</v>
      </c>
    </row>
    <row r="9" spans="1:6" x14ac:dyDescent="0.25">
      <c r="A9" s="409" t="s">
        <v>451</v>
      </c>
      <c r="B9" s="236" t="s">
        <v>377</v>
      </c>
      <c r="C9" s="236" t="s">
        <v>445</v>
      </c>
      <c r="D9" s="236" t="s">
        <v>446</v>
      </c>
      <c r="E9" s="236" t="s">
        <v>447</v>
      </c>
      <c r="F9" s="261" t="s">
        <v>452</v>
      </c>
    </row>
    <row r="10" spans="1:6" x14ac:dyDescent="0.25">
      <c r="A10" s="410"/>
      <c r="B10" s="227" t="s">
        <v>280</v>
      </c>
      <c r="C10" s="227" t="s">
        <v>345</v>
      </c>
      <c r="D10" s="227">
        <v>19620</v>
      </c>
      <c r="E10" s="227">
        <f>+D10/30</f>
        <v>654</v>
      </c>
      <c r="F10" s="236">
        <f>+E10*3</f>
        <v>1962</v>
      </c>
    </row>
    <row r="11" spans="1:6" x14ac:dyDescent="0.25">
      <c r="A11" s="410"/>
      <c r="B11" s="227" t="s">
        <v>282</v>
      </c>
      <c r="C11" s="227" t="s">
        <v>345</v>
      </c>
      <c r="D11" s="233">
        <v>23190</v>
      </c>
      <c r="E11" s="227">
        <f>+D11/30</f>
        <v>773</v>
      </c>
      <c r="F11" s="236">
        <f>+E11*3</f>
        <v>2319</v>
      </c>
    </row>
    <row r="12" spans="1:6" x14ac:dyDescent="0.25">
      <c r="A12" s="411"/>
      <c r="B12" s="227" t="s">
        <v>281</v>
      </c>
      <c r="C12" s="227" t="s">
        <v>346</v>
      </c>
      <c r="D12" s="227">
        <v>12990</v>
      </c>
      <c r="E12" s="227">
        <f>+D12/18</f>
        <v>721.66666666666663</v>
      </c>
      <c r="F12" s="237">
        <f>+E12</f>
        <v>721.66666666666663</v>
      </c>
    </row>
    <row r="13" spans="1:6" x14ac:dyDescent="0.25">
      <c r="B13" s="412" t="s">
        <v>5</v>
      </c>
      <c r="C13" s="412"/>
      <c r="D13" s="412"/>
      <c r="E13" s="412"/>
      <c r="F13" s="237">
        <f>+SUM(F10:F12)</f>
        <v>5002.666666666667</v>
      </c>
    </row>
    <row r="19" spans="1:14" x14ac:dyDescent="0.25">
      <c r="A19" s="397" t="s">
        <v>439</v>
      </c>
      <c r="B19" s="398"/>
      <c r="C19" s="260">
        <v>0.3</v>
      </c>
      <c r="D19" s="260">
        <v>0.32800000000000001</v>
      </c>
      <c r="E19" s="260">
        <v>0.35599999999999998</v>
      </c>
      <c r="F19" s="260">
        <v>0.38400000000000001</v>
      </c>
      <c r="G19" s="260">
        <v>0.41199999999999998</v>
      </c>
      <c r="H19" s="260">
        <v>0.44</v>
      </c>
      <c r="I19" s="260">
        <v>0.46800000000000003</v>
      </c>
      <c r="J19" s="260">
        <v>0.496</v>
      </c>
      <c r="K19" s="260">
        <v>0.52400000000000002</v>
      </c>
      <c r="L19" s="260">
        <v>0.55200000000000005</v>
      </c>
      <c r="M19" s="260">
        <v>0.57999999999999996</v>
      </c>
      <c r="N19" s="260">
        <v>0.60799999999999998</v>
      </c>
    </row>
    <row r="20" spans="1:14" x14ac:dyDescent="0.25">
      <c r="A20" s="236"/>
      <c r="B20" s="236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</row>
    <row r="21" spans="1:14" x14ac:dyDescent="0.25">
      <c r="A21" s="402" t="s">
        <v>256</v>
      </c>
      <c r="B21" s="403"/>
      <c r="C21" s="236" t="s">
        <v>389</v>
      </c>
      <c r="D21" s="236" t="s">
        <v>390</v>
      </c>
      <c r="E21" s="236" t="s">
        <v>391</v>
      </c>
      <c r="F21" s="236" t="s">
        <v>392</v>
      </c>
      <c r="G21" s="236" t="s">
        <v>393</v>
      </c>
      <c r="H21" s="236" t="s">
        <v>394</v>
      </c>
      <c r="I21" s="236" t="s">
        <v>395</v>
      </c>
      <c r="J21" s="236" t="s">
        <v>396</v>
      </c>
      <c r="K21" s="236" t="s">
        <v>397</v>
      </c>
      <c r="L21" s="236" t="s">
        <v>398</v>
      </c>
      <c r="M21" s="236" t="s">
        <v>399</v>
      </c>
      <c r="N21" s="236" t="s">
        <v>400</v>
      </c>
    </row>
    <row r="22" spans="1:14" x14ac:dyDescent="0.25">
      <c r="A22" s="236"/>
      <c r="B22" s="236"/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</row>
    <row r="23" spans="1:14" x14ac:dyDescent="0.25">
      <c r="A23" s="406" t="s">
        <v>432</v>
      </c>
      <c r="B23" s="236" t="s">
        <v>433</v>
      </c>
      <c r="C23" s="236">
        <f>+'Ppto ventas'!D13</f>
        <v>264</v>
      </c>
      <c r="D23" s="236">
        <f>+'Ppto ventas'!E13</f>
        <v>528</v>
      </c>
      <c r="E23" s="236">
        <f>+'Ppto ventas'!F13</f>
        <v>316</v>
      </c>
      <c r="F23" s="236">
        <f>+'Ppto ventas'!G13</f>
        <v>528</v>
      </c>
      <c r="G23" s="236">
        <f>+'Ppto ventas'!H13</f>
        <v>462</v>
      </c>
      <c r="H23" s="236">
        <f>+'Ppto ventas'!I13</f>
        <v>673</v>
      </c>
      <c r="I23" s="236">
        <f>+'Ppto ventas'!J13</f>
        <v>686</v>
      </c>
      <c r="J23" s="236">
        <f>+'Ppto ventas'!K13</f>
        <v>594</v>
      </c>
      <c r="K23" s="236">
        <f>+'Ppto ventas'!L13</f>
        <v>739</v>
      </c>
      <c r="L23" s="236">
        <f>+'Ppto ventas'!M13</f>
        <v>528</v>
      </c>
      <c r="M23" s="236">
        <f>+'Ppto ventas'!N13</f>
        <v>528</v>
      </c>
      <c r="N23" s="236">
        <f>+'Ppto ventas'!O13</f>
        <v>792</v>
      </c>
    </row>
    <row r="24" spans="1:14" x14ac:dyDescent="0.25">
      <c r="A24" s="407"/>
      <c r="B24" s="236" t="s">
        <v>453</v>
      </c>
      <c r="C24" s="227">
        <f>+F8</f>
        <v>3575.6666666666665</v>
      </c>
      <c r="D24" s="227">
        <f t="shared" ref="D24:N24" si="0">+C24</f>
        <v>3575.6666666666665</v>
      </c>
      <c r="E24" s="227">
        <f t="shared" si="0"/>
        <v>3575.6666666666665</v>
      </c>
      <c r="F24" s="227">
        <f t="shared" si="0"/>
        <v>3575.6666666666665</v>
      </c>
      <c r="G24" s="227">
        <f t="shared" si="0"/>
        <v>3575.6666666666665</v>
      </c>
      <c r="H24" s="227">
        <f t="shared" si="0"/>
        <v>3575.6666666666665</v>
      </c>
      <c r="I24" s="227">
        <f t="shared" si="0"/>
        <v>3575.6666666666665</v>
      </c>
      <c r="J24" s="227">
        <f t="shared" si="0"/>
        <v>3575.6666666666665</v>
      </c>
      <c r="K24" s="227">
        <f t="shared" si="0"/>
        <v>3575.6666666666665</v>
      </c>
      <c r="L24" s="227">
        <f t="shared" si="0"/>
        <v>3575.6666666666665</v>
      </c>
      <c r="M24" s="227">
        <f t="shared" si="0"/>
        <v>3575.6666666666665</v>
      </c>
      <c r="N24" s="227">
        <f t="shared" si="0"/>
        <v>3575.6666666666665</v>
      </c>
    </row>
    <row r="25" spans="1:14" x14ac:dyDescent="0.25">
      <c r="A25" s="407"/>
      <c r="B25" s="252" t="s">
        <v>454</v>
      </c>
      <c r="C25" s="255">
        <f t="shared" ref="C25:N25" si="1">+C23*C24</f>
        <v>943976</v>
      </c>
      <c r="D25" s="255">
        <f t="shared" si="1"/>
        <v>1887952</v>
      </c>
      <c r="E25" s="255">
        <f t="shared" si="1"/>
        <v>1129910.6666666665</v>
      </c>
      <c r="F25" s="255">
        <f t="shared" si="1"/>
        <v>1887952</v>
      </c>
      <c r="G25" s="255">
        <f t="shared" si="1"/>
        <v>1651958</v>
      </c>
      <c r="H25" s="255">
        <f t="shared" si="1"/>
        <v>2406423.6666666665</v>
      </c>
      <c r="I25" s="255">
        <f t="shared" si="1"/>
        <v>2452907.333333333</v>
      </c>
      <c r="J25" s="255">
        <f t="shared" si="1"/>
        <v>2123946</v>
      </c>
      <c r="K25" s="255">
        <f t="shared" si="1"/>
        <v>2642417.6666666665</v>
      </c>
      <c r="L25" s="255">
        <f t="shared" si="1"/>
        <v>1887952</v>
      </c>
      <c r="M25" s="255">
        <f t="shared" si="1"/>
        <v>1887952</v>
      </c>
      <c r="N25" s="255">
        <f t="shared" si="1"/>
        <v>2831928</v>
      </c>
    </row>
    <row r="26" spans="1:14" x14ac:dyDescent="0.25">
      <c r="A26" s="259"/>
      <c r="B26" s="236"/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</row>
    <row r="27" spans="1:14" x14ac:dyDescent="0.25">
      <c r="A27" s="406" t="s">
        <v>436</v>
      </c>
      <c r="B27" s="236" t="s">
        <v>433</v>
      </c>
      <c r="C27" s="236">
        <f>+'Ppto ventas'!D17</f>
        <v>48</v>
      </c>
      <c r="D27" s="236">
        <f>+'Ppto ventas'!E17</f>
        <v>96</v>
      </c>
      <c r="E27" s="236">
        <f>+'Ppto ventas'!F17</f>
        <v>57</v>
      </c>
      <c r="F27" s="236">
        <f>+'Ppto ventas'!G17</f>
        <v>96</v>
      </c>
      <c r="G27" s="236">
        <f>+'Ppto ventas'!H17</f>
        <v>84</v>
      </c>
      <c r="H27" s="236">
        <f>+'Ppto ventas'!I17</f>
        <v>122</v>
      </c>
      <c r="I27" s="236">
        <f>+'Ppto ventas'!J17</f>
        <v>124</v>
      </c>
      <c r="J27" s="236">
        <f>+'Ppto ventas'!K17</f>
        <v>108</v>
      </c>
      <c r="K27" s="236">
        <f>+'Ppto ventas'!L17</f>
        <v>134</v>
      </c>
      <c r="L27" s="236">
        <f>+'Ppto ventas'!M17</f>
        <v>96</v>
      </c>
      <c r="M27" s="236">
        <f>+'Ppto ventas'!N17</f>
        <v>96</v>
      </c>
      <c r="N27" s="236">
        <f>+'Ppto ventas'!O17</f>
        <v>144</v>
      </c>
    </row>
    <row r="28" spans="1:14" x14ac:dyDescent="0.25">
      <c r="A28" s="407"/>
      <c r="B28" s="236" t="s">
        <v>453</v>
      </c>
      <c r="C28" s="227">
        <f>+F13</f>
        <v>5002.666666666667</v>
      </c>
      <c r="D28" s="227">
        <f t="shared" ref="D28:N28" si="2">+C28</f>
        <v>5002.666666666667</v>
      </c>
      <c r="E28" s="227">
        <f t="shared" si="2"/>
        <v>5002.666666666667</v>
      </c>
      <c r="F28" s="227">
        <f t="shared" si="2"/>
        <v>5002.666666666667</v>
      </c>
      <c r="G28" s="227">
        <f t="shared" si="2"/>
        <v>5002.666666666667</v>
      </c>
      <c r="H28" s="227">
        <f t="shared" si="2"/>
        <v>5002.666666666667</v>
      </c>
      <c r="I28" s="227">
        <f t="shared" si="2"/>
        <v>5002.666666666667</v>
      </c>
      <c r="J28" s="227">
        <f t="shared" si="2"/>
        <v>5002.666666666667</v>
      </c>
      <c r="K28" s="227">
        <f t="shared" si="2"/>
        <v>5002.666666666667</v>
      </c>
      <c r="L28" s="227">
        <f t="shared" si="2"/>
        <v>5002.666666666667</v>
      </c>
      <c r="M28" s="227">
        <f t="shared" si="2"/>
        <v>5002.666666666667</v>
      </c>
      <c r="N28" s="227">
        <f t="shared" si="2"/>
        <v>5002.666666666667</v>
      </c>
    </row>
    <row r="29" spans="1:14" x14ac:dyDescent="0.25">
      <c r="A29" s="407"/>
      <c r="B29" s="252" t="s">
        <v>454</v>
      </c>
      <c r="C29" s="255">
        <f t="shared" ref="C29:N29" si="3">+C27*C28</f>
        <v>240128</v>
      </c>
      <c r="D29" s="255">
        <f t="shared" si="3"/>
        <v>480256</v>
      </c>
      <c r="E29" s="255">
        <f t="shared" si="3"/>
        <v>285152</v>
      </c>
      <c r="F29" s="255">
        <f t="shared" si="3"/>
        <v>480256</v>
      </c>
      <c r="G29" s="255">
        <f t="shared" si="3"/>
        <v>420224</v>
      </c>
      <c r="H29" s="255">
        <f t="shared" si="3"/>
        <v>610325.33333333337</v>
      </c>
      <c r="I29" s="255">
        <f t="shared" si="3"/>
        <v>620330.66666666674</v>
      </c>
      <c r="J29" s="255">
        <f t="shared" si="3"/>
        <v>540288</v>
      </c>
      <c r="K29" s="255">
        <f t="shared" si="3"/>
        <v>670357.33333333337</v>
      </c>
      <c r="L29" s="255">
        <f t="shared" si="3"/>
        <v>480256</v>
      </c>
      <c r="M29" s="255">
        <f t="shared" si="3"/>
        <v>480256</v>
      </c>
      <c r="N29" s="255">
        <f t="shared" si="3"/>
        <v>720384</v>
      </c>
    </row>
    <row r="30" spans="1:14" x14ac:dyDescent="0.25">
      <c r="A30" s="250"/>
      <c r="B30" s="236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</row>
    <row r="31" spans="1:14" x14ac:dyDescent="0.25">
      <c r="A31" s="256" t="s">
        <v>460</v>
      </c>
      <c r="B31" s="256"/>
      <c r="C31" s="257">
        <f t="shared" ref="C31:N31" si="4">+C29+C25</f>
        <v>1184104</v>
      </c>
      <c r="D31" s="257">
        <f t="shared" si="4"/>
        <v>2368208</v>
      </c>
      <c r="E31" s="257">
        <f t="shared" si="4"/>
        <v>1415062.6666666665</v>
      </c>
      <c r="F31" s="257">
        <f t="shared" si="4"/>
        <v>2368208</v>
      </c>
      <c r="G31" s="257">
        <f t="shared" si="4"/>
        <v>2072182</v>
      </c>
      <c r="H31" s="257">
        <f t="shared" si="4"/>
        <v>3016749</v>
      </c>
      <c r="I31" s="257">
        <f t="shared" si="4"/>
        <v>3073238</v>
      </c>
      <c r="J31" s="257">
        <f t="shared" si="4"/>
        <v>2664234</v>
      </c>
      <c r="K31" s="257">
        <f t="shared" si="4"/>
        <v>3312775</v>
      </c>
      <c r="L31" s="257">
        <f t="shared" si="4"/>
        <v>2368208</v>
      </c>
      <c r="M31" s="257">
        <f t="shared" si="4"/>
        <v>2368208</v>
      </c>
      <c r="N31" s="257">
        <f t="shared" si="4"/>
        <v>3552312</v>
      </c>
    </row>
    <row r="32" spans="1:14" x14ac:dyDescent="0.25">
      <c r="A32" s="256"/>
      <c r="B32" s="256"/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</row>
    <row r="33" spans="1:16" x14ac:dyDescent="0.25">
      <c r="A33" s="256" t="s">
        <v>455</v>
      </c>
      <c r="B33" s="256"/>
      <c r="C33" s="258">
        <f>+C31*0.16</f>
        <v>189456.64000000001</v>
      </c>
      <c r="D33" s="258">
        <f t="shared" ref="D33:N33" si="5">+D31*0.16</f>
        <v>378913.28000000003</v>
      </c>
      <c r="E33" s="258">
        <f t="shared" si="5"/>
        <v>226410.02666666664</v>
      </c>
      <c r="F33" s="258">
        <f t="shared" si="5"/>
        <v>378913.28000000003</v>
      </c>
      <c r="G33" s="258">
        <f t="shared" si="5"/>
        <v>331549.12</v>
      </c>
      <c r="H33" s="258">
        <f t="shared" si="5"/>
        <v>482679.84</v>
      </c>
      <c r="I33" s="258">
        <f t="shared" si="5"/>
        <v>491718.08</v>
      </c>
      <c r="J33" s="258">
        <f t="shared" si="5"/>
        <v>426277.44</v>
      </c>
      <c r="K33" s="258">
        <f t="shared" si="5"/>
        <v>530044</v>
      </c>
      <c r="L33" s="258">
        <f t="shared" si="5"/>
        <v>378913.28000000003</v>
      </c>
      <c r="M33" s="258">
        <f t="shared" si="5"/>
        <v>378913.28000000003</v>
      </c>
      <c r="N33" s="258">
        <f t="shared" si="5"/>
        <v>568369.92000000004</v>
      </c>
    </row>
    <row r="35" spans="1:16" x14ac:dyDescent="0.25">
      <c r="A35" s="408" t="s">
        <v>456</v>
      </c>
      <c r="B35" s="236" t="s">
        <v>457</v>
      </c>
      <c r="C35" s="227">
        <f>5000000*C19</f>
        <v>1500000</v>
      </c>
      <c r="D35" s="227">
        <f t="shared" ref="D35:N35" si="6">5000000*D19</f>
        <v>1640000</v>
      </c>
      <c r="E35" s="227">
        <f t="shared" si="6"/>
        <v>1780000</v>
      </c>
      <c r="F35" s="227">
        <f t="shared" si="6"/>
        <v>1920000</v>
      </c>
      <c r="G35" s="227">
        <f t="shared" si="6"/>
        <v>2060000</v>
      </c>
      <c r="H35" s="227">
        <f t="shared" si="6"/>
        <v>2200000</v>
      </c>
      <c r="I35" s="227">
        <f t="shared" si="6"/>
        <v>2340000</v>
      </c>
      <c r="J35" s="227">
        <f t="shared" si="6"/>
        <v>2480000</v>
      </c>
      <c r="K35" s="227">
        <f t="shared" si="6"/>
        <v>2620000</v>
      </c>
      <c r="L35" s="227">
        <f t="shared" si="6"/>
        <v>2760000</v>
      </c>
      <c r="M35" s="227">
        <f t="shared" si="6"/>
        <v>2900000</v>
      </c>
      <c r="N35" s="227">
        <f t="shared" si="6"/>
        <v>3040000</v>
      </c>
    </row>
    <row r="36" spans="1:16" x14ac:dyDescent="0.25">
      <c r="A36" s="408"/>
      <c r="B36" s="236" t="s">
        <v>350</v>
      </c>
      <c r="C36" s="227">
        <f>2000000*C19</f>
        <v>600000</v>
      </c>
      <c r="D36" s="227">
        <f t="shared" ref="D36:N36" si="7">2000000*D19</f>
        <v>656000</v>
      </c>
      <c r="E36" s="227">
        <f t="shared" si="7"/>
        <v>712000</v>
      </c>
      <c r="F36" s="227">
        <f t="shared" si="7"/>
        <v>768000</v>
      </c>
      <c r="G36" s="227">
        <f t="shared" si="7"/>
        <v>824000</v>
      </c>
      <c r="H36" s="227">
        <f t="shared" si="7"/>
        <v>880000</v>
      </c>
      <c r="I36" s="227">
        <f t="shared" si="7"/>
        <v>936000</v>
      </c>
      <c r="J36" s="227">
        <f t="shared" si="7"/>
        <v>992000</v>
      </c>
      <c r="K36" s="227">
        <f t="shared" si="7"/>
        <v>1048000</v>
      </c>
      <c r="L36" s="227">
        <f t="shared" si="7"/>
        <v>1104000</v>
      </c>
      <c r="M36" s="227">
        <f t="shared" si="7"/>
        <v>1160000</v>
      </c>
      <c r="N36" s="227">
        <f t="shared" si="7"/>
        <v>1216000</v>
      </c>
    </row>
    <row r="37" spans="1:16" x14ac:dyDescent="0.25">
      <c r="A37" s="408"/>
      <c r="B37" s="236" t="s">
        <v>352</v>
      </c>
      <c r="C37" s="227">
        <f>1000000*C19</f>
        <v>300000</v>
      </c>
      <c r="D37" s="227">
        <f t="shared" ref="D37:N37" si="8">1000000*D19</f>
        <v>328000</v>
      </c>
      <c r="E37" s="227">
        <f t="shared" si="8"/>
        <v>356000</v>
      </c>
      <c r="F37" s="227">
        <f t="shared" si="8"/>
        <v>384000</v>
      </c>
      <c r="G37" s="227">
        <f t="shared" si="8"/>
        <v>412000</v>
      </c>
      <c r="H37" s="227">
        <f t="shared" si="8"/>
        <v>440000</v>
      </c>
      <c r="I37" s="227">
        <f t="shared" si="8"/>
        <v>468000</v>
      </c>
      <c r="J37" s="227">
        <f t="shared" si="8"/>
        <v>496000</v>
      </c>
      <c r="K37" s="227">
        <f t="shared" si="8"/>
        <v>524000</v>
      </c>
      <c r="L37" s="227">
        <f t="shared" si="8"/>
        <v>552000</v>
      </c>
      <c r="M37" s="227">
        <f t="shared" si="8"/>
        <v>580000</v>
      </c>
      <c r="N37" s="227">
        <f t="shared" si="8"/>
        <v>608000</v>
      </c>
    </row>
    <row r="38" spans="1:16" s="282" customFormat="1" x14ac:dyDescent="0.25">
      <c r="A38" s="281" t="s">
        <v>483</v>
      </c>
      <c r="B38" s="266"/>
      <c r="C38" s="267">
        <f>+SUM(C35:C37)</f>
        <v>2400000</v>
      </c>
      <c r="D38" s="267">
        <f t="shared" ref="D38:N38" si="9">+SUM(D35:D37)</f>
        <v>2624000</v>
      </c>
      <c r="E38" s="267">
        <f t="shared" si="9"/>
        <v>2848000</v>
      </c>
      <c r="F38" s="267">
        <f t="shared" si="9"/>
        <v>3072000</v>
      </c>
      <c r="G38" s="267">
        <f t="shared" si="9"/>
        <v>3296000</v>
      </c>
      <c r="H38" s="267">
        <f t="shared" si="9"/>
        <v>3520000</v>
      </c>
      <c r="I38" s="267">
        <f t="shared" si="9"/>
        <v>3744000</v>
      </c>
      <c r="J38" s="267">
        <f t="shared" si="9"/>
        <v>3968000</v>
      </c>
      <c r="K38" s="267">
        <f t="shared" si="9"/>
        <v>4192000</v>
      </c>
      <c r="L38" s="267">
        <f t="shared" si="9"/>
        <v>4416000</v>
      </c>
      <c r="M38" s="267">
        <f t="shared" si="9"/>
        <v>4640000</v>
      </c>
      <c r="N38" s="267">
        <f t="shared" si="9"/>
        <v>4864000</v>
      </c>
    </row>
    <row r="39" spans="1:16" s="278" customFormat="1" x14ac:dyDescent="0.25">
      <c r="A39" s="280"/>
      <c r="B39" s="280"/>
      <c r="C39" s="280"/>
      <c r="D39" s="280"/>
      <c r="E39" s="280"/>
      <c r="F39" s="280"/>
      <c r="G39" s="280"/>
      <c r="H39" s="280"/>
      <c r="I39" s="280"/>
      <c r="J39" s="280"/>
      <c r="K39" s="280"/>
      <c r="L39" s="280"/>
      <c r="M39" s="280"/>
      <c r="N39" s="280"/>
    </row>
    <row r="40" spans="1:16" s="279" customFormat="1" x14ac:dyDescent="0.25">
      <c r="A40" s="277" t="s">
        <v>458</v>
      </c>
      <c r="B40" s="277"/>
      <c r="C40" s="277">
        <f>+C38*0.16</f>
        <v>384000</v>
      </c>
      <c r="D40" s="277">
        <f t="shared" ref="D40:N40" si="10">+D38*0.16</f>
        <v>419840</v>
      </c>
      <c r="E40" s="277">
        <f t="shared" si="10"/>
        <v>455680</v>
      </c>
      <c r="F40" s="277">
        <f t="shared" si="10"/>
        <v>491520</v>
      </c>
      <c r="G40" s="277">
        <f t="shared" si="10"/>
        <v>527360</v>
      </c>
      <c r="H40" s="277">
        <f t="shared" si="10"/>
        <v>563200</v>
      </c>
      <c r="I40" s="277">
        <f t="shared" si="10"/>
        <v>599040</v>
      </c>
      <c r="J40" s="277">
        <f t="shared" si="10"/>
        <v>634880</v>
      </c>
      <c r="K40" s="277">
        <f t="shared" si="10"/>
        <v>670720</v>
      </c>
      <c r="L40" s="277">
        <f t="shared" si="10"/>
        <v>706560</v>
      </c>
      <c r="M40" s="277">
        <f t="shared" si="10"/>
        <v>742400</v>
      </c>
      <c r="N40" s="277">
        <f t="shared" si="10"/>
        <v>778240</v>
      </c>
    </row>
    <row r="41" spans="1:16" x14ac:dyDescent="0.25">
      <c r="A41" s="263"/>
      <c r="B41" s="263"/>
      <c r="C41" s="263"/>
      <c r="D41" s="263"/>
      <c r="E41" s="263"/>
      <c r="F41" s="263"/>
      <c r="G41" s="263"/>
      <c r="H41" s="263"/>
      <c r="I41" s="263"/>
      <c r="J41" s="263"/>
      <c r="K41" s="263"/>
      <c r="L41" s="263"/>
      <c r="M41" s="263"/>
      <c r="N41" s="263"/>
    </row>
    <row r="42" spans="1:16" s="1" customFormat="1" x14ac:dyDescent="0.25">
      <c r="A42" s="264" t="s">
        <v>459</v>
      </c>
      <c r="B42" s="264"/>
      <c r="C42" s="265">
        <f>+C38+C31</f>
        <v>3584104</v>
      </c>
      <c r="D42" s="265">
        <f t="shared" ref="D42:N42" si="11">+D38+D31</f>
        <v>4992208</v>
      </c>
      <c r="E42" s="265">
        <f t="shared" si="11"/>
        <v>4263062.666666666</v>
      </c>
      <c r="F42" s="265">
        <f t="shared" si="11"/>
        <v>5440208</v>
      </c>
      <c r="G42" s="265">
        <f t="shared" si="11"/>
        <v>5368182</v>
      </c>
      <c r="H42" s="265">
        <f t="shared" si="11"/>
        <v>6536749</v>
      </c>
      <c r="I42" s="265">
        <f t="shared" si="11"/>
        <v>6817238</v>
      </c>
      <c r="J42" s="265">
        <f t="shared" si="11"/>
        <v>6632234</v>
      </c>
      <c r="K42" s="265">
        <f t="shared" si="11"/>
        <v>7504775</v>
      </c>
      <c r="L42" s="265">
        <f t="shared" si="11"/>
        <v>6784208</v>
      </c>
      <c r="M42" s="265">
        <f t="shared" si="11"/>
        <v>7008208</v>
      </c>
      <c r="N42" s="265">
        <f t="shared" si="11"/>
        <v>8416312</v>
      </c>
    </row>
    <row r="44" spans="1:16" ht="31.5" x14ac:dyDescent="0.25">
      <c r="A44" s="3" t="s">
        <v>521</v>
      </c>
      <c r="E44" s="202">
        <f t="shared" ref="E44:P44" si="12">+C42</f>
        <v>3584104</v>
      </c>
      <c r="F44" s="202">
        <f t="shared" si="12"/>
        <v>4992208</v>
      </c>
      <c r="G44" s="202">
        <f t="shared" si="12"/>
        <v>4263062.666666666</v>
      </c>
      <c r="H44" s="202">
        <f t="shared" si="12"/>
        <v>5440208</v>
      </c>
      <c r="I44" s="202">
        <f t="shared" si="12"/>
        <v>5368182</v>
      </c>
      <c r="J44" s="202">
        <f t="shared" si="12"/>
        <v>6536749</v>
      </c>
      <c r="K44" s="202">
        <f t="shared" si="12"/>
        <v>6817238</v>
      </c>
      <c r="L44" s="202">
        <f t="shared" si="12"/>
        <v>6632234</v>
      </c>
      <c r="M44" s="202">
        <f t="shared" si="12"/>
        <v>7504775</v>
      </c>
      <c r="N44" s="202">
        <f t="shared" si="12"/>
        <v>6784208</v>
      </c>
      <c r="O44" s="202">
        <f t="shared" si="12"/>
        <v>7008208</v>
      </c>
      <c r="P44" s="202">
        <f t="shared" si="12"/>
        <v>8416312</v>
      </c>
    </row>
    <row r="46" spans="1:16" x14ac:dyDescent="0.25">
      <c r="C46" s="287"/>
    </row>
    <row r="49" spans="1:2" x14ac:dyDescent="0.25">
      <c r="A49" t="s">
        <v>520</v>
      </c>
      <c r="B49" s="202">
        <f>+SUM(E44:P44)</f>
        <v>73347488.666666657</v>
      </c>
    </row>
  </sheetData>
  <mergeCells count="9">
    <mergeCell ref="A21:B21"/>
    <mergeCell ref="A23:A25"/>
    <mergeCell ref="A27:A29"/>
    <mergeCell ref="A35:A37"/>
    <mergeCell ref="A5:A8"/>
    <mergeCell ref="A9:A12"/>
    <mergeCell ref="B8:E8"/>
    <mergeCell ref="B13:E13"/>
    <mergeCell ref="A19:B1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K37" sqref="K37"/>
    </sheetView>
  </sheetViews>
  <sheetFormatPr baseColWidth="10" defaultRowHeight="15.75" x14ac:dyDescent="0.25"/>
  <cols>
    <col min="1" max="1" width="2.5" customWidth="1"/>
    <col min="2" max="2" width="17.625" bestFit="1" customWidth="1"/>
    <col min="3" max="4" width="14.125" bestFit="1" customWidth="1"/>
    <col min="5" max="5" width="13.5" bestFit="1" customWidth="1"/>
    <col min="6" max="6" width="14.125" bestFit="1" customWidth="1"/>
    <col min="7" max="7" width="12.625" bestFit="1" customWidth="1"/>
    <col min="8" max="8" width="13.625" customWidth="1"/>
  </cols>
  <sheetData>
    <row r="1" spans="2:8" x14ac:dyDescent="0.25">
      <c r="B1" s="236"/>
      <c r="C1" s="236" t="s">
        <v>383</v>
      </c>
      <c r="D1" s="236">
        <v>2013</v>
      </c>
      <c r="E1" s="236">
        <v>2014</v>
      </c>
      <c r="F1" s="236">
        <v>2015</v>
      </c>
      <c r="G1" s="236">
        <v>2016</v>
      </c>
      <c r="H1" s="236">
        <v>2017</v>
      </c>
    </row>
    <row r="2" spans="2:8" x14ac:dyDescent="0.25">
      <c r="B2" s="236" t="s">
        <v>380</v>
      </c>
      <c r="C2" s="227">
        <f>+'Previsión inicial de inv.'!C26</f>
        <v>933042618.13712966</v>
      </c>
      <c r="D2" s="227">
        <f>+F11</f>
        <v>742967203.52486157</v>
      </c>
      <c r="E2" s="227">
        <f>+F12</f>
        <v>528785468.72704595</v>
      </c>
      <c r="F2" s="227">
        <f>+F13</f>
        <v>287440128.9597798</v>
      </c>
      <c r="G2" s="227">
        <f>+F14</f>
        <v>15486159.204319656</v>
      </c>
      <c r="H2" s="227">
        <f>+F15</f>
        <v>-290958380.95988554</v>
      </c>
    </row>
    <row r="3" spans="2:8" x14ac:dyDescent="0.25">
      <c r="B3" s="236" t="s">
        <v>401</v>
      </c>
      <c r="C3" s="239">
        <f>+(1.01^12)-1</f>
        <v>0.12682503013196977</v>
      </c>
      <c r="D3" s="239">
        <f t="shared" ref="D3:H3" si="0">+(1.01^12)-1</f>
        <v>0.12682503013196977</v>
      </c>
      <c r="E3" s="239">
        <f t="shared" si="0"/>
        <v>0.12682503013196977</v>
      </c>
      <c r="F3" s="239">
        <f t="shared" si="0"/>
        <v>0.12682503013196977</v>
      </c>
      <c r="G3" s="239">
        <f t="shared" si="0"/>
        <v>0.12682503013196977</v>
      </c>
      <c r="H3" s="239">
        <f t="shared" si="0"/>
        <v>0.12682503013196977</v>
      </c>
    </row>
    <row r="4" spans="2:8" x14ac:dyDescent="0.25">
      <c r="B4" s="236" t="s">
        <v>402</v>
      </c>
      <c r="C4" s="239">
        <v>0.01</v>
      </c>
      <c r="D4" s="239">
        <v>0.01</v>
      </c>
      <c r="E4" s="239">
        <v>0.01</v>
      </c>
      <c r="F4" s="239">
        <v>0.01</v>
      </c>
      <c r="G4" s="239">
        <v>0.01</v>
      </c>
      <c r="H4" s="239">
        <v>0.01</v>
      </c>
    </row>
    <row r="5" spans="2:8" x14ac:dyDescent="0.25">
      <c r="B5" s="236" t="s">
        <v>381</v>
      </c>
      <c r="C5" s="236">
        <v>5</v>
      </c>
      <c r="D5" s="236">
        <v>5</v>
      </c>
      <c r="E5" s="236">
        <v>5</v>
      </c>
      <c r="F5" s="236">
        <v>5</v>
      </c>
      <c r="G5" s="236">
        <v>5</v>
      </c>
      <c r="H5" s="236">
        <v>5</v>
      </c>
    </row>
    <row r="6" spans="2:8" x14ac:dyDescent="0.25">
      <c r="B6" s="236" t="s">
        <v>382</v>
      </c>
      <c r="C6" s="236">
        <v>12</v>
      </c>
      <c r="D6" s="236">
        <v>12</v>
      </c>
      <c r="E6" s="236">
        <v>12</v>
      </c>
      <c r="F6" s="236">
        <v>12</v>
      </c>
      <c r="G6" s="236">
        <v>12</v>
      </c>
      <c r="H6" s="236">
        <v>12</v>
      </c>
    </row>
    <row r="8" spans="2:8" ht="16.5" thickBot="1" x14ac:dyDescent="0.3"/>
    <row r="9" spans="2:8" x14ac:dyDescent="0.25">
      <c r="B9" s="294"/>
      <c r="C9" s="295" t="s">
        <v>385</v>
      </c>
      <c r="D9" s="295" t="s">
        <v>384</v>
      </c>
      <c r="E9" s="295" t="s">
        <v>386</v>
      </c>
      <c r="F9" s="296" t="s">
        <v>387</v>
      </c>
    </row>
    <row r="10" spans="2:8" x14ac:dyDescent="0.25">
      <c r="B10" s="297" t="s">
        <v>388</v>
      </c>
      <c r="C10" s="236"/>
      <c r="D10" s="236"/>
      <c r="E10" s="236"/>
      <c r="F10" s="298">
        <f>+C2</f>
        <v>933042618.13712966</v>
      </c>
    </row>
    <row r="11" spans="2:8" x14ac:dyDescent="0.25">
      <c r="B11" s="297">
        <v>2013</v>
      </c>
      <c r="C11" s="227">
        <f>+SUM(C20:C31)</f>
        <v>291811708.57298648</v>
      </c>
      <c r="D11" s="227">
        <f>+SUM(D20:D31)</f>
        <v>101736293.96071839</v>
      </c>
      <c r="E11" s="227">
        <f>+SUM(E20:E31)</f>
        <v>190075414.61226809</v>
      </c>
      <c r="F11" s="299">
        <f>+F31</f>
        <v>742967203.52486157</v>
      </c>
    </row>
    <row r="12" spans="2:8" x14ac:dyDescent="0.25">
      <c r="B12" s="297">
        <v>2014</v>
      </c>
      <c r="C12" s="227">
        <f>+C11</f>
        <v>291811708.57298648</v>
      </c>
      <c r="D12" s="237">
        <f>+SUM(D32:D43)</f>
        <v>77629973.775170863</v>
      </c>
      <c r="E12" s="237">
        <f>+SUM(E32:E43)</f>
        <v>214181734.79781562</v>
      </c>
      <c r="F12" s="298">
        <f>+F11-E12</f>
        <v>528785468.72704595</v>
      </c>
    </row>
    <row r="13" spans="2:8" x14ac:dyDescent="0.25">
      <c r="B13" s="297">
        <v>2015</v>
      </c>
      <c r="C13" s="227">
        <f t="shared" ref="C13:C15" si="1">+C12</f>
        <v>291811708.57298648</v>
      </c>
      <c r="D13" s="227">
        <f>+SUM(D44:D55)</f>
        <v>50466368.805720314</v>
      </c>
      <c r="E13" s="237">
        <f t="shared" ref="E13:E15" si="2">+C13-D13</f>
        <v>241345339.76726615</v>
      </c>
      <c r="F13" s="298">
        <f t="shared" ref="F13:F15" si="3">+F12-E13</f>
        <v>287440128.9597798</v>
      </c>
    </row>
    <row r="14" spans="2:8" x14ac:dyDescent="0.25">
      <c r="B14" s="297">
        <v>2016</v>
      </c>
      <c r="C14" s="227">
        <f t="shared" si="1"/>
        <v>291811708.57298648</v>
      </c>
      <c r="D14" s="237">
        <f>+SUM(D56:D67)</f>
        <v>19857738.817526314</v>
      </c>
      <c r="E14" s="237">
        <f t="shared" si="2"/>
        <v>271953969.75546014</v>
      </c>
      <c r="F14" s="298">
        <f t="shared" si="3"/>
        <v>15486159.204319656</v>
      </c>
    </row>
    <row r="15" spans="2:8" ht="16.5" thickBot="1" x14ac:dyDescent="0.3">
      <c r="B15" s="300">
        <v>2017</v>
      </c>
      <c r="C15" s="301">
        <f t="shared" si="1"/>
        <v>291811708.57298648</v>
      </c>
      <c r="D15" s="301">
        <f>+SUM(D68:D79)</f>
        <v>-14632831.591218699</v>
      </c>
      <c r="E15" s="302">
        <f t="shared" si="2"/>
        <v>306444540.16420519</v>
      </c>
      <c r="F15" s="303">
        <f t="shared" si="3"/>
        <v>-290958380.95988554</v>
      </c>
    </row>
    <row r="18" spans="1:6" x14ac:dyDescent="0.25">
      <c r="A18" s="236"/>
      <c r="B18" s="236"/>
      <c r="C18" s="236" t="s">
        <v>385</v>
      </c>
      <c r="D18" s="236" t="s">
        <v>384</v>
      </c>
      <c r="E18" s="236" t="s">
        <v>386</v>
      </c>
      <c r="F18" s="236" t="s">
        <v>387</v>
      </c>
    </row>
    <row r="19" spans="1:6" x14ac:dyDescent="0.25">
      <c r="A19" s="236"/>
      <c r="B19" s="236" t="s">
        <v>400</v>
      </c>
      <c r="C19" s="236"/>
      <c r="D19" s="236"/>
      <c r="E19" s="236"/>
      <c r="F19" s="237">
        <f>+C2</f>
        <v>933042618.13712966</v>
      </c>
    </row>
    <row r="20" spans="1:6" x14ac:dyDescent="0.25">
      <c r="A20" s="413">
        <v>2013</v>
      </c>
      <c r="B20" s="236" t="s">
        <v>389</v>
      </c>
      <c r="C20" s="227">
        <v>24317642.381082207</v>
      </c>
      <c r="D20" s="237">
        <f>+F19*$C$4</f>
        <v>9330426.1813712977</v>
      </c>
      <c r="E20" s="237">
        <f>+C20-D20</f>
        <v>14987216.199710909</v>
      </c>
      <c r="F20" s="237">
        <f>+F19-E20</f>
        <v>918055401.9374187</v>
      </c>
    </row>
    <row r="21" spans="1:6" x14ac:dyDescent="0.25">
      <c r="A21" s="413"/>
      <c r="B21" s="236" t="s">
        <v>390</v>
      </c>
      <c r="C21" s="227">
        <f>+C20</f>
        <v>24317642.381082207</v>
      </c>
      <c r="D21" s="237">
        <f t="shared" ref="D21:D31" si="4">+F20*$C$4</f>
        <v>9180554.019374188</v>
      </c>
      <c r="E21" s="237">
        <f t="shared" ref="E21:E24" si="5">+C21-D21</f>
        <v>15137088.361708019</v>
      </c>
      <c r="F21" s="237">
        <f t="shared" ref="F21:F24" si="6">+F20-E21</f>
        <v>902918313.57571065</v>
      </c>
    </row>
    <row r="22" spans="1:6" x14ac:dyDescent="0.25">
      <c r="A22" s="413"/>
      <c r="B22" s="236" t="s">
        <v>391</v>
      </c>
      <c r="C22" s="227">
        <f t="shared" ref="C22:C24" si="7">+C21</f>
        <v>24317642.381082207</v>
      </c>
      <c r="D22" s="237">
        <f t="shared" si="4"/>
        <v>9029183.1357571073</v>
      </c>
      <c r="E22" s="237">
        <f t="shared" si="5"/>
        <v>15288459.2453251</v>
      </c>
      <c r="F22" s="237">
        <f t="shared" si="6"/>
        <v>887629854.33038557</v>
      </c>
    </row>
    <row r="23" spans="1:6" x14ac:dyDescent="0.25">
      <c r="A23" s="413"/>
      <c r="B23" s="236" t="s">
        <v>392</v>
      </c>
      <c r="C23" s="227">
        <f t="shared" si="7"/>
        <v>24317642.381082207</v>
      </c>
      <c r="D23" s="237">
        <f t="shared" si="4"/>
        <v>8876298.5433038566</v>
      </c>
      <c r="E23" s="237">
        <f t="shared" si="5"/>
        <v>15441343.83777835</v>
      </c>
      <c r="F23" s="237">
        <f t="shared" si="6"/>
        <v>872188510.49260724</v>
      </c>
    </row>
    <row r="24" spans="1:6" x14ac:dyDescent="0.25">
      <c r="A24" s="413"/>
      <c r="B24" s="236" t="s">
        <v>393</v>
      </c>
      <c r="C24" s="227">
        <f t="shared" si="7"/>
        <v>24317642.381082207</v>
      </c>
      <c r="D24" s="237">
        <f t="shared" si="4"/>
        <v>8721885.1049260721</v>
      </c>
      <c r="E24" s="237">
        <f t="shared" si="5"/>
        <v>15595757.276156135</v>
      </c>
      <c r="F24" s="237">
        <f t="shared" si="6"/>
        <v>856592753.21645105</v>
      </c>
    </row>
    <row r="25" spans="1:6" x14ac:dyDescent="0.25">
      <c r="A25" s="413"/>
      <c r="B25" s="236" t="s">
        <v>394</v>
      </c>
      <c r="C25" s="227">
        <f t="shared" ref="C25:C79" si="8">+C24</f>
        <v>24317642.381082207</v>
      </c>
      <c r="D25" s="237">
        <f t="shared" si="4"/>
        <v>8565927.5321645103</v>
      </c>
      <c r="E25" s="237">
        <f t="shared" ref="E25:E31" si="9">+C25-D25</f>
        <v>15751714.848917697</v>
      </c>
      <c r="F25" s="237">
        <f t="shared" ref="F25:F31" si="10">+F24-E25</f>
        <v>840841038.36753333</v>
      </c>
    </row>
    <row r="26" spans="1:6" x14ac:dyDescent="0.25">
      <c r="A26" s="413"/>
      <c r="B26" s="236" t="s">
        <v>395</v>
      </c>
      <c r="C26" s="227">
        <f t="shared" si="8"/>
        <v>24317642.381082207</v>
      </c>
      <c r="D26" s="237">
        <f t="shared" si="4"/>
        <v>8408410.3836753331</v>
      </c>
      <c r="E26" s="237">
        <f t="shared" si="9"/>
        <v>15909231.997406874</v>
      </c>
      <c r="F26" s="237">
        <f t="shared" si="10"/>
        <v>824931806.37012649</v>
      </c>
    </row>
    <row r="27" spans="1:6" x14ac:dyDescent="0.25">
      <c r="A27" s="413"/>
      <c r="B27" s="236" t="s">
        <v>396</v>
      </c>
      <c r="C27" s="227">
        <f t="shared" si="8"/>
        <v>24317642.381082207</v>
      </c>
      <c r="D27" s="237">
        <f t="shared" si="4"/>
        <v>8249318.0637012655</v>
      </c>
      <c r="E27" s="237">
        <f t="shared" si="9"/>
        <v>16068324.317380942</v>
      </c>
      <c r="F27" s="237">
        <f t="shared" si="10"/>
        <v>808863482.05274558</v>
      </c>
    </row>
    <row r="28" spans="1:6" x14ac:dyDescent="0.25">
      <c r="A28" s="413"/>
      <c r="B28" s="236" t="s">
        <v>397</v>
      </c>
      <c r="C28" s="227">
        <f t="shared" si="8"/>
        <v>24317642.381082207</v>
      </c>
      <c r="D28" s="237">
        <f t="shared" si="4"/>
        <v>8088634.8205274558</v>
      </c>
      <c r="E28" s="237">
        <f t="shared" si="9"/>
        <v>16229007.56055475</v>
      </c>
      <c r="F28" s="237">
        <f t="shared" si="10"/>
        <v>792634474.49219084</v>
      </c>
    </row>
    <row r="29" spans="1:6" x14ac:dyDescent="0.25">
      <c r="A29" s="413"/>
      <c r="B29" s="236" t="s">
        <v>398</v>
      </c>
      <c r="C29" s="227">
        <f t="shared" si="8"/>
        <v>24317642.381082207</v>
      </c>
      <c r="D29" s="237">
        <f t="shared" si="4"/>
        <v>7926344.7449219087</v>
      </c>
      <c r="E29" s="237">
        <f t="shared" si="9"/>
        <v>16391297.636160299</v>
      </c>
      <c r="F29" s="237">
        <f t="shared" si="10"/>
        <v>776243176.85603058</v>
      </c>
    </row>
    <row r="30" spans="1:6" x14ac:dyDescent="0.25">
      <c r="A30" s="413"/>
      <c r="B30" s="236" t="s">
        <v>399</v>
      </c>
      <c r="C30" s="227">
        <f t="shared" si="8"/>
        <v>24317642.381082207</v>
      </c>
      <c r="D30" s="237">
        <f t="shared" si="4"/>
        <v>7762431.7685603062</v>
      </c>
      <c r="E30" s="237">
        <f t="shared" si="9"/>
        <v>16555210.612521902</v>
      </c>
      <c r="F30" s="237">
        <f t="shared" si="10"/>
        <v>759687966.2435087</v>
      </c>
    </row>
    <row r="31" spans="1:6" x14ac:dyDescent="0.25">
      <c r="A31" s="413"/>
      <c r="B31" s="236" t="s">
        <v>400</v>
      </c>
      <c r="C31" s="227">
        <f t="shared" si="8"/>
        <v>24317642.381082207</v>
      </c>
      <c r="D31" s="237">
        <f t="shared" si="4"/>
        <v>7596879.6624350874</v>
      </c>
      <c r="E31" s="237">
        <f t="shared" si="9"/>
        <v>16720762.718647119</v>
      </c>
      <c r="F31" s="237">
        <f t="shared" si="10"/>
        <v>742967203.52486157</v>
      </c>
    </row>
    <row r="32" spans="1:6" x14ac:dyDescent="0.25">
      <c r="A32" s="413">
        <v>2014</v>
      </c>
      <c r="B32" s="236" t="s">
        <v>389</v>
      </c>
      <c r="C32" s="227">
        <f t="shared" si="8"/>
        <v>24317642.381082207</v>
      </c>
      <c r="D32" s="237">
        <f t="shared" ref="D32:D50" si="11">+F31*$C$4</f>
        <v>7429672.0352486158</v>
      </c>
      <c r="E32" s="237">
        <f t="shared" ref="E32:E50" si="12">+C32-D32</f>
        <v>16887970.345833592</v>
      </c>
      <c r="F32" s="237">
        <f t="shared" ref="F32:F50" si="13">+F31-E32</f>
        <v>726079233.17902803</v>
      </c>
    </row>
    <row r="33" spans="1:6" x14ac:dyDescent="0.25">
      <c r="A33" s="413"/>
      <c r="B33" s="236" t="s">
        <v>390</v>
      </c>
      <c r="C33" s="227">
        <f t="shared" si="8"/>
        <v>24317642.381082207</v>
      </c>
      <c r="D33" s="237">
        <f t="shared" si="11"/>
        <v>7260792.3317902805</v>
      </c>
      <c r="E33" s="237">
        <f t="shared" si="12"/>
        <v>17056850.049291927</v>
      </c>
      <c r="F33" s="237">
        <f t="shared" si="13"/>
        <v>709022383.12973607</v>
      </c>
    </row>
    <row r="34" spans="1:6" x14ac:dyDescent="0.25">
      <c r="A34" s="413"/>
      <c r="B34" s="236" t="s">
        <v>391</v>
      </c>
      <c r="C34" s="227">
        <f t="shared" si="8"/>
        <v>24317642.381082207</v>
      </c>
      <c r="D34" s="237">
        <f t="shared" si="11"/>
        <v>7090223.8312973604</v>
      </c>
      <c r="E34" s="237">
        <f t="shared" si="12"/>
        <v>17227418.549784847</v>
      </c>
      <c r="F34" s="237">
        <f t="shared" si="13"/>
        <v>691794964.57995117</v>
      </c>
    </row>
    <row r="35" spans="1:6" x14ac:dyDescent="0.25">
      <c r="A35" s="413"/>
      <c r="B35" s="236" t="s">
        <v>392</v>
      </c>
      <c r="C35" s="227">
        <f t="shared" si="8"/>
        <v>24317642.381082207</v>
      </c>
      <c r="D35" s="237">
        <f t="shared" si="11"/>
        <v>6917949.645799512</v>
      </c>
      <c r="E35" s="237">
        <f t="shared" si="12"/>
        <v>17399692.735282697</v>
      </c>
      <c r="F35" s="237">
        <f t="shared" si="13"/>
        <v>674395271.84466851</v>
      </c>
    </row>
    <row r="36" spans="1:6" x14ac:dyDescent="0.25">
      <c r="A36" s="413"/>
      <c r="B36" s="236" t="s">
        <v>393</v>
      </c>
      <c r="C36" s="227">
        <f t="shared" si="8"/>
        <v>24317642.381082207</v>
      </c>
      <c r="D36" s="237">
        <f t="shared" si="11"/>
        <v>6743952.718446685</v>
      </c>
      <c r="E36" s="237">
        <f t="shared" si="12"/>
        <v>17573689.66263552</v>
      </c>
      <c r="F36" s="237">
        <f t="shared" si="13"/>
        <v>656821582.18203294</v>
      </c>
    </row>
    <row r="37" spans="1:6" x14ac:dyDescent="0.25">
      <c r="A37" s="413"/>
      <c r="B37" s="236" t="s">
        <v>394</v>
      </c>
      <c r="C37" s="227">
        <f t="shared" si="8"/>
        <v>24317642.381082207</v>
      </c>
      <c r="D37" s="237">
        <f t="shared" si="11"/>
        <v>6568215.8218203299</v>
      </c>
      <c r="E37" s="237">
        <f t="shared" si="12"/>
        <v>17749426.559261877</v>
      </c>
      <c r="F37" s="237">
        <f t="shared" si="13"/>
        <v>639072155.62277102</v>
      </c>
    </row>
    <row r="38" spans="1:6" x14ac:dyDescent="0.25">
      <c r="A38" s="413"/>
      <c r="B38" s="236" t="s">
        <v>395</v>
      </c>
      <c r="C38" s="227">
        <f t="shared" si="8"/>
        <v>24317642.381082207</v>
      </c>
      <c r="D38" s="237">
        <f t="shared" si="11"/>
        <v>6390721.5562277101</v>
      </c>
      <c r="E38" s="237">
        <f t="shared" si="12"/>
        <v>17926920.824854497</v>
      </c>
      <c r="F38" s="237">
        <f t="shared" si="13"/>
        <v>621145234.79791653</v>
      </c>
    </row>
    <row r="39" spans="1:6" x14ac:dyDescent="0.25">
      <c r="A39" s="413"/>
      <c r="B39" s="236" t="s">
        <v>396</v>
      </c>
      <c r="C39" s="227">
        <f t="shared" si="8"/>
        <v>24317642.381082207</v>
      </c>
      <c r="D39" s="237">
        <f t="shared" si="11"/>
        <v>6211452.3479791656</v>
      </c>
      <c r="E39" s="237">
        <f t="shared" si="12"/>
        <v>18106190.033103041</v>
      </c>
      <c r="F39" s="237">
        <f t="shared" si="13"/>
        <v>603039044.76481354</v>
      </c>
    </row>
    <row r="40" spans="1:6" x14ac:dyDescent="0.25">
      <c r="A40" s="413"/>
      <c r="B40" s="236" t="s">
        <v>397</v>
      </c>
      <c r="C40" s="227">
        <f t="shared" si="8"/>
        <v>24317642.381082207</v>
      </c>
      <c r="D40" s="237">
        <f t="shared" si="11"/>
        <v>6030390.4476481359</v>
      </c>
      <c r="E40" s="237">
        <f t="shared" si="12"/>
        <v>18287251.933434069</v>
      </c>
      <c r="F40" s="237">
        <f t="shared" si="13"/>
        <v>584751792.83137941</v>
      </c>
    </row>
    <row r="41" spans="1:6" x14ac:dyDescent="0.25">
      <c r="A41" s="413"/>
      <c r="B41" s="236" t="s">
        <v>398</v>
      </c>
      <c r="C41" s="227">
        <f t="shared" si="8"/>
        <v>24317642.381082207</v>
      </c>
      <c r="D41" s="237">
        <f t="shared" si="11"/>
        <v>5847517.9283137945</v>
      </c>
      <c r="E41" s="237">
        <f t="shared" si="12"/>
        <v>18470124.452768411</v>
      </c>
      <c r="F41" s="237">
        <f t="shared" si="13"/>
        <v>566281668.37861097</v>
      </c>
    </row>
    <row r="42" spans="1:6" x14ac:dyDescent="0.25">
      <c r="A42" s="413"/>
      <c r="B42" s="236" t="s">
        <v>399</v>
      </c>
      <c r="C42" s="227">
        <f t="shared" si="8"/>
        <v>24317642.381082207</v>
      </c>
      <c r="D42" s="237">
        <f t="shared" si="11"/>
        <v>5662816.68378611</v>
      </c>
      <c r="E42" s="237">
        <f t="shared" si="12"/>
        <v>18654825.697296098</v>
      </c>
      <c r="F42" s="237">
        <f t="shared" si="13"/>
        <v>547626842.68131483</v>
      </c>
    </row>
    <row r="43" spans="1:6" x14ac:dyDescent="0.25">
      <c r="A43" s="413"/>
      <c r="B43" s="236" t="s">
        <v>400</v>
      </c>
      <c r="C43" s="227">
        <f t="shared" si="8"/>
        <v>24317642.381082207</v>
      </c>
      <c r="D43" s="237">
        <f t="shared" si="11"/>
        <v>5476268.426813148</v>
      </c>
      <c r="E43" s="237">
        <f t="shared" si="12"/>
        <v>18841373.954269059</v>
      </c>
      <c r="F43" s="237">
        <f t="shared" si="13"/>
        <v>528785468.72704577</v>
      </c>
    </row>
    <row r="44" spans="1:6" x14ac:dyDescent="0.25">
      <c r="A44" s="413">
        <v>2015</v>
      </c>
      <c r="B44" s="236" t="s">
        <v>389</v>
      </c>
      <c r="C44" s="227">
        <f t="shared" si="8"/>
        <v>24317642.381082207</v>
      </c>
      <c r="D44" s="237">
        <f t="shared" si="11"/>
        <v>5287854.6872704579</v>
      </c>
      <c r="E44" s="237">
        <f t="shared" si="12"/>
        <v>19029787.693811748</v>
      </c>
      <c r="F44" s="237">
        <f t="shared" si="13"/>
        <v>509755681.033234</v>
      </c>
    </row>
    <row r="45" spans="1:6" x14ac:dyDescent="0.25">
      <c r="A45" s="413"/>
      <c r="B45" s="236" t="s">
        <v>390</v>
      </c>
      <c r="C45" s="227">
        <f t="shared" si="8"/>
        <v>24317642.381082207</v>
      </c>
      <c r="D45" s="237">
        <f t="shared" si="11"/>
        <v>5097556.8103323402</v>
      </c>
      <c r="E45" s="237">
        <f t="shared" si="12"/>
        <v>19220085.570749868</v>
      </c>
      <c r="F45" s="237">
        <f t="shared" si="13"/>
        <v>490535595.46248412</v>
      </c>
    </row>
    <row r="46" spans="1:6" x14ac:dyDescent="0.25">
      <c r="A46" s="413"/>
      <c r="B46" s="236" t="s">
        <v>391</v>
      </c>
      <c r="C46" s="227">
        <f t="shared" si="8"/>
        <v>24317642.381082207</v>
      </c>
      <c r="D46" s="237">
        <f t="shared" si="11"/>
        <v>4905355.954624841</v>
      </c>
      <c r="E46" s="237">
        <f t="shared" si="12"/>
        <v>19412286.426457368</v>
      </c>
      <c r="F46" s="237">
        <f t="shared" si="13"/>
        <v>471123309.03602678</v>
      </c>
    </row>
    <row r="47" spans="1:6" x14ac:dyDescent="0.25">
      <c r="A47" s="413"/>
      <c r="B47" s="236" t="s">
        <v>392</v>
      </c>
      <c r="C47" s="227">
        <f t="shared" si="8"/>
        <v>24317642.381082207</v>
      </c>
      <c r="D47" s="237">
        <f t="shared" si="11"/>
        <v>4711233.090360268</v>
      </c>
      <c r="E47" s="237">
        <f t="shared" si="12"/>
        <v>19606409.290721938</v>
      </c>
      <c r="F47" s="237">
        <f t="shared" si="13"/>
        <v>451516899.74530482</v>
      </c>
    </row>
    <row r="48" spans="1:6" x14ac:dyDescent="0.25">
      <c r="A48" s="413"/>
      <c r="B48" s="236" t="s">
        <v>393</v>
      </c>
      <c r="C48" s="227">
        <f t="shared" si="8"/>
        <v>24317642.381082207</v>
      </c>
      <c r="D48" s="237">
        <f t="shared" si="11"/>
        <v>4515168.9974530479</v>
      </c>
      <c r="E48" s="237">
        <f t="shared" si="12"/>
        <v>19802473.383629158</v>
      </c>
      <c r="F48" s="237">
        <f t="shared" si="13"/>
        <v>431714426.36167568</v>
      </c>
    </row>
    <row r="49" spans="1:6" x14ac:dyDescent="0.25">
      <c r="A49" s="413"/>
      <c r="B49" s="236" t="s">
        <v>394</v>
      </c>
      <c r="C49" s="227">
        <f t="shared" si="8"/>
        <v>24317642.381082207</v>
      </c>
      <c r="D49" s="237">
        <f t="shared" si="11"/>
        <v>4317144.2636167565</v>
      </c>
      <c r="E49" s="237">
        <f t="shared" si="12"/>
        <v>20000498.117465451</v>
      </c>
      <c r="F49" s="237">
        <f t="shared" si="13"/>
        <v>411713928.24421024</v>
      </c>
    </row>
    <row r="50" spans="1:6" x14ac:dyDescent="0.25">
      <c r="A50" s="413"/>
      <c r="B50" s="236" t="s">
        <v>395</v>
      </c>
      <c r="C50" s="227">
        <f t="shared" si="8"/>
        <v>24317642.381082207</v>
      </c>
      <c r="D50" s="237">
        <f t="shared" si="11"/>
        <v>4117139.2824421027</v>
      </c>
      <c r="E50" s="237">
        <f t="shared" si="12"/>
        <v>20200503.098640103</v>
      </c>
      <c r="F50" s="237">
        <f t="shared" si="13"/>
        <v>391513425.14557016</v>
      </c>
    </row>
    <row r="51" spans="1:6" x14ac:dyDescent="0.25">
      <c r="A51" s="413"/>
      <c r="B51" s="236" t="s">
        <v>396</v>
      </c>
      <c r="C51" s="227">
        <f t="shared" si="8"/>
        <v>24317642.381082207</v>
      </c>
      <c r="D51" s="237">
        <f t="shared" ref="D51:D79" si="14">+F50*$C$4</f>
        <v>3915134.2514557019</v>
      </c>
      <c r="E51" s="237">
        <f t="shared" ref="E51:E79" si="15">+C51-D51</f>
        <v>20402508.129626505</v>
      </c>
      <c r="F51" s="237">
        <f t="shared" ref="F51:F79" si="16">+F50-E51</f>
        <v>371110917.01594365</v>
      </c>
    </row>
    <row r="52" spans="1:6" x14ac:dyDescent="0.25">
      <c r="A52" s="413"/>
      <c r="B52" s="236" t="s">
        <v>397</v>
      </c>
      <c r="C52" s="227">
        <f t="shared" si="8"/>
        <v>24317642.381082207</v>
      </c>
      <c r="D52" s="237">
        <f t="shared" si="14"/>
        <v>3711109.1701594368</v>
      </c>
      <c r="E52" s="237">
        <f t="shared" si="15"/>
        <v>20606533.21092277</v>
      </c>
      <c r="F52" s="237">
        <f t="shared" si="16"/>
        <v>350504383.80502087</v>
      </c>
    </row>
    <row r="53" spans="1:6" x14ac:dyDescent="0.25">
      <c r="A53" s="413"/>
      <c r="B53" s="236" t="s">
        <v>398</v>
      </c>
      <c r="C53" s="227">
        <f t="shared" si="8"/>
        <v>24317642.381082207</v>
      </c>
      <c r="D53" s="237">
        <f t="shared" si="14"/>
        <v>3505043.838050209</v>
      </c>
      <c r="E53" s="237">
        <f t="shared" si="15"/>
        <v>20812598.543031998</v>
      </c>
      <c r="F53" s="237">
        <f t="shared" si="16"/>
        <v>329691785.26198888</v>
      </c>
    </row>
    <row r="54" spans="1:6" x14ac:dyDescent="0.25">
      <c r="A54" s="413"/>
      <c r="B54" s="236" t="s">
        <v>399</v>
      </c>
      <c r="C54" s="227">
        <f t="shared" si="8"/>
        <v>24317642.381082207</v>
      </c>
      <c r="D54" s="237">
        <f t="shared" si="14"/>
        <v>3296917.8526198887</v>
      </c>
      <c r="E54" s="237">
        <f t="shared" si="15"/>
        <v>21020724.528462317</v>
      </c>
      <c r="F54" s="237">
        <f t="shared" si="16"/>
        <v>308671060.73352659</v>
      </c>
    </row>
    <row r="55" spans="1:6" x14ac:dyDescent="0.25">
      <c r="A55" s="413"/>
      <c r="B55" s="236" t="s">
        <v>400</v>
      </c>
      <c r="C55" s="227">
        <f t="shared" si="8"/>
        <v>24317642.381082207</v>
      </c>
      <c r="D55" s="237">
        <f t="shared" si="14"/>
        <v>3086710.6073352657</v>
      </c>
      <c r="E55" s="237">
        <f t="shared" si="15"/>
        <v>21230931.773746941</v>
      </c>
      <c r="F55" s="237">
        <f t="shared" si="16"/>
        <v>287440128.95977962</v>
      </c>
    </row>
    <row r="56" spans="1:6" x14ac:dyDescent="0.25">
      <c r="A56" s="413">
        <v>2016</v>
      </c>
      <c r="B56" s="236" t="s">
        <v>389</v>
      </c>
      <c r="C56" s="227">
        <f t="shared" si="8"/>
        <v>24317642.381082207</v>
      </c>
      <c r="D56" s="237">
        <f t="shared" si="14"/>
        <v>2874401.2895977963</v>
      </c>
      <c r="E56" s="237">
        <f t="shared" si="15"/>
        <v>21443241.091484413</v>
      </c>
      <c r="F56" s="237">
        <f t="shared" si="16"/>
        <v>265996887.86829519</v>
      </c>
    </row>
    <row r="57" spans="1:6" x14ac:dyDescent="0.25">
      <c r="A57" s="413"/>
      <c r="B57" s="236" t="s">
        <v>390</v>
      </c>
      <c r="C57" s="227">
        <f t="shared" si="8"/>
        <v>24317642.381082207</v>
      </c>
      <c r="D57" s="237">
        <f t="shared" si="14"/>
        <v>2659968.8786829519</v>
      </c>
      <c r="E57" s="237">
        <f t="shared" si="15"/>
        <v>21657673.502399255</v>
      </c>
      <c r="F57" s="237">
        <f t="shared" si="16"/>
        <v>244339214.36589593</v>
      </c>
    </row>
    <row r="58" spans="1:6" x14ac:dyDescent="0.25">
      <c r="A58" s="413"/>
      <c r="B58" s="236" t="s">
        <v>391</v>
      </c>
      <c r="C58" s="227">
        <f t="shared" si="8"/>
        <v>24317642.381082207</v>
      </c>
      <c r="D58" s="237">
        <f t="shared" si="14"/>
        <v>2443392.1436589593</v>
      </c>
      <c r="E58" s="237">
        <f t="shared" si="15"/>
        <v>21874250.237423249</v>
      </c>
      <c r="F58" s="237">
        <f t="shared" si="16"/>
        <v>222464964.12847269</v>
      </c>
    </row>
    <row r="59" spans="1:6" x14ac:dyDescent="0.25">
      <c r="A59" s="413"/>
      <c r="B59" s="236" t="s">
        <v>392</v>
      </c>
      <c r="C59" s="227">
        <f t="shared" si="8"/>
        <v>24317642.381082207</v>
      </c>
      <c r="D59" s="237">
        <f t="shared" si="14"/>
        <v>2224649.641284727</v>
      </c>
      <c r="E59" s="237">
        <f t="shared" si="15"/>
        <v>22092992.73979748</v>
      </c>
      <c r="F59" s="237">
        <f t="shared" si="16"/>
        <v>200371971.38867521</v>
      </c>
    </row>
    <row r="60" spans="1:6" x14ac:dyDescent="0.25">
      <c r="A60" s="413"/>
      <c r="B60" s="236" t="s">
        <v>393</v>
      </c>
      <c r="C60" s="227">
        <f t="shared" si="8"/>
        <v>24317642.381082207</v>
      </c>
      <c r="D60" s="237">
        <f t="shared" si="14"/>
        <v>2003719.7138867523</v>
      </c>
      <c r="E60" s="237">
        <f t="shared" si="15"/>
        <v>22313922.667195454</v>
      </c>
      <c r="F60" s="237">
        <f t="shared" si="16"/>
        <v>178058048.72147977</v>
      </c>
    </row>
    <row r="61" spans="1:6" x14ac:dyDescent="0.25">
      <c r="A61" s="413"/>
      <c r="B61" s="236" t="s">
        <v>394</v>
      </c>
      <c r="C61" s="227">
        <f t="shared" si="8"/>
        <v>24317642.381082207</v>
      </c>
      <c r="D61" s="237">
        <f t="shared" si="14"/>
        <v>1780580.4872147979</v>
      </c>
      <c r="E61" s="237">
        <f t="shared" si="15"/>
        <v>22537061.893867411</v>
      </c>
      <c r="F61" s="237">
        <f t="shared" si="16"/>
        <v>155520986.82761237</v>
      </c>
    </row>
    <row r="62" spans="1:6" x14ac:dyDescent="0.25">
      <c r="A62" s="413"/>
      <c r="B62" s="236" t="s">
        <v>395</v>
      </c>
      <c r="C62" s="227">
        <f t="shared" si="8"/>
        <v>24317642.381082207</v>
      </c>
      <c r="D62" s="237">
        <f t="shared" si="14"/>
        <v>1555209.8682761237</v>
      </c>
      <c r="E62" s="237">
        <f t="shared" si="15"/>
        <v>22762432.512806084</v>
      </c>
      <c r="F62" s="237">
        <f t="shared" si="16"/>
        <v>132758554.31480628</v>
      </c>
    </row>
    <row r="63" spans="1:6" x14ac:dyDescent="0.25">
      <c r="A63" s="413"/>
      <c r="B63" s="236" t="s">
        <v>396</v>
      </c>
      <c r="C63" s="227">
        <f t="shared" si="8"/>
        <v>24317642.381082207</v>
      </c>
      <c r="D63" s="237">
        <f t="shared" si="14"/>
        <v>1327585.5431480629</v>
      </c>
      <c r="E63" s="237">
        <f t="shared" si="15"/>
        <v>22990056.837934144</v>
      </c>
      <c r="F63" s="237">
        <f t="shared" si="16"/>
        <v>109768497.47687215</v>
      </c>
    </row>
    <row r="64" spans="1:6" x14ac:dyDescent="0.25">
      <c r="A64" s="413"/>
      <c r="B64" s="236" t="s">
        <v>397</v>
      </c>
      <c r="C64" s="227">
        <f t="shared" si="8"/>
        <v>24317642.381082207</v>
      </c>
      <c r="D64" s="237">
        <f t="shared" si="14"/>
        <v>1097684.9747687215</v>
      </c>
      <c r="E64" s="237">
        <f t="shared" si="15"/>
        <v>23219957.406313486</v>
      </c>
      <c r="F64" s="237">
        <f t="shared" si="16"/>
        <v>86548540.070558667</v>
      </c>
    </row>
    <row r="65" spans="1:6" x14ac:dyDescent="0.25">
      <c r="A65" s="413"/>
      <c r="B65" s="236" t="s">
        <v>398</v>
      </c>
      <c r="C65" s="227">
        <f t="shared" si="8"/>
        <v>24317642.381082207</v>
      </c>
      <c r="D65" s="237">
        <f t="shared" si="14"/>
        <v>865485.40070558665</v>
      </c>
      <c r="E65" s="237">
        <f t="shared" si="15"/>
        <v>23452156.98037662</v>
      </c>
      <c r="F65" s="237">
        <f t="shared" si="16"/>
        <v>63096383.090182051</v>
      </c>
    </row>
    <row r="66" spans="1:6" x14ac:dyDescent="0.25">
      <c r="A66" s="413"/>
      <c r="B66" s="236" t="s">
        <v>399</v>
      </c>
      <c r="C66" s="227">
        <f t="shared" si="8"/>
        <v>24317642.381082207</v>
      </c>
      <c r="D66" s="237">
        <f t="shared" si="14"/>
        <v>630963.83090182056</v>
      </c>
      <c r="E66" s="237">
        <f t="shared" si="15"/>
        <v>23686678.550180387</v>
      </c>
      <c r="F66" s="237">
        <f t="shared" si="16"/>
        <v>39409704.540001661</v>
      </c>
    </row>
    <row r="67" spans="1:6" x14ac:dyDescent="0.25">
      <c r="A67" s="413"/>
      <c r="B67" s="236" t="s">
        <v>400</v>
      </c>
      <c r="C67" s="227">
        <f t="shared" si="8"/>
        <v>24317642.381082207</v>
      </c>
      <c r="D67" s="237">
        <f t="shared" si="14"/>
        <v>394097.04540001659</v>
      </c>
      <c r="E67" s="237">
        <f t="shared" si="15"/>
        <v>23923545.335682191</v>
      </c>
      <c r="F67" s="237">
        <f t="shared" si="16"/>
        <v>15486159.20431947</v>
      </c>
    </row>
    <row r="68" spans="1:6" x14ac:dyDescent="0.25">
      <c r="A68" s="413">
        <v>2017</v>
      </c>
      <c r="B68" s="236" t="s">
        <v>389</v>
      </c>
      <c r="C68" s="227">
        <f t="shared" si="8"/>
        <v>24317642.381082207</v>
      </c>
      <c r="D68" s="237">
        <f t="shared" si="14"/>
        <v>154861.59204319469</v>
      </c>
      <c r="E68" s="237">
        <f t="shared" si="15"/>
        <v>24162780.789039012</v>
      </c>
      <c r="F68" s="237">
        <f t="shared" si="16"/>
        <v>-8676621.5847195424</v>
      </c>
    </row>
    <row r="69" spans="1:6" x14ac:dyDescent="0.25">
      <c r="A69" s="413"/>
      <c r="B69" s="236" t="s">
        <v>390</v>
      </c>
      <c r="C69" s="227">
        <f t="shared" si="8"/>
        <v>24317642.381082207</v>
      </c>
      <c r="D69" s="237">
        <f t="shared" si="14"/>
        <v>-86766.215847195432</v>
      </c>
      <c r="E69" s="237">
        <f t="shared" si="15"/>
        <v>24404408.596929401</v>
      </c>
      <c r="F69" s="237">
        <f t="shared" si="16"/>
        <v>-33081030.181648944</v>
      </c>
    </row>
    <row r="70" spans="1:6" x14ac:dyDescent="0.25">
      <c r="A70" s="413"/>
      <c r="B70" s="236" t="s">
        <v>391</v>
      </c>
      <c r="C70" s="227">
        <f t="shared" si="8"/>
        <v>24317642.381082207</v>
      </c>
      <c r="D70" s="237">
        <f t="shared" si="14"/>
        <v>-330810.30181648943</v>
      </c>
      <c r="E70" s="237">
        <f t="shared" si="15"/>
        <v>24648452.682898697</v>
      </c>
      <c r="F70" s="237">
        <f t="shared" si="16"/>
        <v>-57729482.86454764</v>
      </c>
    </row>
    <row r="71" spans="1:6" x14ac:dyDescent="0.25">
      <c r="A71" s="413"/>
      <c r="B71" s="236" t="s">
        <v>392</v>
      </c>
      <c r="C71" s="227">
        <f t="shared" si="8"/>
        <v>24317642.381082207</v>
      </c>
      <c r="D71" s="237">
        <f t="shared" si="14"/>
        <v>-577294.82864547637</v>
      </c>
      <c r="E71" s="237">
        <f t="shared" si="15"/>
        <v>24894937.209727682</v>
      </c>
      <c r="F71" s="237">
        <f t="shared" si="16"/>
        <v>-82624420.074275315</v>
      </c>
    </row>
    <row r="72" spans="1:6" x14ac:dyDescent="0.25">
      <c r="A72" s="413"/>
      <c r="B72" s="236" t="s">
        <v>393</v>
      </c>
      <c r="C72" s="227">
        <f t="shared" si="8"/>
        <v>24317642.381082207</v>
      </c>
      <c r="D72" s="237">
        <f t="shared" si="14"/>
        <v>-826244.20074275322</v>
      </c>
      <c r="E72" s="237">
        <f t="shared" si="15"/>
        <v>25143886.581824958</v>
      </c>
      <c r="F72" s="237">
        <f t="shared" si="16"/>
        <v>-107768306.65610027</v>
      </c>
    </row>
    <row r="73" spans="1:6" x14ac:dyDescent="0.25">
      <c r="A73" s="413"/>
      <c r="B73" s="236" t="s">
        <v>394</v>
      </c>
      <c r="C73" s="227">
        <f t="shared" si="8"/>
        <v>24317642.381082207</v>
      </c>
      <c r="D73" s="237">
        <f t="shared" si="14"/>
        <v>-1077683.0665610027</v>
      </c>
      <c r="E73" s="237">
        <f t="shared" si="15"/>
        <v>25395325.447643209</v>
      </c>
      <c r="F73" s="237">
        <f t="shared" si="16"/>
        <v>-133163632.10374348</v>
      </c>
    </row>
    <row r="74" spans="1:6" x14ac:dyDescent="0.25">
      <c r="A74" s="413"/>
      <c r="B74" s="236" t="s">
        <v>395</v>
      </c>
      <c r="C74" s="227">
        <f t="shared" si="8"/>
        <v>24317642.381082207</v>
      </c>
      <c r="D74" s="237">
        <f t="shared" si="14"/>
        <v>-1331636.3210374347</v>
      </c>
      <c r="E74" s="237">
        <f t="shared" si="15"/>
        <v>25649278.702119641</v>
      </c>
      <c r="F74" s="237">
        <f t="shared" si="16"/>
        <v>-158812910.80586311</v>
      </c>
    </row>
    <row r="75" spans="1:6" x14ac:dyDescent="0.25">
      <c r="A75" s="413"/>
      <c r="B75" s="236" t="s">
        <v>396</v>
      </c>
      <c r="C75" s="227">
        <f t="shared" si="8"/>
        <v>24317642.381082207</v>
      </c>
      <c r="D75" s="237">
        <f t="shared" si="14"/>
        <v>-1588129.1080586312</v>
      </c>
      <c r="E75" s="237">
        <f t="shared" si="15"/>
        <v>25905771.489140838</v>
      </c>
      <c r="F75" s="237">
        <f t="shared" si="16"/>
        <v>-184718682.29500395</v>
      </c>
    </row>
    <row r="76" spans="1:6" x14ac:dyDescent="0.25">
      <c r="A76" s="413"/>
      <c r="B76" s="236" t="s">
        <v>397</v>
      </c>
      <c r="C76" s="227">
        <f t="shared" si="8"/>
        <v>24317642.381082207</v>
      </c>
      <c r="D76" s="237">
        <f t="shared" si="14"/>
        <v>-1847186.8229500395</v>
      </c>
      <c r="E76" s="237">
        <f t="shared" si="15"/>
        <v>26164829.204032246</v>
      </c>
      <c r="F76" s="237">
        <f t="shared" si="16"/>
        <v>-210883511.49903619</v>
      </c>
    </row>
    <row r="77" spans="1:6" x14ac:dyDescent="0.25">
      <c r="A77" s="413"/>
      <c r="B77" s="236" t="s">
        <v>398</v>
      </c>
      <c r="C77" s="227">
        <f t="shared" si="8"/>
        <v>24317642.381082207</v>
      </c>
      <c r="D77" s="237">
        <f t="shared" si="14"/>
        <v>-2108835.114990362</v>
      </c>
      <c r="E77" s="237">
        <f t="shared" si="15"/>
        <v>26426477.496072568</v>
      </c>
      <c r="F77" s="237">
        <f t="shared" si="16"/>
        <v>-237309988.99510875</v>
      </c>
    </row>
    <row r="78" spans="1:6" x14ac:dyDescent="0.25">
      <c r="A78" s="413"/>
      <c r="B78" s="236" t="s">
        <v>399</v>
      </c>
      <c r="C78" s="227">
        <f t="shared" si="8"/>
        <v>24317642.381082207</v>
      </c>
      <c r="D78" s="237">
        <f t="shared" si="14"/>
        <v>-2373099.8899510875</v>
      </c>
      <c r="E78" s="237">
        <f t="shared" si="15"/>
        <v>26690742.271033294</v>
      </c>
      <c r="F78" s="237">
        <f t="shared" si="16"/>
        <v>-264000731.26614204</v>
      </c>
    </row>
    <row r="79" spans="1:6" x14ac:dyDescent="0.25">
      <c r="A79" s="413"/>
      <c r="B79" s="236" t="s">
        <v>400</v>
      </c>
      <c r="C79" s="227">
        <f t="shared" si="8"/>
        <v>24317642.381082207</v>
      </c>
      <c r="D79" s="237">
        <f t="shared" si="14"/>
        <v>-2640007.3126614206</v>
      </c>
      <c r="E79" s="237">
        <f t="shared" si="15"/>
        <v>26957649.693743628</v>
      </c>
      <c r="F79" s="237">
        <f t="shared" si="16"/>
        <v>-290958380.95988566</v>
      </c>
    </row>
  </sheetData>
  <mergeCells count="5">
    <mergeCell ref="A20:A31"/>
    <mergeCell ref="A32:A43"/>
    <mergeCell ref="A44:A55"/>
    <mergeCell ref="A56:A67"/>
    <mergeCell ref="A68:A7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E19" sqref="E19"/>
    </sheetView>
  </sheetViews>
  <sheetFormatPr baseColWidth="10" defaultRowHeight="15.75" x14ac:dyDescent="0.25"/>
  <cols>
    <col min="1" max="1" width="15.5" bestFit="1" customWidth="1"/>
    <col min="2" max="2" width="18" bestFit="1" customWidth="1"/>
    <col min="3" max="3" width="21.5" bestFit="1" customWidth="1"/>
    <col min="4" max="4" width="18.5" bestFit="1" customWidth="1"/>
    <col min="5" max="5" width="16" bestFit="1" customWidth="1"/>
    <col min="6" max="6" width="16.625" bestFit="1" customWidth="1"/>
    <col min="7" max="7" width="19" bestFit="1" customWidth="1"/>
  </cols>
  <sheetData>
    <row r="1" spans="1:8" s="238" customFormat="1" ht="31.5" x14ac:dyDescent="0.25">
      <c r="A1" s="314" t="s">
        <v>377</v>
      </c>
      <c r="B1" s="392" t="s">
        <v>378</v>
      </c>
      <c r="C1" s="314" t="s">
        <v>369</v>
      </c>
      <c r="D1" s="314" t="s">
        <v>370</v>
      </c>
      <c r="E1" s="314" t="s">
        <v>379</v>
      </c>
      <c r="F1" s="314" t="s">
        <v>371</v>
      </c>
      <c r="G1" s="314" t="s">
        <v>372</v>
      </c>
    </row>
    <row r="2" spans="1:8" x14ac:dyDescent="0.25">
      <c r="A2" s="236" t="s">
        <v>311</v>
      </c>
      <c r="B2" s="227">
        <v>5714800</v>
      </c>
      <c r="C2" s="236" t="s">
        <v>373</v>
      </c>
      <c r="D2" s="236">
        <v>10</v>
      </c>
      <c r="E2" s="228">
        <f>1/D2</f>
        <v>0.1</v>
      </c>
      <c r="F2" s="227">
        <f>+B2/D2</f>
        <v>571480</v>
      </c>
      <c r="G2" s="227">
        <f>+F2/12</f>
        <v>47623.333333333336</v>
      </c>
      <c r="H2" s="285">
        <f t="shared" ref="H2:H9" si="0">+F2/$F$13</f>
        <v>7.9647065751376773E-3</v>
      </c>
    </row>
    <row r="3" spans="1:8" x14ac:dyDescent="0.25">
      <c r="A3" s="236" t="s">
        <v>312</v>
      </c>
      <c r="B3" s="227">
        <v>15594800</v>
      </c>
      <c r="C3" s="236" t="s">
        <v>373</v>
      </c>
      <c r="D3" s="236">
        <v>10</v>
      </c>
      <c r="E3" s="228">
        <f t="shared" ref="E3:E10" si="1">1/D3</f>
        <v>0.1</v>
      </c>
      <c r="F3" s="227">
        <f t="shared" ref="F3:F10" si="2">+B3/D3</f>
        <v>1559480</v>
      </c>
      <c r="G3" s="227">
        <f t="shared" ref="G3:G10" si="3">+F3/12</f>
        <v>129956.66666666667</v>
      </c>
      <c r="H3" s="285">
        <f t="shared" si="0"/>
        <v>2.1734444967095444E-2</v>
      </c>
    </row>
    <row r="4" spans="1:8" x14ac:dyDescent="0.25">
      <c r="A4" s="236" t="s">
        <v>313</v>
      </c>
      <c r="B4" s="227">
        <v>13982800</v>
      </c>
      <c r="C4" s="236" t="s">
        <v>373</v>
      </c>
      <c r="D4" s="236">
        <v>10</v>
      </c>
      <c r="E4" s="228">
        <f t="shared" si="1"/>
        <v>0.1</v>
      </c>
      <c r="F4" s="227">
        <f t="shared" si="2"/>
        <v>1398280</v>
      </c>
      <c r="G4" s="227">
        <f t="shared" si="3"/>
        <v>116523.33333333333</v>
      </c>
      <c r="H4" s="285">
        <f t="shared" si="0"/>
        <v>1.9487803439986545E-2</v>
      </c>
    </row>
    <row r="5" spans="1:8" x14ac:dyDescent="0.25">
      <c r="A5" s="236" t="s">
        <v>306</v>
      </c>
      <c r="B5" s="227">
        <v>2247000</v>
      </c>
      <c r="C5" s="236" t="s">
        <v>374</v>
      </c>
      <c r="D5" s="236">
        <v>3</v>
      </c>
      <c r="E5" s="228">
        <f t="shared" si="1"/>
        <v>0.33333333333333331</v>
      </c>
      <c r="F5" s="227">
        <f t="shared" si="2"/>
        <v>749000</v>
      </c>
      <c r="G5" s="227">
        <f t="shared" si="3"/>
        <v>62416.666666666664</v>
      </c>
      <c r="H5" s="285">
        <f t="shared" si="0"/>
        <v>1.0438799651393086E-2</v>
      </c>
    </row>
    <row r="6" spans="1:8" x14ac:dyDescent="0.25">
      <c r="A6" s="236" t="s">
        <v>317</v>
      </c>
      <c r="B6" s="227">
        <v>149500</v>
      </c>
      <c r="C6" s="236" t="s">
        <v>375</v>
      </c>
      <c r="D6" s="236">
        <v>10</v>
      </c>
      <c r="E6" s="228">
        <f t="shared" si="1"/>
        <v>0.1</v>
      </c>
      <c r="F6" s="227">
        <f t="shared" si="2"/>
        <v>14950</v>
      </c>
      <c r="G6" s="227">
        <f t="shared" si="3"/>
        <v>1245.8333333333333</v>
      </c>
      <c r="H6" s="285">
        <f t="shared" si="0"/>
        <v>2.0835788356251886E-4</v>
      </c>
    </row>
    <row r="7" spans="1:8" x14ac:dyDescent="0.25">
      <c r="A7" s="236" t="s">
        <v>314</v>
      </c>
      <c r="B7" s="227">
        <v>3114800</v>
      </c>
      <c r="C7" s="236" t="s">
        <v>373</v>
      </c>
      <c r="D7" s="236">
        <v>10</v>
      </c>
      <c r="E7" s="228">
        <f t="shared" si="1"/>
        <v>0.1</v>
      </c>
      <c r="F7" s="227">
        <f t="shared" si="2"/>
        <v>311480</v>
      </c>
      <c r="G7" s="227">
        <f t="shared" si="3"/>
        <v>25956.666666666668</v>
      </c>
      <c r="H7" s="285">
        <f t="shared" si="0"/>
        <v>4.3410912088330013E-3</v>
      </c>
    </row>
    <row r="8" spans="1:8" x14ac:dyDescent="0.25">
      <c r="A8" s="236" t="s">
        <v>307</v>
      </c>
      <c r="B8" s="227">
        <v>1704300</v>
      </c>
      <c r="C8" s="236" t="s">
        <v>375</v>
      </c>
      <c r="D8" s="236">
        <v>10</v>
      </c>
      <c r="E8" s="228">
        <f t="shared" si="1"/>
        <v>0.1</v>
      </c>
      <c r="F8" s="227">
        <f t="shared" si="2"/>
        <v>170430</v>
      </c>
      <c r="G8" s="227">
        <f t="shared" si="3"/>
        <v>14202.5</v>
      </c>
      <c r="H8" s="285">
        <f t="shared" si="0"/>
        <v>2.3752798726127148E-3</v>
      </c>
    </row>
    <row r="9" spans="1:8" x14ac:dyDescent="0.25">
      <c r="A9" s="236" t="s">
        <v>310</v>
      </c>
      <c r="B9" s="227">
        <v>51246000</v>
      </c>
      <c r="C9" s="236" t="s">
        <v>375</v>
      </c>
      <c r="D9" s="236">
        <v>10</v>
      </c>
      <c r="E9" s="228">
        <f t="shared" si="1"/>
        <v>0.1</v>
      </c>
      <c r="F9" s="227">
        <f t="shared" si="2"/>
        <v>5124600</v>
      </c>
      <c r="G9" s="227">
        <f t="shared" si="3"/>
        <v>427050</v>
      </c>
      <c r="H9" s="285">
        <f t="shared" si="0"/>
        <v>7.1421458869865159E-2</v>
      </c>
    </row>
    <row r="10" spans="1:8" x14ac:dyDescent="0.25">
      <c r="A10" s="236" t="s">
        <v>376</v>
      </c>
      <c r="B10" s="227">
        <f>+Infraestructura!H293</f>
        <v>1237036894.3807423</v>
      </c>
      <c r="C10" s="236" t="s">
        <v>6</v>
      </c>
      <c r="D10" s="236">
        <v>20</v>
      </c>
      <c r="E10" s="228">
        <f t="shared" si="1"/>
        <v>0.05</v>
      </c>
      <c r="F10" s="227">
        <f t="shared" si="2"/>
        <v>61851844.719037116</v>
      </c>
      <c r="G10" s="227">
        <f t="shared" si="3"/>
        <v>5154320.3932530927</v>
      </c>
      <c r="H10" s="285">
        <f>+F10/$F$13</f>
        <v>0.8620280575315139</v>
      </c>
    </row>
    <row r="11" spans="1:8" x14ac:dyDescent="0.25">
      <c r="A11" s="236"/>
      <c r="B11" s="227"/>
      <c r="C11" s="236"/>
      <c r="D11" s="236"/>
      <c r="E11" s="236"/>
      <c r="F11" s="236"/>
      <c r="G11" s="236"/>
    </row>
    <row r="12" spans="1:8" x14ac:dyDescent="0.25">
      <c r="A12" s="236"/>
      <c r="B12" s="227"/>
      <c r="C12" s="236"/>
      <c r="D12" s="236"/>
      <c r="E12" s="236"/>
      <c r="F12" s="236"/>
      <c r="G12" s="236"/>
    </row>
    <row r="13" spans="1:8" x14ac:dyDescent="0.25">
      <c r="A13" s="266" t="s">
        <v>289</v>
      </c>
      <c r="B13" s="267">
        <f>+SUM(B2:B12)</f>
        <v>1330790894.3807423</v>
      </c>
      <c r="C13" s="266"/>
      <c r="D13" s="266"/>
      <c r="E13" s="266"/>
      <c r="F13" s="313">
        <f>+SUM(F2:F12)</f>
        <v>71751544.719037116</v>
      </c>
      <c r="G13" s="313">
        <f>+SUM(G2:G12)</f>
        <v>5979295.3932530927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7"/>
  <sheetViews>
    <sheetView topLeftCell="A204" workbookViewId="0">
      <selection activeCell="L117" sqref="L117"/>
    </sheetView>
  </sheetViews>
  <sheetFormatPr baseColWidth="10" defaultColWidth="11.5" defaultRowHeight="12.75" x14ac:dyDescent="0.2"/>
  <cols>
    <col min="1" max="1" width="8.625" style="187" bestFit="1" customWidth="1"/>
    <col min="2" max="2" width="71.875" style="5" customWidth="1"/>
    <col min="3" max="3" width="4.5" style="188" bestFit="1" customWidth="1"/>
    <col min="4" max="4" width="9.125" style="189" customWidth="1"/>
    <col min="5" max="5" width="8.5" style="58" bestFit="1" customWidth="1"/>
    <col min="6" max="6" width="9.125" style="58" bestFit="1" customWidth="1"/>
    <col min="7" max="7" width="11.375" style="190" bestFit="1" customWidth="1"/>
    <col min="8" max="8" width="13.125" style="190" bestFit="1" customWidth="1"/>
    <col min="9" max="9" width="13" style="191" customWidth="1"/>
    <col min="10" max="10" width="14.5" style="5" bestFit="1" customWidth="1"/>
    <col min="11" max="16384" width="11.5" style="5"/>
  </cols>
  <sheetData>
    <row r="1" spans="1:10" x14ac:dyDescent="0.2">
      <c r="A1" s="4"/>
      <c r="B1" s="414"/>
      <c r="C1" s="414"/>
      <c r="D1" s="414"/>
      <c r="E1" s="414"/>
      <c r="F1" s="414"/>
      <c r="G1" s="414"/>
      <c r="H1" s="414"/>
      <c r="I1" s="415"/>
    </row>
    <row r="2" spans="1:10" x14ac:dyDescent="0.2">
      <c r="A2" s="6"/>
      <c r="B2" s="416"/>
      <c r="C2" s="416"/>
      <c r="D2" s="416"/>
      <c r="E2" s="416"/>
      <c r="F2" s="416"/>
      <c r="G2" s="416"/>
      <c r="H2" s="416"/>
      <c r="I2" s="417"/>
    </row>
    <row r="3" spans="1:10" x14ac:dyDescent="0.2">
      <c r="A3" s="7"/>
      <c r="B3" s="8"/>
      <c r="C3" s="8"/>
      <c r="D3" s="9"/>
      <c r="E3" s="10"/>
      <c r="F3" s="10"/>
      <c r="G3" s="11"/>
      <c r="H3" s="11"/>
      <c r="I3" s="12"/>
    </row>
    <row r="4" spans="1:10" s="18" customFormat="1" ht="25.5" x14ac:dyDescent="0.2">
      <c r="A4" s="13" t="s">
        <v>9</v>
      </c>
      <c r="B4" s="14" t="s">
        <v>10</v>
      </c>
      <c r="C4" s="15" t="s">
        <v>11</v>
      </c>
      <c r="D4" s="15" t="s">
        <v>12</v>
      </c>
      <c r="E4" s="16" t="s">
        <v>13</v>
      </c>
      <c r="F4" s="16" t="s">
        <v>14</v>
      </c>
      <c r="G4" s="16" t="s">
        <v>15</v>
      </c>
      <c r="H4" s="17" t="s">
        <v>16</v>
      </c>
      <c r="I4" s="17" t="s">
        <v>17</v>
      </c>
    </row>
    <row r="5" spans="1:10" s="25" customFormat="1" x14ac:dyDescent="0.2">
      <c r="A5" s="19">
        <v>1</v>
      </c>
      <c r="B5" s="20" t="s">
        <v>18</v>
      </c>
      <c r="C5" s="21"/>
      <c r="D5" s="22"/>
      <c r="E5" s="23"/>
      <c r="F5" s="23"/>
      <c r="G5" s="23"/>
      <c r="H5" s="23"/>
      <c r="I5" s="24"/>
    </row>
    <row r="6" spans="1:10" s="25" customFormat="1" x14ac:dyDescent="0.2">
      <c r="A6" s="26">
        <v>1.01</v>
      </c>
      <c r="B6" s="27" t="s">
        <v>19</v>
      </c>
      <c r="C6" s="28" t="s">
        <v>20</v>
      </c>
      <c r="D6" s="29">
        <f>16*25</f>
        <v>400</v>
      </c>
      <c r="E6" s="30"/>
      <c r="F6" s="30"/>
      <c r="G6" s="30">
        <v>3399.5225440000004</v>
      </c>
      <c r="H6" s="30">
        <f t="shared" ref="H6:H11" si="0">D6*G6</f>
        <v>1359809.0176000001</v>
      </c>
      <c r="I6" s="31"/>
    </row>
    <row r="7" spans="1:10" s="25" customFormat="1" x14ac:dyDescent="0.2">
      <c r="A7" s="26">
        <v>1.02</v>
      </c>
      <c r="B7" s="27" t="s">
        <v>21</v>
      </c>
      <c r="C7" s="28" t="s">
        <v>22</v>
      </c>
      <c r="D7" s="29">
        <f>(35.5+7+3.67)*0.5*0.5</f>
        <v>11.5425</v>
      </c>
      <c r="E7" s="30"/>
      <c r="F7" s="30"/>
      <c r="G7" s="30">
        <v>24376.550000000003</v>
      </c>
      <c r="H7" s="30">
        <f t="shared" si="0"/>
        <v>281366.32837500004</v>
      </c>
      <c r="I7" s="31"/>
    </row>
    <row r="8" spans="1:10" s="25" customFormat="1" x14ac:dyDescent="0.2">
      <c r="A8" s="26">
        <v>1.03</v>
      </c>
      <c r="B8" s="27" t="s">
        <v>23</v>
      </c>
      <c r="C8" s="28" t="s">
        <v>22</v>
      </c>
      <c r="D8" s="29">
        <f>0.67*0.5*20</f>
        <v>6.7</v>
      </c>
      <c r="E8" s="30"/>
      <c r="F8" s="30"/>
      <c r="G8" s="30">
        <v>24376.550000000003</v>
      </c>
      <c r="H8" s="30">
        <f t="shared" si="0"/>
        <v>163322.88500000001</v>
      </c>
      <c r="I8" s="31"/>
    </row>
    <row r="9" spans="1:10" s="25" customFormat="1" x14ac:dyDescent="0.2">
      <c r="A9" s="26">
        <v>1.04</v>
      </c>
      <c r="B9" s="27" t="s">
        <v>24</v>
      </c>
      <c r="C9" s="28" t="s">
        <v>22</v>
      </c>
      <c r="D9" s="29">
        <f>400*0.15</f>
        <v>60</v>
      </c>
      <c r="E9" s="30"/>
      <c r="F9" s="30"/>
      <c r="G9" s="30">
        <v>47668.602850000003</v>
      </c>
      <c r="H9" s="30">
        <f t="shared" si="0"/>
        <v>2860116.1710000001</v>
      </c>
      <c r="I9" s="31"/>
    </row>
    <row r="10" spans="1:10" s="25" customFormat="1" x14ac:dyDescent="0.2">
      <c r="A10" s="26">
        <v>1.05</v>
      </c>
      <c r="B10" s="27" t="s">
        <v>25</v>
      </c>
      <c r="C10" s="28" t="s">
        <v>22</v>
      </c>
      <c r="D10" s="29">
        <f>400*0.1</f>
        <v>40</v>
      </c>
      <c r="E10" s="30"/>
      <c r="F10" s="30"/>
      <c r="G10" s="30">
        <v>23618.076240000002</v>
      </c>
      <c r="H10" s="30">
        <f t="shared" si="0"/>
        <v>944723.04960000003</v>
      </c>
      <c r="I10" s="31"/>
    </row>
    <row r="11" spans="1:10" s="25" customFormat="1" x14ac:dyDescent="0.2">
      <c r="A11" s="26">
        <v>1.06</v>
      </c>
      <c r="B11" s="27" t="s">
        <v>26</v>
      </c>
      <c r="C11" s="28" t="s">
        <v>27</v>
      </c>
      <c r="D11" s="29">
        <v>35</v>
      </c>
      <c r="E11" s="30"/>
      <c r="F11" s="30">
        <v>50000</v>
      </c>
      <c r="G11" s="30">
        <v>51865.000000000007</v>
      </c>
      <c r="H11" s="30">
        <f t="shared" si="0"/>
        <v>1815275.0000000002</v>
      </c>
      <c r="I11" s="31"/>
    </row>
    <row r="12" spans="1:10" s="25" customFormat="1" x14ac:dyDescent="0.2">
      <c r="A12" s="32"/>
      <c r="B12" s="33" t="s">
        <v>28</v>
      </c>
      <c r="C12" s="34"/>
      <c r="D12" s="35"/>
      <c r="E12" s="36"/>
      <c r="F12" s="37"/>
      <c r="G12" s="36"/>
      <c r="H12" s="36"/>
      <c r="I12" s="38">
        <f>SUM(H6:H11)</f>
        <v>7424612.4515749998</v>
      </c>
      <c r="J12" s="39"/>
    </row>
    <row r="13" spans="1:10" s="25" customFormat="1" x14ac:dyDescent="0.2">
      <c r="A13" s="19">
        <v>2</v>
      </c>
      <c r="B13" s="20" t="s">
        <v>29</v>
      </c>
      <c r="C13" s="21"/>
      <c r="D13" s="22"/>
      <c r="E13" s="23"/>
      <c r="F13" s="23"/>
      <c r="G13" s="23"/>
      <c r="H13" s="23"/>
      <c r="I13" s="40"/>
    </row>
    <row r="14" spans="1:10" s="25" customFormat="1" x14ac:dyDescent="0.2">
      <c r="A14" s="26">
        <v>2.0099999999999998</v>
      </c>
      <c r="B14" s="27" t="s">
        <v>30</v>
      </c>
      <c r="C14" s="28" t="s">
        <v>22</v>
      </c>
      <c r="D14" s="29">
        <f>(25+16+25+16)*0.5*0.5</f>
        <v>20.5</v>
      </c>
      <c r="E14" s="30"/>
      <c r="F14" s="30"/>
      <c r="G14" s="30">
        <v>238579.00000000003</v>
      </c>
      <c r="H14" s="30">
        <f t="shared" ref="H14:H19" si="1">D14*G14</f>
        <v>4890869.5000000009</v>
      </c>
      <c r="I14" s="41"/>
    </row>
    <row r="15" spans="1:10" s="25" customFormat="1" x14ac:dyDescent="0.2">
      <c r="A15" s="26">
        <v>2.02</v>
      </c>
      <c r="B15" s="27" t="s">
        <v>31</v>
      </c>
      <c r="C15" s="28" t="s">
        <v>32</v>
      </c>
      <c r="D15" s="29">
        <f>(25+16+25+16)+(2.5*((25+16+25+16)/0.2)*0.56)</f>
        <v>656</v>
      </c>
      <c r="E15" s="30"/>
      <c r="F15" s="30"/>
      <c r="G15" s="30">
        <v>2696.9800000000005</v>
      </c>
      <c r="H15" s="30">
        <f t="shared" si="1"/>
        <v>1769218.8800000004</v>
      </c>
      <c r="I15" s="41"/>
    </row>
    <row r="16" spans="1:10" s="25" customFormat="1" x14ac:dyDescent="0.2">
      <c r="A16" s="26">
        <v>2.0299999999999998</v>
      </c>
      <c r="B16" s="27" t="s">
        <v>33</v>
      </c>
      <c r="C16" s="28" t="s">
        <v>32</v>
      </c>
      <c r="D16" s="29">
        <f>3.2*7*10</f>
        <v>224.00000000000003</v>
      </c>
      <c r="E16" s="30"/>
      <c r="F16" s="30"/>
      <c r="G16" s="30">
        <v>2696.9800000000005</v>
      </c>
      <c r="H16" s="30">
        <f t="shared" si="1"/>
        <v>604123.52000000014</v>
      </c>
      <c r="I16" s="41"/>
    </row>
    <row r="17" spans="1:11" s="25" customFormat="1" x14ac:dyDescent="0.2">
      <c r="A17" s="26">
        <v>2.04</v>
      </c>
      <c r="B17" s="27" t="s">
        <v>34</v>
      </c>
      <c r="C17" s="28" t="s">
        <v>22</v>
      </c>
      <c r="D17" s="29">
        <f>D8</f>
        <v>6.7</v>
      </c>
      <c r="E17" s="30"/>
      <c r="F17" s="30"/>
      <c r="G17" s="30">
        <v>238579.00000000003</v>
      </c>
      <c r="H17" s="30">
        <f t="shared" si="1"/>
        <v>1598479.3000000003</v>
      </c>
      <c r="I17" s="41"/>
    </row>
    <row r="18" spans="1:11" s="25" customFormat="1" x14ac:dyDescent="0.2">
      <c r="A18" s="42">
        <v>2.0499999999999998</v>
      </c>
      <c r="B18" s="27" t="s">
        <v>35</v>
      </c>
      <c r="C18" s="28" t="s">
        <v>36</v>
      </c>
      <c r="D18" s="29">
        <v>1</v>
      </c>
      <c r="E18" s="30"/>
      <c r="F18" s="30"/>
      <c r="G18" s="30">
        <v>1037300.0000000001</v>
      </c>
      <c r="H18" s="30">
        <f t="shared" si="1"/>
        <v>1037300.0000000001</v>
      </c>
      <c r="I18" s="41"/>
    </row>
    <row r="19" spans="1:11" s="25" customFormat="1" ht="15.75" x14ac:dyDescent="0.25">
      <c r="A19" s="26">
        <v>2.06</v>
      </c>
      <c r="B19" s="43" t="s">
        <v>37</v>
      </c>
      <c r="C19" s="44" t="s">
        <v>20</v>
      </c>
      <c r="D19" s="45">
        <f>16*25</f>
        <v>400</v>
      </c>
      <c r="E19" s="46"/>
      <c r="F19" s="46"/>
      <c r="G19" s="45">
        <v>116997.02550800002</v>
      </c>
      <c r="H19" s="46">
        <f t="shared" si="1"/>
        <v>46798810.203200005</v>
      </c>
      <c r="I19" s="47"/>
    </row>
    <row r="20" spans="1:11" s="25" customFormat="1" x14ac:dyDescent="0.2">
      <c r="A20" s="32"/>
      <c r="B20" s="33" t="s">
        <v>28</v>
      </c>
      <c r="C20" s="34"/>
      <c r="D20" s="35"/>
      <c r="E20" s="36"/>
      <c r="F20" s="37"/>
      <c r="G20" s="36"/>
      <c r="H20" s="36"/>
      <c r="I20" s="38">
        <f>SUM(H14:H19)</f>
        <v>56698801.403200008</v>
      </c>
      <c r="J20" s="39"/>
    </row>
    <row r="21" spans="1:11" ht="13.5" customHeight="1" x14ac:dyDescent="0.2">
      <c r="A21" s="19">
        <v>3</v>
      </c>
      <c r="B21" s="20" t="s">
        <v>38</v>
      </c>
      <c r="C21" s="21"/>
      <c r="D21" s="48"/>
      <c r="E21" s="23"/>
      <c r="F21" s="23"/>
      <c r="G21" s="49"/>
      <c r="H21" s="49"/>
      <c r="I21" s="24"/>
      <c r="K21" s="25"/>
    </row>
    <row r="22" spans="1:11" ht="13.5" customHeight="1" x14ac:dyDescent="0.2">
      <c r="A22" s="26">
        <v>3.01</v>
      </c>
      <c r="B22" s="27" t="s">
        <v>39</v>
      </c>
      <c r="C22" s="28" t="s">
        <v>32</v>
      </c>
      <c r="D22" s="50">
        <v>1600</v>
      </c>
      <c r="E22" s="30">
        <v>2538.7613777000001</v>
      </c>
      <c r="F22" s="30">
        <v>2300</v>
      </c>
      <c r="G22" s="51">
        <v>5019.2471770882112</v>
      </c>
      <c r="H22" s="51">
        <f>D22*G22</f>
        <v>8030795.4833411379</v>
      </c>
      <c r="I22" s="31"/>
      <c r="K22" s="25"/>
    </row>
    <row r="23" spans="1:11" ht="13.5" customHeight="1" x14ac:dyDescent="0.2">
      <c r="A23" s="26">
        <v>3.02</v>
      </c>
      <c r="B23" s="27" t="s">
        <v>40</v>
      </c>
      <c r="C23" s="28" t="s">
        <v>32</v>
      </c>
      <c r="D23" s="50">
        <v>1200</v>
      </c>
      <c r="E23" s="30">
        <f>E22</f>
        <v>2538.7613777000001</v>
      </c>
      <c r="F23" s="30">
        <f>F22</f>
        <v>2300</v>
      </c>
      <c r="G23" s="51">
        <v>5019.2471770882112</v>
      </c>
      <c r="H23" s="51">
        <f t="shared" ref="H23:H37" si="2">D23*G23</f>
        <v>6023096.6125058532</v>
      </c>
      <c r="I23" s="31"/>
      <c r="K23" s="25"/>
    </row>
    <row r="24" spans="1:11" ht="13.5" customHeight="1" x14ac:dyDescent="0.2">
      <c r="A24" s="26">
        <v>3.03</v>
      </c>
      <c r="B24" s="27" t="s">
        <v>41</v>
      </c>
      <c r="C24" s="28" t="s">
        <v>32</v>
      </c>
      <c r="D24" s="50">
        <v>1000</v>
      </c>
      <c r="E24" s="30">
        <f t="shared" ref="E24:F37" si="3">E23</f>
        <v>2538.7613777000001</v>
      </c>
      <c r="F24" s="30">
        <f>F23</f>
        <v>2300</v>
      </c>
      <c r="G24" s="51">
        <v>5019.2471770882112</v>
      </c>
      <c r="H24" s="51">
        <f t="shared" si="2"/>
        <v>5019247.1770882113</v>
      </c>
      <c r="I24" s="31"/>
      <c r="K24" s="25"/>
    </row>
    <row r="25" spans="1:11" ht="13.5" customHeight="1" x14ac:dyDescent="0.2">
      <c r="A25" s="26">
        <v>3.04</v>
      </c>
      <c r="B25" s="27" t="s">
        <v>42</v>
      </c>
      <c r="C25" s="28" t="s">
        <v>32</v>
      </c>
      <c r="D25" s="50">
        <v>240</v>
      </c>
      <c r="E25" s="30">
        <f>E24</f>
        <v>2538.7613777000001</v>
      </c>
      <c r="F25" s="30">
        <f>F24</f>
        <v>2300</v>
      </c>
      <c r="G25" s="51">
        <v>5019.2471770882112</v>
      </c>
      <c r="H25" s="51">
        <f t="shared" si="2"/>
        <v>1204619.3225011707</v>
      </c>
      <c r="I25" s="31"/>
      <c r="K25" s="25"/>
    </row>
    <row r="26" spans="1:11" ht="13.5" customHeight="1" x14ac:dyDescent="0.2">
      <c r="A26" s="26">
        <v>3.05</v>
      </c>
      <c r="B26" s="27" t="s">
        <v>43</v>
      </c>
      <c r="C26" s="28" t="s">
        <v>32</v>
      </c>
      <c r="D26" s="50">
        <v>200</v>
      </c>
      <c r="E26" s="30">
        <f t="shared" si="3"/>
        <v>2538.7613777000001</v>
      </c>
      <c r="F26" s="30">
        <f t="shared" si="3"/>
        <v>2300</v>
      </c>
      <c r="G26" s="51">
        <v>5019.2471770882112</v>
      </c>
      <c r="H26" s="51">
        <f t="shared" si="2"/>
        <v>1003849.4354176422</v>
      </c>
      <c r="I26" s="31"/>
      <c r="K26" s="25"/>
    </row>
    <row r="27" spans="1:11" ht="13.5" customHeight="1" x14ac:dyDescent="0.2">
      <c r="A27" s="26">
        <v>3.06</v>
      </c>
      <c r="B27" s="27" t="s">
        <v>44</v>
      </c>
      <c r="C27" s="28" t="s">
        <v>32</v>
      </c>
      <c r="D27" s="50">
        <v>300</v>
      </c>
      <c r="E27" s="30">
        <f t="shared" si="3"/>
        <v>2538.7613777000001</v>
      </c>
      <c r="F27" s="30">
        <f t="shared" si="3"/>
        <v>2300</v>
      </c>
      <c r="G27" s="51">
        <v>5019.2471770882112</v>
      </c>
      <c r="H27" s="51">
        <f t="shared" si="2"/>
        <v>1505774.1531264633</v>
      </c>
      <c r="I27" s="31"/>
      <c r="K27" s="25"/>
    </row>
    <row r="28" spans="1:11" ht="13.5" customHeight="1" x14ac:dyDescent="0.2">
      <c r="A28" s="26">
        <v>3.07</v>
      </c>
      <c r="B28" s="27" t="s">
        <v>45</v>
      </c>
      <c r="C28" s="28" t="str">
        <f>C23</f>
        <v>KG</v>
      </c>
      <c r="D28" s="50">
        <v>300</v>
      </c>
      <c r="E28" s="30">
        <f t="shared" si="3"/>
        <v>2538.7613777000001</v>
      </c>
      <c r="F28" s="30">
        <f t="shared" si="3"/>
        <v>2300</v>
      </c>
      <c r="G28" s="51">
        <v>5019.2471770882112</v>
      </c>
      <c r="H28" s="51">
        <f t="shared" si="2"/>
        <v>1505774.1531264633</v>
      </c>
      <c r="I28" s="31"/>
      <c r="K28" s="25"/>
    </row>
    <row r="29" spans="1:11" ht="13.5" customHeight="1" x14ac:dyDescent="0.2">
      <c r="A29" s="26">
        <v>3.08</v>
      </c>
      <c r="B29" s="27" t="s">
        <v>46</v>
      </c>
      <c r="C29" s="28" t="str">
        <f>C28</f>
        <v>KG</v>
      </c>
      <c r="D29" s="50">
        <v>300</v>
      </c>
      <c r="E29" s="30">
        <f t="shared" si="3"/>
        <v>2538.7613777000001</v>
      </c>
      <c r="F29" s="30">
        <f t="shared" si="3"/>
        <v>2300</v>
      </c>
      <c r="G29" s="51">
        <v>5019.2471770882112</v>
      </c>
      <c r="H29" s="51">
        <f t="shared" si="2"/>
        <v>1505774.1531264633</v>
      </c>
      <c r="I29" s="31"/>
      <c r="K29" s="25"/>
    </row>
    <row r="30" spans="1:11" ht="13.5" customHeight="1" x14ac:dyDescent="0.2">
      <c r="A30" s="26">
        <v>3.09</v>
      </c>
      <c r="B30" s="27" t="s">
        <v>47</v>
      </c>
      <c r="C30" s="28" t="s">
        <v>32</v>
      </c>
      <c r="D30" s="50">
        <v>160</v>
      </c>
      <c r="E30" s="30">
        <f t="shared" si="3"/>
        <v>2538.7613777000001</v>
      </c>
      <c r="F30" s="30">
        <f t="shared" si="3"/>
        <v>2300</v>
      </c>
      <c r="G30" s="51">
        <v>5019.2471770882112</v>
      </c>
      <c r="H30" s="51">
        <f t="shared" si="2"/>
        <v>803079.54833411379</v>
      </c>
      <c r="I30" s="31"/>
      <c r="K30" s="25"/>
    </row>
    <row r="31" spans="1:11" ht="13.5" customHeight="1" x14ac:dyDescent="0.2">
      <c r="A31" s="26">
        <v>3.1</v>
      </c>
      <c r="B31" s="27" t="s">
        <v>48</v>
      </c>
      <c r="C31" s="28" t="s">
        <v>32</v>
      </c>
      <c r="D31" s="50">
        <v>140</v>
      </c>
      <c r="E31" s="30">
        <f t="shared" si="3"/>
        <v>2538.7613777000001</v>
      </c>
      <c r="F31" s="30">
        <f t="shared" si="3"/>
        <v>2300</v>
      </c>
      <c r="G31" s="51">
        <v>5019.2471770882112</v>
      </c>
      <c r="H31" s="51">
        <f t="shared" si="2"/>
        <v>702694.60479234951</v>
      </c>
      <c r="I31" s="31"/>
      <c r="K31" s="25"/>
    </row>
    <row r="32" spans="1:11" ht="13.5" customHeight="1" x14ac:dyDescent="0.2">
      <c r="A32" s="26">
        <v>3.11</v>
      </c>
      <c r="B32" s="27" t="s">
        <v>49</v>
      </c>
      <c r="C32" s="28" t="s">
        <v>32</v>
      </c>
      <c r="D32" s="50">
        <v>300</v>
      </c>
      <c r="E32" s="30">
        <f t="shared" si="3"/>
        <v>2538.7613777000001</v>
      </c>
      <c r="F32" s="30">
        <f t="shared" si="3"/>
        <v>2300</v>
      </c>
      <c r="G32" s="51">
        <v>5019.2471770882112</v>
      </c>
      <c r="H32" s="51">
        <f t="shared" si="2"/>
        <v>1505774.1531264633</v>
      </c>
      <c r="I32" s="31"/>
      <c r="K32" s="25"/>
    </row>
    <row r="33" spans="1:11" x14ac:dyDescent="0.2">
      <c r="A33" s="26">
        <v>3.12</v>
      </c>
      <c r="B33" s="27" t="s">
        <v>50</v>
      </c>
      <c r="C33" s="28" t="s">
        <v>32</v>
      </c>
      <c r="D33" s="50">
        <v>240</v>
      </c>
      <c r="E33" s="30">
        <f t="shared" si="3"/>
        <v>2538.7613777000001</v>
      </c>
      <c r="F33" s="30">
        <f t="shared" si="3"/>
        <v>2300</v>
      </c>
      <c r="G33" s="51">
        <v>5019.2471770882112</v>
      </c>
      <c r="H33" s="51">
        <f t="shared" si="2"/>
        <v>1204619.3225011707</v>
      </c>
      <c r="I33" s="31"/>
      <c r="K33" s="25"/>
    </row>
    <row r="34" spans="1:11" x14ac:dyDescent="0.2">
      <c r="A34" s="26">
        <v>3.13</v>
      </c>
      <c r="B34" s="27" t="s">
        <v>51</v>
      </c>
      <c r="C34" s="28" t="s">
        <v>32</v>
      </c>
      <c r="D34" s="50">
        <v>80</v>
      </c>
      <c r="E34" s="30">
        <f t="shared" si="3"/>
        <v>2538.7613777000001</v>
      </c>
      <c r="F34" s="30">
        <f t="shared" si="3"/>
        <v>2300</v>
      </c>
      <c r="G34" s="51">
        <v>5019.2471770882112</v>
      </c>
      <c r="H34" s="51">
        <f t="shared" si="2"/>
        <v>401539.77416705689</v>
      </c>
      <c r="I34" s="31"/>
      <c r="K34" s="25"/>
    </row>
    <row r="35" spans="1:11" x14ac:dyDescent="0.2">
      <c r="A35" s="26">
        <v>3.14</v>
      </c>
      <c r="B35" s="27" t="s">
        <v>52</v>
      </c>
      <c r="C35" s="28" t="str">
        <f>C34</f>
        <v>KG</v>
      </c>
      <c r="D35" s="50">
        <v>80</v>
      </c>
      <c r="E35" s="30">
        <f t="shared" si="3"/>
        <v>2538.7613777000001</v>
      </c>
      <c r="F35" s="30">
        <f t="shared" si="3"/>
        <v>2300</v>
      </c>
      <c r="G35" s="51">
        <v>5019.2471770882112</v>
      </c>
      <c r="H35" s="51">
        <f t="shared" si="2"/>
        <v>401539.77416705689</v>
      </c>
      <c r="I35" s="31"/>
      <c r="K35" s="25"/>
    </row>
    <row r="36" spans="1:11" x14ac:dyDescent="0.2">
      <c r="A36" s="26">
        <v>3.15</v>
      </c>
      <c r="B36" s="27" t="s">
        <v>53</v>
      </c>
      <c r="C36" s="28" t="str">
        <f>C35</f>
        <v>KG</v>
      </c>
      <c r="D36" s="50">
        <v>80</v>
      </c>
      <c r="E36" s="30">
        <f t="shared" si="3"/>
        <v>2538.7613777000001</v>
      </c>
      <c r="F36" s="30">
        <f t="shared" si="3"/>
        <v>2300</v>
      </c>
      <c r="G36" s="51">
        <v>5019.2471770882112</v>
      </c>
      <c r="H36" s="51">
        <f t="shared" si="2"/>
        <v>401539.77416705689</v>
      </c>
      <c r="I36" s="31"/>
      <c r="K36" s="25"/>
    </row>
    <row r="37" spans="1:11" x14ac:dyDescent="0.2">
      <c r="A37" s="26">
        <v>3.16</v>
      </c>
      <c r="B37" s="43" t="s">
        <v>54</v>
      </c>
      <c r="C37" s="44" t="str">
        <f>C36</f>
        <v>KG</v>
      </c>
      <c r="D37" s="52">
        <v>300</v>
      </c>
      <c r="E37" s="46">
        <f t="shared" si="3"/>
        <v>2538.7613777000001</v>
      </c>
      <c r="F37" s="46">
        <f t="shared" si="3"/>
        <v>2300</v>
      </c>
      <c r="G37" s="53">
        <v>5019.2471770882112</v>
      </c>
      <c r="H37" s="53">
        <f t="shared" si="2"/>
        <v>1505774.1531264633</v>
      </c>
      <c r="I37" s="54"/>
      <c r="K37" s="25"/>
    </row>
    <row r="38" spans="1:11" s="56" customFormat="1" x14ac:dyDescent="0.2">
      <c r="A38" s="32"/>
      <c r="B38" s="33" t="s">
        <v>28</v>
      </c>
      <c r="C38" s="34"/>
      <c r="D38" s="35"/>
      <c r="E38" s="36"/>
      <c r="F38" s="37"/>
      <c r="G38" s="36"/>
      <c r="H38" s="36"/>
      <c r="I38" s="38">
        <f>SUM(H22:H37)</f>
        <v>32725491.594615139</v>
      </c>
      <c r="J38" s="55"/>
      <c r="K38" s="25"/>
    </row>
    <row r="39" spans="1:11" s="56" customFormat="1" x14ac:dyDescent="0.2">
      <c r="A39" s="19">
        <v>4</v>
      </c>
      <c r="B39" s="20" t="s">
        <v>55</v>
      </c>
      <c r="C39" s="21"/>
      <c r="D39" s="48"/>
      <c r="E39" s="23"/>
      <c r="F39" s="23"/>
      <c r="G39" s="49"/>
      <c r="H39" s="49"/>
      <c r="I39" s="24"/>
      <c r="K39" s="25"/>
    </row>
    <row r="40" spans="1:11" s="56" customFormat="1" x14ac:dyDescent="0.2">
      <c r="A40" s="26">
        <v>4.01</v>
      </c>
      <c r="B40" s="27" t="s">
        <v>56</v>
      </c>
      <c r="C40" s="28" t="s">
        <v>32</v>
      </c>
      <c r="D40" s="50">
        <v>36</v>
      </c>
      <c r="E40" s="30">
        <f>E37</f>
        <v>2538.7613777000001</v>
      </c>
      <c r="F40" s="30">
        <f>F37</f>
        <v>2300</v>
      </c>
      <c r="G40" s="51">
        <v>5019.2471770882112</v>
      </c>
      <c r="H40" s="51">
        <f>D40*G40</f>
        <v>180692.8983751756</v>
      </c>
      <c r="I40" s="31"/>
      <c r="K40" s="25"/>
    </row>
    <row r="41" spans="1:11" s="56" customFormat="1" x14ac:dyDescent="0.2">
      <c r="A41" s="26">
        <v>4.0199999999999996</v>
      </c>
      <c r="B41" s="27" t="s">
        <v>57</v>
      </c>
      <c r="C41" s="28" t="s">
        <v>27</v>
      </c>
      <c r="D41" s="50">
        <v>16</v>
      </c>
      <c r="E41" s="30">
        <v>80000</v>
      </c>
      <c r="F41" s="30">
        <v>20000</v>
      </c>
      <c r="G41" s="51">
        <v>103730.00000000001</v>
      </c>
      <c r="H41" s="51">
        <f>D41*G41</f>
        <v>1659680.0000000002</v>
      </c>
      <c r="I41" s="31"/>
      <c r="K41" s="25"/>
    </row>
    <row r="42" spans="1:11" s="56" customFormat="1" x14ac:dyDescent="0.2">
      <c r="A42" s="57">
        <v>4.03</v>
      </c>
      <c r="B42" s="43" t="s">
        <v>58</v>
      </c>
      <c r="C42" s="44" t="s">
        <v>59</v>
      </c>
      <c r="D42" s="52">
        <v>56</v>
      </c>
      <c r="E42" s="46"/>
      <c r="F42" s="46"/>
      <c r="G42" s="53">
        <v>31119.000000000004</v>
      </c>
      <c r="H42" s="53">
        <f>D42*G42</f>
        <v>1742664.0000000002</v>
      </c>
      <c r="I42" s="54"/>
      <c r="K42" s="25"/>
    </row>
    <row r="43" spans="1:11" s="56" customFormat="1" x14ac:dyDescent="0.2">
      <c r="A43" s="32"/>
      <c r="B43" s="33" t="s">
        <v>28</v>
      </c>
      <c r="C43" s="34"/>
      <c r="D43" s="35"/>
      <c r="E43" s="36"/>
      <c r="F43" s="37"/>
      <c r="G43" s="36"/>
      <c r="H43" s="36"/>
      <c r="I43" s="38">
        <f>SUM(H40:H42)</f>
        <v>3583036.8983751759</v>
      </c>
      <c r="K43" s="25"/>
    </row>
    <row r="44" spans="1:11" x14ac:dyDescent="0.2">
      <c r="A44" s="19">
        <v>5</v>
      </c>
      <c r="B44" s="20" t="s">
        <v>60</v>
      </c>
      <c r="C44" s="21"/>
      <c r="D44" s="48"/>
      <c r="E44" s="23"/>
      <c r="F44" s="23"/>
      <c r="G44" s="49"/>
      <c r="H44" s="49"/>
      <c r="I44" s="24"/>
      <c r="K44" s="25"/>
    </row>
    <row r="45" spans="1:11" x14ac:dyDescent="0.2">
      <c r="A45" s="26">
        <v>5.01</v>
      </c>
      <c r="B45" s="27" t="s">
        <v>61</v>
      </c>
      <c r="C45" s="28" t="s">
        <v>27</v>
      </c>
      <c r="D45" s="50">
        <f>+(282.14*4)+345.55</f>
        <v>1474.11</v>
      </c>
      <c r="E45" s="30">
        <v>15360</v>
      </c>
      <c r="F45" s="30">
        <v>20000</v>
      </c>
      <c r="G45" s="51">
        <v>36678.928000000007</v>
      </c>
      <c r="H45" s="51">
        <f>D45*G45</f>
        <v>54068774.554080009</v>
      </c>
      <c r="I45" s="31"/>
      <c r="K45" s="25"/>
    </row>
    <row r="46" spans="1:11" x14ac:dyDescent="0.2">
      <c r="A46" s="26">
        <v>5.0199999999999996</v>
      </c>
      <c r="B46" s="27" t="s">
        <v>62</v>
      </c>
      <c r="C46" s="28" t="s">
        <v>59</v>
      </c>
      <c r="D46" s="50">
        <f>9*5</f>
        <v>45</v>
      </c>
      <c r="E46" s="30">
        <v>227900</v>
      </c>
      <c r="F46" s="30">
        <v>20000</v>
      </c>
      <c r="G46" s="51">
        <v>257146.67000000004</v>
      </c>
      <c r="H46" s="51">
        <f>D46*G46</f>
        <v>11571600.150000002</v>
      </c>
      <c r="I46" s="31"/>
      <c r="K46" s="25"/>
    </row>
    <row r="47" spans="1:11" x14ac:dyDescent="0.2">
      <c r="A47" s="26">
        <v>5.03</v>
      </c>
      <c r="B47" s="27" t="s">
        <v>63</v>
      </c>
      <c r="C47" s="28" t="s">
        <v>59</v>
      </c>
      <c r="D47" s="50">
        <f>(1474.11/(2.36*6))*2</f>
        <v>208.20762711864404</v>
      </c>
      <c r="E47" s="30">
        <v>65900</v>
      </c>
      <c r="F47" s="30">
        <v>2363</v>
      </c>
      <c r="G47" s="51">
        <v>70809.209900000002</v>
      </c>
      <c r="H47" s="51">
        <f>D47*G47</f>
        <v>14743017.571424998</v>
      </c>
      <c r="I47" s="31"/>
      <c r="K47" s="25"/>
    </row>
    <row r="48" spans="1:11" x14ac:dyDescent="0.2">
      <c r="A48" s="57">
        <v>5.04</v>
      </c>
      <c r="B48" s="43" t="s">
        <v>64</v>
      </c>
      <c r="C48" s="44" t="s">
        <v>65</v>
      </c>
      <c r="D48" s="52">
        <f>1474.11*2*0.1</f>
        <v>294.822</v>
      </c>
      <c r="E48" s="46">
        <f>'[1]presupuesto 5'!$E$181*1.15</f>
        <v>8436.5839999999989</v>
      </c>
      <c r="F48" s="46">
        <f>'[1]presupuesto 5'!$F$181*1.15</f>
        <v>5833.03</v>
      </c>
      <c r="G48" s="53">
        <v>14801.870602199999</v>
      </c>
      <c r="H48" s="53">
        <f>D48*G48</f>
        <v>4363917.0946818078</v>
      </c>
      <c r="I48" s="54"/>
      <c r="K48" s="25"/>
    </row>
    <row r="49" spans="1:11" x14ac:dyDescent="0.2">
      <c r="A49" s="32"/>
      <c r="B49" s="33" t="s">
        <v>28</v>
      </c>
      <c r="C49" s="34"/>
      <c r="D49" s="35"/>
      <c r="E49" s="36"/>
      <c r="F49" s="37"/>
      <c r="G49" s="36"/>
      <c r="H49" s="36"/>
      <c r="I49" s="38">
        <f>SUM(H45:H48)</f>
        <v>84747309.370186821</v>
      </c>
      <c r="J49" s="58"/>
      <c r="K49" s="25"/>
    </row>
    <row r="50" spans="1:11" x14ac:dyDescent="0.2">
      <c r="A50" s="59">
        <v>6</v>
      </c>
      <c r="B50" s="60" t="s">
        <v>66</v>
      </c>
      <c r="C50" s="61"/>
      <c r="D50" s="62"/>
      <c r="E50" s="63"/>
      <c r="F50" s="63"/>
      <c r="G50" s="64"/>
      <c r="H50" s="64"/>
      <c r="I50" s="65"/>
      <c r="K50" s="25"/>
    </row>
    <row r="51" spans="1:11" x14ac:dyDescent="0.2">
      <c r="A51" s="26">
        <v>6.01</v>
      </c>
      <c r="B51" s="27" t="s">
        <v>67</v>
      </c>
      <c r="C51" s="66" t="s">
        <v>20</v>
      </c>
      <c r="D51" s="50">
        <f>((7.85*8)*4)*2.4</f>
        <v>602.88</v>
      </c>
      <c r="E51" s="30">
        <f>'[1]presupuesto 5'!$E$115*1.15</f>
        <v>14670.319999999998</v>
      </c>
      <c r="F51" s="30">
        <f>'[1]presupuesto 5'!$F$115*1.15</f>
        <v>7499.61</v>
      </c>
      <c r="G51" s="51">
        <v>22996.868388999999</v>
      </c>
      <c r="H51" s="51">
        <f>D51*G51</f>
        <v>13864352.01436032</v>
      </c>
      <c r="I51" s="31"/>
      <c r="K51" s="25"/>
    </row>
    <row r="52" spans="1:11" x14ac:dyDescent="0.2">
      <c r="A52" s="67"/>
      <c r="B52" s="33" t="s">
        <v>28</v>
      </c>
      <c r="C52" s="68"/>
      <c r="D52" s="69"/>
      <c r="E52" s="37"/>
      <c r="F52" s="37"/>
      <c r="G52" s="70"/>
      <c r="H52" s="70"/>
      <c r="I52" s="38">
        <f>SUM(H51)</f>
        <v>13864352.01436032</v>
      </c>
      <c r="J52" s="71"/>
      <c r="K52" s="25"/>
    </row>
    <row r="53" spans="1:11" x14ac:dyDescent="0.2">
      <c r="A53" s="19">
        <v>7</v>
      </c>
      <c r="B53" s="20" t="s">
        <v>68</v>
      </c>
      <c r="C53" s="72"/>
      <c r="D53" s="48"/>
      <c r="E53" s="23"/>
      <c r="F53" s="23"/>
      <c r="G53" s="49"/>
      <c r="H53" s="49"/>
      <c r="I53" s="24"/>
      <c r="J53" s="71"/>
      <c r="K53" s="25"/>
    </row>
    <row r="54" spans="1:11" x14ac:dyDescent="0.2">
      <c r="A54" s="26">
        <v>7.01</v>
      </c>
      <c r="B54" s="27" t="s">
        <v>69</v>
      </c>
      <c r="C54" s="66" t="s">
        <v>70</v>
      </c>
      <c r="D54" s="50">
        <v>50</v>
      </c>
      <c r="E54" s="30">
        <f>'[1]presupuesto 5'!$E$123*1.15</f>
        <v>4434.1929999999993</v>
      </c>
      <c r="F54" s="30">
        <f>'[1]presupuesto 5'!$F$123*1.15</f>
        <v>5999.6879999999992</v>
      </c>
      <c r="G54" s="51">
        <v>10823.064761299998</v>
      </c>
      <c r="H54" s="51">
        <f>D54*G54</f>
        <v>541153.23806499992</v>
      </c>
      <c r="I54" s="31"/>
      <c r="J54" s="71"/>
      <c r="K54" s="25"/>
    </row>
    <row r="55" spans="1:11" x14ac:dyDescent="0.2">
      <c r="A55" s="26">
        <v>7.02</v>
      </c>
      <c r="B55" s="27" t="s">
        <v>71</v>
      </c>
      <c r="C55" s="66" t="s">
        <v>32</v>
      </c>
      <c r="D55" s="50">
        <v>150</v>
      </c>
      <c r="E55" s="30">
        <f>'[1]presupuesto 5'!$E$124*1.15</f>
        <v>2476.1974799999998</v>
      </c>
      <c r="F55" s="30"/>
      <c r="G55" s="51">
        <v>2568.5596460040001</v>
      </c>
      <c r="H55" s="51">
        <f>D55*G55</f>
        <v>385283.94690060004</v>
      </c>
      <c r="I55" s="31"/>
      <c r="J55" s="71"/>
      <c r="K55" s="25"/>
    </row>
    <row r="56" spans="1:11" x14ac:dyDescent="0.2">
      <c r="A56" s="67"/>
      <c r="B56" s="33" t="s">
        <v>28</v>
      </c>
      <c r="C56" s="68"/>
      <c r="D56" s="69"/>
      <c r="E56" s="37"/>
      <c r="F56" s="37"/>
      <c r="G56" s="70"/>
      <c r="H56" s="70"/>
      <c r="I56" s="38">
        <f>SUM(H54:H55)</f>
        <v>926437.18496560003</v>
      </c>
      <c r="J56" s="71"/>
      <c r="K56" s="25"/>
    </row>
    <row r="57" spans="1:11" x14ac:dyDescent="0.2">
      <c r="A57" s="73">
        <v>8</v>
      </c>
      <c r="B57" s="74" t="s">
        <v>72</v>
      </c>
      <c r="C57" s="75"/>
      <c r="D57" s="76"/>
      <c r="E57" s="77"/>
      <c r="F57" s="77"/>
      <c r="G57" s="78"/>
      <c r="H57" s="78"/>
      <c r="I57" s="79"/>
      <c r="J57" s="71"/>
      <c r="K57" s="25"/>
    </row>
    <row r="58" spans="1:11" x14ac:dyDescent="0.2">
      <c r="A58" s="26">
        <v>8.01</v>
      </c>
      <c r="B58" s="80" t="s">
        <v>73</v>
      </c>
      <c r="C58" s="66" t="s">
        <v>20</v>
      </c>
      <c r="D58" s="50">
        <f>608.88*2</f>
        <v>1217.76</v>
      </c>
      <c r="E58" s="30">
        <f>'[1]presupuesto 5'!$E$137*1.15</f>
        <v>3431.5539999999996</v>
      </c>
      <c r="F58" s="30">
        <v>8500</v>
      </c>
      <c r="G58" s="51">
        <v>12376.600964200001</v>
      </c>
      <c r="H58" s="51">
        <f>D58*G58</f>
        <v>15071729.590164192</v>
      </c>
      <c r="I58" s="31"/>
      <c r="J58" s="71"/>
      <c r="K58" s="25"/>
    </row>
    <row r="59" spans="1:11" x14ac:dyDescent="0.2">
      <c r="A59" s="26">
        <v>8.02</v>
      </c>
      <c r="B59" s="80" t="s">
        <v>74</v>
      </c>
      <c r="C59" s="66" t="s">
        <v>20</v>
      </c>
      <c r="D59" s="50">
        <f>(7*5)+(1.5*2.4)</f>
        <v>38.6</v>
      </c>
      <c r="E59" s="30">
        <f>'[1]presupuesto 5'!$E$143*1.15</f>
        <v>5574.8319999999985</v>
      </c>
      <c r="F59" s="30">
        <v>8500</v>
      </c>
      <c r="G59" s="51">
        <v>14599.8232336</v>
      </c>
      <c r="H59" s="51">
        <f>D59*G59</f>
        <v>563553.17681695998</v>
      </c>
      <c r="I59" s="31"/>
      <c r="J59" s="71"/>
      <c r="K59" s="25"/>
    </row>
    <row r="60" spans="1:11" x14ac:dyDescent="0.2">
      <c r="A60" s="57">
        <v>8.0299999999999994</v>
      </c>
      <c r="B60" s="81" t="s">
        <v>75</v>
      </c>
      <c r="C60" s="82" t="s">
        <v>70</v>
      </c>
      <c r="D60" s="52">
        <v>150</v>
      </c>
      <c r="E60" s="46">
        <f>'[1]presupuesto 5'!$E$145*1.15</f>
        <v>215.73999999999998</v>
      </c>
      <c r="F60" s="46">
        <v>3000</v>
      </c>
      <c r="G60" s="53">
        <v>3335.6871020000003</v>
      </c>
      <c r="H60" s="53">
        <f>D60*G60</f>
        <v>500353.06530000007</v>
      </c>
      <c r="I60" s="54"/>
      <c r="J60" s="71"/>
      <c r="K60" s="25"/>
    </row>
    <row r="61" spans="1:11" x14ac:dyDescent="0.2">
      <c r="A61" s="67"/>
      <c r="B61" s="33" t="s">
        <v>28</v>
      </c>
      <c r="C61" s="68"/>
      <c r="D61" s="69"/>
      <c r="E61" s="37"/>
      <c r="F61" s="37"/>
      <c r="G61" s="70"/>
      <c r="H61" s="70"/>
      <c r="I61" s="38">
        <f>SUM(H58:H60)</f>
        <v>16135635.832281154</v>
      </c>
      <c r="J61" s="71"/>
      <c r="K61" s="25"/>
    </row>
    <row r="62" spans="1:11" x14ac:dyDescent="0.2">
      <c r="A62" s="83">
        <v>9</v>
      </c>
      <c r="B62" s="74" t="s">
        <v>76</v>
      </c>
      <c r="C62" s="75"/>
      <c r="D62" s="76"/>
      <c r="E62" s="77"/>
      <c r="F62" s="77"/>
      <c r="G62" s="78"/>
      <c r="H62" s="78"/>
      <c r="I62" s="79"/>
      <c r="J62" s="71"/>
      <c r="K62" s="25"/>
    </row>
    <row r="63" spans="1:11" x14ac:dyDescent="0.2">
      <c r="A63" s="84">
        <v>9.01</v>
      </c>
      <c r="B63" s="80" t="s">
        <v>77</v>
      </c>
      <c r="C63" s="66" t="s">
        <v>20</v>
      </c>
      <c r="D63" s="50">
        <v>400</v>
      </c>
      <c r="E63" s="30">
        <f>'[1]presupuesto 5'!$E$151*1.15</f>
        <v>16137.581999999999</v>
      </c>
      <c r="F63" s="30">
        <f>'[1]presupuesto 5'!$F$151*1.15</f>
        <v>7499.61</v>
      </c>
      <c r="G63" s="51">
        <v>24518.859261600002</v>
      </c>
      <c r="H63" s="51">
        <f>D63*G63</f>
        <v>9807543.7046400011</v>
      </c>
      <c r="I63" s="31"/>
      <c r="J63" s="71"/>
      <c r="K63" s="25"/>
    </row>
    <row r="64" spans="1:11" x14ac:dyDescent="0.2">
      <c r="A64" s="84">
        <v>9.02</v>
      </c>
      <c r="B64" s="80" t="s">
        <v>78</v>
      </c>
      <c r="C64" s="66" t="s">
        <v>70</v>
      </c>
      <c r="D64" s="50">
        <f>+(16+25+16+25)</f>
        <v>82</v>
      </c>
      <c r="E64" s="30">
        <f>'[1]presupuesto 5'!$E$152*1.15</f>
        <v>2954.7064999999998</v>
      </c>
      <c r="F64" s="30">
        <f>'[1]presupuesto 5'!$F$152*1.15</f>
        <v>5333.0560000000005</v>
      </c>
      <c r="G64" s="51">
        <v>8596.8960412500019</v>
      </c>
      <c r="H64" s="51">
        <f>D64*G64</f>
        <v>704945.4753825001</v>
      </c>
      <c r="I64" s="31"/>
      <c r="J64" s="71"/>
      <c r="K64" s="25"/>
    </row>
    <row r="65" spans="1:11" x14ac:dyDescent="0.2">
      <c r="A65" s="67"/>
      <c r="B65" s="33" t="s">
        <v>28</v>
      </c>
      <c r="C65" s="68"/>
      <c r="D65" s="69"/>
      <c r="E65" s="37"/>
      <c r="F65" s="37"/>
      <c r="G65" s="70"/>
      <c r="H65" s="70"/>
      <c r="I65" s="38">
        <f>SUM(H63:H64)</f>
        <v>10512489.1800225</v>
      </c>
      <c r="J65" s="71"/>
      <c r="K65" s="25"/>
    </row>
    <row r="66" spans="1:11" x14ac:dyDescent="0.2">
      <c r="A66" s="85">
        <v>10</v>
      </c>
      <c r="B66" s="86" t="s">
        <v>79</v>
      </c>
      <c r="C66" s="87"/>
      <c r="D66" s="48"/>
      <c r="E66" s="23"/>
      <c r="F66" s="23"/>
      <c r="G66" s="49"/>
      <c r="H66" s="49"/>
      <c r="I66" s="24"/>
      <c r="J66" s="71"/>
      <c r="K66" s="25"/>
    </row>
    <row r="67" spans="1:11" x14ac:dyDescent="0.2">
      <c r="A67" s="88">
        <v>10.01</v>
      </c>
      <c r="B67" s="80" t="s">
        <v>80</v>
      </c>
      <c r="C67" s="66" t="s">
        <v>20</v>
      </c>
      <c r="D67" s="50">
        <f>D63</f>
        <v>400</v>
      </c>
      <c r="E67" s="30">
        <f>'[1]presupuesto 5'!$E$162*1.15</f>
        <v>2170.625</v>
      </c>
      <c r="F67" s="30">
        <f>'[1]presupuesto 5'!$F$162*1.15</f>
        <v>981.82399999999996</v>
      </c>
      <c r="G67" s="51">
        <v>3270.0353477000003</v>
      </c>
      <c r="H67" s="51">
        <f>D67*G67</f>
        <v>1308014.1390800001</v>
      </c>
      <c r="I67" s="31"/>
      <c r="J67" s="71"/>
      <c r="K67" s="25"/>
    </row>
    <row r="68" spans="1:11" x14ac:dyDescent="0.2">
      <c r="A68" s="89">
        <v>10.02</v>
      </c>
      <c r="B68" s="81" t="s">
        <v>81</v>
      </c>
      <c r="C68" s="82" t="s">
        <v>20</v>
      </c>
      <c r="D68" s="52">
        <f>D67</f>
        <v>400</v>
      </c>
      <c r="E68" s="46">
        <v>11949</v>
      </c>
      <c r="F68" s="46">
        <v>6900</v>
      </c>
      <c r="G68" s="53">
        <v>19552.067700000003</v>
      </c>
      <c r="H68" s="53">
        <f>D68*G68</f>
        <v>7820827.080000001</v>
      </c>
      <c r="I68" s="54"/>
      <c r="J68" s="71"/>
      <c r="K68" s="25"/>
    </row>
    <row r="69" spans="1:11" x14ac:dyDescent="0.2">
      <c r="A69" s="67"/>
      <c r="B69" s="33" t="s">
        <v>28</v>
      </c>
      <c r="C69" s="68"/>
      <c r="D69" s="69"/>
      <c r="E69" s="37"/>
      <c r="F69" s="37"/>
      <c r="G69" s="70"/>
      <c r="H69" s="70"/>
      <c r="I69" s="38">
        <f>SUM(H67:H68)</f>
        <v>9128841.2190800011</v>
      </c>
      <c r="J69" s="71"/>
      <c r="K69" s="25"/>
    </row>
    <row r="70" spans="1:11" x14ac:dyDescent="0.2">
      <c r="A70" s="85">
        <v>11</v>
      </c>
      <c r="B70" s="86" t="s">
        <v>82</v>
      </c>
      <c r="C70" s="87"/>
      <c r="D70" s="48"/>
      <c r="E70" s="23"/>
      <c r="F70" s="23"/>
      <c r="G70" s="49"/>
      <c r="H70" s="49"/>
      <c r="I70" s="24"/>
      <c r="J70" s="71"/>
      <c r="K70" s="25"/>
    </row>
    <row r="71" spans="1:11" x14ac:dyDescent="0.2">
      <c r="A71" s="84">
        <v>11.01</v>
      </c>
      <c r="B71" s="80" t="s">
        <v>83</v>
      </c>
      <c r="C71" s="66" t="s">
        <v>20</v>
      </c>
      <c r="D71" s="50">
        <f>+(345.55)+(282.14*4)</f>
        <v>1474.11</v>
      </c>
      <c r="E71" s="30">
        <v>23000</v>
      </c>
      <c r="F71" s="30">
        <v>6000</v>
      </c>
      <c r="G71" s="51">
        <v>30081.700000000004</v>
      </c>
      <c r="H71" s="51">
        <f>D71*G71</f>
        <v>44343734.787</v>
      </c>
      <c r="I71" s="31"/>
      <c r="J71" s="71"/>
      <c r="K71" s="25"/>
    </row>
    <row r="72" spans="1:11" x14ac:dyDescent="0.2">
      <c r="A72" s="84">
        <v>11.02</v>
      </c>
      <c r="B72" s="80" t="s">
        <v>84</v>
      </c>
      <c r="C72" s="66" t="s">
        <v>70</v>
      </c>
      <c r="D72" s="50">
        <v>400</v>
      </c>
      <c r="E72" s="30">
        <f>E71*0.7</f>
        <v>16099.999999999998</v>
      </c>
      <c r="F72" s="30">
        <f>F71*0.7</f>
        <v>4200</v>
      </c>
      <c r="G72" s="51">
        <v>21057.190000000002</v>
      </c>
      <c r="H72" s="51">
        <f>D72*G72</f>
        <v>8422876</v>
      </c>
      <c r="I72" s="31"/>
      <c r="J72" s="71"/>
      <c r="K72" s="25"/>
    </row>
    <row r="73" spans="1:11" x14ac:dyDescent="0.2">
      <c r="A73" s="67"/>
      <c r="B73" s="33" t="s">
        <v>28</v>
      </c>
      <c r="C73" s="68"/>
      <c r="D73" s="69"/>
      <c r="E73" s="37"/>
      <c r="F73" s="37"/>
      <c r="G73" s="70"/>
      <c r="H73" s="70"/>
      <c r="I73" s="38">
        <f>SUM(H71:H72)</f>
        <v>52766610.787</v>
      </c>
      <c r="J73" s="71"/>
      <c r="K73" s="25"/>
    </row>
    <row r="74" spans="1:11" x14ac:dyDescent="0.2">
      <c r="A74" s="83">
        <v>12</v>
      </c>
      <c r="B74" s="74" t="s">
        <v>85</v>
      </c>
      <c r="C74" s="75"/>
      <c r="D74" s="76"/>
      <c r="E74" s="77"/>
      <c r="F74" s="77"/>
      <c r="G74" s="78"/>
      <c r="H74" s="78"/>
      <c r="I74" s="79"/>
      <c r="J74" s="71"/>
      <c r="K74" s="25"/>
    </row>
    <row r="75" spans="1:11" x14ac:dyDescent="0.2">
      <c r="A75" s="84">
        <v>12.01</v>
      </c>
      <c r="B75" s="80" t="s">
        <v>86</v>
      </c>
      <c r="C75" s="66" t="s">
        <v>20</v>
      </c>
      <c r="D75" s="50">
        <f>(16*25)+14*20</f>
        <v>680</v>
      </c>
      <c r="E75" s="30">
        <v>25000</v>
      </c>
      <c r="F75" s="30">
        <f>'[1]presupuesto 5'!$F$198*1.15</f>
        <v>9999.4799999999977</v>
      </c>
      <c r="G75" s="51">
        <v>36304.960604</v>
      </c>
      <c r="H75" s="51">
        <f t="shared" ref="H75:H124" si="4">D75*G75</f>
        <v>24687373.210719999</v>
      </c>
      <c r="I75" s="31"/>
      <c r="J75" s="71"/>
      <c r="K75" s="25"/>
    </row>
    <row r="76" spans="1:11" x14ac:dyDescent="0.2">
      <c r="A76" s="84">
        <v>12.02</v>
      </c>
      <c r="B76" s="80" t="s">
        <v>87</v>
      </c>
      <c r="C76" s="66" t="s">
        <v>20</v>
      </c>
      <c r="D76" s="50">
        <f>+((21*11)*2)+((21*5)*2)</f>
        <v>672</v>
      </c>
      <c r="E76" s="30">
        <v>25000</v>
      </c>
      <c r="F76" s="30">
        <f>F75</f>
        <v>9999.4799999999977</v>
      </c>
      <c r="G76" s="51">
        <v>36304.960604</v>
      </c>
      <c r="H76" s="51">
        <f t="shared" si="4"/>
        <v>24396933.525888</v>
      </c>
      <c r="I76" s="31"/>
      <c r="J76" s="71"/>
      <c r="K76" s="25"/>
    </row>
    <row r="77" spans="1:11" x14ac:dyDescent="0.2">
      <c r="A77" s="84">
        <v>12.03</v>
      </c>
      <c r="B77" s="80" t="s">
        <v>88</v>
      </c>
      <c r="C77" s="66" t="s">
        <v>20</v>
      </c>
      <c r="D77" s="50">
        <f>+((24*11)*2)+(25*5)*2</f>
        <v>778</v>
      </c>
      <c r="E77" s="30">
        <f>E75</f>
        <v>25000</v>
      </c>
      <c r="F77" s="30">
        <f>F76</f>
        <v>9999.4799999999977</v>
      </c>
      <c r="G77" s="51">
        <v>36304.960604</v>
      </c>
      <c r="H77" s="51">
        <f t="shared" si="4"/>
        <v>28245259.349911999</v>
      </c>
      <c r="I77" s="31"/>
      <c r="J77" s="71"/>
      <c r="K77" s="25"/>
    </row>
    <row r="78" spans="1:11" x14ac:dyDescent="0.2">
      <c r="A78" s="89">
        <v>12.04</v>
      </c>
      <c r="B78" s="81" t="s">
        <v>89</v>
      </c>
      <c r="C78" s="82" t="s">
        <v>20</v>
      </c>
      <c r="D78" s="52">
        <f>+(4.8*3)*5</f>
        <v>72</v>
      </c>
      <c r="E78" s="46">
        <v>25000</v>
      </c>
      <c r="F78" s="46">
        <f>F77</f>
        <v>9999.4799999999977</v>
      </c>
      <c r="G78" s="53">
        <v>36304.960604</v>
      </c>
      <c r="H78" s="53">
        <f t="shared" si="4"/>
        <v>2613957.1634880002</v>
      </c>
      <c r="I78" s="54"/>
      <c r="J78" s="71"/>
      <c r="K78" s="25"/>
    </row>
    <row r="79" spans="1:11" ht="15" customHeight="1" x14ac:dyDescent="0.2">
      <c r="A79" s="67"/>
      <c r="B79" s="33" t="s">
        <v>28</v>
      </c>
      <c r="C79" s="68"/>
      <c r="D79" s="69"/>
      <c r="E79" s="37"/>
      <c r="F79" s="37"/>
      <c r="G79" s="70"/>
      <c r="H79" s="70"/>
      <c r="I79" s="38">
        <f>SUM(H75:H78)</f>
        <v>79943523.250008002</v>
      </c>
      <c r="J79" s="71"/>
      <c r="K79" s="25"/>
    </row>
    <row r="80" spans="1:11" x14ac:dyDescent="0.2">
      <c r="A80" s="85">
        <v>13</v>
      </c>
      <c r="B80" s="86" t="s">
        <v>90</v>
      </c>
      <c r="C80" s="87"/>
      <c r="D80" s="48"/>
      <c r="E80" s="23"/>
      <c r="F80" s="23"/>
      <c r="G80" s="49"/>
      <c r="H80" s="49"/>
      <c r="I80" s="24"/>
      <c r="J80" s="71"/>
      <c r="K80" s="25"/>
    </row>
    <row r="81" spans="1:11" x14ac:dyDescent="0.2">
      <c r="A81" s="84">
        <v>13.01</v>
      </c>
      <c r="B81" s="80" t="s">
        <v>91</v>
      </c>
      <c r="C81" s="66" t="s">
        <v>70</v>
      </c>
      <c r="D81" s="50">
        <v>82</v>
      </c>
      <c r="E81" s="30">
        <v>6000</v>
      </c>
      <c r="F81" s="30">
        <f>'[1]presupuesto 5'!$F$210*1.15</f>
        <v>8332.9</v>
      </c>
      <c r="G81" s="51">
        <v>14867.517170000001</v>
      </c>
      <c r="H81" s="51">
        <f t="shared" si="4"/>
        <v>1219136.4079400001</v>
      </c>
      <c r="I81" s="31"/>
      <c r="J81" s="71"/>
      <c r="K81" s="25"/>
    </row>
    <row r="82" spans="1:11" x14ac:dyDescent="0.2">
      <c r="A82" s="84">
        <v>13.02</v>
      </c>
      <c r="B82" s="80" t="s">
        <v>92</v>
      </c>
      <c r="C82" s="66" t="s">
        <v>70</v>
      </c>
      <c r="D82" s="50">
        <f>+(40+28)*4</f>
        <v>272</v>
      </c>
      <c r="E82" s="30">
        <f>E81</f>
        <v>6000</v>
      </c>
      <c r="F82" s="30">
        <f>F81</f>
        <v>8332.9</v>
      </c>
      <c r="G82" s="51">
        <v>14867.517170000001</v>
      </c>
      <c r="H82" s="51">
        <f t="shared" si="4"/>
        <v>4043964.6702400004</v>
      </c>
      <c r="I82" s="31"/>
      <c r="J82" s="71"/>
      <c r="K82" s="25"/>
    </row>
    <row r="83" spans="1:11" x14ac:dyDescent="0.2">
      <c r="A83" s="89">
        <v>13.03</v>
      </c>
      <c r="B83" s="81" t="s">
        <v>93</v>
      </c>
      <c r="C83" s="82" t="s">
        <v>70</v>
      </c>
      <c r="D83" s="52">
        <f>D77*1.5</f>
        <v>1167</v>
      </c>
      <c r="E83" s="46">
        <v>6000</v>
      </c>
      <c r="F83" s="46">
        <f>F82</f>
        <v>8332.9</v>
      </c>
      <c r="G83" s="53">
        <v>14867.517170000001</v>
      </c>
      <c r="H83" s="53">
        <f t="shared" si="4"/>
        <v>17350392.537390001</v>
      </c>
      <c r="I83" s="54"/>
      <c r="J83" s="71"/>
      <c r="K83" s="25"/>
    </row>
    <row r="84" spans="1:11" x14ac:dyDescent="0.2">
      <c r="A84" s="67"/>
      <c r="B84" s="33" t="s">
        <v>28</v>
      </c>
      <c r="C84" s="68"/>
      <c r="D84" s="69"/>
      <c r="E84" s="37"/>
      <c r="F84" s="37"/>
      <c r="G84" s="70"/>
      <c r="H84" s="70"/>
      <c r="I84" s="38">
        <f>SUM(H81:H83)</f>
        <v>22613493.615570001</v>
      </c>
      <c r="J84" s="71"/>
      <c r="K84" s="25"/>
    </row>
    <row r="85" spans="1:11" x14ac:dyDescent="0.2">
      <c r="A85" s="83">
        <v>14</v>
      </c>
      <c r="B85" s="74" t="s">
        <v>94</v>
      </c>
      <c r="C85" s="75"/>
      <c r="D85" s="90"/>
      <c r="E85" s="77"/>
      <c r="F85" s="91"/>
      <c r="G85" s="78"/>
      <c r="H85" s="78"/>
      <c r="I85" s="92"/>
      <c r="J85" s="71"/>
      <c r="K85" s="25"/>
    </row>
    <row r="86" spans="1:11" x14ac:dyDescent="0.2">
      <c r="A86" s="84">
        <v>14.01</v>
      </c>
      <c r="B86" s="80" t="s">
        <v>95</v>
      </c>
      <c r="C86" s="66" t="s">
        <v>20</v>
      </c>
      <c r="D86" s="93">
        <f>(16*32)</f>
        <v>512</v>
      </c>
      <c r="E86" s="94">
        <v>25000</v>
      </c>
      <c r="F86" s="95">
        <v>7246</v>
      </c>
      <c r="G86" s="51">
        <v>33448.775800000003</v>
      </c>
      <c r="H86" s="51">
        <f t="shared" si="4"/>
        <v>17125773.209600002</v>
      </c>
      <c r="I86" s="96"/>
      <c r="J86" s="71"/>
      <c r="K86" s="25"/>
    </row>
    <row r="87" spans="1:11" x14ac:dyDescent="0.2">
      <c r="A87" s="84">
        <v>14.02</v>
      </c>
      <c r="B87" s="80" t="s">
        <v>96</v>
      </c>
      <c r="C87" s="66" t="s">
        <v>20</v>
      </c>
      <c r="D87" s="93">
        <f>11*2.2*2</f>
        <v>48.400000000000006</v>
      </c>
      <c r="E87" s="94">
        <v>25000</v>
      </c>
      <c r="F87" s="95">
        <f>F86</f>
        <v>7246</v>
      </c>
      <c r="G87" s="51">
        <v>33448.775800000003</v>
      </c>
      <c r="H87" s="51">
        <f t="shared" si="4"/>
        <v>1618920.7487200003</v>
      </c>
      <c r="I87" s="96"/>
      <c r="J87" s="71"/>
      <c r="K87" s="25"/>
    </row>
    <row r="88" spans="1:11" x14ac:dyDescent="0.2">
      <c r="A88" s="67"/>
      <c r="B88" s="33" t="s">
        <v>28</v>
      </c>
      <c r="C88" s="68"/>
      <c r="D88" s="69"/>
      <c r="E88" s="37"/>
      <c r="F88" s="37"/>
      <c r="G88" s="70"/>
      <c r="H88" s="70"/>
      <c r="I88" s="38">
        <f>SUM(H86:H87)</f>
        <v>18744693.958320003</v>
      </c>
      <c r="J88" s="71"/>
      <c r="K88" s="25"/>
    </row>
    <row r="89" spans="1:11" x14ac:dyDescent="0.2">
      <c r="A89" s="85">
        <v>15</v>
      </c>
      <c r="B89" s="86" t="s">
        <v>97</v>
      </c>
      <c r="C89" s="87"/>
      <c r="D89" s="97"/>
      <c r="E89" s="23"/>
      <c r="F89" s="98"/>
      <c r="G89" s="49"/>
      <c r="H89" s="49"/>
      <c r="I89" s="99"/>
      <c r="J89" s="71"/>
      <c r="K89" s="25"/>
    </row>
    <row r="90" spans="1:11" x14ac:dyDescent="0.2">
      <c r="A90" s="89">
        <v>15.01</v>
      </c>
      <c r="B90" s="81" t="s">
        <v>98</v>
      </c>
      <c r="C90" s="82" t="s">
        <v>99</v>
      </c>
      <c r="D90" s="100">
        <v>34</v>
      </c>
      <c r="E90" s="46">
        <f>'[1]presupuesto 5'!$E$229*1.15</f>
        <v>40135</v>
      </c>
      <c r="F90" s="101">
        <f>'[1]presupuesto 5'!$F$229*1.15</f>
        <v>10529.4</v>
      </c>
      <c r="G90" s="53">
        <v>52554.182120000005</v>
      </c>
      <c r="H90" s="53">
        <f t="shared" si="4"/>
        <v>1786842.1920800002</v>
      </c>
      <c r="I90" s="102"/>
      <c r="J90" s="71"/>
      <c r="K90" s="25"/>
    </row>
    <row r="91" spans="1:11" x14ac:dyDescent="0.2">
      <c r="A91" s="67"/>
      <c r="B91" s="33" t="s">
        <v>28</v>
      </c>
      <c r="C91" s="68"/>
      <c r="D91" s="69"/>
      <c r="E91" s="37"/>
      <c r="F91" s="37"/>
      <c r="G91" s="70"/>
      <c r="H91" s="70"/>
      <c r="I91" s="38">
        <f>SUM(H90)</f>
        <v>1786842.1920800002</v>
      </c>
      <c r="J91" s="71"/>
      <c r="K91" s="25"/>
    </row>
    <row r="92" spans="1:11" x14ac:dyDescent="0.2">
      <c r="A92" s="85">
        <v>16</v>
      </c>
      <c r="B92" s="86" t="s">
        <v>100</v>
      </c>
      <c r="C92" s="72"/>
      <c r="D92" s="103"/>
      <c r="E92" s="23"/>
      <c r="F92" s="104"/>
      <c r="G92" s="49"/>
      <c r="H92" s="49"/>
      <c r="I92" s="24"/>
      <c r="J92" s="71"/>
      <c r="K92" s="25"/>
    </row>
    <row r="93" spans="1:11" x14ac:dyDescent="0.2">
      <c r="A93" s="84">
        <v>16.010000000000002</v>
      </c>
      <c r="B93" s="80" t="s">
        <v>101</v>
      </c>
      <c r="C93" s="66" t="s">
        <v>20</v>
      </c>
      <c r="D93" s="93">
        <f>(1.5*4)*34</f>
        <v>204</v>
      </c>
      <c r="E93" s="30">
        <f>50000</f>
        <v>50000</v>
      </c>
      <c r="F93" s="105">
        <v>5090</v>
      </c>
      <c r="G93" s="51">
        <v>57144.857000000004</v>
      </c>
      <c r="H93" s="51">
        <f>D93*G93</f>
        <v>11657550.828000002</v>
      </c>
      <c r="I93" s="31"/>
      <c r="J93" s="71"/>
      <c r="K93" s="25"/>
    </row>
    <row r="94" spans="1:11" x14ac:dyDescent="0.2">
      <c r="A94" s="84">
        <v>16.02</v>
      </c>
      <c r="B94" s="80" t="s">
        <v>102</v>
      </c>
      <c r="C94" s="66" t="s">
        <v>70</v>
      </c>
      <c r="D94" s="93">
        <f>+(4*34)</f>
        <v>136</v>
      </c>
      <c r="E94" s="30">
        <v>223520</v>
      </c>
      <c r="F94" s="105">
        <v>15000</v>
      </c>
      <c r="G94" s="51">
        <v>247416.79600000003</v>
      </c>
      <c r="H94" s="51">
        <f>D94*G94</f>
        <v>33648684.256000005</v>
      </c>
      <c r="I94" s="31"/>
      <c r="J94" s="71"/>
      <c r="K94" s="25"/>
    </row>
    <row r="95" spans="1:11" ht="24.75" customHeight="1" x14ac:dyDescent="0.2">
      <c r="A95" s="89">
        <v>16.03</v>
      </c>
      <c r="B95" s="106" t="s">
        <v>103</v>
      </c>
      <c r="C95" s="82" t="s">
        <v>70</v>
      </c>
      <c r="D95" s="100">
        <f>15</f>
        <v>15</v>
      </c>
      <c r="E95" s="46">
        <v>604900</v>
      </c>
      <c r="F95" s="101">
        <f>F94</f>
        <v>15000</v>
      </c>
      <c r="G95" s="53">
        <v>643022.27</v>
      </c>
      <c r="H95" s="53">
        <f>D95*G95</f>
        <v>9645334.0500000007</v>
      </c>
      <c r="I95" s="54"/>
      <c r="J95" s="71"/>
      <c r="K95" s="25"/>
    </row>
    <row r="96" spans="1:11" x14ac:dyDescent="0.2">
      <c r="A96" s="67"/>
      <c r="B96" s="33" t="s">
        <v>28</v>
      </c>
      <c r="C96" s="68"/>
      <c r="D96" s="69"/>
      <c r="E96" s="37"/>
      <c r="F96" s="37"/>
      <c r="G96" s="70"/>
      <c r="H96" s="70"/>
      <c r="I96" s="38">
        <f>SUM(H93:H95)</f>
        <v>54951569.134000003</v>
      </c>
      <c r="J96" s="71"/>
      <c r="K96" s="25"/>
    </row>
    <row r="97" spans="1:11" x14ac:dyDescent="0.2">
      <c r="A97" s="83"/>
      <c r="B97" s="74" t="s">
        <v>104</v>
      </c>
      <c r="C97" s="75"/>
      <c r="D97" s="90"/>
      <c r="E97" s="77"/>
      <c r="F97" s="91"/>
      <c r="G97" s="78"/>
      <c r="H97" s="78"/>
      <c r="I97" s="92"/>
      <c r="J97" s="71"/>
      <c r="K97" s="25"/>
    </row>
    <row r="98" spans="1:11" x14ac:dyDescent="0.2">
      <c r="A98" s="85">
        <v>17</v>
      </c>
      <c r="B98" s="20" t="s">
        <v>105</v>
      </c>
      <c r="C98" s="107"/>
      <c r="D98" s="48"/>
      <c r="E98" s="23"/>
      <c r="F98" s="23"/>
      <c r="G98" s="49"/>
      <c r="H98" s="49"/>
      <c r="I98" s="24"/>
      <c r="J98" s="71"/>
      <c r="K98" s="25"/>
    </row>
    <row r="99" spans="1:11" x14ac:dyDescent="0.2">
      <c r="A99" s="26">
        <v>17.010000000000002</v>
      </c>
      <c r="B99" s="27" t="s">
        <v>106</v>
      </c>
      <c r="C99" s="27" t="s">
        <v>70</v>
      </c>
      <c r="D99" s="50">
        <v>50</v>
      </c>
      <c r="E99" s="30"/>
      <c r="F99" s="30"/>
      <c r="G99" s="51">
        <v>45047.293884999999</v>
      </c>
      <c r="H99" s="51">
        <f t="shared" si="4"/>
        <v>2252364.6942500002</v>
      </c>
      <c r="I99" s="31"/>
      <c r="J99" s="71"/>
      <c r="K99" s="25"/>
    </row>
    <row r="100" spans="1:11" x14ac:dyDescent="0.2">
      <c r="A100" s="26">
        <v>17.02</v>
      </c>
      <c r="B100" s="27" t="s">
        <v>107</v>
      </c>
      <c r="C100" s="27" t="s">
        <v>11</v>
      </c>
      <c r="D100" s="50">
        <v>20</v>
      </c>
      <c r="E100" s="30"/>
      <c r="F100" s="30"/>
      <c r="G100" s="51">
        <v>14015.323355</v>
      </c>
      <c r="H100" s="51">
        <f t="shared" si="4"/>
        <v>280306.46710000001</v>
      </c>
      <c r="I100" s="31"/>
      <c r="J100" s="71"/>
      <c r="K100" s="25"/>
    </row>
    <row r="101" spans="1:11" x14ac:dyDescent="0.2">
      <c r="A101" s="26">
        <v>17.03</v>
      </c>
      <c r="B101" s="27" t="s">
        <v>108</v>
      </c>
      <c r="C101" s="27" t="s">
        <v>70</v>
      </c>
      <c r="D101" s="50">
        <v>122</v>
      </c>
      <c r="E101" s="30"/>
      <c r="F101" s="30"/>
      <c r="G101" s="51">
        <v>13870.98306</v>
      </c>
      <c r="H101" s="51">
        <f t="shared" si="4"/>
        <v>1692259.9333200001</v>
      </c>
      <c r="I101" s="31"/>
      <c r="J101" s="71"/>
      <c r="K101" s="25"/>
    </row>
    <row r="102" spans="1:11" x14ac:dyDescent="0.2">
      <c r="A102" s="26">
        <v>17.04</v>
      </c>
      <c r="B102" s="27" t="s">
        <v>109</v>
      </c>
      <c r="C102" s="27" t="s">
        <v>11</v>
      </c>
      <c r="D102" s="50">
        <v>30</v>
      </c>
      <c r="E102" s="30"/>
      <c r="F102" s="30"/>
      <c r="G102" s="51">
        <v>8115.264685000001</v>
      </c>
      <c r="H102" s="51">
        <f t="shared" si="4"/>
        <v>243457.94055000003</v>
      </c>
      <c r="I102" s="31"/>
      <c r="J102" s="71"/>
      <c r="K102" s="25"/>
    </row>
    <row r="103" spans="1:11" x14ac:dyDescent="0.2">
      <c r="A103" s="26">
        <v>17.05</v>
      </c>
      <c r="B103" s="27" t="s">
        <v>110</v>
      </c>
      <c r="C103" s="27" t="s">
        <v>11</v>
      </c>
      <c r="D103" s="50">
        <v>15</v>
      </c>
      <c r="E103" s="30"/>
      <c r="F103" s="30"/>
      <c r="G103" s="51">
        <v>92572.230685000002</v>
      </c>
      <c r="H103" s="51">
        <f t="shared" si="4"/>
        <v>1388583.460275</v>
      </c>
      <c r="I103" s="31"/>
      <c r="J103" s="71"/>
      <c r="K103" s="25"/>
    </row>
    <row r="104" spans="1:11" x14ac:dyDescent="0.2">
      <c r="A104" s="26">
        <v>17.059999999999999</v>
      </c>
      <c r="B104" s="27" t="s">
        <v>111</v>
      </c>
      <c r="C104" s="27" t="s">
        <v>11</v>
      </c>
      <c r="D104" s="50">
        <v>40</v>
      </c>
      <c r="E104" s="30"/>
      <c r="F104" s="30"/>
      <c r="G104" s="51">
        <v>202775.44947000002</v>
      </c>
      <c r="H104" s="51">
        <f t="shared" si="4"/>
        <v>8111017.9788000006</v>
      </c>
      <c r="I104" s="31"/>
      <c r="J104" s="71"/>
      <c r="K104" s="25"/>
    </row>
    <row r="105" spans="1:11" x14ac:dyDescent="0.2">
      <c r="A105" s="26">
        <v>17.07</v>
      </c>
      <c r="B105" s="27" t="s">
        <v>112</v>
      </c>
      <c r="C105" s="27" t="s">
        <v>11</v>
      </c>
      <c r="D105" s="50">
        <v>40</v>
      </c>
      <c r="E105" s="30"/>
      <c r="F105" s="30"/>
      <c r="G105" s="51">
        <v>285537.311675</v>
      </c>
      <c r="H105" s="51">
        <f t="shared" si="4"/>
        <v>11421492.467</v>
      </c>
      <c r="I105" s="31"/>
      <c r="J105" s="71"/>
      <c r="K105" s="25"/>
    </row>
    <row r="106" spans="1:11" x14ac:dyDescent="0.2">
      <c r="A106" s="67"/>
      <c r="B106" s="33" t="s">
        <v>28</v>
      </c>
      <c r="C106" s="68"/>
      <c r="D106" s="69"/>
      <c r="E106" s="37"/>
      <c r="F106" s="37"/>
      <c r="G106" s="70"/>
      <c r="H106" s="70"/>
      <c r="I106" s="38">
        <f>SUM(H99:H105)</f>
        <v>25389482.941295002</v>
      </c>
      <c r="J106" s="71"/>
      <c r="K106" s="25"/>
    </row>
    <row r="107" spans="1:11" x14ac:dyDescent="0.2">
      <c r="A107" s="85">
        <v>18</v>
      </c>
      <c r="B107" s="20" t="s">
        <v>113</v>
      </c>
      <c r="C107" s="107"/>
      <c r="D107" s="48"/>
      <c r="E107" s="23"/>
      <c r="F107" s="23"/>
      <c r="G107" s="49"/>
      <c r="H107" s="49"/>
      <c r="I107" s="24"/>
      <c r="J107" s="71"/>
      <c r="K107" s="25"/>
    </row>
    <row r="108" spans="1:11" x14ac:dyDescent="0.2">
      <c r="A108" s="26">
        <v>18.010000000000002</v>
      </c>
      <c r="B108" s="27" t="s">
        <v>114</v>
      </c>
      <c r="C108" s="27" t="s">
        <v>70</v>
      </c>
      <c r="D108" s="50">
        <f>45*5</f>
        <v>225</v>
      </c>
      <c r="E108" s="30"/>
      <c r="F108" s="30"/>
      <c r="G108" s="51">
        <v>17562.526300000001</v>
      </c>
      <c r="H108" s="51">
        <f t="shared" si="4"/>
        <v>3951568.4175000004</v>
      </c>
      <c r="I108" s="31"/>
      <c r="J108" s="71"/>
      <c r="K108" s="25"/>
    </row>
    <row r="109" spans="1:11" x14ac:dyDescent="0.2">
      <c r="A109" s="26">
        <v>18.02</v>
      </c>
      <c r="B109" s="27" t="s">
        <v>115</v>
      </c>
      <c r="C109" s="27" t="s">
        <v>11</v>
      </c>
      <c r="D109" s="50">
        <v>30</v>
      </c>
      <c r="E109" s="30"/>
      <c r="F109" s="30"/>
      <c r="G109" s="51">
        <v>17540.743000000002</v>
      </c>
      <c r="H109" s="51">
        <f t="shared" si="4"/>
        <v>526222.29</v>
      </c>
      <c r="I109" s="31"/>
      <c r="J109" s="71"/>
      <c r="K109" s="25"/>
    </row>
    <row r="110" spans="1:11" x14ac:dyDescent="0.2">
      <c r="A110" s="26">
        <v>18.03</v>
      </c>
      <c r="B110" s="27" t="s">
        <v>116</v>
      </c>
      <c r="C110" s="27" t="s">
        <v>70</v>
      </c>
      <c r="D110" s="50">
        <v>225</v>
      </c>
      <c r="E110" s="30"/>
      <c r="F110" s="30"/>
      <c r="G110" s="51">
        <v>5579.6367000000009</v>
      </c>
      <c r="H110" s="51">
        <f t="shared" si="4"/>
        <v>1255418.2575000003</v>
      </c>
      <c r="I110" s="31"/>
      <c r="J110" s="71"/>
      <c r="K110" s="25"/>
    </row>
    <row r="111" spans="1:11" x14ac:dyDescent="0.2">
      <c r="A111" s="26">
        <v>18.04</v>
      </c>
      <c r="B111" s="27" t="s">
        <v>117</v>
      </c>
      <c r="C111" s="27" t="s">
        <v>11</v>
      </c>
      <c r="D111" s="50">
        <v>40</v>
      </c>
      <c r="E111" s="30"/>
      <c r="F111" s="30"/>
      <c r="G111" s="51">
        <v>1541.4278000000002</v>
      </c>
      <c r="H111" s="51">
        <f t="shared" si="4"/>
        <v>61657.112000000008</v>
      </c>
      <c r="I111" s="31"/>
      <c r="J111" s="71"/>
      <c r="K111" s="25"/>
    </row>
    <row r="112" spans="1:11" x14ac:dyDescent="0.2">
      <c r="A112" s="26">
        <v>18.05</v>
      </c>
      <c r="B112" s="27" t="s">
        <v>118</v>
      </c>
      <c r="C112" s="27" t="s">
        <v>70</v>
      </c>
      <c r="D112" s="50">
        <v>225</v>
      </c>
      <c r="E112" s="30"/>
      <c r="F112" s="30"/>
      <c r="G112" s="51">
        <v>3665.8182000000006</v>
      </c>
      <c r="H112" s="51">
        <f t="shared" si="4"/>
        <v>824809.09500000009</v>
      </c>
      <c r="I112" s="31"/>
      <c r="J112" s="71"/>
      <c r="K112" s="25"/>
    </row>
    <row r="113" spans="1:11" x14ac:dyDescent="0.2">
      <c r="A113" s="26">
        <v>18.059999999999999</v>
      </c>
      <c r="B113" s="27" t="s">
        <v>119</v>
      </c>
      <c r="C113" s="27" t="s">
        <v>11</v>
      </c>
      <c r="D113" s="50">
        <v>40</v>
      </c>
      <c r="E113" s="30"/>
      <c r="F113" s="30"/>
      <c r="G113" s="51">
        <v>576.73880000000008</v>
      </c>
      <c r="H113" s="51">
        <f t="shared" si="4"/>
        <v>23069.552000000003</v>
      </c>
      <c r="I113" s="31"/>
      <c r="J113" s="71"/>
      <c r="K113" s="25"/>
    </row>
    <row r="114" spans="1:11" x14ac:dyDescent="0.2">
      <c r="A114" s="26">
        <v>18.07</v>
      </c>
      <c r="B114" s="27" t="s">
        <v>120</v>
      </c>
      <c r="C114" s="27" t="s">
        <v>70</v>
      </c>
      <c r="D114" s="50">
        <v>225</v>
      </c>
      <c r="E114" s="30"/>
      <c r="F114" s="30"/>
      <c r="G114" s="51">
        <v>4407.4877000000006</v>
      </c>
      <c r="H114" s="51">
        <f t="shared" si="4"/>
        <v>991684.73250000016</v>
      </c>
      <c r="I114" s="31"/>
      <c r="J114" s="71"/>
      <c r="K114" s="25"/>
    </row>
    <row r="115" spans="1:11" x14ac:dyDescent="0.2">
      <c r="A115" s="26">
        <v>18.079999999999998</v>
      </c>
      <c r="B115" s="27" t="s">
        <v>121</v>
      </c>
      <c r="C115" s="27" t="s">
        <v>11</v>
      </c>
      <c r="D115" s="50">
        <v>40</v>
      </c>
      <c r="E115" s="30"/>
      <c r="F115" s="30"/>
      <c r="G115" s="51">
        <v>836.06380000000013</v>
      </c>
      <c r="H115" s="51">
        <f t="shared" si="4"/>
        <v>33442.552000000003</v>
      </c>
      <c r="I115" s="31"/>
      <c r="J115" s="71"/>
      <c r="K115" s="25"/>
    </row>
    <row r="116" spans="1:11" x14ac:dyDescent="0.2">
      <c r="A116" s="26">
        <v>18.09</v>
      </c>
      <c r="B116" s="27" t="s">
        <v>122</v>
      </c>
      <c r="C116" s="27" t="s">
        <v>11</v>
      </c>
      <c r="D116" s="50">
        <v>40</v>
      </c>
      <c r="E116" s="30"/>
      <c r="F116" s="30"/>
      <c r="G116" s="51">
        <v>50914.833200000008</v>
      </c>
      <c r="H116" s="51">
        <f t="shared" si="4"/>
        <v>2036593.3280000002</v>
      </c>
      <c r="I116" s="31"/>
      <c r="J116" s="71"/>
      <c r="K116" s="25"/>
    </row>
    <row r="117" spans="1:11" x14ac:dyDescent="0.2">
      <c r="A117" s="26">
        <v>18.100000000000001</v>
      </c>
      <c r="B117" s="27" t="s">
        <v>123</v>
      </c>
      <c r="C117" s="27" t="s">
        <v>11</v>
      </c>
      <c r="D117" s="50">
        <v>25</v>
      </c>
      <c r="E117" s="30"/>
      <c r="F117" s="30"/>
      <c r="G117" s="51">
        <v>41176.660800000005</v>
      </c>
      <c r="H117" s="51">
        <f t="shared" si="4"/>
        <v>1029416.5200000001</v>
      </c>
      <c r="I117" s="31"/>
      <c r="J117" s="71"/>
      <c r="K117" s="25"/>
    </row>
    <row r="118" spans="1:11" x14ac:dyDescent="0.2">
      <c r="A118" s="26">
        <v>18.11</v>
      </c>
      <c r="B118" s="43" t="s">
        <v>124</v>
      </c>
      <c r="C118" s="43" t="s">
        <v>11</v>
      </c>
      <c r="D118" s="52">
        <v>15</v>
      </c>
      <c r="E118" s="46"/>
      <c r="F118" s="46"/>
      <c r="G118" s="53">
        <v>66117.502000000008</v>
      </c>
      <c r="H118" s="53">
        <f t="shared" si="4"/>
        <v>991762.53000000014</v>
      </c>
      <c r="I118" s="54"/>
      <c r="J118" s="71"/>
      <c r="K118" s="25"/>
    </row>
    <row r="119" spans="1:11" x14ac:dyDescent="0.2">
      <c r="A119" s="67"/>
      <c r="B119" s="33" t="s">
        <v>28</v>
      </c>
      <c r="C119" s="68"/>
      <c r="D119" s="69"/>
      <c r="E119" s="37"/>
      <c r="F119" s="37"/>
      <c r="G119" s="70"/>
      <c r="H119" s="70"/>
      <c r="I119" s="38">
        <f>SUM(H108:H118)</f>
        <v>11725644.386499999</v>
      </c>
      <c r="J119" s="71"/>
      <c r="K119" s="25"/>
    </row>
    <row r="120" spans="1:11" x14ac:dyDescent="0.2">
      <c r="A120" s="85">
        <v>19</v>
      </c>
      <c r="B120" s="20" t="s">
        <v>125</v>
      </c>
      <c r="C120" s="107"/>
      <c r="D120" s="48"/>
      <c r="E120" s="23"/>
      <c r="F120" s="23"/>
      <c r="G120" s="49"/>
      <c r="H120" s="49"/>
      <c r="I120" s="24"/>
      <c r="J120" s="71"/>
      <c r="K120" s="25"/>
    </row>
    <row r="121" spans="1:11" x14ac:dyDescent="0.2">
      <c r="A121" s="26">
        <v>19.010000000000002</v>
      </c>
      <c r="B121" s="27" t="s">
        <v>126</v>
      </c>
      <c r="C121" s="27" t="s">
        <v>11</v>
      </c>
      <c r="D121" s="50">
        <v>80</v>
      </c>
      <c r="E121" s="30"/>
      <c r="F121" s="30"/>
      <c r="G121" s="51">
        <v>36295.127</v>
      </c>
      <c r="H121" s="51">
        <f t="shared" si="4"/>
        <v>2903610.16</v>
      </c>
      <c r="I121" s="31"/>
      <c r="J121" s="71"/>
      <c r="K121" s="25"/>
    </row>
    <row r="122" spans="1:11" x14ac:dyDescent="0.2">
      <c r="A122" s="26">
        <v>19.02</v>
      </c>
      <c r="B122" s="27" t="s">
        <v>127</v>
      </c>
      <c r="C122" s="27" t="s">
        <v>11</v>
      </c>
      <c r="D122" s="50">
        <v>40</v>
      </c>
      <c r="E122" s="30"/>
      <c r="F122" s="30"/>
      <c r="G122" s="51">
        <v>45251.175200000005</v>
      </c>
      <c r="H122" s="51">
        <f t="shared" si="4"/>
        <v>1810047.0080000001</v>
      </c>
      <c r="I122" s="31"/>
      <c r="J122" s="71"/>
      <c r="K122" s="25"/>
    </row>
    <row r="123" spans="1:11" x14ac:dyDescent="0.2">
      <c r="A123" s="26">
        <v>19.03</v>
      </c>
      <c r="B123" s="27" t="s">
        <v>128</v>
      </c>
      <c r="C123" s="27" t="s">
        <v>11</v>
      </c>
      <c r="D123" s="50">
        <v>25</v>
      </c>
      <c r="E123" s="30"/>
      <c r="F123" s="30"/>
      <c r="G123" s="51">
        <v>35442.466400000005</v>
      </c>
      <c r="H123" s="51">
        <f t="shared" si="4"/>
        <v>886061.66000000015</v>
      </c>
      <c r="I123" s="31"/>
      <c r="J123" s="71"/>
      <c r="K123" s="25"/>
    </row>
    <row r="124" spans="1:11" x14ac:dyDescent="0.2">
      <c r="A124" s="26">
        <v>19.04</v>
      </c>
      <c r="B124" s="27" t="s">
        <v>129</v>
      </c>
      <c r="C124" s="27" t="s">
        <v>11</v>
      </c>
      <c r="D124" s="50">
        <v>4</v>
      </c>
      <c r="E124" s="30"/>
      <c r="F124" s="30"/>
      <c r="G124" s="51">
        <v>35442.466400000005</v>
      </c>
      <c r="H124" s="51">
        <f t="shared" si="4"/>
        <v>141769.86560000002</v>
      </c>
      <c r="I124" s="31"/>
      <c r="J124" s="71"/>
      <c r="K124" s="25"/>
    </row>
    <row r="125" spans="1:11" x14ac:dyDescent="0.2">
      <c r="A125" s="67"/>
      <c r="B125" s="33" t="s">
        <v>28</v>
      </c>
      <c r="C125" s="68"/>
      <c r="D125" s="69"/>
      <c r="E125" s="37"/>
      <c r="F125" s="37"/>
      <c r="G125" s="70">
        <v>0</v>
      </c>
      <c r="H125" s="70"/>
      <c r="I125" s="38">
        <f>SUM(H121:H124)</f>
        <v>5741488.6936000008</v>
      </c>
      <c r="J125" s="71"/>
      <c r="K125" s="25"/>
    </row>
    <row r="126" spans="1:11" x14ac:dyDescent="0.2">
      <c r="A126" s="85">
        <v>20</v>
      </c>
      <c r="B126" s="20" t="s">
        <v>130</v>
      </c>
      <c r="C126" s="107"/>
      <c r="D126" s="48"/>
      <c r="E126" s="23"/>
      <c r="F126" s="23"/>
      <c r="G126" s="49">
        <v>0</v>
      </c>
      <c r="H126" s="49"/>
      <c r="I126" s="24"/>
      <c r="J126" s="71"/>
      <c r="K126" s="25"/>
    </row>
    <row r="127" spans="1:11" x14ac:dyDescent="0.2">
      <c r="A127" s="26">
        <v>20.010000000000002</v>
      </c>
      <c r="B127" s="27" t="s">
        <v>131</v>
      </c>
      <c r="C127" s="27" t="s">
        <v>11</v>
      </c>
      <c r="D127" s="50">
        <v>40</v>
      </c>
      <c r="E127" s="30"/>
      <c r="F127" s="30"/>
      <c r="G127" s="51">
        <v>37716.228000000003</v>
      </c>
      <c r="H127" s="51">
        <f>D127*G127</f>
        <v>1508649.12</v>
      </c>
      <c r="I127" s="31"/>
      <c r="J127" s="71"/>
      <c r="K127" s="25"/>
    </row>
    <row r="128" spans="1:11" x14ac:dyDescent="0.2">
      <c r="A128" s="26">
        <v>20.02</v>
      </c>
      <c r="B128" s="27" t="s">
        <v>132</v>
      </c>
      <c r="C128" s="27" t="s">
        <v>11</v>
      </c>
      <c r="D128" s="50">
        <f>D122</f>
        <v>40</v>
      </c>
      <c r="E128" s="30"/>
      <c r="F128" s="30"/>
      <c r="G128" s="51">
        <v>40385.200900000003</v>
      </c>
      <c r="H128" s="51">
        <f>D128*G128</f>
        <v>1615408.0360000001</v>
      </c>
      <c r="I128" s="31"/>
      <c r="J128" s="71"/>
      <c r="K128" s="25"/>
    </row>
    <row r="129" spans="1:11" x14ac:dyDescent="0.2">
      <c r="A129" s="26">
        <v>20.03</v>
      </c>
      <c r="B129" s="27" t="s">
        <v>133</v>
      </c>
      <c r="C129" s="27" t="s">
        <v>11</v>
      </c>
      <c r="D129" s="50">
        <v>25</v>
      </c>
      <c r="E129" s="30"/>
      <c r="F129" s="30"/>
      <c r="G129" s="51">
        <v>35825.230100000001</v>
      </c>
      <c r="H129" s="51">
        <f>D129*G129</f>
        <v>895630.75250000006</v>
      </c>
      <c r="I129" s="31"/>
      <c r="J129" s="71"/>
      <c r="K129" s="25"/>
    </row>
    <row r="130" spans="1:11" x14ac:dyDescent="0.2">
      <c r="A130" s="26">
        <v>20.04</v>
      </c>
      <c r="B130" s="27" t="s">
        <v>134</v>
      </c>
      <c r="C130" s="27" t="s">
        <v>11</v>
      </c>
      <c r="D130" s="50">
        <v>40</v>
      </c>
      <c r="E130" s="30"/>
      <c r="F130" s="30"/>
      <c r="G130" s="51">
        <v>48441.91</v>
      </c>
      <c r="H130" s="51">
        <f>D130*G130</f>
        <v>1937676.4000000001</v>
      </c>
      <c r="I130" s="31"/>
      <c r="J130" s="71"/>
      <c r="K130" s="25"/>
    </row>
    <row r="131" spans="1:11" x14ac:dyDescent="0.2">
      <c r="A131" s="26">
        <v>20.05</v>
      </c>
      <c r="B131" s="43" t="s">
        <v>135</v>
      </c>
      <c r="C131" s="43" t="s">
        <v>11</v>
      </c>
      <c r="D131" s="52">
        <v>25</v>
      </c>
      <c r="E131" s="46"/>
      <c r="F131" s="46"/>
      <c r="G131" s="53">
        <v>29620.101500000004</v>
      </c>
      <c r="H131" s="53">
        <f>D131*G131</f>
        <v>740502.53750000009</v>
      </c>
      <c r="I131" s="54"/>
      <c r="J131" s="71"/>
      <c r="K131" s="25"/>
    </row>
    <row r="132" spans="1:11" x14ac:dyDescent="0.2">
      <c r="A132" s="67"/>
      <c r="B132" s="33" t="s">
        <v>28</v>
      </c>
      <c r="C132" s="68"/>
      <c r="D132" s="69"/>
      <c r="E132" s="37"/>
      <c r="F132" s="37"/>
      <c r="G132" s="70">
        <v>0</v>
      </c>
      <c r="H132" s="70"/>
      <c r="I132" s="38">
        <f>SUM(H127:H131)</f>
        <v>6697866.8460000008</v>
      </c>
      <c r="J132" s="71"/>
      <c r="K132" s="25"/>
    </row>
    <row r="133" spans="1:11" x14ac:dyDescent="0.2">
      <c r="A133" s="85">
        <v>21</v>
      </c>
      <c r="B133" s="20" t="s">
        <v>136</v>
      </c>
      <c r="C133" s="107"/>
      <c r="D133" s="48"/>
      <c r="E133" s="23"/>
      <c r="F133" s="23"/>
      <c r="G133" s="49">
        <v>0</v>
      </c>
      <c r="H133" s="49"/>
      <c r="I133" s="24"/>
      <c r="J133" s="71"/>
      <c r="K133" s="25"/>
    </row>
    <row r="134" spans="1:11" x14ac:dyDescent="0.2">
      <c r="A134" s="26">
        <v>21.01</v>
      </c>
      <c r="B134" s="27" t="s">
        <v>137</v>
      </c>
      <c r="C134" s="27" t="s">
        <v>11</v>
      </c>
      <c r="D134" s="50">
        <f>D127</f>
        <v>40</v>
      </c>
      <c r="E134" s="30"/>
      <c r="F134" s="30"/>
      <c r="G134" s="51">
        <v>29983.156500000005</v>
      </c>
      <c r="H134" s="51">
        <f>D134*G134</f>
        <v>1199326.2600000002</v>
      </c>
      <c r="I134" s="31"/>
      <c r="J134" s="71"/>
      <c r="K134" s="25"/>
    </row>
    <row r="135" spans="1:11" x14ac:dyDescent="0.2">
      <c r="A135" s="26">
        <v>21.02</v>
      </c>
      <c r="B135" s="27" t="s">
        <v>138</v>
      </c>
      <c r="C135" s="27" t="s">
        <v>11</v>
      </c>
      <c r="D135" s="50">
        <f>D128</f>
        <v>40</v>
      </c>
      <c r="E135" s="30"/>
      <c r="F135" s="30"/>
      <c r="G135" s="51">
        <v>28659.561700000002</v>
      </c>
      <c r="H135" s="51">
        <f>D135*G135</f>
        <v>1146382.4680000001</v>
      </c>
      <c r="I135" s="31"/>
      <c r="J135" s="71"/>
      <c r="K135" s="25"/>
    </row>
    <row r="136" spans="1:11" x14ac:dyDescent="0.2">
      <c r="A136" s="26">
        <v>21.03</v>
      </c>
      <c r="B136" s="27" t="s">
        <v>139</v>
      </c>
      <c r="C136" s="27" t="s">
        <v>11</v>
      </c>
      <c r="D136" s="50">
        <f>D129</f>
        <v>25</v>
      </c>
      <c r="E136" s="30"/>
      <c r="F136" s="30"/>
      <c r="G136" s="51">
        <v>29509.110400000001</v>
      </c>
      <c r="H136" s="51">
        <f>D136*G136</f>
        <v>737727.76</v>
      </c>
      <c r="I136" s="31"/>
      <c r="J136" s="71"/>
      <c r="K136" s="25"/>
    </row>
    <row r="137" spans="1:11" x14ac:dyDescent="0.2">
      <c r="A137" s="26">
        <v>21.04</v>
      </c>
      <c r="B137" s="27" t="s">
        <v>140</v>
      </c>
      <c r="C137" s="27" t="s">
        <v>11</v>
      </c>
      <c r="D137" s="50">
        <v>8</v>
      </c>
      <c r="E137" s="30"/>
      <c r="F137" s="30"/>
      <c r="G137" s="51">
        <v>89950.506800000003</v>
      </c>
      <c r="H137" s="51">
        <f>D137*G137</f>
        <v>719604.05440000002</v>
      </c>
      <c r="I137" s="31"/>
      <c r="J137" s="71"/>
      <c r="K137" s="25"/>
    </row>
    <row r="138" spans="1:11" x14ac:dyDescent="0.2">
      <c r="A138" s="26">
        <v>21.05</v>
      </c>
      <c r="B138" s="43" t="s">
        <v>141</v>
      </c>
      <c r="C138" s="43" t="s">
        <v>11</v>
      </c>
      <c r="D138" s="52">
        <v>35</v>
      </c>
      <c r="E138" s="46"/>
      <c r="F138" s="46"/>
      <c r="G138" s="53">
        <v>45296.816400000003</v>
      </c>
      <c r="H138" s="53">
        <f>D138*G138</f>
        <v>1585388.574</v>
      </c>
      <c r="I138" s="54"/>
      <c r="J138" s="71"/>
      <c r="K138" s="25"/>
    </row>
    <row r="139" spans="1:11" x14ac:dyDescent="0.2">
      <c r="A139" s="67"/>
      <c r="B139" s="33" t="s">
        <v>28</v>
      </c>
      <c r="C139" s="68"/>
      <c r="D139" s="69"/>
      <c r="E139" s="37"/>
      <c r="F139" s="37"/>
      <c r="G139" s="70">
        <v>0</v>
      </c>
      <c r="H139" s="70"/>
      <c r="I139" s="38">
        <f>SUM(H134:H138)</f>
        <v>5388429.1163999997</v>
      </c>
      <c r="J139" s="71"/>
      <c r="K139" s="25"/>
    </row>
    <row r="140" spans="1:11" x14ac:dyDescent="0.2">
      <c r="A140" s="85">
        <v>22</v>
      </c>
      <c r="B140" s="20" t="s">
        <v>142</v>
      </c>
      <c r="C140" s="107"/>
      <c r="D140" s="48"/>
      <c r="E140" s="23"/>
      <c r="F140" s="23"/>
      <c r="G140" s="49">
        <v>0</v>
      </c>
      <c r="H140" s="49"/>
      <c r="I140" s="24"/>
      <c r="J140" s="71"/>
      <c r="K140" s="25"/>
    </row>
    <row r="141" spans="1:11" x14ac:dyDescent="0.2">
      <c r="A141" s="26">
        <v>22.01</v>
      </c>
      <c r="B141" s="27" t="s">
        <v>143</v>
      </c>
      <c r="C141" s="27" t="s">
        <v>11</v>
      </c>
      <c r="D141" s="50">
        <v>32</v>
      </c>
      <c r="E141" s="30"/>
      <c r="F141" s="30"/>
      <c r="G141" s="51">
        <v>21578.951900000004</v>
      </c>
      <c r="H141" s="51">
        <f t="shared" ref="H141:H149" si="5">D141*G141</f>
        <v>690526.46080000012</v>
      </c>
      <c r="I141" s="31"/>
      <c r="J141" s="71"/>
      <c r="K141" s="25"/>
    </row>
    <row r="142" spans="1:11" x14ac:dyDescent="0.2">
      <c r="A142" s="26">
        <v>22.02</v>
      </c>
      <c r="B142" s="27" t="s">
        <v>144</v>
      </c>
      <c r="C142" s="27" t="s">
        <v>11</v>
      </c>
      <c r="D142" s="50">
        <v>8</v>
      </c>
      <c r="E142" s="30"/>
      <c r="F142" s="30"/>
      <c r="G142" s="51">
        <v>113871.68210000001</v>
      </c>
      <c r="H142" s="51">
        <f t="shared" si="5"/>
        <v>910973.45680000004</v>
      </c>
      <c r="I142" s="31"/>
      <c r="J142" s="71"/>
      <c r="K142" s="25"/>
    </row>
    <row r="143" spans="1:11" x14ac:dyDescent="0.2">
      <c r="A143" s="26">
        <v>22.03</v>
      </c>
      <c r="B143" s="27" t="s">
        <v>145</v>
      </c>
      <c r="C143" s="27" t="s">
        <v>70</v>
      </c>
      <c r="D143" s="50">
        <v>50</v>
      </c>
      <c r="E143" s="30"/>
      <c r="F143" s="30"/>
      <c r="G143" s="51">
        <v>30267.376700000004</v>
      </c>
      <c r="H143" s="51">
        <f t="shared" si="5"/>
        <v>1513368.8350000002</v>
      </c>
      <c r="I143" s="31"/>
      <c r="J143" s="71"/>
      <c r="K143" s="25"/>
    </row>
    <row r="144" spans="1:11" x14ac:dyDescent="0.2">
      <c r="A144" s="26">
        <v>22.04</v>
      </c>
      <c r="B144" s="27" t="s">
        <v>146</v>
      </c>
      <c r="C144" s="27" t="s">
        <v>11</v>
      </c>
      <c r="D144" s="50">
        <v>40</v>
      </c>
      <c r="E144" s="30"/>
      <c r="F144" s="30"/>
      <c r="G144" s="51">
        <v>7580.5884000000005</v>
      </c>
      <c r="H144" s="51">
        <f t="shared" si="5"/>
        <v>303223.53600000002</v>
      </c>
      <c r="I144" s="31"/>
      <c r="J144" s="71"/>
      <c r="K144" s="25"/>
    </row>
    <row r="145" spans="1:11" x14ac:dyDescent="0.2">
      <c r="A145" s="26">
        <v>22.05</v>
      </c>
      <c r="B145" s="27" t="s">
        <v>147</v>
      </c>
      <c r="C145" s="27" t="s">
        <v>70</v>
      </c>
      <c r="D145" s="50">
        <v>50</v>
      </c>
      <c r="E145" s="30"/>
      <c r="F145" s="30"/>
      <c r="G145" s="51">
        <v>10156.204300000001</v>
      </c>
      <c r="H145" s="51">
        <f t="shared" si="5"/>
        <v>507810.21500000008</v>
      </c>
      <c r="I145" s="31"/>
      <c r="J145" s="71"/>
      <c r="K145" s="25"/>
    </row>
    <row r="146" spans="1:11" x14ac:dyDescent="0.2">
      <c r="A146" s="26">
        <v>22.06</v>
      </c>
      <c r="B146" s="27" t="s">
        <v>148</v>
      </c>
      <c r="C146" s="27" t="s">
        <v>11</v>
      </c>
      <c r="D146" s="50">
        <v>40</v>
      </c>
      <c r="E146" s="30"/>
      <c r="F146" s="30"/>
      <c r="G146" s="51">
        <v>2322.5147000000002</v>
      </c>
      <c r="H146" s="51">
        <f t="shared" si="5"/>
        <v>92900.588000000003</v>
      </c>
      <c r="I146" s="31"/>
      <c r="J146" s="71"/>
      <c r="K146" s="25"/>
    </row>
    <row r="147" spans="1:11" x14ac:dyDescent="0.2">
      <c r="A147" s="26">
        <v>22.07</v>
      </c>
      <c r="B147" s="27" t="s">
        <v>149</v>
      </c>
      <c r="C147" s="27" t="s">
        <v>11</v>
      </c>
      <c r="D147" s="50">
        <v>7</v>
      </c>
      <c r="E147" s="30"/>
      <c r="F147" s="30"/>
      <c r="G147" s="51">
        <v>214367.38070000001</v>
      </c>
      <c r="H147" s="51">
        <f t="shared" si="5"/>
        <v>1500571.6649</v>
      </c>
      <c r="I147" s="31"/>
      <c r="J147" s="71"/>
      <c r="K147" s="25"/>
    </row>
    <row r="148" spans="1:11" x14ac:dyDescent="0.2">
      <c r="A148" s="26">
        <v>22.08</v>
      </c>
      <c r="B148" s="27" t="s">
        <v>150</v>
      </c>
      <c r="C148" s="27" t="s">
        <v>11</v>
      </c>
      <c r="D148" s="50">
        <v>5</v>
      </c>
      <c r="E148" s="30"/>
      <c r="F148" s="30"/>
      <c r="G148" s="51">
        <v>7833.6896000000006</v>
      </c>
      <c r="H148" s="51">
        <f t="shared" si="5"/>
        <v>39168.448000000004</v>
      </c>
      <c r="I148" s="31"/>
      <c r="J148" s="71"/>
      <c r="K148" s="25"/>
    </row>
    <row r="149" spans="1:11" x14ac:dyDescent="0.2">
      <c r="A149" s="26">
        <v>22.09</v>
      </c>
      <c r="B149" s="43" t="s">
        <v>151</v>
      </c>
      <c r="C149" s="43" t="s">
        <v>11</v>
      </c>
      <c r="D149" s="52">
        <v>4</v>
      </c>
      <c r="E149" s="46"/>
      <c r="F149" s="46"/>
      <c r="G149" s="53">
        <v>17545.929500000002</v>
      </c>
      <c r="H149" s="53">
        <f t="shared" si="5"/>
        <v>70183.718000000008</v>
      </c>
      <c r="I149" s="54"/>
      <c r="J149" s="71"/>
      <c r="K149" s="25"/>
    </row>
    <row r="150" spans="1:11" x14ac:dyDescent="0.2">
      <c r="A150" s="67"/>
      <c r="B150" s="33" t="s">
        <v>28</v>
      </c>
      <c r="C150" s="68"/>
      <c r="D150" s="69"/>
      <c r="E150" s="37"/>
      <c r="F150" s="37"/>
      <c r="G150" s="70">
        <v>0</v>
      </c>
      <c r="H150" s="70"/>
      <c r="I150" s="38">
        <f>SUM(H141:H149)</f>
        <v>5628726.9225000003</v>
      </c>
      <c r="J150" s="71"/>
      <c r="K150" s="25"/>
    </row>
    <row r="151" spans="1:11" x14ac:dyDescent="0.2">
      <c r="A151" s="85">
        <v>23</v>
      </c>
      <c r="B151" s="20" t="s">
        <v>152</v>
      </c>
      <c r="C151" s="107"/>
      <c r="D151" s="48"/>
      <c r="E151" s="23"/>
      <c r="F151" s="23"/>
      <c r="G151" s="49">
        <v>0</v>
      </c>
      <c r="H151" s="49"/>
      <c r="I151" s="24"/>
      <c r="J151" s="71"/>
      <c r="K151" s="25"/>
    </row>
    <row r="152" spans="1:11" x14ac:dyDescent="0.2">
      <c r="A152" s="26">
        <v>23.01</v>
      </c>
      <c r="B152" s="27" t="s">
        <v>153</v>
      </c>
      <c r="C152" s="27" t="s">
        <v>70</v>
      </c>
      <c r="D152" s="50">
        <v>100</v>
      </c>
      <c r="E152" s="30"/>
      <c r="F152" s="30"/>
      <c r="G152" s="51">
        <v>9083.6361000000015</v>
      </c>
      <c r="H152" s="51">
        <f>D152*G152</f>
        <v>908363.6100000001</v>
      </c>
      <c r="I152" s="31"/>
      <c r="J152" s="71"/>
      <c r="K152" s="25"/>
    </row>
    <row r="153" spans="1:11" x14ac:dyDescent="0.2">
      <c r="A153" s="26">
        <v>23.02</v>
      </c>
      <c r="B153" s="27" t="s">
        <v>154</v>
      </c>
      <c r="C153" s="27" t="s">
        <v>11</v>
      </c>
      <c r="D153" s="50">
        <v>25</v>
      </c>
      <c r="E153" s="30"/>
      <c r="F153" s="30"/>
      <c r="G153" s="51">
        <v>3426.2019000000005</v>
      </c>
      <c r="H153" s="51">
        <f>D153*G153</f>
        <v>85655.047500000015</v>
      </c>
      <c r="I153" s="31"/>
      <c r="J153" s="71"/>
      <c r="K153" s="25"/>
    </row>
    <row r="154" spans="1:11" x14ac:dyDescent="0.2">
      <c r="A154" s="26">
        <v>23.03</v>
      </c>
      <c r="B154" s="27" t="s">
        <v>155</v>
      </c>
      <c r="C154" s="27" t="s">
        <v>70</v>
      </c>
      <c r="D154" s="50">
        <v>45</v>
      </c>
      <c r="E154" s="30"/>
      <c r="F154" s="30"/>
      <c r="G154" s="51">
        <v>16709.865700000002</v>
      </c>
      <c r="H154" s="51">
        <f>D154*G154</f>
        <v>751943.95650000009</v>
      </c>
      <c r="I154" s="31"/>
      <c r="J154" s="71"/>
      <c r="K154" s="25"/>
    </row>
    <row r="155" spans="1:11" x14ac:dyDescent="0.2">
      <c r="A155" s="26">
        <v>23.04</v>
      </c>
      <c r="B155" s="27" t="s">
        <v>156</v>
      </c>
      <c r="C155" s="27" t="s">
        <v>11</v>
      </c>
      <c r="D155" s="50">
        <v>15</v>
      </c>
      <c r="E155" s="30"/>
      <c r="F155" s="30"/>
      <c r="G155" s="51">
        <v>9992.3109000000004</v>
      </c>
      <c r="H155" s="51">
        <f>D155*G155</f>
        <v>149884.6635</v>
      </c>
      <c r="I155" s="31"/>
      <c r="J155" s="71"/>
      <c r="K155" s="25"/>
    </row>
    <row r="156" spans="1:11" x14ac:dyDescent="0.2">
      <c r="A156" s="67"/>
      <c r="B156" s="33" t="s">
        <v>28</v>
      </c>
      <c r="C156" s="68"/>
      <c r="D156" s="69"/>
      <c r="E156" s="37"/>
      <c r="F156" s="37"/>
      <c r="G156" s="70">
        <v>0</v>
      </c>
      <c r="H156" s="70"/>
      <c r="I156" s="38">
        <f>SUM(H152:H155)</f>
        <v>1895847.2775000001</v>
      </c>
      <c r="J156" s="71"/>
      <c r="K156" s="25"/>
    </row>
    <row r="157" spans="1:11" x14ac:dyDescent="0.2">
      <c r="A157" s="85">
        <v>24</v>
      </c>
      <c r="B157" s="20" t="s">
        <v>157</v>
      </c>
      <c r="C157" s="107"/>
      <c r="D157" s="48"/>
      <c r="E157" s="23"/>
      <c r="F157" s="23"/>
      <c r="G157" s="49">
        <v>0</v>
      </c>
      <c r="H157" s="49"/>
      <c r="I157" s="24"/>
      <c r="J157" s="71"/>
      <c r="K157" s="25"/>
    </row>
    <row r="158" spans="1:11" x14ac:dyDescent="0.2">
      <c r="A158" s="26">
        <v>24.01</v>
      </c>
      <c r="B158" s="27" t="s">
        <v>155</v>
      </c>
      <c r="C158" s="27" t="s">
        <v>70</v>
      </c>
      <c r="D158" s="50">
        <v>45</v>
      </c>
      <c r="E158" s="30"/>
      <c r="F158" s="30"/>
      <c r="G158" s="51">
        <v>16709.865700000002</v>
      </c>
      <c r="H158" s="51">
        <f>D158*G158</f>
        <v>751943.95650000009</v>
      </c>
      <c r="I158" s="31"/>
      <c r="J158" s="71"/>
      <c r="K158" s="25"/>
    </row>
    <row r="159" spans="1:11" x14ac:dyDescent="0.2">
      <c r="A159" s="26">
        <v>24.02</v>
      </c>
      <c r="B159" s="27" t="s">
        <v>156</v>
      </c>
      <c r="C159" s="27" t="s">
        <v>11</v>
      </c>
      <c r="D159" s="50">
        <v>25</v>
      </c>
      <c r="E159" s="30"/>
      <c r="F159" s="30"/>
      <c r="G159" s="51">
        <v>9992.3109000000004</v>
      </c>
      <c r="H159" s="51">
        <f>D159*G159</f>
        <v>249807.77250000002</v>
      </c>
      <c r="I159" s="31"/>
      <c r="J159" s="71"/>
      <c r="K159" s="25"/>
    </row>
    <row r="160" spans="1:11" x14ac:dyDescent="0.2">
      <c r="A160" s="26">
        <v>24.03</v>
      </c>
      <c r="B160" s="27" t="s">
        <v>134</v>
      </c>
      <c r="C160" s="27" t="s">
        <v>11</v>
      </c>
      <c r="D160" s="50">
        <v>5</v>
      </c>
      <c r="E160" s="30"/>
      <c r="F160" s="30"/>
      <c r="G160" s="51">
        <v>48441.91</v>
      </c>
      <c r="H160" s="51">
        <f>D160*G160</f>
        <v>242209.55000000002</v>
      </c>
      <c r="I160" s="31"/>
      <c r="J160" s="71"/>
      <c r="K160" s="25"/>
    </row>
    <row r="161" spans="1:11" x14ac:dyDescent="0.2">
      <c r="A161" s="67"/>
      <c r="B161" s="33" t="s">
        <v>28</v>
      </c>
      <c r="C161" s="68"/>
      <c r="D161" s="69"/>
      <c r="E161" s="37"/>
      <c r="F161" s="37"/>
      <c r="G161" s="70">
        <v>0</v>
      </c>
      <c r="H161" s="70"/>
      <c r="I161" s="38">
        <f>SUM(H158:H160)</f>
        <v>1243961.2790000001</v>
      </c>
      <c r="J161" s="71"/>
      <c r="K161" s="25"/>
    </row>
    <row r="162" spans="1:11" x14ac:dyDescent="0.2">
      <c r="A162" s="19">
        <v>25</v>
      </c>
      <c r="B162" s="20" t="s">
        <v>158</v>
      </c>
      <c r="C162" s="107"/>
      <c r="D162" s="48"/>
      <c r="E162" s="23"/>
      <c r="F162" s="23"/>
      <c r="G162" s="49">
        <v>0</v>
      </c>
      <c r="H162" s="49"/>
      <c r="I162" s="24"/>
      <c r="J162" s="71"/>
      <c r="K162" s="25"/>
    </row>
    <row r="163" spans="1:11" x14ac:dyDescent="0.2">
      <c r="A163" s="26">
        <v>25.01</v>
      </c>
      <c r="B163" s="27" t="s">
        <v>159</v>
      </c>
      <c r="C163" s="27" t="s">
        <v>11</v>
      </c>
      <c r="D163" s="50">
        <v>25</v>
      </c>
      <c r="E163" s="30"/>
      <c r="F163" s="30"/>
      <c r="G163" s="51">
        <v>7751.7429000000011</v>
      </c>
      <c r="H163" s="51">
        <f>D163*G163</f>
        <v>193793.57250000004</v>
      </c>
      <c r="I163" s="31"/>
      <c r="J163" s="71"/>
      <c r="K163" s="25"/>
    </row>
    <row r="164" spans="1:11" x14ac:dyDescent="0.2">
      <c r="A164" s="67"/>
      <c r="B164" s="33" t="s">
        <v>28</v>
      </c>
      <c r="C164" s="68"/>
      <c r="D164" s="69"/>
      <c r="E164" s="37"/>
      <c r="F164" s="37"/>
      <c r="G164" s="70">
        <v>0</v>
      </c>
      <c r="H164" s="70"/>
      <c r="I164" s="38">
        <f>SUM(H163)</f>
        <v>193793.57250000004</v>
      </c>
      <c r="J164" s="71"/>
      <c r="K164" s="25"/>
    </row>
    <row r="165" spans="1:11" x14ac:dyDescent="0.2">
      <c r="A165" s="19">
        <v>26</v>
      </c>
      <c r="B165" s="20" t="s">
        <v>160</v>
      </c>
      <c r="C165" s="107"/>
      <c r="D165" s="48"/>
      <c r="E165" s="23"/>
      <c r="F165" s="23"/>
      <c r="G165" s="49">
        <v>0</v>
      </c>
      <c r="H165" s="49"/>
      <c r="I165" s="24"/>
      <c r="J165" s="71"/>
      <c r="K165" s="25"/>
    </row>
    <row r="166" spans="1:11" x14ac:dyDescent="0.2">
      <c r="A166" s="26">
        <v>26.01</v>
      </c>
      <c r="B166" s="27" t="s">
        <v>161</v>
      </c>
      <c r="C166" s="27" t="s">
        <v>70</v>
      </c>
      <c r="D166" s="50">
        <v>60</v>
      </c>
      <c r="E166" s="30"/>
      <c r="F166" s="30"/>
      <c r="G166" s="51">
        <v>6676.0628000000006</v>
      </c>
      <c r="H166" s="51">
        <f>D166*G166</f>
        <v>400563.76800000004</v>
      </c>
      <c r="I166" s="31"/>
      <c r="J166" s="71"/>
      <c r="K166" s="25"/>
    </row>
    <row r="167" spans="1:11" x14ac:dyDescent="0.2">
      <c r="A167" s="26">
        <v>26.02</v>
      </c>
      <c r="B167" s="27" t="s">
        <v>162</v>
      </c>
      <c r="C167" s="27" t="s">
        <v>11</v>
      </c>
      <c r="D167" s="50">
        <v>40</v>
      </c>
      <c r="E167" s="30"/>
      <c r="F167" s="30"/>
      <c r="G167" s="51">
        <v>1507.1969000000001</v>
      </c>
      <c r="H167" s="51">
        <f>D167*G167</f>
        <v>60287.876000000004</v>
      </c>
      <c r="I167" s="31"/>
      <c r="J167" s="71"/>
      <c r="K167" s="25"/>
    </row>
    <row r="168" spans="1:11" x14ac:dyDescent="0.2">
      <c r="A168" s="26">
        <v>26.03</v>
      </c>
      <c r="B168" s="27" t="s">
        <v>123</v>
      </c>
      <c r="C168" s="27" t="s">
        <v>11</v>
      </c>
      <c r="D168" s="50">
        <v>1</v>
      </c>
      <c r="E168" s="30"/>
      <c r="F168" s="30"/>
      <c r="G168" s="51">
        <v>41176.660800000005</v>
      </c>
      <c r="H168" s="51">
        <f>D168*G168</f>
        <v>41176.660800000005</v>
      </c>
      <c r="I168" s="31"/>
      <c r="J168" s="71"/>
      <c r="K168" s="25"/>
    </row>
    <row r="169" spans="1:11" x14ac:dyDescent="0.2">
      <c r="A169" s="57">
        <v>26.04</v>
      </c>
      <c r="B169" s="43" t="s">
        <v>163</v>
      </c>
      <c r="C169" s="43" t="s">
        <v>11</v>
      </c>
      <c r="D169" s="52">
        <v>1</v>
      </c>
      <c r="E169" s="46"/>
      <c r="F169" s="46"/>
      <c r="G169" s="53">
        <v>39098.948900000003</v>
      </c>
      <c r="H169" s="53">
        <f>D169*G169</f>
        <v>39098.948900000003</v>
      </c>
      <c r="I169" s="54"/>
      <c r="J169" s="71"/>
      <c r="K169" s="25"/>
    </row>
    <row r="170" spans="1:11" x14ac:dyDescent="0.2">
      <c r="A170" s="67"/>
      <c r="B170" s="33" t="s">
        <v>28</v>
      </c>
      <c r="C170" s="68"/>
      <c r="D170" s="69"/>
      <c r="E170" s="37"/>
      <c r="F170" s="37"/>
      <c r="G170" s="70">
        <v>0</v>
      </c>
      <c r="H170" s="70"/>
      <c r="I170" s="38">
        <f>SUM(H166:H169)</f>
        <v>541127.2537</v>
      </c>
      <c r="J170" s="71"/>
      <c r="K170" s="25"/>
    </row>
    <row r="171" spans="1:11" x14ac:dyDescent="0.2">
      <c r="A171" s="19">
        <v>27</v>
      </c>
      <c r="B171" s="20" t="s">
        <v>164</v>
      </c>
      <c r="C171" s="107"/>
      <c r="D171" s="48"/>
      <c r="E171" s="23"/>
      <c r="F171" s="23"/>
      <c r="G171" s="49">
        <v>0</v>
      </c>
      <c r="H171" s="49"/>
      <c r="I171" s="24"/>
      <c r="J171" s="71"/>
      <c r="K171" s="25"/>
    </row>
    <row r="172" spans="1:11" x14ac:dyDescent="0.2">
      <c r="A172" s="57">
        <v>27.01</v>
      </c>
      <c r="B172" s="43" t="s">
        <v>165</v>
      </c>
      <c r="C172" s="43" t="s">
        <v>11</v>
      </c>
      <c r="D172" s="52">
        <v>34</v>
      </c>
      <c r="E172" s="46"/>
      <c r="F172" s="46"/>
      <c r="G172" s="53">
        <v>82804.547100000011</v>
      </c>
      <c r="H172" s="53">
        <f>D172*G172</f>
        <v>2815354.6014000005</v>
      </c>
      <c r="I172" s="54"/>
      <c r="J172" s="71"/>
      <c r="K172" s="25"/>
    </row>
    <row r="173" spans="1:11" x14ac:dyDescent="0.2">
      <c r="A173" s="67"/>
      <c r="B173" s="33" t="s">
        <v>28</v>
      </c>
      <c r="C173" s="68"/>
      <c r="D173" s="69"/>
      <c r="E173" s="37"/>
      <c r="F173" s="37"/>
      <c r="G173" s="70">
        <v>0</v>
      </c>
      <c r="H173" s="70"/>
      <c r="I173" s="38">
        <f>SUM(H172)</f>
        <v>2815354.6014000005</v>
      </c>
      <c r="J173" s="71"/>
      <c r="K173" s="25"/>
    </row>
    <row r="174" spans="1:11" x14ac:dyDescent="0.2">
      <c r="A174" s="83">
        <v>28</v>
      </c>
      <c r="B174" s="74" t="s">
        <v>166</v>
      </c>
      <c r="C174" s="75"/>
      <c r="D174" s="90"/>
      <c r="E174" s="91"/>
      <c r="F174" s="91"/>
      <c r="G174" s="91">
        <v>0</v>
      </c>
      <c r="H174" s="91"/>
      <c r="I174" s="92"/>
      <c r="J174" s="71"/>
      <c r="K174" s="25"/>
    </row>
    <row r="175" spans="1:11" x14ac:dyDescent="0.2">
      <c r="A175" s="84">
        <v>28.01</v>
      </c>
      <c r="B175" s="108" t="s">
        <v>167</v>
      </c>
      <c r="C175" s="109" t="s">
        <v>11</v>
      </c>
      <c r="D175" s="93">
        <f>64+(10*6)</f>
        <v>124</v>
      </c>
      <c r="E175" s="110"/>
      <c r="F175" s="110"/>
      <c r="G175" s="105">
        <v>35495.783619999995</v>
      </c>
      <c r="H175" s="105">
        <f>+G175*D175</f>
        <v>4401477.1688799998</v>
      </c>
      <c r="I175" s="96"/>
      <c r="J175" s="71"/>
      <c r="K175" s="25"/>
    </row>
    <row r="176" spans="1:11" x14ac:dyDescent="0.2">
      <c r="A176" s="84">
        <v>28.02</v>
      </c>
      <c r="B176" s="108" t="s">
        <v>168</v>
      </c>
      <c r="C176" s="109" t="s">
        <v>11</v>
      </c>
      <c r="D176" s="93">
        <v>80</v>
      </c>
      <c r="E176" s="110"/>
      <c r="F176" s="110"/>
      <c r="G176" s="105">
        <v>33929.512484999999</v>
      </c>
      <c r="H176" s="105">
        <f>+G176*D176</f>
        <v>2714360.9988000002</v>
      </c>
      <c r="I176" s="96"/>
      <c r="J176" s="71"/>
      <c r="K176" s="25"/>
    </row>
    <row r="177" spans="1:11" x14ac:dyDescent="0.2">
      <c r="A177" s="84">
        <v>28.03</v>
      </c>
      <c r="B177" s="108" t="s">
        <v>169</v>
      </c>
      <c r="C177" s="109" t="s">
        <v>11</v>
      </c>
      <c r="D177" s="93">
        <v>80</v>
      </c>
      <c r="E177" s="110"/>
      <c r="F177" s="110"/>
      <c r="G177" s="105">
        <v>67396.181710000004</v>
      </c>
      <c r="H177" s="105">
        <f>+G177*D177</f>
        <v>5391694.5368000008</v>
      </c>
      <c r="I177" s="96"/>
      <c r="J177" s="71"/>
      <c r="K177" s="25"/>
    </row>
    <row r="178" spans="1:11" ht="25.5" x14ac:dyDescent="0.2">
      <c r="A178" s="84">
        <v>28.04</v>
      </c>
      <c r="B178" s="108" t="s">
        <v>170</v>
      </c>
      <c r="C178" s="109" t="s">
        <v>11</v>
      </c>
      <c r="D178" s="93">
        <v>80</v>
      </c>
      <c r="E178" s="110"/>
      <c r="F178" s="110"/>
      <c r="G178" s="105">
        <v>64566.634770000004</v>
      </c>
      <c r="H178" s="105">
        <f>G178*D178</f>
        <v>5165330.7816000003</v>
      </c>
      <c r="I178" s="96"/>
      <c r="J178" s="71"/>
      <c r="K178" s="25"/>
    </row>
    <row r="179" spans="1:11" x14ac:dyDescent="0.2">
      <c r="A179" s="84">
        <v>28.05</v>
      </c>
      <c r="B179" s="108" t="s">
        <v>171</v>
      </c>
      <c r="C179" s="109" t="s">
        <v>11</v>
      </c>
      <c r="D179" s="93">
        <v>80</v>
      </c>
      <c r="E179" s="110"/>
      <c r="F179" s="110"/>
      <c r="G179" s="105">
        <v>36216.292200000004</v>
      </c>
      <c r="H179" s="105">
        <f>G179*D179</f>
        <v>2897303.3760000002</v>
      </c>
      <c r="I179" s="96"/>
      <c r="J179" s="71"/>
      <c r="K179" s="25"/>
    </row>
    <row r="180" spans="1:11" x14ac:dyDescent="0.2">
      <c r="A180" s="84">
        <v>28.06</v>
      </c>
      <c r="B180" s="108" t="s">
        <v>172</v>
      </c>
      <c r="C180" s="109" t="s">
        <v>11</v>
      </c>
      <c r="D180" s="93">
        <v>40</v>
      </c>
      <c r="E180" s="110"/>
      <c r="F180" s="110"/>
      <c r="G180" s="105">
        <v>36371.368550000007</v>
      </c>
      <c r="H180" s="105">
        <f>G180*D180</f>
        <v>1454854.7420000003</v>
      </c>
      <c r="I180" s="96"/>
      <c r="J180" s="71"/>
      <c r="K180" s="25"/>
    </row>
    <row r="181" spans="1:11" x14ac:dyDescent="0.2">
      <c r="A181" s="84">
        <v>28.07</v>
      </c>
      <c r="B181" s="108" t="s">
        <v>173</v>
      </c>
      <c r="C181" s="109" t="s">
        <v>11</v>
      </c>
      <c r="D181" s="93">
        <v>4</v>
      </c>
      <c r="E181" s="110"/>
      <c r="F181" s="110"/>
      <c r="G181" s="105">
        <v>467488.39313000004</v>
      </c>
      <c r="H181" s="105">
        <f>+G181*D181</f>
        <v>1869953.5725200002</v>
      </c>
      <c r="I181" s="96"/>
      <c r="J181" s="71"/>
      <c r="K181" s="25"/>
    </row>
    <row r="182" spans="1:11" x14ac:dyDescent="0.2">
      <c r="A182" s="84">
        <v>28.08</v>
      </c>
      <c r="B182" s="108" t="s">
        <v>174</v>
      </c>
      <c r="C182" s="109" t="s">
        <v>70</v>
      </c>
      <c r="D182" s="93">
        <v>70</v>
      </c>
      <c r="E182" s="110"/>
      <c r="F182" s="110"/>
      <c r="G182" s="105">
        <v>51865.000000000007</v>
      </c>
      <c r="H182" s="105">
        <f>+G182*D182</f>
        <v>3630550.0000000005</v>
      </c>
      <c r="I182" s="96"/>
      <c r="J182" s="71"/>
      <c r="K182" s="25"/>
    </row>
    <row r="183" spans="1:11" x14ac:dyDescent="0.2">
      <c r="A183" s="84">
        <v>28.09</v>
      </c>
      <c r="B183" s="108" t="s">
        <v>175</v>
      </c>
      <c r="C183" s="109" t="s">
        <v>70</v>
      </c>
      <c r="D183" s="93">
        <v>100</v>
      </c>
      <c r="E183" s="110"/>
      <c r="F183" s="110"/>
      <c r="G183" s="105">
        <v>15507.635</v>
      </c>
      <c r="H183" s="105">
        <f>+G183*D183</f>
        <v>1550763.5</v>
      </c>
      <c r="I183" s="96"/>
      <c r="J183" s="71"/>
      <c r="K183" s="25"/>
    </row>
    <row r="184" spans="1:11" x14ac:dyDescent="0.2">
      <c r="A184" s="84">
        <v>28.1</v>
      </c>
      <c r="B184" s="80" t="s">
        <v>176</v>
      </c>
      <c r="C184" s="111" t="s">
        <v>11</v>
      </c>
      <c r="D184" s="93">
        <v>160</v>
      </c>
      <c r="E184" s="105"/>
      <c r="F184" s="105"/>
      <c r="G184" s="105">
        <v>78033.226425000015</v>
      </c>
      <c r="H184" s="105">
        <f>D184*G184</f>
        <v>12485316.228000002</v>
      </c>
      <c r="I184" s="96"/>
      <c r="J184" s="71"/>
      <c r="K184" s="25"/>
    </row>
    <row r="185" spans="1:11" x14ac:dyDescent="0.2">
      <c r="A185" s="84">
        <v>28.11</v>
      </c>
      <c r="B185" s="80" t="s">
        <v>177</v>
      </c>
      <c r="C185" s="111" t="s">
        <v>11</v>
      </c>
      <c r="D185" s="93">
        <v>32</v>
      </c>
      <c r="E185" s="105"/>
      <c r="F185" s="105"/>
      <c r="G185" s="105">
        <v>12046.164900000002</v>
      </c>
      <c r="H185" s="105">
        <f>D185*G185</f>
        <v>385477.27680000005</v>
      </c>
      <c r="I185" s="96"/>
      <c r="J185" s="71"/>
      <c r="K185" s="25"/>
    </row>
    <row r="186" spans="1:11" x14ac:dyDescent="0.2">
      <c r="A186" s="67"/>
      <c r="B186" s="33" t="s">
        <v>28</v>
      </c>
      <c r="C186" s="68"/>
      <c r="D186" s="69"/>
      <c r="E186" s="37"/>
      <c r="F186" s="37"/>
      <c r="G186" s="70">
        <v>0</v>
      </c>
      <c r="H186" s="70"/>
      <c r="I186" s="38">
        <f>SUM(H175:H185)</f>
        <v>41947082.181400001</v>
      </c>
      <c r="J186" s="71"/>
      <c r="K186" s="25"/>
    </row>
    <row r="187" spans="1:11" x14ac:dyDescent="0.2">
      <c r="A187" s="112">
        <v>29</v>
      </c>
      <c r="B187" s="74" t="s">
        <v>178</v>
      </c>
      <c r="C187" s="75"/>
      <c r="D187" s="90"/>
      <c r="E187" s="91"/>
      <c r="F187" s="91"/>
      <c r="G187" s="91">
        <v>0</v>
      </c>
      <c r="H187" s="91"/>
      <c r="I187" s="113"/>
      <c r="J187" s="71"/>
      <c r="K187" s="25"/>
    </row>
    <row r="188" spans="1:11" x14ac:dyDescent="0.2">
      <c r="A188" s="84">
        <v>29.01</v>
      </c>
      <c r="B188" s="80" t="s">
        <v>179</v>
      </c>
      <c r="C188" s="66" t="s">
        <v>11</v>
      </c>
      <c r="D188" s="50">
        <f>+(4*32)</f>
        <v>128</v>
      </c>
      <c r="E188" s="30"/>
      <c r="F188" s="114"/>
      <c r="G188" s="105">
        <v>457449.30000000005</v>
      </c>
      <c r="H188" s="105">
        <f>D188*G188</f>
        <v>58553510.400000006</v>
      </c>
      <c r="I188" s="96"/>
      <c r="J188" s="71"/>
      <c r="K188" s="25"/>
    </row>
    <row r="189" spans="1:11" x14ac:dyDescent="0.2">
      <c r="A189" s="84">
        <v>29.02</v>
      </c>
      <c r="B189" s="80" t="s">
        <v>180</v>
      </c>
      <c r="C189" s="66" t="s">
        <v>11</v>
      </c>
      <c r="D189" s="50">
        <f>+(4*32)</f>
        <v>128</v>
      </c>
      <c r="E189" s="30"/>
      <c r="F189" s="114"/>
      <c r="G189" s="105">
        <v>485456.4</v>
      </c>
      <c r="H189" s="105">
        <f t="shared" ref="H189:H198" si="6">D189*G189</f>
        <v>62138419.200000003</v>
      </c>
      <c r="I189" s="96"/>
      <c r="J189" s="71"/>
      <c r="K189" s="25"/>
    </row>
    <row r="190" spans="1:11" x14ac:dyDescent="0.2">
      <c r="A190" s="84">
        <v>29.03</v>
      </c>
      <c r="B190" s="80" t="s">
        <v>181</v>
      </c>
      <c r="C190" s="66" t="s">
        <v>11</v>
      </c>
      <c r="D190" s="50">
        <f>+(4*32)</f>
        <v>128</v>
      </c>
      <c r="E190" s="30"/>
      <c r="F190" s="114"/>
      <c r="G190" s="105">
        <v>544582.5</v>
      </c>
      <c r="H190" s="105">
        <f t="shared" si="6"/>
        <v>69706560</v>
      </c>
      <c r="I190" s="96"/>
      <c r="J190" s="71"/>
      <c r="K190" s="25"/>
    </row>
    <row r="191" spans="1:11" x14ac:dyDescent="0.2">
      <c r="A191" s="84">
        <v>29.04</v>
      </c>
      <c r="B191" s="80" t="s">
        <v>182</v>
      </c>
      <c r="C191" s="66" t="s">
        <v>70</v>
      </c>
      <c r="D191" s="93">
        <f>+(12*32)</f>
        <v>384</v>
      </c>
      <c r="E191" s="105"/>
      <c r="F191" s="105"/>
      <c r="G191" s="105">
        <v>176341.00000000003</v>
      </c>
      <c r="H191" s="105">
        <f t="shared" si="6"/>
        <v>67714944.000000015</v>
      </c>
      <c r="I191" s="96"/>
      <c r="J191" s="71"/>
      <c r="K191" s="25"/>
    </row>
    <row r="192" spans="1:11" x14ac:dyDescent="0.2">
      <c r="A192" s="84">
        <v>29.05</v>
      </c>
      <c r="B192" s="80" t="s">
        <v>183</v>
      </c>
      <c r="C192" s="66" t="s">
        <v>70</v>
      </c>
      <c r="D192" s="93">
        <f>4*32</f>
        <v>128</v>
      </c>
      <c r="E192" s="105"/>
      <c r="F192" s="105"/>
      <c r="G192" s="105">
        <v>98543.500000000015</v>
      </c>
      <c r="H192" s="105">
        <f t="shared" si="6"/>
        <v>12613568.000000002</v>
      </c>
      <c r="I192" s="96"/>
      <c r="J192" s="71"/>
      <c r="K192" s="25"/>
    </row>
    <row r="193" spans="1:11" x14ac:dyDescent="0.2">
      <c r="A193" s="84">
        <v>29.06</v>
      </c>
      <c r="B193" s="80" t="s">
        <v>184</v>
      </c>
      <c r="C193" s="66" t="s">
        <v>11</v>
      </c>
      <c r="D193" s="93">
        <f>28*32</f>
        <v>896</v>
      </c>
      <c r="E193" s="105"/>
      <c r="F193" s="105"/>
      <c r="G193" s="105">
        <v>4356.6600000000008</v>
      </c>
      <c r="H193" s="105">
        <f t="shared" si="6"/>
        <v>3903567.3600000008</v>
      </c>
      <c r="I193" s="96"/>
      <c r="J193" s="71"/>
      <c r="K193" s="25"/>
    </row>
    <row r="194" spans="1:11" x14ac:dyDescent="0.2">
      <c r="A194" s="84">
        <v>29.07</v>
      </c>
      <c r="B194" s="80" t="s">
        <v>185</v>
      </c>
      <c r="C194" s="66" t="s">
        <v>11</v>
      </c>
      <c r="D194" s="93">
        <f>6*32</f>
        <v>192</v>
      </c>
      <c r="E194" s="105"/>
      <c r="F194" s="105"/>
      <c r="G194" s="105">
        <v>42425.570000000007</v>
      </c>
      <c r="H194" s="105">
        <f t="shared" si="6"/>
        <v>8145709.4400000013</v>
      </c>
      <c r="I194" s="96"/>
      <c r="J194" s="71"/>
      <c r="K194" s="25"/>
    </row>
    <row r="195" spans="1:11" x14ac:dyDescent="0.2">
      <c r="A195" s="84">
        <v>29.08</v>
      </c>
      <c r="B195" s="80" t="s">
        <v>186</v>
      </c>
      <c r="C195" s="66" t="s">
        <v>11</v>
      </c>
      <c r="D195" s="93">
        <f>6*32</f>
        <v>192</v>
      </c>
      <c r="E195" s="105"/>
      <c r="F195" s="105"/>
      <c r="G195" s="105">
        <v>41388.270000000004</v>
      </c>
      <c r="H195" s="105">
        <f t="shared" si="6"/>
        <v>7946547.8400000008</v>
      </c>
      <c r="I195" s="96"/>
      <c r="J195" s="71"/>
      <c r="K195" s="25"/>
    </row>
    <row r="196" spans="1:11" x14ac:dyDescent="0.2">
      <c r="A196" s="84">
        <v>29.09</v>
      </c>
      <c r="B196" s="80" t="s">
        <v>187</v>
      </c>
      <c r="C196" s="66" t="s">
        <v>11</v>
      </c>
      <c r="D196" s="93">
        <f>6*32</f>
        <v>192</v>
      </c>
      <c r="E196" s="105"/>
      <c r="F196" s="105"/>
      <c r="G196" s="105">
        <v>55910.470000000008</v>
      </c>
      <c r="H196" s="105">
        <f t="shared" si="6"/>
        <v>10734810.240000002</v>
      </c>
      <c r="I196" s="96"/>
      <c r="J196" s="71"/>
      <c r="K196" s="25"/>
    </row>
    <row r="197" spans="1:11" x14ac:dyDescent="0.2">
      <c r="A197" s="84">
        <v>29.1</v>
      </c>
      <c r="B197" s="80" t="s">
        <v>188</v>
      </c>
      <c r="C197" s="66" t="s">
        <v>11</v>
      </c>
      <c r="D197" s="93">
        <v>32</v>
      </c>
      <c r="E197" s="105"/>
      <c r="F197" s="105"/>
      <c r="G197" s="105">
        <v>21679.570000000003</v>
      </c>
      <c r="H197" s="105">
        <f t="shared" si="6"/>
        <v>693746.24000000011</v>
      </c>
      <c r="I197" s="96"/>
      <c r="J197" s="71"/>
      <c r="K197" s="25"/>
    </row>
    <row r="198" spans="1:11" x14ac:dyDescent="0.2">
      <c r="A198" s="84">
        <v>29.11</v>
      </c>
      <c r="B198" s="81" t="s">
        <v>189</v>
      </c>
      <c r="C198" s="82" t="s">
        <v>11</v>
      </c>
      <c r="D198" s="100">
        <v>32</v>
      </c>
      <c r="E198" s="101"/>
      <c r="F198" s="101"/>
      <c r="G198" s="101">
        <v>15455.770000000002</v>
      </c>
      <c r="H198" s="101">
        <f t="shared" si="6"/>
        <v>494584.64000000007</v>
      </c>
      <c r="I198" s="102"/>
      <c r="J198" s="71"/>
      <c r="K198" s="25"/>
    </row>
    <row r="199" spans="1:11" x14ac:dyDescent="0.2">
      <c r="A199" s="67"/>
      <c r="B199" s="33" t="s">
        <v>28</v>
      </c>
      <c r="C199" s="68"/>
      <c r="D199" s="69"/>
      <c r="E199" s="37"/>
      <c r="F199" s="37"/>
      <c r="G199" s="70">
        <v>0</v>
      </c>
      <c r="H199" s="70"/>
      <c r="I199" s="38">
        <f>SUM(H188:H198)</f>
        <v>302645967.36000001</v>
      </c>
      <c r="J199" s="71"/>
      <c r="K199" s="25"/>
    </row>
    <row r="200" spans="1:11" x14ac:dyDescent="0.2">
      <c r="A200" s="115"/>
      <c r="B200" s="116" t="s">
        <v>190</v>
      </c>
      <c r="C200" s="117"/>
      <c r="D200" s="118"/>
      <c r="E200" s="119"/>
      <c r="F200" s="119"/>
      <c r="G200" s="119">
        <v>0</v>
      </c>
      <c r="H200" s="119"/>
      <c r="I200" s="120"/>
      <c r="J200" s="71"/>
      <c r="K200" s="25"/>
    </row>
    <row r="201" spans="1:11" x14ac:dyDescent="0.2">
      <c r="A201" s="85">
        <v>30</v>
      </c>
      <c r="B201" s="86" t="s">
        <v>191</v>
      </c>
      <c r="C201" s="87"/>
      <c r="D201" s="97"/>
      <c r="E201" s="98"/>
      <c r="F201" s="98"/>
      <c r="G201" s="98">
        <v>0</v>
      </c>
      <c r="H201" s="98"/>
      <c r="I201" s="99"/>
      <c r="J201" s="71"/>
      <c r="K201" s="25"/>
    </row>
    <row r="202" spans="1:11" x14ac:dyDescent="0.2">
      <c r="A202" s="84">
        <v>30.01</v>
      </c>
      <c r="B202" s="29" t="s">
        <v>192</v>
      </c>
      <c r="C202" s="66" t="s">
        <v>20</v>
      </c>
      <c r="D202" s="50">
        <f>(16*1.5)*4</f>
        <v>96</v>
      </c>
      <c r="E202" s="30"/>
      <c r="F202" s="30"/>
      <c r="G202" s="51">
        <v>259325.00000000003</v>
      </c>
      <c r="H202" s="105">
        <f>D202*G202</f>
        <v>24895200.000000004</v>
      </c>
      <c r="I202" s="96"/>
      <c r="J202" s="71"/>
      <c r="K202" s="25"/>
    </row>
    <row r="203" spans="1:11" x14ac:dyDescent="0.2">
      <c r="A203" s="89">
        <v>30.02</v>
      </c>
      <c r="B203" s="121" t="s">
        <v>193</v>
      </c>
      <c r="C203" s="82" t="s">
        <v>27</v>
      </c>
      <c r="D203" s="52">
        <f>D202</f>
        <v>96</v>
      </c>
      <c r="E203" s="46"/>
      <c r="F203" s="46"/>
      <c r="G203" s="53">
        <v>66205.672500000001</v>
      </c>
      <c r="H203" s="101">
        <f>D203*G203</f>
        <v>6355744.5600000005</v>
      </c>
      <c r="I203" s="102"/>
      <c r="J203" s="71"/>
      <c r="K203" s="25"/>
    </row>
    <row r="204" spans="1:11" x14ac:dyDescent="0.2">
      <c r="A204" s="67"/>
      <c r="B204" s="33" t="s">
        <v>28</v>
      </c>
      <c r="C204" s="68"/>
      <c r="D204" s="69"/>
      <c r="E204" s="37"/>
      <c r="F204" s="37"/>
      <c r="G204" s="70">
        <v>0</v>
      </c>
      <c r="H204" s="70"/>
      <c r="I204" s="38">
        <f>SUM(H202:H203)</f>
        <v>31250944.560000002</v>
      </c>
      <c r="J204" s="71"/>
      <c r="K204" s="25"/>
    </row>
    <row r="205" spans="1:11" x14ac:dyDescent="0.2">
      <c r="A205" s="85">
        <v>31</v>
      </c>
      <c r="B205" s="86" t="s">
        <v>194</v>
      </c>
      <c r="C205" s="87"/>
      <c r="D205" s="97"/>
      <c r="E205" s="98"/>
      <c r="F205" s="98"/>
      <c r="G205" s="98">
        <v>0</v>
      </c>
      <c r="H205" s="98"/>
      <c r="I205" s="99"/>
      <c r="J205" s="71"/>
      <c r="K205" s="25"/>
    </row>
    <row r="206" spans="1:11" x14ac:dyDescent="0.2">
      <c r="A206" s="84">
        <v>31.01</v>
      </c>
      <c r="B206" s="29" t="s">
        <v>195</v>
      </c>
      <c r="C206" s="66" t="s">
        <v>20</v>
      </c>
      <c r="D206" s="50">
        <f>3.5*2.2</f>
        <v>7.7000000000000011</v>
      </c>
      <c r="E206" s="30">
        <v>322000</v>
      </c>
      <c r="F206" s="114">
        <v>50000</v>
      </c>
      <c r="G206" s="105">
        <v>385875.60000000003</v>
      </c>
      <c r="H206" s="105">
        <f>D206*G206</f>
        <v>2971242.1200000006</v>
      </c>
      <c r="I206" s="96"/>
      <c r="J206" s="71"/>
      <c r="K206" s="25"/>
    </row>
    <row r="207" spans="1:11" x14ac:dyDescent="0.2">
      <c r="A207" s="67"/>
      <c r="B207" s="33" t="s">
        <v>28</v>
      </c>
      <c r="C207" s="68"/>
      <c r="D207" s="69"/>
      <c r="E207" s="37"/>
      <c r="F207" s="37"/>
      <c r="G207" s="70">
        <v>0</v>
      </c>
      <c r="H207" s="70"/>
      <c r="I207" s="38">
        <f>SUM(H206)</f>
        <v>2971242.1200000006</v>
      </c>
      <c r="J207" s="71"/>
      <c r="K207" s="25"/>
    </row>
    <row r="208" spans="1:11" x14ac:dyDescent="0.2">
      <c r="A208" s="85">
        <v>32</v>
      </c>
      <c r="B208" s="86" t="s">
        <v>196</v>
      </c>
      <c r="C208" s="87"/>
      <c r="D208" s="97"/>
      <c r="E208" s="98"/>
      <c r="F208" s="98"/>
      <c r="G208" s="98">
        <v>0</v>
      </c>
      <c r="H208" s="98"/>
      <c r="I208" s="99"/>
      <c r="J208" s="71"/>
      <c r="K208" s="25"/>
    </row>
    <row r="209" spans="1:11" x14ac:dyDescent="0.2">
      <c r="A209" s="84">
        <v>32.01</v>
      </c>
      <c r="B209" s="80" t="s">
        <v>197</v>
      </c>
      <c r="C209" s="66" t="s">
        <v>70</v>
      </c>
      <c r="D209" s="93">
        <f>6*6</f>
        <v>36</v>
      </c>
      <c r="E209" s="105"/>
      <c r="F209" s="105"/>
      <c r="G209" s="51">
        <v>155595.00000000003</v>
      </c>
      <c r="H209" s="105">
        <f>D209*G209</f>
        <v>5601420.0000000009</v>
      </c>
      <c r="I209" s="96"/>
      <c r="J209" s="71"/>
      <c r="K209" s="25"/>
    </row>
    <row r="210" spans="1:11" x14ac:dyDescent="0.2">
      <c r="A210" s="89">
        <v>32.020000000000003</v>
      </c>
      <c r="B210" s="81" t="s">
        <v>198</v>
      </c>
      <c r="C210" s="82" t="s">
        <v>70</v>
      </c>
      <c r="D210" s="100">
        <f>+D209</f>
        <v>36</v>
      </c>
      <c r="E210" s="101"/>
      <c r="F210" s="101"/>
      <c r="G210" s="53">
        <v>214721.1</v>
      </c>
      <c r="H210" s="101">
        <f>D210*G210</f>
        <v>7729959.6000000006</v>
      </c>
      <c r="I210" s="102"/>
      <c r="J210" s="71"/>
      <c r="K210" s="25"/>
    </row>
    <row r="211" spans="1:11" x14ac:dyDescent="0.2">
      <c r="A211" s="67"/>
      <c r="B211" s="33" t="s">
        <v>28</v>
      </c>
      <c r="C211" s="68"/>
      <c r="D211" s="69"/>
      <c r="E211" s="37"/>
      <c r="F211" s="37"/>
      <c r="G211" s="70">
        <v>0</v>
      </c>
      <c r="H211" s="70"/>
      <c r="I211" s="38">
        <f>SUM(H209:H210)</f>
        <v>13331379.600000001</v>
      </c>
      <c r="J211" s="71"/>
      <c r="K211" s="25"/>
    </row>
    <row r="212" spans="1:11" x14ac:dyDescent="0.2">
      <c r="A212" s="83"/>
      <c r="B212" s="74" t="s">
        <v>199</v>
      </c>
      <c r="C212" s="75"/>
      <c r="D212" s="90"/>
      <c r="E212" s="91"/>
      <c r="F212" s="91"/>
      <c r="G212" s="91">
        <v>0</v>
      </c>
      <c r="H212" s="91"/>
      <c r="I212" s="92"/>
      <c r="J212" s="71"/>
      <c r="K212" s="25"/>
    </row>
    <row r="213" spans="1:11" x14ac:dyDescent="0.2">
      <c r="A213" s="85">
        <v>33</v>
      </c>
      <c r="B213" s="86" t="s">
        <v>200</v>
      </c>
      <c r="C213" s="87"/>
      <c r="D213" s="97"/>
      <c r="E213" s="98"/>
      <c r="F213" s="98"/>
      <c r="G213" s="98">
        <v>0</v>
      </c>
      <c r="H213" s="98"/>
      <c r="I213" s="99"/>
      <c r="J213" s="71"/>
      <c r="K213" s="25"/>
    </row>
    <row r="214" spans="1:11" x14ac:dyDescent="0.2">
      <c r="A214" s="84">
        <v>33.01</v>
      </c>
      <c r="B214" s="80" t="s">
        <v>201</v>
      </c>
      <c r="C214" s="66" t="s">
        <v>20</v>
      </c>
      <c r="D214" s="93">
        <f>D58+D59</f>
        <v>1256.3599999999999</v>
      </c>
      <c r="E214" s="30">
        <f>'[1]presupuesto 5'!$E$615*1.15</f>
        <v>8435.48</v>
      </c>
      <c r="F214" s="105">
        <f>'[1]presupuesto 5'!$F$615*1.15</f>
        <v>2980.0639999999999</v>
      </c>
      <c r="G214" s="105">
        <v>11841.343791200001</v>
      </c>
      <c r="H214" s="105">
        <f>D214*G214</f>
        <v>14876990.685512032</v>
      </c>
      <c r="I214" s="96"/>
      <c r="J214" s="71"/>
      <c r="K214" s="25"/>
    </row>
    <row r="215" spans="1:11" x14ac:dyDescent="0.2">
      <c r="A215" s="84">
        <v>33.020000000000003</v>
      </c>
      <c r="B215" s="80" t="s">
        <v>75</v>
      </c>
      <c r="C215" s="66" t="s">
        <v>70</v>
      </c>
      <c r="D215" s="93">
        <f>D60</f>
        <v>150</v>
      </c>
      <c r="E215" s="30">
        <v>1497</v>
      </c>
      <c r="F215" s="105">
        <v>1198</v>
      </c>
      <c r="G215" s="105">
        <v>2795.5235000000002</v>
      </c>
      <c r="H215" s="105">
        <f>D215*G215</f>
        <v>419328.52500000002</v>
      </c>
      <c r="I215" s="96"/>
      <c r="J215" s="71"/>
      <c r="K215" s="25"/>
    </row>
    <row r="216" spans="1:11" x14ac:dyDescent="0.2">
      <c r="A216" s="89">
        <v>33.03</v>
      </c>
      <c r="B216" s="81" t="s">
        <v>202</v>
      </c>
      <c r="C216" s="82" t="s">
        <v>20</v>
      </c>
      <c r="D216" s="100">
        <f>D71</f>
        <v>1474.11</v>
      </c>
      <c r="E216" s="46">
        <f>'[1]presupuesto 5'!$E$620*1.15</f>
        <v>6913.7999999999993</v>
      </c>
      <c r="F216" s="101">
        <f>'[1]presupuesto 5'!$F$620*1.15</f>
        <v>5185.3499999999995</v>
      </c>
      <c r="G216" s="101">
        <v>12550.448294999998</v>
      </c>
      <c r="H216" s="101">
        <f>D216*G216</f>
        <v>18500741.336142447</v>
      </c>
      <c r="I216" s="102"/>
      <c r="J216" s="71"/>
      <c r="K216" s="25"/>
    </row>
    <row r="217" spans="1:11" x14ac:dyDescent="0.2">
      <c r="A217" s="67"/>
      <c r="B217" s="33" t="s">
        <v>28</v>
      </c>
      <c r="C217" s="68"/>
      <c r="D217" s="69"/>
      <c r="E217" s="37"/>
      <c r="F217" s="37"/>
      <c r="G217" s="70">
        <v>0</v>
      </c>
      <c r="H217" s="70"/>
      <c r="I217" s="38">
        <f>SUM(H214:H216)</f>
        <v>33797060.546654478</v>
      </c>
      <c r="J217" s="71"/>
      <c r="K217" s="25"/>
    </row>
    <row r="218" spans="1:11" x14ac:dyDescent="0.2">
      <c r="A218" s="85">
        <v>34</v>
      </c>
      <c r="B218" s="86" t="s">
        <v>203</v>
      </c>
      <c r="C218" s="72"/>
      <c r="D218" s="103"/>
      <c r="E218" s="104"/>
      <c r="F218" s="104"/>
      <c r="G218" s="104">
        <v>0</v>
      </c>
      <c r="H218" s="104"/>
      <c r="I218" s="99"/>
      <c r="J218" s="71"/>
      <c r="K218" s="25"/>
    </row>
    <row r="219" spans="1:11" x14ac:dyDescent="0.2">
      <c r="A219" s="84">
        <v>34.01</v>
      </c>
      <c r="B219" s="80" t="s">
        <v>204</v>
      </c>
      <c r="C219" s="66" t="s">
        <v>20</v>
      </c>
      <c r="D219" s="93">
        <f>D206</f>
        <v>7.7000000000000011</v>
      </c>
      <c r="E219" s="30">
        <f>'[1]presupuesto 5'!$E$627*1.15</f>
        <v>6404.3499999999995</v>
      </c>
      <c r="F219" s="105">
        <f>'[1]presupuesto 5'!$F$627*1.15</f>
        <v>3762.6389999999997</v>
      </c>
      <c r="G219" s="105">
        <v>10546.217689700001</v>
      </c>
      <c r="H219" s="105">
        <f>D219*G219</f>
        <v>81205.876210690025</v>
      </c>
      <c r="I219" s="96"/>
      <c r="J219" s="71"/>
      <c r="K219" s="25"/>
    </row>
    <row r="220" spans="1:11" x14ac:dyDescent="0.2">
      <c r="A220" s="84">
        <v>34.020000000000003</v>
      </c>
      <c r="B220" s="80" t="s">
        <v>205</v>
      </c>
      <c r="C220" s="66" t="s">
        <v>70</v>
      </c>
      <c r="D220" s="93">
        <f>3.5+3.5+2.2</f>
        <v>9.1999999999999993</v>
      </c>
      <c r="E220" s="30">
        <f>'[1]presupuesto 5'!$E$628*1.15</f>
        <v>2933.6499999999996</v>
      </c>
      <c r="F220" s="105">
        <f>'[1]presupuesto 5'!$F$628*1.15</f>
        <v>1285.3664999999999</v>
      </c>
      <c r="G220" s="105">
        <v>4376.3858154500003</v>
      </c>
      <c r="H220" s="105">
        <f>D220*G220</f>
        <v>40262.749502140003</v>
      </c>
      <c r="I220" s="96"/>
      <c r="J220" s="71"/>
      <c r="K220" s="25"/>
    </row>
    <row r="221" spans="1:11" x14ac:dyDescent="0.2">
      <c r="A221" s="89">
        <v>34.03</v>
      </c>
      <c r="B221" s="81" t="s">
        <v>206</v>
      </c>
      <c r="C221" s="82" t="s">
        <v>70</v>
      </c>
      <c r="D221" s="100">
        <v>40</v>
      </c>
      <c r="E221" s="101">
        <f>'[1]presupuesto 5'!$E$629*1.15</f>
        <v>2098.75</v>
      </c>
      <c r="F221" s="101">
        <f>'[1]presupuesto 5'!$F$629*1.15</f>
        <v>892.96349999999995</v>
      </c>
      <c r="G221" s="101">
        <v>3103.3044135500004</v>
      </c>
      <c r="H221" s="101">
        <f>D221*G221</f>
        <v>124132.17654200002</v>
      </c>
      <c r="I221" s="102"/>
      <c r="J221" s="71"/>
      <c r="K221" s="25"/>
    </row>
    <row r="222" spans="1:11" x14ac:dyDescent="0.2">
      <c r="A222" s="67"/>
      <c r="B222" s="33" t="s">
        <v>28</v>
      </c>
      <c r="C222" s="68"/>
      <c r="D222" s="69"/>
      <c r="E222" s="37"/>
      <c r="F222" s="37"/>
      <c r="G222" s="70">
        <v>0</v>
      </c>
      <c r="H222" s="70"/>
      <c r="I222" s="38">
        <f>SUM(H219:H221)</f>
        <v>245600.80225483002</v>
      </c>
      <c r="J222" s="71"/>
      <c r="K222" s="25"/>
    </row>
    <row r="223" spans="1:11" x14ac:dyDescent="0.2">
      <c r="A223" s="85">
        <v>35</v>
      </c>
      <c r="B223" s="86" t="s">
        <v>207</v>
      </c>
      <c r="C223" s="72"/>
      <c r="D223" s="103"/>
      <c r="E223" s="104"/>
      <c r="F223" s="104"/>
      <c r="G223" s="104">
        <v>0</v>
      </c>
      <c r="H223" s="104"/>
      <c r="I223" s="99"/>
      <c r="J223" s="71"/>
      <c r="K223" s="25"/>
    </row>
    <row r="224" spans="1:11" x14ac:dyDescent="0.2">
      <c r="A224" s="84">
        <v>35.01</v>
      </c>
      <c r="B224" s="80" t="s">
        <v>208</v>
      </c>
      <c r="C224" s="66" t="s">
        <v>70</v>
      </c>
      <c r="D224" s="93">
        <v>9</v>
      </c>
      <c r="E224" s="30">
        <f>'[1]presupuesto 5'!$E$632*1.15</f>
        <v>2217.1999999999998</v>
      </c>
      <c r="F224" s="105">
        <f>'[1]presupuesto 5'!$F$632*1.15</f>
        <v>948.63499999999988</v>
      </c>
      <c r="G224" s="105">
        <v>3283.9206454999999</v>
      </c>
      <c r="H224" s="105">
        <f>D224*G224</f>
        <v>29555.285809499997</v>
      </c>
      <c r="I224" s="96"/>
      <c r="J224" s="71"/>
      <c r="K224" s="25"/>
    </row>
    <row r="225" spans="1:11" x14ac:dyDescent="0.2">
      <c r="A225" s="89">
        <v>35.020000000000003</v>
      </c>
      <c r="B225" s="81" t="s">
        <v>209</v>
      </c>
      <c r="C225" s="82" t="s">
        <v>11</v>
      </c>
      <c r="D225" s="100">
        <v>4</v>
      </c>
      <c r="E225" s="46">
        <f>'[1]presupuesto 5'!$E$633*1.15</f>
        <v>2217.1999999999998</v>
      </c>
      <c r="F225" s="101">
        <f>'[1]presupuesto 5'!$F$633*1.15</f>
        <v>948.63499999999988</v>
      </c>
      <c r="G225" s="101">
        <v>3283.9206454999999</v>
      </c>
      <c r="H225" s="101">
        <f>D225*G225</f>
        <v>13135.682581999999</v>
      </c>
      <c r="I225" s="102"/>
      <c r="J225" s="71"/>
      <c r="K225" s="25"/>
    </row>
    <row r="226" spans="1:11" x14ac:dyDescent="0.2">
      <c r="A226" s="67"/>
      <c r="B226" s="33" t="s">
        <v>28</v>
      </c>
      <c r="C226" s="68"/>
      <c r="D226" s="69"/>
      <c r="E226" s="37"/>
      <c r="F226" s="37"/>
      <c r="G226" s="70">
        <v>0</v>
      </c>
      <c r="H226" s="70"/>
      <c r="I226" s="38">
        <f>SUM(H224:H225)</f>
        <v>42690.968391499999</v>
      </c>
      <c r="J226" s="71"/>
      <c r="K226" s="25"/>
    </row>
    <row r="227" spans="1:11" x14ac:dyDescent="0.2">
      <c r="A227" s="83">
        <v>36</v>
      </c>
      <c r="B227" s="74" t="s">
        <v>210</v>
      </c>
      <c r="C227" s="75"/>
      <c r="D227" s="90"/>
      <c r="E227" s="91"/>
      <c r="F227" s="91"/>
      <c r="G227" s="91">
        <v>0</v>
      </c>
      <c r="H227" s="91"/>
      <c r="I227" s="92"/>
      <c r="J227" s="71"/>
      <c r="K227" s="25"/>
    </row>
    <row r="228" spans="1:11" x14ac:dyDescent="0.2">
      <c r="A228" s="84">
        <v>36.01</v>
      </c>
      <c r="B228" s="80" t="s">
        <v>211</v>
      </c>
      <c r="C228" s="66" t="s">
        <v>11</v>
      </c>
      <c r="D228" s="93">
        <v>4</v>
      </c>
      <c r="E228" s="30"/>
      <c r="F228" s="105"/>
      <c r="G228" s="105">
        <v>291058.08160000003</v>
      </c>
      <c r="H228" s="105">
        <f t="shared" ref="H228:H234" si="7">D228*G228</f>
        <v>1164232.3264000001</v>
      </c>
      <c r="I228" s="96"/>
      <c r="J228" s="71"/>
      <c r="K228" s="25"/>
    </row>
    <row r="229" spans="1:11" x14ac:dyDescent="0.2">
      <c r="A229" s="84">
        <v>36.020000000000003</v>
      </c>
      <c r="B229" s="80" t="s">
        <v>212</v>
      </c>
      <c r="C229" s="66" t="s">
        <v>11</v>
      </c>
      <c r="D229" s="93">
        <v>2</v>
      </c>
      <c r="E229" s="30">
        <v>49900</v>
      </c>
      <c r="F229" s="105">
        <f>'[2]presupuesto 5'!$F$224*1.15</f>
        <v>2316.4679999999998</v>
      </c>
      <c r="G229" s="51">
        <v>54164.14225640001</v>
      </c>
      <c r="H229" s="51">
        <f t="shared" si="7"/>
        <v>108328.28451280002</v>
      </c>
      <c r="I229" s="113"/>
      <c r="J229" s="71"/>
      <c r="K229" s="25"/>
    </row>
    <row r="230" spans="1:11" x14ac:dyDescent="0.2">
      <c r="A230" s="84">
        <v>36.03</v>
      </c>
      <c r="B230" s="80" t="s">
        <v>213</v>
      </c>
      <c r="C230" s="66" t="s">
        <v>11</v>
      </c>
      <c r="D230" s="93">
        <v>2</v>
      </c>
      <c r="E230" s="30">
        <v>450000</v>
      </c>
      <c r="F230" s="105">
        <v>10500</v>
      </c>
      <c r="G230" s="51">
        <v>477676.65</v>
      </c>
      <c r="H230" s="51">
        <f t="shared" si="7"/>
        <v>955353.3</v>
      </c>
      <c r="I230" s="113"/>
      <c r="J230" s="71"/>
      <c r="K230" s="25"/>
    </row>
    <row r="231" spans="1:11" x14ac:dyDescent="0.2">
      <c r="A231" s="84">
        <v>36.04</v>
      </c>
      <c r="B231" s="80" t="s">
        <v>214</v>
      </c>
      <c r="C231" s="66" t="s">
        <v>11</v>
      </c>
      <c r="D231" s="93">
        <v>2</v>
      </c>
      <c r="E231" s="30">
        <v>540000</v>
      </c>
      <c r="F231" s="105">
        <v>10500</v>
      </c>
      <c r="G231" s="51">
        <v>571033.65</v>
      </c>
      <c r="H231" s="51">
        <f t="shared" si="7"/>
        <v>1142067.3</v>
      </c>
      <c r="I231" s="113"/>
      <c r="J231" s="71"/>
      <c r="K231" s="25"/>
    </row>
    <row r="232" spans="1:11" x14ac:dyDescent="0.2">
      <c r="A232" s="84">
        <v>36.049999999999997</v>
      </c>
      <c r="B232" s="80" t="s">
        <v>215</v>
      </c>
      <c r="C232" s="66" t="s">
        <v>11</v>
      </c>
      <c r="D232" s="93">
        <v>2</v>
      </c>
      <c r="E232" s="30">
        <v>210000</v>
      </c>
      <c r="F232" s="105">
        <f>F231</f>
        <v>10500</v>
      </c>
      <c r="G232" s="51">
        <v>228724.65000000002</v>
      </c>
      <c r="H232" s="51">
        <f t="shared" si="7"/>
        <v>457449.30000000005</v>
      </c>
      <c r="I232" s="113"/>
      <c r="J232" s="71"/>
      <c r="K232" s="25"/>
    </row>
    <row r="233" spans="1:11" x14ac:dyDescent="0.2">
      <c r="A233" s="84">
        <v>36.06</v>
      </c>
      <c r="B233" s="122" t="s">
        <v>216</v>
      </c>
      <c r="C233" s="123" t="s">
        <v>99</v>
      </c>
      <c r="D233" s="124">
        <v>2</v>
      </c>
      <c r="E233" s="63">
        <v>50000</v>
      </c>
      <c r="F233" s="125">
        <v>4800</v>
      </c>
      <c r="G233" s="64">
        <v>56844.040000000008</v>
      </c>
      <c r="H233" s="64">
        <f t="shared" si="7"/>
        <v>113688.08000000002</v>
      </c>
      <c r="I233" s="113"/>
      <c r="J233" s="71"/>
      <c r="K233" s="25"/>
    </row>
    <row r="234" spans="1:11" x14ac:dyDescent="0.2">
      <c r="A234" s="84">
        <v>36.07</v>
      </c>
      <c r="B234" s="81" t="s">
        <v>217</v>
      </c>
      <c r="C234" s="82" t="s">
        <v>11</v>
      </c>
      <c r="D234" s="100">
        <v>2</v>
      </c>
      <c r="E234" s="46"/>
      <c r="F234" s="101"/>
      <c r="G234" s="101">
        <v>15663.230000000001</v>
      </c>
      <c r="H234" s="101">
        <f t="shared" si="7"/>
        <v>31326.460000000003</v>
      </c>
      <c r="I234" s="102"/>
      <c r="J234" s="71"/>
      <c r="K234" s="25"/>
    </row>
    <row r="235" spans="1:11" x14ac:dyDescent="0.2">
      <c r="A235" s="67"/>
      <c r="B235" s="33" t="s">
        <v>28</v>
      </c>
      <c r="C235" s="68"/>
      <c r="D235" s="69"/>
      <c r="E235" s="37"/>
      <c r="F235" s="37"/>
      <c r="G235" s="70">
        <v>0</v>
      </c>
      <c r="H235" s="70"/>
      <c r="I235" s="38">
        <f>SUM(H228:H234)</f>
        <v>3972445.0509128002</v>
      </c>
      <c r="J235" s="71"/>
      <c r="K235" s="25"/>
    </row>
    <row r="236" spans="1:11" x14ac:dyDescent="0.2">
      <c r="A236" s="126">
        <v>37</v>
      </c>
      <c r="B236" s="127" t="s">
        <v>218</v>
      </c>
      <c r="C236" s="87"/>
      <c r="D236" s="97"/>
      <c r="E236" s="23"/>
      <c r="F236" s="98"/>
      <c r="G236" s="98">
        <v>0</v>
      </c>
      <c r="H236" s="98"/>
      <c r="I236" s="99"/>
      <c r="J236" s="71"/>
      <c r="K236" s="25"/>
    </row>
    <row r="237" spans="1:11" x14ac:dyDescent="0.2">
      <c r="A237" s="84">
        <v>37.01</v>
      </c>
      <c r="B237" s="80" t="s">
        <v>219</v>
      </c>
      <c r="C237" s="66" t="s">
        <v>11</v>
      </c>
      <c r="D237" s="93">
        <v>13</v>
      </c>
      <c r="E237" s="30"/>
      <c r="F237" s="105"/>
      <c r="G237" s="105">
        <v>11447.974735999998</v>
      </c>
      <c r="H237" s="105">
        <f>D237*G237</f>
        <v>148823.67156799999</v>
      </c>
      <c r="I237" s="96"/>
      <c r="J237" s="71"/>
      <c r="K237" s="25"/>
    </row>
    <row r="238" spans="1:11" x14ac:dyDescent="0.2">
      <c r="A238" s="89">
        <v>37.020000000000003</v>
      </c>
      <c r="B238" s="81" t="s">
        <v>220</v>
      </c>
      <c r="C238" s="82" t="s">
        <v>11</v>
      </c>
      <c r="D238" s="100">
        <v>7</v>
      </c>
      <c r="E238" s="46"/>
      <c r="F238" s="101"/>
      <c r="G238" s="101">
        <v>10314.724485999999</v>
      </c>
      <c r="H238" s="101">
        <f>D238*G238</f>
        <v>72203.071402000001</v>
      </c>
      <c r="I238" s="102"/>
      <c r="J238" s="71"/>
      <c r="K238" s="25"/>
    </row>
    <row r="239" spans="1:11" x14ac:dyDescent="0.2">
      <c r="A239" s="67"/>
      <c r="B239" s="33" t="s">
        <v>28</v>
      </c>
      <c r="C239" s="68"/>
      <c r="D239" s="69"/>
      <c r="E239" s="37"/>
      <c r="F239" s="37"/>
      <c r="G239" s="70">
        <v>0</v>
      </c>
      <c r="H239" s="70"/>
      <c r="I239" s="38">
        <f>SUM(H237:H238)</f>
        <v>221026.74296999999</v>
      </c>
      <c r="J239" s="71"/>
      <c r="K239" s="25"/>
    </row>
    <row r="240" spans="1:11" x14ac:dyDescent="0.2">
      <c r="A240" s="85">
        <v>38</v>
      </c>
      <c r="B240" s="86" t="s">
        <v>221</v>
      </c>
      <c r="C240" s="87"/>
      <c r="D240" s="97"/>
      <c r="E240" s="23"/>
      <c r="F240" s="98"/>
      <c r="G240" s="98">
        <v>0</v>
      </c>
      <c r="H240" s="104"/>
      <c r="I240" s="99"/>
      <c r="J240" s="71"/>
      <c r="K240" s="25"/>
    </row>
    <row r="241" spans="1:11" x14ac:dyDescent="0.2">
      <c r="A241" s="88">
        <v>38.01</v>
      </c>
      <c r="B241" s="122" t="s">
        <v>222</v>
      </c>
      <c r="C241" s="123" t="s">
        <v>11</v>
      </c>
      <c r="D241" s="124">
        <v>32</v>
      </c>
      <c r="E241" s="63"/>
      <c r="F241" s="125"/>
      <c r="G241" s="125">
        <v>10959.603523</v>
      </c>
      <c r="H241" s="125">
        <f>D241*G241</f>
        <v>350707.31273599999</v>
      </c>
      <c r="I241" s="113"/>
      <c r="J241" s="71"/>
      <c r="K241" s="25"/>
    </row>
    <row r="242" spans="1:11" x14ac:dyDescent="0.2">
      <c r="A242" s="89">
        <v>38.020000000000003</v>
      </c>
      <c r="B242" s="81" t="s">
        <v>223</v>
      </c>
      <c r="C242" s="82" t="s">
        <v>11</v>
      </c>
      <c r="D242" s="100">
        <v>1</v>
      </c>
      <c r="E242" s="46"/>
      <c r="F242" s="101"/>
      <c r="G242" s="101">
        <v>219660.87819500003</v>
      </c>
      <c r="H242" s="101">
        <f>D242*G242</f>
        <v>219660.87819500003</v>
      </c>
      <c r="I242" s="102"/>
      <c r="J242" s="71"/>
      <c r="K242" s="25"/>
    </row>
    <row r="243" spans="1:11" x14ac:dyDescent="0.2">
      <c r="A243" s="67"/>
      <c r="B243" s="33" t="s">
        <v>28</v>
      </c>
      <c r="C243" s="68"/>
      <c r="D243" s="69"/>
      <c r="E243" s="37"/>
      <c r="F243" s="37"/>
      <c r="G243" s="70">
        <v>0</v>
      </c>
      <c r="H243" s="70"/>
      <c r="I243" s="38">
        <f>SUM(H241:H242)</f>
        <v>570368.19093100005</v>
      </c>
      <c r="J243" s="71"/>
      <c r="K243" s="25"/>
    </row>
    <row r="244" spans="1:11" x14ac:dyDescent="0.2">
      <c r="A244" s="83">
        <v>39</v>
      </c>
      <c r="B244" s="74" t="s">
        <v>224</v>
      </c>
      <c r="C244" s="75"/>
      <c r="D244" s="90"/>
      <c r="E244" s="91"/>
      <c r="F244" s="91"/>
      <c r="G244" s="91">
        <v>0</v>
      </c>
      <c r="H244" s="91"/>
      <c r="I244" s="92"/>
      <c r="J244" s="71"/>
      <c r="K244" s="25"/>
    </row>
    <row r="245" spans="1:11" x14ac:dyDescent="0.2">
      <c r="A245" s="89">
        <v>39.01</v>
      </c>
      <c r="B245" s="81" t="s">
        <v>225</v>
      </c>
      <c r="C245" s="82" t="s">
        <v>20</v>
      </c>
      <c r="D245" s="100">
        <f>(1*1.5*4)*32</f>
        <v>192</v>
      </c>
      <c r="E245" s="46"/>
      <c r="F245" s="101"/>
      <c r="G245" s="101">
        <v>149012.2942</v>
      </c>
      <c r="H245" s="101">
        <f>D245*G245</f>
        <v>28610360.486400001</v>
      </c>
      <c r="I245" s="102"/>
      <c r="J245" s="71"/>
      <c r="K245" s="25"/>
    </row>
    <row r="246" spans="1:11" x14ac:dyDescent="0.2">
      <c r="A246" s="32"/>
      <c r="B246" s="33" t="s">
        <v>28</v>
      </c>
      <c r="C246" s="117"/>
      <c r="D246" s="128"/>
      <c r="E246" s="36"/>
      <c r="F246" s="36"/>
      <c r="G246" s="70">
        <v>0</v>
      </c>
      <c r="H246" s="70"/>
      <c r="I246" s="38">
        <f>SUM(H245)</f>
        <v>28610360.486400001</v>
      </c>
      <c r="J246" s="71"/>
      <c r="K246" s="25"/>
    </row>
    <row r="247" spans="1:11" x14ac:dyDescent="0.2">
      <c r="A247" s="85">
        <v>40</v>
      </c>
      <c r="B247" s="86" t="s">
        <v>226</v>
      </c>
      <c r="C247" s="87"/>
      <c r="D247" s="97"/>
      <c r="E247" s="98"/>
      <c r="F247" s="98"/>
      <c r="G247" s="98">
        <v>0</v>
      </c>
      <c r="H247" s="98"/>
      <c r="I247" s="99"/>
      <c r="J247" s="71"/>
      <c r="K247" s="25"/>
    </row>
    <row r="248" spans="1:11" x14ac:dyDescent="0.2">
      <c r="A248" s="84">
        <v>40.01</v>
      </c>
      <c r="B248" s="80" t="s">
        <v>227</v>
      </c>
      <c r="C248" s="66" t="s">
        <v>20</v>
      </c>
      <c r="D248" s="93">
        <f>5*3.5</f>
        <v>17.5</v>
      </c>
      <c r="E248" s="30">
        <f>'[1]presupuesto 5'!$E$694*1.15</f>
        <v>50610.867499999993</v>
      </c>
      <c r="F248" s="105">
        <v>9000</v>
      </c>
      <c r="G248" s="105">
        <v>54507.003100000009</v>
      </c>
      <c r="H248" s="105">
        <f t="shared" ref="H248:H254" si="8">D248*G248</f>
        <v>953872.55425000016</v>
      </c>
      <c r="I248" s="96"/>
      <c r="J248" s="71"/>
      <c r="K248" s="25"/>
    </row>
    <row r="249" spans="1:11" x14ac:dyDescent="0.2">
      <c r="A249" s="84">
        <v>40.020000000000003</v>
      </c>
      <c r="B249" s="80" t="s">
        <v>228</v>
      </c>
      <c r="C249" s="66" t="s">
        <v>70</v>
      </c>
      <c r="D249" s="93">
        <f>3.5*4</f>
        <v>14</v>
      </c>
      <c r="E249" s="30">
        <f>'[1]presupuesto 5'!$E$695*1.5</f>
        <v>23914.92</v>
      </c>
      <c r="F249" s="105">
        <f t="shared" ref="F249:F254" si="9">F248</f>
        <v>9000</v>
      </c>
      <c r="G249" s="105">
        <v>23179.505800000003</v>
      </c>
      <c r="H249" s="105">
        <f t="shared" si="8"/>
        <v>324513.08120000002</v>
      </c>
      <c r="I249" s="96"/>
      <c r="J249" s="71"/>
      <c r="K249" s="25"/>
    </row>
    <row r="250" spans="1:11" x14ac:dyDescent="0.2">
      <c r="A250" s="84">
        <v>40.03</v>
      </c>
      <c r="B250" s="80" t="s">
        <v>229</v>
      </c>
      <c r="C250" s="66" t="s">
        <v>20</v>
      </c>
      <c r="D250" s="93">
        <f>7*3.5</f>
        <v>24.5</v>
      </c>
      <c r="E250" s="30">
        <v>15350</v>
      </c>
      <c r="F250" s="105">
        <f t="shared" si="9"/>
        <v>9000</v>
      </c>
      <c r="G250" s="105">
        <v>53680.275000000001</v>
      </c>
      <c r="H250" s="105">
        <f t="shared" si="8"/>
        <v>1315166.7375</v>
      </c>
      <c r="I250" s="96"/>
      <c r="J250" s="71"/>
      <c r="K250" s="25"/>
    </row>
    <row r="251" spans="1:11" x14ac:dyDescent="0.2">
      <c r="A251" s="84">
        <v>40.04</v>
      </c>
      <c r="B251" s="80" t="s">
        <v>230</v>
      </c>
      <c r="C251" s="66" t="s">
        <v>11</v>
      </c>
      <c r="D251" s="93">
        <v>1</v>
      </c>
      <c r="E251" s="30">
        <v>45000</v>
      </c>
      <c r="F251" s="105">
        <f t="shared" si="9"/>
        <v>9000</v>
      </c>
      <c r="G251" s="105">
        <v>490528.79700000008</v>
      </c>
      <c r="H251" s="105">
        <f t="shared" si="8"/>
        <v>490528.79700000008</v>
      </c>
      <c r="I251" s="96"/>
      <c r="J251" s="71"/>
      <c r="K251" s="25"/>
    </row>
    <row r="252" spans="1:11" x14ac:dyDescent="0.2">
      <c r="A252" s="84">
        <v>40.049999999999997</v>
      </c>
      <c r="B252" s="80" t="s">
        <v>231</v>
      </c>
      <c r="C252" s="66" t="s">
        <v>11</v>
      </c>
      <c r="D252" s="93">
        <v>22</v>
      </c>
      <c r="E252" s="30">
        <v>19550</v>
      </c>
      <c r="F252" s="105">
        <f t="shared" si="9"/>
        <v>9000</v>
      </c>
      <c r="G252" s="105">
        <v>490528.79700000008</v>
      </c>
      <c r="H252" s="105">
        <f t="shared" si="8"/>
        <v>10791633.534000002</v>
      </c>
      <c r="I252" s="96"/>
      <c r="J252" s="71"/>
      <c r="K252" s="25"/>
    </row>
    <row r="253" spans="1:11" x14ac:dyDescent="0.2">
      <c r="A253" s="84">
        <v>40.06</v>
      </c>
      <c r="B253" s="80" t="s">
        <v>232</v>
      </c>
      <c r="C253" s="66" t="s">
        <v>11</v>
      </c>
      <c r="D253" s="93">
        <v>10</v>
      </c>
      <c r="E253" s="30">
        <v>23000</v>
      </c>
      <c r="F253" s="105">
        <f t="shared" si="9"/>
        <v>9000</v>
      </c>
      <c r="G253" s="105">
        <v>120313.31510000001</v>
      </c>
      <c r="H253" s="105">
        <f t="shared" si="8"/>
        <v>1203133.1510000001</v>
      </c>
      <c r="I253" s="96"/>
      <c r="J253" s="71"/>
      <c r="K253" s="25"/>
    </row>
    <row r="254" spans="1:11" x14ac:dyDescent="0.2">
      <c r="A254" s="84">
        <v>40.07</v>
      </c>
      <c r="B254" s="81" t="s">
        <v>233</v>
      </c>
      <c r="C254" s="82" t="s">
        <v>11</v>
      </c>
      <c r="D254" s="100">
        <v>40</v>
      </c>
      <c r="E254" s="46">
        <v>9500</v>
      </c>
      <c r="F254" s="105">
        <f t="shared" si="9"/>
        <v>9000</v>
      </c>
      <c r="G254" s="101">
        <v>45803.018800000005</v>
      </c>
      <c r="H254" s="101">
        <f t="shared" si="8"/>
        <v>1832120.7520000003</v>
      </c>
      <c r="I254" s="102"/>
      <c r="J254" s="71"/>
      <c r="K254" s="25"/>
    </row>
    <row r="255" spans="1:11" x14ac:dyDescent="0.2">
      <c r="A255" s="129"/>
      <c r="B255" s="130" t="s">
        <v>28</v>
      </c>
      <c r="C255" s="117"/>
      <c r="D255" s="118"/>
      <c r="E255" s="37"/>
      <c r="F255" s="119"/>
      <c r="G255" s="119">
        <v>0</v>
      </c>
      <c r="H255" s="119"/>
      <c r="I255" s="38">
        <f>SUM(H248:H254)</f>
        <v>16910968.606950004</v>
      </c>
      <c r="J255" s="71"/>
      <c r="K255" s="25"/>
    </row>
    <row r="256" spans="1:11" x14ac:dyDescent="0.2">
      <c r="A256" s="131">
        <v>41</v>
      </c>
      <c r="B256" s="132" t="s">
        <v>234</v>
      </c>
      <c r="C256" s="133"/>
      <c r="D256" s="134"/>
      <c r="E256" s="135"/>
      <c r="F256" s="135"/>
      <c r="G256" s="135">
        <v>0</v>
      </c>
      <c r="H256" s="135"/>
      <c r="I256" s="96"/>
      <c r="J256" s="71"/>
      <c r="K256" s="25"/>
    </row>
    <row r="257" spans="1:11" x14ac:dyDescent="0.2">
      <c r="A257" s="84">
        <v>41.01</v>
      </c>
      <c r="B257" s="80" t="s">
        <v>235</v>
      </c>
      <c r="C257" s="66" t="s">
        <v>236</v>
      </c>
      <c r="D257" s="93">
        <v>240</v>
      </c>
      <c r="E257" s="30"/>
      <c r="F257" s="105"/>
      <c r="G257" s="105">
        <v>103730.00000000001</v>
      </c>
      <c r="H257" s="105">
        <f>D257*G257</f>
        <v>24895200.000000004</v>
      </c>
      <c r="I257" s="96"/>
      <c r="J257" s="71"/>
      <c r="K257" s="25"/>
    </row>
    <row r="258" spans="1:11" x14ac:dyDescent="0.2">
      <c r="A258" s="84">
        <v>41.02</v>
      </c>
      <c r="B258" s="80" t="s">
        <v>237</v>
      </c>
      <c r="C258" s="66" t="s">
        <v>20</v>
      </c>
      <c r="D258" s="93">
        <v>0</v>
      </c>
      <c r="E258" s="30"/>
      <c r="F258" s="105"/>
      <c r="G258" s="105">
        <v>2490.76476</v>
      </c>
      <c r="H258" s="105">
        <f t="shared" ref="H258:H267" si="10">D258*G258</f>
        <v>0</v>
      </c>
      <c r="I258" s="96"/>
      <c r="J258" s="71"/>
      <c r="K258" s="25"/>
    </row>
    <row r="259" spans="1:11" x14ac:dyDescent="0.2">
      <c r="A259" s="84">
        <v>41.03</v>
      </c>
      <c r="B259" s="80" t="s">
        <v>238</v>
      </c>
      <c r="C259" s="66" t="s">
        <v>20</v>
      </c>
      <c r="D259" s="93">
        <f>+(16*22)*5</f>
        <v>1760</v>
      </c>
      <c r="E259" s="30"/>
      <c r="F259" s="105"/>
      <c r="G259" s="105">
        <v>3158.7859600000002</v>
      </c>
      <c r="H259" s="105">
        <f t="shared" si="10"/>
        <v>5559463.2896000007</v>
      </c>
      <c r="I259" s="96"/>
      <c r="J259" s="71"/>
      <c r="K259" s="25"/>
    </row>
    <row r="260" spans="1:11" x14ac:dyDescent="0.2">
      <c r="A260" s="84">
        <v>41.04</v>
      </c>
      <c r="B260" s="81" t="s">
        <v>239</v>
      </c>
      <c r="C260" s="82" t="s">
        <v>27</v>
      </c>
      <c r="D260" s="100">
        <v>240</v>
      </c>
      <c r="E260" s="46"/>
      <c r="F260" s="101"/>
      <c r="G260" s="101">
        <v>2282.0600000000004</v>
      </c>
      <c r="H260" s="101">
        <f t="shared" si="10"/>
        <v>547694.40000000014</v>
      </c>
      <c r="I260" s="102"/>
      <c r="J260" s="71"/>
      <c r="K260" s="25"/>
    </row>
    <row r="261" spans="1:11" x14ac:dyDescent="0.2">
      <c r="A261" s="129"/>
      <c r="B261" s="130" t="s">
        <v>28</v>
      </c>
      <c r="C261" s="117"/>
      <c r="D261" s="118"/>
      <c r="E261" s="37"/>
      <c r="F261" s="119"/>
      <c r="G261" s="119">
        <v>0</v>
      </c>
      <c r="H261" s="119"/>
      <c r="I261" s="38">
        <f>SUM(H257:H260)</f>
        <v>31002357.689600002</v>
      </c>
      <c r="J261" s="71"/>
      <c r="K261" s="25"/>
    </row>
    <row r="262" spans="1:11" x14ac:dyDescent="0.2">
      <c r="A262" s="85">
        <v>42</v>
      </c>
      <c r="B262" s="86" t="s">
        <v>240</v>
      </c>
      <c r="C262" s="87"/>
      <c r="D262" s="97"/>
      <c r="E262" s="23"/>
      <c r="F262" s="98"/>
      <c r="G262" s="98">
        <v>0</v>
      </c>
      <c r="H262" s="104"/>
      <c r="I262" s="99"/>
      <c r="J262" s="71"/>
      <c r="K262" s="25"/>
    </row>
    <row r="263" spans="1:11" x14ac:dyDescent="0.2">
      <c r="A263" s="84">
        <v>42.01</v>
      </c>
      <c r="B263" s="80" t="s">
        <v>241</v>
      </c>
      <c r="C263" s="66" t="s">
        <v>242</v>
      </c>
      <c r="D263" s="93">
        <v>5</v>
      </c>
      <c r="E263" s="30"/>
      <c r="F263" s="105"/>
      <c r="G263" s="105">
        <v>145222.00000000003</v>
      </c>
      <c r="H263" s="105">
        <f t="shared" si="10"/>
        <v>726110.00000000012</v>
      </c>
      <c r="I263" s="96"/>
      <c r="J263" s="71"/>
      <c r="K263" s="25"/>
    </row>
    <row r="264" spans="1:11" x14ac:dyDescent="0.2">
      <c r="A264" s="89">
        <v>42.02</v>
      </c>
      <c r="B264" s="81" t="s">
        <v>243</v>
      </c>
      <c r="C264" s="82" t="s">
        <v>20</v>
      </c>
      <c r="D264" s="100">
        <f>16*15</f>
        <v>240</v>
      </c>
      <c r="E264" s="46"/>
      <c r="F264" s="101"/>
      <c r="G264" s="101">
        <v>5328.1848070000005</v>
      </c>
      <c r="H264" s="101">
        <f t="shared" si="10"/>
        <v>1278764.3536800002</v>
      </c>
      <c r="I264" s="102"/>
      <c r="J264" s="71"/>
      <c r="K264" s="25"/>
    </row>
    <row r="265" spans="1:11" x14ac:dyDescent="0.2">
      <c r="A265" s="129"/>
      <c r="B265" s="130" t="s">
        <v>28</v>
      </c>
      <c r="C265" s="117"/>
      <c r="D265" s="118"/>
      <c r="E265" s="37"/>
      <c r="F265" s="119"/>
      <c r="G265" s="119">
        <v>0</v>
      </c>
      <c r="H265" s="119"/>
      <c r="I265" s="38">
        <f>SUM(H263:H264)</f>
        <v>2004874.3536800002</v>
      </c>
      <c r="J265" s="71"/>
      <c r="K265" s="25"/>
    </row>
    <row r="266" spans="1:11" x14ac:dyDescent="0.2">
      <c r="A266" s="85">
        <v>43</v>
      </c>
      <c r="B266" s="86" t="s">
        <v>244</v>
      </c>
      <c r="C266" s="87"/>
      <c r="D266" s="97"/>
      <c r="E266" s="23"/>
      <c r="F266" s="98"/>
      <c r="G266" s="98">
        <v>0</v>
      </c>
      <c r="H266" s="104"/>
      <c r="I266" s="99"/>
      <c r="J266" s="71"/>
      <c r="K266" s="25"/>
    </row>
    <row r="267" spans="1:11" x14ac:dyDescent="0.2">
      <c r="A267" s="89">
        <v>43.01</v>
      </c>
      <c r="B267" s="81" t="s">
        <v>245</v>
      </c>
      <c r="C267" s="82" t="s">
        <v>11</v>
      </c>
      <c r="D267" s="100">
        <v>3</v>
      </c>
      <c r="E267" s="46"/>
      <c r="F267" s="101"/>
      <c r="G267" s="101">
        <v>9400.0126000000018</v>
      </c>
      <c r="H267" s="101">
        <f t="shared" si="10"/>
        <v>28200.037800000006</v>
      </c>
      <c r="I267" s="102"/>
      <c r="J267" s="71"/>
      <c r="K267" s="25"/>
    </row>
    <row r="268" spans="1:11" x14ac:dyDescent="0.2">
      <c r="A268" s="129"/>
      <c r="B268" s="130" t="s">
        <v>28</v>
      </c>
      <c r="C268" s="117"/>
      <c r="D268" s="118"/>
      <c r="E268" s="37"/>
      <c r="F268" s="119"/>
      <c r="G268" s="119">
        <v>0</v>
      </c>
      <c r="H268" s="119"/>
      <c r="I268" s="38">
        <f>SUM(H267)</f>
        <v>28200.037800000006</v>
      </c>
      <c r="J268" s="71"/>
      <c r="K268" s="25"/>
    </row>
    <row r="269" spans="1:11" x14ac:dyDescent="0.2">
      <c r="A269" s="83"/>
      <c r="B269" s="74" t="s">
        <v>246</v>
      </c>
      <c r="C269" s="75"/>
      <c r="D269" s="90"/>
      <c r="E269" s="91"/>
      <c r="F269" s="91"/>
      <c r="G269" s="91">
        <v>0</v>
      </c>
      <c r="H269" s="91"/>
      <c r="I269" s="92"/>
      <c r="J269" s="71"/>
      <c r="K269" s="25"/>
    </row>
    <row r="270" spans="1:11" x14ac:dyDescent="0.2">
      <c r="A270" s="136"/>
      <c r="B270" s="137" t="s">
        <v>247</v>
      </c>
      <c r="C270" s="138" t="s">
        <v>11</v>
      </c>
      <c r="D270" s="103"/>
      <c r="E270" s="139"/>
      <c r="F270" s="139"/>
      <c r="G270" s="104">
        <v>0</v>
      </c>
      <c r="H270" s="104"/>
      <c r="I270" s="140"/>
      <c r="J270" s="71"/>
      <c r="K270" s="25"/>
    </row>
    <row r="271" spans="1:11" x14ac:dyDescent="0.2">
      <c r="A271" s="141"/>
      <c r="B271" s="142" t="s">
        <v>248</v>
      </c>
      <c r="C271" s="80" t="s">
        <v>11</v>
      </c>
      <c r="D271" s="93">
        <v>3</v>
      </c>
      <c r="E271" s="143"/>
      <c r="F271" s="143"/>
      <c r="G271" s="105">
        <v>0</v>
      </c>
      <c r="H271" s="105"/>
      <c r="I271" s="144"/>
      <c r="J271" s="71"/>
      <c r="K271" s="25"/>
    </row>
    <row r="272" spans="1:11" x14ac:dyDescent="0.2">
      <c r="A272" s="141"/>
      <c r="B272" s="142" t="s">
        <v>249</v>
      </c>
      <c r="C272" s="80" t="s">
        <v>11</v>
      </c>
      <c r="D272" s="93"/>
      <c r="E272" s="143"/>
      <c r="F272" s="143"/>
      <c r="G272" s="105">
        <v>0</v>
      </c>
      <c r="H272" s="105"/>
      <c r="I272" s="144"/>
      <c r="J272" s="71"/>
      <c r="K272" s="25"/>
    </row>
    <row r="273" spans="1:11" x14ac:dyDescent="0.2">
      <c r="A273" s="145"/>
      <c r="B273" s="146" t="s">
        <v>250</v>
      </c>
      <c r="C273" s="81" t="s">
        <v>11</v>
      </c>
      <c r="D273" s="100"/>
      <c r="E273" s="147"/>
      <c r="F273" s="147"/>
      <c r="G273" s="101">
        <v>0</v>
      </c>
      <c r="H273" s="101"/>
      <c r="I273" s="148"/>
      <c r="J273" s="71"/>
      <c r="K273" s="25"/>
    </row>
    <row r="274" spans="1:11" x14ac:dyDescent="0.2">
      <c r="A274" s="149"/>
      <c r="B274" s="150"/>
      <c r="C274" s="151"/>
      <c r="D274" s="152"/>
      <c r="E274" s="153"/>
      <c r="F274" s="153"/>
      <c r="G274" s="154">
        <v>0</v>
      </c>
      <c r="H274" s="154"/>
      <c r="I274" s="155"/>
      <c r="J274" s="71"/>
      <c r="K274" s="25"/>
    </row>
    <row r="275" spans="1:11" x14ac:dyDescent="0.2">
      <c r="A275" s="131">
        <v>44</v>
      </c>
      <c r="B275" s="132" t="s">
        <v>251</v>
      </c>
      <c r="C275" s="133"/>
      <c r="D275" s="134"/>
      <c r="E275" s="135"/>
      <c r="F275" s="135"/>
      <c r="G275" s="135">
        <v>0</v>
      </c>
      <c r="H275" s="135"/>
      <c r="I275" s="96"/>
      <c r="J275" s="71"/>
      <c r="K275" s="25"/>
    </row>
    <row r="276" spans="1:11" x14ac:dyDescent="0.2">
      <c r="A276" s="84">
        <v>44.01</v>
      </c>
      <c r="B276" s="80" t="s">
        <v>252</v>
      </c>
      <c r="C276" s="66" t="s">
        <v>22</v>
      </c>
      <c r="D276" s="93">
        <f>63*3*0.2</f>
        <v>37.800000000000004</v>
      </c>
      <c r="E276" s="105"/>
      <c r="F276" s="105"/>
      <c r="G276" s="105">
        <v>30081.700000000004</v>
      </c>
      <c r="H276" s="105">
        <f t="shared" ref="H276:H285" si="11">D276*G276</f>
        <v>1137088.2600000002</v>
      </c>
      <c r="I276" s="96"/>
      <c r="J276" s="71"/>
      <c r="K276" s="25"/>
    </row>
    <row r="277" spans="1:11" x14ac:dyDescent="0.2">
      <c r="A277" s="84">
        <v>44.02</v>
      </c>
      <c r="B277" s="80" t="s">
        <v>253</v>
      </c>
      <c r="C277" s="66" t="s">
        <v>254</v>
      </c>
      <c r="D277" s="93">
        <f>3.5*4</f>
        <v>14</v>
      </c>
      <c r="E277" s="105"/>
      <c r="F277" s="105"/>
      <c r="G277" s="105">
        <v>3630.55</v>
      </c>
      <c r="H277" s="105">
        <f t="shared" si="11"/>
        <v>50827.700000000004</v>
      </c>
      <c r="I277" s="96"/>
      <c r="J277" s="71"/>
      <c r="K277" s="25"/>
    </row>
    <row r="278" spans="1:11" x14ac:dyDescent="0.2">
      <c r="A278" s="84">
        <v>44.03</v>
      </c>
      <c r="B278" s="80" t="s">
        <v>255</v>
      </c>
      <c r="C278" s="66" t="s">
        <v>256</v>
      </c>
      <c r="D278" s="93">
        <v>10</v>
      </c>
      <c r="E278" s="105"/>
      <c r="F278" s="105"/>
      <c r="G278" s="105">
        <v>28878.432000000001</v>
      </c>
      <c r="H278" s="105">
        <f t="shared" si="11"/>
        <v>288784.32</v>
      </c>
      <c r="I278" s="96"/>
      <c r="J278" s="71"/>
      <c r="K278" s="25"/>
    </row>
    <row r="279" spans="1:11" x14ac:dyDescent="0.2">
      <c r="A279" s="84">
        <v>44.04</v>
      </c>
      <c r="B279" s="80" t="s">
        <v>257</v>
      </c>
      <c r="C279" s="66" t="s">
        <v>258</v>
      </c>
      <c r="D279" s="93">
        <v>90</v>
      </c>
      <c r="E279" s="105"/>
      <c r="F279" s="105"/>
      <c r="G279" s="105">
        <v>36305.500000000007</v>
      </c>
      <c r="H279" s="105">
        <f t="shared" si="11"/>
        <v>3267495.0000000005</v>
      </c>
      <c r="I279" s="96"/>
      <c r="J279" s="71"/>
      <c r="K279" s="25"/>
    </row>
    <row r="280" spans="1:11" x14ac:dyDescent="0.2">
      <c r="A280" s="84">
        <v>44.05</v>
      </c>
      <c r="B280" s="80" t="s">
        <v>259</v>
      </c>
      <c r="C280" s="66" t="str">
        <f>C279</f>
        <v>día</v>
      </c>
      <c r="D280" s="93">
        <v>90</v>
      </c>
      <c r="E280" s="105"/>
      <c r="F280" s="105"/>
      <c r="G280" s="105">
        <v>31119.000000000004</v>
      </c>
      <c r="H280" s="105">
        <f t="shared" si="11"/>
        <v>2800710.0000000005</v>
      </c>
      <c r="I280" s="96"/>
      <c r="J280" s="71"/>
      <c r="K280" s="25"/>
    </row>
    <row r="281" spans="1:11" x14ac:dyDescent="0.2">
      <c r="A281" s="84">
        <v>44.06</v>
      </c>
      <c r="B281" s="80" t="s">
        <v>260</v>
      </c>
      <c r="C281" s="66" t="str">
        <f>C280</f>
        <v>día</v>
      </c>
      <c r="D281" s="93">
        <v>30</v>
      </c>
      <c r="E281" s="105"/>
      <c r="F281" s="105"/>
      <c r="G281" s="105">
        <v>57051.500000000007</v>
      </c>
      <c r="H281" s="105">
        <f t="shared" si="11"/>
        <v>1711545.0000000002</v>
      </c>
      <c r="I281" s="96"/>
      <c r="J281" s="71"/>
      <c r="K281" s="25"/>
    </row>
    <row r="282" spans="1:11" x14ac:dyDescent="0.2">
      <c r="A282" s="84">
        <v>44.07</v>
      </c>
      <c r="B282" s="80" t="s">
        <v>261</v>
      </c>
      <c r="C282" s="66" t="str">
        <f>C281</f>
        <v>día</v>
      </c>
      <c r="D282" s="93">
        <v>40</v>
      </c>
      <c r="E282" s="105"/>
      <c r="F282" s="105"/>
      <c r="G282" s="105">
        <v>14522.2</v>
      </c>
      <c r="H282" s="105">
        <f t="shared" si="11"/>
        <v>580888</v>
      </c>
      <c r="I282" s="96"/>
      <c r="J282" s="71"/>
      <c r="K282" s="25"/>
    </row>
    <row r="283" spans="1:11" x14ac:dyDescent="0.2">
      <c r="A283" s="84">
        <v>44.08</v>
      </c>
      <c r="B283" s="122" t="s">
        <v>262</v>
      </c>
      <c r="C283" s="123" t="s">
        <v>36</v>
      </c>
      <c r="D283" s="124">
        <v>1</v>
      </c>
      <c r="E283" s="125"/>
      <c r="F283" s="125"/>
      <c r="G283" s="125">
        <v>1705330.3697319999</v>
      </c>
      <c r="H283" s="125">
        <f t="shared" si="11"/>
        <v>1705330.3697319999</v>
      </c>
      <c r="I283" s="113"/>
      <c r="J283" s="71"/>
      <c r="K283" s="25"/>
    </row>
    <row r="284" spans="1:11" x14ac:dyDescent="0.2">
      <c r="A284" s="84">
        <v>44.09</v>
      </c>
      <c r="B284" s="80" t="s">
        <v>263</v>
      </c>
      <c r="C284" s="66" t="s">
        <v>256</v>
      </c>
      <c r="D284" s="93">
        <v>6</v>
      </c>
      <c r="E284" s="105"/>
      <c r="F284" s="105"/>
      <c r="G284" s="105">
        <v>259325.00000000003</v>
      </c>
      <c r="H284" s="105">
        <f t="shared" si="11"/>
        <v>1555950.0000000002</v>
      </c>
      <c r="I284" s="96"/>
      <c r="J284" s="71"/>
      <c r="K284" s="25"/>
    </row>
    <row r="285" spans="1:11" x14ac:dyDescent="0.2">
      <c r="A285" s="84">
        <v>44.1</v>
      </c>
      <c r="B285" s="80" t="s">
        <v>264</v>
      </c>
      <c r="C285" s="66" t="s">
        <v>36</v>
      </c>
      <c r="D285" s="93">
        <v>1</v>
      </c>
      <c r="E285" s="105"/>
      <c r="F285" s="105"/>
      <c r="G285" s="105">
        <v>829840.00000000012</v>
      </c>
      <c r="H285" s="105">
        <f t="shared" si="11"/>
        <v>829840.00000000012</v>
      </c>
      <c r="I285" s="96"/>
      <c r="J285" s="71"/>
      <c r="K285" s="25"/>
    </row>
    <row r="286" spans="1:11" ht="13.5" thickBot="1" x14ac:dyDescent="0.25">
      <c r="A286" s="129"/>
      <c r="B286" s="130" t="s">
        <v>28</v>
      </c>
      <c r="C286" s="117"/>
      <c r="D286" s="118"/>
      <c r="E286" s="36"/>
      <c r="F286" s="119"/>
      <c r="G286" s="119"/>
      <c r="H286" s="119"/>
      <c r="I286" s="38">
        <f>SUM(H276:H285)</f>
        <v>13928458.649732001</v>
      </c>
      <c r="J286" s="71"/>
      <c r="K286" s="25"/>
    </row>
    <row r="287" spans="1:11" ht="14.25" thickTop="1" thickBot="1" x14ac:dyDescent="0.25">
      <c r="A287" s="156"/>
      <c r="B287" s="157" t="s">
        <v>265</v>
      </c>
      <c r="C287" s="158"/>
      <c r="D287" s="159"/>
      <c r="E287" s="160"/>
      <c r="F287" s="160"/>
      <c r="G287" s="160"/>
      <c r="H287" s="160">
        <f>SUM(I6:I286)</f>
        <v>1057296490.9237114</v>
      </c>
      <c r="I287" s="161"/>
      <c r="J287" s="71"/>
      <c r="K287" s="25"/>
    </row>
    <row r="288" spans="1:11" ht="13.5" thickTop="1" x14ac:dyDescent="0.2">
      <c r="A288" s="162">
        <v>45</v>
      </c>
      <c r="B288" s="163" t="s">
        <v>266</v>
      </c>
      <c r="C288" s="164" t="s">
        <v>267</v>
      </c>
      <c r="D288" s="152">
        <v>8</v>
      </c>
      <c r="E288" s="154"/>
      <c r="F288" s="154"/>
      <c r="G288" s="154"/>
      <c r="H288" s="165">
        <f>H287*D288/100</f>
        <v>84583719.273896918</v>
      </c>
      <c r="I288" s="166"/>
      <c r="J288" s="71"/>
      <c r="K288" s="25"/>
    </row>
    <row r="289" spans="1:11" x14ac:dyDescent="0.2">
      <c r="A289" s="131">
        <v>46</v>
      </c>
      <c r="B289" s="132" t="s">
        <v>268</v>
      </c>
      <c r="C289" s="66" t="s">
        <v>267</v>
      </c>
      <c r="D289" s="93">
        <v>5</v>
      </c>
      <c r="E289" s="105"/>
      <c r="F289" s="105"/>
      <c r="G289" s="105"/>
      <c r="H289" s="135">
        <f>H287*D289/100</f>
        <v>52864824.546185568</v>
      </c>
      <c r="I289" s="96"/>
      <c r="J289" s="71"/>
      <c r="K289" s="25"/>
    </row>
    <row r="290" spans="1:11" ht="13.5" thickBot="1" x14ac:dyDescent="0.25">
      <c r="A290" s="131">
        <v>47</v>
      </c>
      <c r="B290" s="132" t="s">
        <v>269</v>
      </c>
      <c r="C290" s="66" t="s">
        <v>267</v>
      </c>
      <c r="D290" s="93">
        <v>4</v>
      </c>
      <c r="E290" s="105"/>
      <c r="F290" s="105"/>
      <c r="G290" s="105"/>
      <c r="H290" s="135">
        <f>H287*D290/100</f>
        <v>42291859.636948459</v>
      </c>
      <c r="I290" s="96"/>
      <c r="J290" s="71"/>
      <c r="K290" s="25"/>
    </row>
    <row r="291" spans="1:11" ht="14.25" thickTop="1" thickBot="1" x14ac:dyDescent="0.25">
      <c r="A291" s="167"/>
      <c r="B291" s="168" t="s">
        <v>270</v>
      </c>
      <c r="C291" s="169"/>
      <c r="D291" s="170"/>
      <c r="E291" s="171"/>
      <c r="F291" s="171"/>
      <c r="G291" s="171"/>
      <c r="H291" s="160">
        <f>SUM(H288:H290)</f>
        <v>179740403.45703095</v>
      </c>
      <c r="I291" s="172"/>
      <c r="K291" s="25"/>
    </row>
    <row r="292" spans="1:11" ht="14.25" thickTop="1" thickBot="1" x14ac:dyDescent="0.25">
      <c r="A292" s="173"/>
      <c r="B292" s="174"/>
      <c r="C292" s="175"/>
      <c r="D292" s="176"/>
      <c r="E292" s="177"/>
      <c r="F292" s="177"/>
      <c r="G292" s="178"/>
      <c r="H292" s="178"/>
      <c r="I292" s="179"/>
      <c r="J292" s="71"/>
      <c r="K292" s="25"/>
    </row>
    <row r="293" spans="1:11" ht="14.25" thickTop="1" thickBot="1" x14ac:dyDescent="0.25">
      <c r="A293" s="167"/>
      <c r="B293" s="168" t="s">
        <v>271</v>
      </c>
      <c r="C293" s="169"/>
      <c r="D293" s="170"/>
      <c r="E293" s="171"/>
      <c r="F293" s="171"/>
      <c r="G293" s="171"/>
      <c r="H293" s="418">
        <f>H287+H291</f>
        <v>1237036894.3807423</v>
      </c>
      <c r="I293" s="419"/>
      <c r="J293" s="71"/>
      <c r="K293" s="25"/>
    </row>
    <row r="294" spans="1:11" ht="14.25" thickTop="1" thickBot="1" x14ac:dyDescent="0.25">
      <c r="A294" s="173"/>
      <c r="B294" s="174"/>
      <c r="C294" s="175"/>
      <c r="D294" s="176"/>
      <c r="E294" s="178"/>
      <c r="F294" s="178"/>
      <c r="G294" s="178"/>
      <c r="H294" s="178"/>
      <c r="I294" s="180"/>
      <c r="J294" s="71"/>
      <c r="K294" s="25"/>
    </row>
    <row r="295" spans="1:11" ht="14.25" thickTop="1" thickBot="1" x14ac:dyDescent="0.25">
      <c r="A295" s="181"/>
      <c r="B295" s="182" t="s">
        <v>272</v>
      </c>
      <c r="C295" s="183"/>
      <c r="D295" s="184">
        <f>(16*25)*6</f>
        <v>2400</v>
      </c>
      <c r="E295" s="185"/>
      <c r="F295" s="185"/>
      <c r="G295" s="185"/>
      <c r="H295" s="185">
        <f>+H293/D295</f>
        <v>515432.03932530928</v>
      </c>
      <c r="I295" s="186" t="s">
        <v>20</v>
      </c>
      <c r="J295" s="71"/>
      <c r="K295" s="25"/>
    </row>
    <row r="296" spans="1:11" ht="13.5" thickTop="1" x14ac:dyDescent="0.2"/>
    <row r="297" spans="1:11" x14ac:dyDescent="0.2">
      <c r="H297" s="192"/>
    </row>
  </sheetData>
  <mergeCells count="2">
    <mergeCell ref="B1:I2"/>
    <mergeCell ref="H293:I29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5"/>
  <sheetViews>
    <sheetView workbookViewId="0">
      <selection activeCell="C17" sqref="C17"/>
    </sheetView>
  </sheetViews>
  <sheetFormatPr baseColWidth="10" defaultRowHeight="15.75" x14ac:dyDescent="0.25"/>
  <cols>
    <col min="2" max="2" width="23.375" bestFit="1" customWidth="1"/>
    <col min="3" max="3" width="14.625" bestFit="1" customWidth="1"/>
  </cols>
  <sheetData>
    <row r="3" spans="2:3" x14ac:dyDescent="0.25">
      <c r="B3" s="203"/>
      <c r="C3" s="204" t="s">
        <v>273</v>
      </c>
    </row>
    <row r="4" spans="2:3" ht="26.25" x14ac:dyDescent="0.25">
      <c r="B4" s="205"/>
      <c r="C4" s="206" t="s">
        <v>275</v>
      </c>
    </row>
    <row r="5" spans="2:3" x14ac:dyDescent="0.25">
      <c r="B5" s="207" t="s">
        <v>279</v>
      </c>
      <c r="C5" s="208">
        <v>5098800</v>
      </c>
    </row>
    <row r="6" spans="2:3" x14ac:dyDescent="0.25">
      <c r="B6" s="209" t="s">
        <v>280</v>
      </c>
      <c r="C6" s="210">
        <v>2158200</v>
      </c>
    </row>
    <row r="7" spans="2:3" x14ac:dyDescent="0.25">
      <c r="B7" s="209" t="s">
        <v>281</v>
      </c>
      <c r="C7" s="210">
        <v>389700</v>
      </c>
    </row>
    <row r="8" spans="2:3" x14ac:dyDescent="0.25">
      <c r="B8" s="209" t="s">
        <v>282</v>
      </c>
      <c r="C8" s="210">
        <v>2550900</v>
      </c>
    </row>
    <row r="9" spans="2:3" x14ac:dyDescent="0.25">
      <c r="B9" s="207" t="s">
        <v>283</v>
      </c>
      <c r="C9" s="208">
        <v>20511400</v>
      </c>
    </row>
    <row r="10" spans="2:3" x14ac:dyDescent="0.25">
      <c r="B10" s="209" t="s">
        <v>284</v>
      </c>
      <c r="C10" s="210">
        <v>4482000</v>
      </c>
    </row>
    <row r="11" spans="2:3" x14ac:dyDescent="0.25">
      <c r="B11" s="209" t="s">
        <v>285</v>
      </c>
      <c r="C11" s="210">
        <v>6778200</v>
      </c>
    </row>
    <row r="12" spans="2:3" x14ac:dyDescent="0.25">
      <c r="B12" s="209" t="s">
        <v>286</v>
      </c>
      <c r="C12" s="210">
        <v>6021600</v>
      </c>
    </row>
    <row r="13" spans="2:3" x14ac:dyDescent="0.25">
      <c r="B13" s="209" t="s">
        <v>287</v>
      </c>
      <c r="C13" s="210">
        <v>2616000</v>
      </c>
    </row>
    <row r="14" spans="2:3" ht="16.5" thickBot="1" x14ac:dyDescent="0.3">
      <c r="B14" s="209" t="s">
        <v>288</v>
      </c>
      <c r="C14" s="210">
        <v>613600</v>
      </c>
    </row>
    <row r="15" spans="2:3" ht="16.5" thickTop="1" x14ac:dyDescent="0.25">
      <c r="B15" s="211" t="s">
        <v>289</v>
      </c>
      <c r="C15" s="212">
        <v>25610200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F31" sqref="F31"/>
    </sheetView>
  </sheetViews>
  <sheetFormatPr baseColWidth="10" defaultRowHeight="15.75" x14ac:dyDescent="0.25"/>
  <cols>
    <col min="1" max="1" width="16.875" bestFit="1" customWidth="1"/>
    <col min="2" max="2" width="18.375" bestFit="1" customWidth="1"/>
    <col min="3" max="3" width="21.125" bestFit="1" customWidth="1"/>
    <col min="6" max="6" width="20.375" customWidth="1"/>
    <col min="7" max="7" width="11.625" style="222" bestFit="1" customWidth="1"/>
    <col min="8" max="8" width="18.125" customWidth="1"/>
  </cols>
  <sheetData>
    <row r="1" spans="1:7" x14ac:dyDescent="0.25">
      <c r="A1" s="193"/>
      <c r="B1" s="194" t="s">
        <v>273</v>
      </c>
      <c r="C1" s="194"/>
      <c r="F1" s="235" t="s">
        <v>368</v>
      </c>
      <c r="G1" s="222" t="s">
        <v>329</v>
      </c>
    </row>
    <row r="2" spans="1:7" x14ac:dyDescent="0.25">
      <c r="A2" s="195" t="s">
        <v>274</v>
      </c>
      <c r="B2" s="229" t="s">
        <v>304</v>
      </c>
      <c r="C2" s="229" t="s">
        <v>275</v>
      </c>
    </row>
    <row r="3" spans="1:7" x14ac:dyDescent="0.25">
      <c r="A3" s="196" t="s">
        <v>305</v>
      </c>
      <c r="B3" s="197">
        <v>2</v>
      </c>
      <c r="C3" s="197">
        <v>778900</v>
      </c>
      <c r="F3" s="235" t="s">
        <v>275</v>
      </c>
    </row>
    <row r="4" spans="1:7" x14ac:dyDescent="0.25">
      <c r="A4" s="198" t="s">
        <v>306</v>
      </c>
      <c r="B4" s="199">
        <v>1</v>
      </c>
      <c r="C4" s="199">
        <v>749000</v>
      </c>
      <c r="D4" s="202"/>
      <c r="F4" s="235" t="s">
        <v>367</v>
      </c>
      <c r="G4" s="222" t="s">
        <v>5</v>
      </c>
    </row>
    <row r="5" spans="1:7" x14ac:dyDescent="0.25">
      <c r="A5" s="198" t="s">
        <v>307</v>
      </c>
      <c r="B5" s="199">
        <v>1</v>
      </c>
      <c r="C5" s="199">
        <v>29900</v>
      </c>
      <c r="F5" s="2" t="s">
        <v>311</v>
      </c>
      <c r="G5" s="222">
        <v>5714800</v>
      </c>
    </row>
    <row r="6" spans="1:7" x14ac:dyDescent="0.25">
      <c r="A6" s="196" t="s">
        <v>308</v>
      </c>
      <c r="B6" s="197">
        <v>1</v>
      </c>
      <c r="C6" s="197">
        <v>29900</v>
      </c>
      <c r="F6" s="2" t="s">
        <v>312</v>
      </c>
      <c r="G6" s="222">
        <v>15594800</v>
      </c>
    </row>
    <row r="7" spans="1:7" x14ac:dyDescent="0.25">
      <c r="A7" s="198" t="s">
        <v>307</v>
      </c>
      <c r="B7" s="199">
        <v>1</v>
      </c>
      <c r="C7" s="199">
        <v>29900</v>
      </c>
      <c r="F7" s="2" t="s">
        <v>313</v>
      </c>
      <c r="G7" s="222">
        <v>13982800</v>
      </c>
    </row>
    <row r="8" spans="1:7" x14ac:dyDescent="0.25">
      <c r="A8" s="196" t="s">
        <v>309</v>
      </c>
      <c r="B8" s="197">
        <v>1</v>
      </c>
      <c r="C8" s="197">
        <v>949000</v>
      </c>
      <c r="F8" s="2" t="s">
        <v>306</v>
      </c>
      <c r="G8" s="222">
        <v>2247000</v>
      </c>
    </row>
    <row r="9" spans="1:7" x14ac:dyDescent="0.25">
      <c r="A9" s="198" t="s">
        <v>310</v>
      </c>
      <c r="B9" s="199">
        <v>1</v>
      </c>
      <c r="C9" s="199">
        <v>949000</v>
      </c>
      <c r="F9" s="2" t="s">
        <v>317</v>
      </c>
      <c r="G9" s="222">
        <v>149500</v>
      </c>
    </row>
    <row r="10" spans="1:7" x14ac:dyDescent="0.25">
      <c r="A10" s="196" t="s">
        <v>279</v>
      </c>
      <c r="B10" s="197">
        <v>312</v>
      </c>
      <c r="C10" s="197">
        <v>89310000</v>
      </c>
      <c r="F10" s="2" t="s">
        <v>314</v>
      </c>
      <c r="G10" s="222">
        <v>3114800</v>
      </c>
    </row>
    <row r="11" spans="1:7" x14ac:dyDescent="0.25">
      <c r="A11" s="198" t="s">
        <v>311</v>
      </c>
      <c r="B11" s="199">
        <v>52</v>
      </c>
      <c r="C11" s="199">
        <v>5714800</v>
      </c>
      <c r="F11" s="2" t="s">
        <v>307</v>
      </c>
      <c r="G11" s="222">
        <v>1704300</v>
      </c>
    </row>
    <row r="12" spans="1:7" x14ac:dyDescent="0.25">
      <c r="A12" s="198" t="s">
        <v>312</v>
      </c>
      <c r="B12" s="199">
        <v>52</v>
      </c>
      <c r="C12" s="199">
        <v>15594800</v>
      </c>
      <c r="F12" s="2" t="s">
        <v>310</v>
      </c>
      <c r="G12" s="222">
        <v>51246000</v>
      </c>
    </row>
    <row r="13" spans="1:7" x14ac:dyDescent="0.25">
      <c r="A13" s="198" t="s">
        <v>313</v>
      </c>
      <c r="B13" s="199">
        <v>52</v>
      </c>
      <c r="C13" s="199">
        <v>13982800</v>
      </c>
      <c r="F13" s="2" t="s">
        <v>289</v>
      </c>
      <c r="G13" s="222">
        <v>93754000</v>
      </c>
    </row>
    <row r="14" spans="1:7" x14ac:dyDescent="0.25">
      <c r="A14" s="198" t="s">
        <v>314</v>
      </c>
      <c r="B14" s="199">
        <v>52</v>
      </c>
      <c r="C14" s="199">
        <v>3114800</v>
      </c>
    </row>
    <row r="15" spans="1:7" x14ac:dyDescent="0.25">
      <c r="A15" s="198" t="s">
        <v>307</v>
      </c>
      <c r="B15" s="199">
        <v>52</v>
      </c>
      <c r="C15" s="199">
        <v>1554800</v>
      </c>
    </row>
    <row r="16" spans="1:7" x14ac:dyDescent="0.25">
      <c r="A16" s="198" t="s">
        <v>310</v>
      </c>
      <c r="B16" s="199">
        <v>52</v>
      </c>
      <c r="C16" s="199">
        <v>49348000</v>
      </c>
    </row>
    <row r="17" spans="1:3" x14ac:dyDescent="0.25">
      <c r="A17" s="196" t="s">
        <v>315</v>
      </c>
      <c r="B17" s="197">
        <v>2</v>
      </c>
      <c r="C17" s="197">
        <v>778900</v>
      </c>
    </row>
    <row r="18" spans="1:3" x14ac:dyDescent="0.25">
      <c r="A18" s="198" t="s">
        <v>306</v>
      </c>
      <c r="B18" s="199">
        <v>1</v>
      </c>
      <c r="C18" s="199">
        <v>749000</v>
      </c>
    </row>
    <row r="19" spans="1:3" x14ac:dyDescent="0.25">
      <c r="A19" s="198" t="s">
        <v>307</v>
      </c>
      <c r="B19" s="199">
        <v>1</v>
      </c>
      <c r="C19" s="199">
        <v>29900</v>
      </c>
    </row>
    <row r="20" spans="1:3" x14ac:dyDescent="0.25">
      <c r="A20" s="196" t="s">
        <v>316</v>
      </c>
      <c r="B20" s="197">
        <v>3</v>
      </c>
      <c r="C20" s="197">
        <v>928400</v>
      </c>
    </row>
    <row r="21" spans="1:3" x14ac:dyDescent="0.25">
      <c r="A21" s="198" t="s">
        <v>306</v>
      </c>
      <c r="B21" s="199">
        <v>1</v>
      </c>
      <c r="C21" s="199">
        <v>749000</v>
      </c>
    </row>
    <row r="22" spans="1:3" x14ac:dyDescent="0.25">
      <c r="A22" s="198" t="s">
        <v>317</v>
      </c>
      <c r="B22" s="199">
        <v>1</v>
      </c>
      <c r="C22" s="199">
        <v>149500</v>
      </c>
    </row>
    <row r="23" spans="1:3" x14ac:dyDescent="0.25">
      <c r="A23" s="198" t="s">
        <v>307</v>
      </c>
      <c r="B23" s="199">
        <v>1</v>
      </c>
      <c r="C23" s="199">
        <v>29900</v>
      </c>
    </row>
    <row r="24" spans="1:3" x14ac:dyDescent="0.25">
      <c r="A24" s="196" t="s">
        <v>318</v>
      </c>
      <c r="B24" s="197">
        <v>2</v>
      </c>
      <c r="C24" s="197">
        <v>978900</v>
      </c>
    </row>
    <row r="25" spans="1:3" x14ac:dyDescent="0.25">
      <c r="A25" s="198" t="s">
        <v>307</v>
      </c>
      <c r="B25" s="199">
        <v>1</v>
      </c>
      <c r="C25" s="199">
        <v>29900</v>
      </c>
    </row>
    <row r="26" spans="1:3" ht="16.5" thickBot="1" x14ac:dyDescent="0.3">
      <c r="A26" s="198" t="s">
        <v>310</v>
      </c>
      <c r="B26" s="199">
        <v>1</v>
      </c>
      <c r="C26" s="199">
        <v>949000</v>
      </c>
    </row>
    <row r="27" spans="1:3" ht="16.5" thickTop="1" x14ac:dyDescent="0.25">
      <c r="A27" s="200" t="s">
        <v>289</v>
      </c>
      <c r="B27" s="201">
        <v>323</v>
      </c>
      <c r="C27" s="201">
        <v>93754000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4"/>
  <sheetViews>
    <sheetView workbookViewId="0">
      <selection activeCell="B27" sqref="B27"/>
    </sheetView>
  </sheetViews>
  <sheetFormatPr baseColWidth="10" defaultRowHeight="15.75" x14ac:dyDescent="0.25"/>
  <cols>
    <col min="2" max="2" width="25.5" bestFit="1" customWidth="1"/>
    <col min="3" max="3" width="20" style="222" customWidth="1"/>
    <col min="4" max="4" width="19.5" style="222" bestFit="1" customWidth="1"/>
    <col min="5" max="5" width="20.375" customWidth="1"/>
  </cols>
  <sheetData>
    <row r="1" spans="2:5" x14ac:dyDescent="0.25">
      <c r="B1" s="235" t="s">
        <v>368</v>
      </c>
      <c r="C1" t="s">
        <v>335</v>
      </c>
    </row>
    <row r="3" spans="2:5" x14ac:dyDescent="0.25">
      <c r="C3" s="235" t="s">
        <v>273</v>
      </c>
      <c r="D3"/>
    </row>
    <row r="4" spans="2:5" s="3" customFormat="1" x14ac:dyDescent="0.25">
      <c r="B4" s="388" t="s">
        <v>274</v>
      </c>
      <c r="C4" s="202" t="s">
        <v>539</v>
      </c>
      <c r="D4" s="202" t="s">
        <v>537</v>
      </c>
      <c r="E4" s="202" t="s">
        <v>538</v>
      </c>
    </row>
    <row r="5" spans="2:5" x14ac:dyDescent="0.25">
      <c r="B5" s="389" t="s">
        <v>276</v>
      </c>
      <c r="C5" s="202">
        <v>12200000</v>
      </c>
      <c r="D5" s="202">
        <v>1</v>
      </c>
      <c r="E5" s="202">
        <v>12200000</v>
      </c>
    </row>
    <row r="6" spans="2:5" x14ac:dyDescent="0.25">
      <c r="B6" s="390" t="s">
        <v>278</v>
      </c>
      <c r="C6" s="202">
        <v>2000000</v>
      </c>
      <c r="D6" s="202">
        <v>1</v>
      </c>
      <c r="E6" s="202">
        <v>2000000</v>
      </c>
    </row>
    <row r="7" spans="2:5" x14ac:dyDescent="0.25">
      <c r="B7" s="390" t="s">
        <v>277</v>
      </c>
      <c r="C7" s="202">
        <v>10200000</v>
      </c>
      <c r="D7" s="202">
        <v>1</v>
      </c>
      <c r="E7" s="202">
        <v>10200000</v>
      </c>
    </row>
    <row r="8" spans="2:5" x14ac:dyDescent="0.25">
      <c r="B8" s="389" t="s">
        <v>279</v>
      </c>
      <c r="C8" s="202">
        <v>5098800</v>
      </c>
      <c r="D8" s="202">
        <v>1</v>
      </c>
      <c r="E8" s="202">
        <v>5098800</v>
      </c>
    </row>
    <row r="9" spans="2:5" x14ac:dyDescent="0.25">
      <c r="B9" s="390" t="s">
        <v>280</v>
      </c>
      <c r="C9" s="202">
        <v>2158200</v>
      </c>
      <c r="D9" s="202">
        <v>1</v>
      </c>
      <c r="E9" s="202">
        <v>2158200</v>
      </c>
    </row>
    <row r="10" spans="2:5" x14ac:dyDescent="0.25">
      <c r="B10" s="390" t="s">
        <v>281</v>
      </c>
      <c r="C10" s="202">
        <v>389700</v>
      </c>
      <c r="D10" s="202">
        <v>1</v>
      </c>
      <c r="E10" s="202">
        <v>389700</v>
      </c>
    </row>
    <row r="11" spans="2:5" x14ac:dyDescent="0.25">
      <c r="B11" s="390" t="s">
        <v>282</v>
      </c>
      <c r="C11" s="202">
        <v>2550900</v>
      </c>
      <c r="D11" s="202">
        <v>1</v>
      </c>
      <c r="E11" s="202">
        <v>2550900</v>
      </c>
    </row>
    <row r="12" spans="2:5" x14ac:dyDescent="0.25">
      <c r="B12" s="389" t="s">
        <v>283</v>
      </c>
      <c r="C12" s="202">
        <v>20511400</v>
      </c>
      <c r="D12" s="202">
        <v>12</v>
      </c>
      <c r="E12" s="202">
        <v>1709283.3333333333</v>
      </c>
    </row>
    <row r="13" spans="2:5" x14ac:dyDescent="0.25">
      <c r="B13" s="390" t="s">
        <v>284</v>
      </c>
      <c r="C13" s="202">
        <v>4482000</v>
      </c>
      <c r="D13" s="202">
        <v>12</v>
      </c>
      <c r="E13" s="202">
        <v>373500</v>
      </c>
    </row>
    <row r="14" spans="2:5" x14ac:dyDescent="0.25">
      <c r="B14" s="390" t="s">
        <v>285</v>
      </c>
      <c r="C14" s="202">
        <v>6778200</v>
      </c>
      <c r="D14" s="202">
        <v>12</v>
      </c>
      <c r="E14" s="202">
        <v>564850</v>
      </c>
    </row>
    <row r="15" spans="2:5" x14ac:dyDescent="0.25">
      <c r="B15" s="390" t="s">
        <v>286</v>
      </c>
      <c r="C15" s="202">
        <v>6021600</v>
      </c>
      <c r="D15" s="202">
        <v>12</v>
      </c>
      <c r="E15" s="202">
        <v>501800</v>
      </c>
    </row>
    <row r="16" spans="2:5" x14ac:dyDescent="0.25">
      <c r="B16" s="390" t="s">
        <v>287</v>
      </c>
      <c r="C16" s="202">
        <v>2616000</v>
      </c>
      <c r="D16" s="202">
        <v>12</v>
      </c>
      <c r="E16" s="202">
        <v>218000</v>
      </c>
    </row>
    <row r="17" spans="2:5" x14ac:dyDescent="0.25">
      <c r="B17" s="390" t="s">
        <v>288</v>
      </c>
      <c r="C17" s="202">
        <v>613600</v>
      </c>
      <c r="D17" s="202">
        <v>12</v>
      </c>
      <c r="E17" s="202">
        <v>51133.333333333336</v>
      </c>
    </row>
    <row r="18" spans="2:5" x14ac:dyDescent="0.25">
      <c r="B18" s="389" t="s">
        <v>349</v>
      </c>
      <c r="C18" s="202">
        <v>5000000</v>
      </c>
      <c r="D18" s="202">
        <v>1</v>
      </c>
      <c r="E18" s="202">
        <v>9000000</v>
      </c>
    </row>
    <row r="19" spans="2:5" x14ac:dyDescent="0.25">
      <c r="B19" s="390" t="s">
        <v>348</v>
      </c>
      <c r="C19" s="202">
        <v>3000000</v>
      </c>
      <c r="D19" s="202">
        <v>1</v>
      </c>
      <c r="E19" s="202">
        <v>5000000</v>
      </c>
    </row>
    <row r="20" spans="2:5" x14ac:dyDescent="0.25">
      <c r="B20" s="390" t="s">
        <v>352</v>
      </c>
      <c r="C20" s="202">
        <v>500000</v>
      </c>
      <c r="D20" s="202">
        <v>1</v>
      </c>
      <c r="E20" s="202">
        <v>1000000</v>
      </c>
    </row>
    <row r="21" spans="2:5" x14ac:dyDescent="0.25">
      <c r="B21" s="390" t="s">
        <v>350</v>
      </c>
      <c r="C21" s="202">
        <v>1000000</v>
      </c>
      <c r="D21" s="202">
        <v>1</v>
      </c>
      <c r="E21" s="202">
        <v>2000000</v>
      </c>
    </row>
    <row r="22" spans="2:5" x14ac:dyDescent="0.25">
      <c r="B22" s="390" t="s">
        <v>351</v>
      </c>
      <c r="C22" s="202">
        <v>500000</v>
      </c>
      <c r="D22" s="202">
        <v>1</v>
      </c>
      <c r="E22" s="202">
        <v>1000000</v>
      </c>
    </row>
    <row r="23" spans="2:5" x14ac:dyDescent="0.25">
      <c r="B23" s="389" t="s">
        <v>289</v>
      </c>
      <c r="C23" s="202">
        <v>42810200</v>
      </c>
      <c r="D23" s="202">
        <v>4.9285714285714288</v>
      </c>
      <c r="E23" s="202">
        <v>28008083.333333332</v>
      </c>
    </row>
    <row r="24" spans="2:5" x14ac:dyDescent="0.25">
      <c r="B24" s="222"/>
      <c r="E24" s="22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</sheetPr>
  <dimension ref="A2:J30"/>
  <sheetViews>
    <sheetView workbookViewId="0">
      <selection activeCell="E23" sqref="E23"/>
    </sheetView>
  </sheetViews>
  <sheetFormatPr baseColWidth="10" defaultRowHeight="15.75" x14ac:dyDescent="0.25"/>
  <cols>
    <col min="2" max="2" width="27.375" bestFit="1" customWidth="1"/>
    <col min="3" max="3" width="16.375" bestFit="1" customWidth="1"/>
    <col min="4" max="4" width="11.875" bestFit="1" customWidth="1"/>
    <col min="7" max="7" width="11.875" bestFit="1" customWidth="1"/>
  </cols>
  <sheetData>
    <row r="2" spans="2:10" x14ac:dyDescent="0.25">
      <c r="G2" s="293" t="s">
        <v>279</v>
      </c>
      <c r="H2" s="293" t="s">
        <v>488</v>
      </c>
      <c r="I2" s="293" t="s">
        <v>267</v>
      </c>
      <c r="J2" s="288"/>
    </row>
    <row r="3" spans="2:10" x14ac:dyDescent="0.25">
      <c r="B3" s="400" t="s">
        <v>493</v>
      </c>
      <c r="C3" s="400"/>
      <c r="G3" s="262" t="s">
        <v>450</v>
      </c>
      <c r="H3" s="262">
        <v>44</v>
      </c>
      <c r="I3" s="286">
        <f>+H3/H5</f>
        <v>0.84615384615384615</v>
      </c>
    </row>
    <row r="4" spans="2:10" x14ac:dyDescent="0.25">
      <c r="B4" s="236" t="s">
        <v>490</v>
      </c>
      <c r="C4" s="239">
        <v>5.6602659069325739E-2</v>
      </c>
      <c r="G4" s="262" t="s">
        <v>451</v>
      </c>
      <c r="H4" s="262">
        <v>8</v>
      </c>
      <c r="I4" s="286">
        <f>+H4/H5</f>
        <v>0.15384615384615385</v>
      </c>
    </row>
    <row r="5" spans="2:10" x14ac:dyDescent="0.25">
      <c r="B5" s="236" t="s">
        <v>489</v>
      </c>
      <c r="C5" s="319">
        <f>-C4*D30</f>
        <v>-3320849.3100134414</v>
      </c>
      <c r="G5" s="262" t="s">
        <v>5</v>
      </c>
      <c r="H5" s="262">
        <f>+H4+H3</f>
        <v>52</v>
      </c>
      <c r="I5" s="286">
        <f>+H5/H5</f>
        <v>1</v>
      </c>
    </row>
    <row r="6" spans="2:10" x14ac:dyDescent="0.25">
      <c r="B6" s="236" t="s">
        <v>487</v>
      </c>
      <c r="C6" s="319">
        <f>+'Flujo de caja primer año'!B12+'Flujo de caja primer año'!B13+'Flujo de caja primer año'!B14+'Flujo de caja primer año'!B15</f>
        <v>-46022570.962082207</v>
      </c>
    </row>
    <row r="7" spans="2:10" x14ac:dyDescent="0.25">
      <c r="B7" s="236" t="s">
        <v>533</v>
      </c>
      <c r="C7" s="319">
        <f>-AVERAGE('Costos Mercadeo'!D11:N11)</f>
        <v>-9326072.7272727266</v>
      </c>
    </row>
    <row r="8" spans="2:10" x14ac:dyDescent="0.25">
      <c r="B8" s="252" t="s">
        <v>491</v>
      </c>
      <c r="C8" s="321">
        <f>+C6+C5+C7</f>
        <v>-58669492.999368377</v>
      </c>
    </row>
    <row r="9" spans="2:10" x14ac:dyDescent="0.25">
      <c r="B9" s="252" t="s">
        <v>465</v>
      </c>
      <c r="C9" s="290">
        <f>+D30</f>
        <v>58669492.999368377</v>
      </c>
    </row>
    <row r="10" spans="2:10" x14ac:dyDescent="0.25">
      <c r="B10" s="252" t="s">
        <v>492</v>
      </c>
      <c r="C10" s="387">
        <f>+D21</f>
        <v>0.22634835262101996</v>
      </c>
    </row>
    <row r="11" spans="2:10" x14ac:dyDescent="0.25">
      <c r="B11" s="236" t="s">
        <v>535</v>
      </c>
      <c r="C11" s="237">
        <f>+C8+C9</f>
        <v>0</v>
      </c>
    </row>
    <row r="12" spans="2:10" x14ac:dyDescent="0.25">
      <c r="C12" s="202"/>
    </row>
    <row r="17" spans="1:4" x14ac:dyDescent="0.25">
      <c r="A17" s="236" t="s">
        <v>441</v>
      </c>
      <c r="B17" s="236"/>
      <c r="C17" s="236">
        <v>44</v>
      </c>
      <c r="D17" s="236">
        <f>+C17*30</f>
        <v>1320</v>
      </c>
    </row>
    <row r="18" spans="1:4" x14ac:dyDescent="0.25">
      <c r="A18" s="236" t="s">
        <v>442</v>
      </c>
      <c r="B18" s="236"/>
      <c r="C18" s="236">
        <v>8</v>
      </c>
      <c r="D18" s="236">
        <f>+C18*30</f>
        <v>240</v>
      </c>
    </row>
    <row r="21" spans="1:4" x14ac:dyDescent="0.25">
      <c r="A21" s="1"/>
      <c r="B21" s="397" t="s">
        <v>493</v>
      </c>
      <c r="C21" s="398"/>
      <c r="D21" s="260">
        <v>0.22634835262101996</v>
      </c>
    </row>
    <row r="22" spans="1:4" x14ac:dyDescent="0.25">
      <c r="B22" s="399" t="s">
        <v>432</v>
      </c>
      <c r="C22" s="236" t="s">
        <v>433</v>
      </c>
      <c r="D22" s="289">
        <f>(D21*$D$17)</f>
        <v>298.77982545974635</v>
      </c>
    </row>
    <row r="23" spans="1:4" x14ac:dyDescent="0.25">
      <c r="B23" s="399"/>
      <c r="C23" s="236" t="s">
        <v>434</v>
      </c>
      <c r="D23" s="227">
        <f>+'Ppto ventas'!B4</f>
        <v>160000</v>
      </c>
    </row>
    <row r="24" spans="1:4" x14ac:dyDescent="0.25">
      <c r="B24" s="399"/>
      <c r="C24" s="252" t="s">
        <v>435</v>
      </c>
      <c r="D24" s="255">
        <f>+D22*D23</f>
        <v>47804772.073559418</v>
      </c>
    </row>
    <row r="25" spans="1:4" x14ac:dyDescent="0.25">
      <c r="B25" s="259"/>
      <c r="C25" s="236"/>
      <c r="D25" s="227"/>
    </row>
    <row r="26" spans="1:4" x14ac:dyDescent="0.25">
      <c r="B26" s="399" t="s">
        <v>436</v>
      </c>
      <c r="C26" s="236" t="s">
        <v>433</v>
      </c>
      <c r="D26" s="289">
        <f>(D21*$D$18)</f>
        <v>54.323604629044787</v>
      </c>
    </row>
    <row r="27" spans="1:4" x14ac:dyDescent="0.25">
      <c r="B27" s="399"/>
      <c r="C27" s="236" t="s">
        <v>434</v>
      </c>
      <c r="D27" s="227">
        <f>+'Ppto ventas'!B5</f>
        <v>200000</v>
      </c>
    </row>
    <row r="28" spans="1:4" x14ac:dyDescent="0.25">
      <c r="B28" s="399"/>
      <c r="C28" s="252" t="s">
        <v>435</v>
      </c>
      <c r="D28" s="255">
        <f>+D26*D27</f>
        <v>10864720.925808957</v>
      </c>
    </row>
    <row r="29" spans="1:4" x14ac:dyDescent="0.25">
      <c r="B29" s="250"/>
      <c r="C29" s="236"/>
      <c r="D29" s="227"/>
    </row>
    <row r="30" spans="1:4" x14ac:dyDescent="0.25">
      <c r="A30" s="1"/>
      <c r="B30" s="256" t="s">
        <v>437</v>
      </c>
      <c r="C30" s="256"/>
      <c r="D30" s="257">
        <f>+D28+D24</f>
        <v>58669492.999368377</v>
      </c>
    </row>
  </sheetData>
  <mergeCells count="4">
    <mergeCell ref="B21:C21"/>
    <mergeCell ref="B22:B24"/>
    <mergeCell ref="B26:B28"/>
    <mergeCell ref="B3:C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</sheetPr>
  <dimension ref="B1:P26"/>
  <sheetViews>
    <sheetView topLeftCell="B2" workbookViewId="0">
      <pane xSplit="1" ySplit="1" topLeftCell="C4" activePane="bottomRight" state="frozenSplit"/>
      <selection activeCell="B2" sqref="B2"/>
      <selection pane="topRight" activeCell="K1" sqref="K1"/>
      <selection pane="bottomLeft" activeCell="D16" sqref="D16"/>
      <selection pane="bottomRight" activeCell="C24" sqref="C24"/>
    </sheetView>
  </sheetViews>
  <sheetFormatPr baseColWidth="10" defaultColWidth="10.875" defaultRowHeight="15.75" x14ac:dyDescent="0.25"/>
  <cols>
    <col min="1" max="1" width="10.875" style="335"/>
    <col min="2" max="2" width="18.5" style="349" customWidth="1"/>
    <col min="3" max="3" width="13.375" style="350" bestFit="1" customWidth="1"/>
    <col min="4" max="4" width="7.625" style="384" bestFit="1" customWidth="1"/>
    <col min="5" max="5" width="13.375" style="351" bestFit="1" customWidth="1"/>
    <col min="6" max="6" width="7.875" style="384" bestFit="1" customWidth="1"/>
    <col min="7" max="7" width="15.375" style="384" customWidth="1"/>
    <col min="8" max="8" width="13.375" style="335" bestFit="1" customWidth="1"/>
    <col min="9" max="9" width="7.875" style="384" bestFit="1" customWidth="1"/>
    <col min="10" max="10" width="15.375" style="384" customWidth="1"/>
    <col min="11" max="11" width="13.375" style="335" bestFit="1" customWidth="1"/>
    <col min="12" max="12" width="7.625" style="285" bestFit="1" customWidth="1"/>
    <col min="13" max="13" width="15.375" style="285" customWidth="1"/>
    <col min="14" max="14" width="13.375" style="335" bestFit="1" customWidth="1"/>
    <col min="15" max="15" width="7.625" style="285" bestFit="1" customWidth="1"/>
    <col min="16" max="16" width="15.875" style="285" customWidth="1"/>
    <col min="17" max="16384" width="10.875" style="335"/>
  </cols>
  <sheetData>
    <row r="1" spans="2:16" ht="16.5" thickBot="1" x14ac:dyDescent="0.3"/>
    <row r="2" spans="2:16" s="339" customFormat="1" ht="48" thickBot="1" x14ac:dyDescent="0.3">
      <c r="B2" s="352"/>
      <c r="C2" s="353" t="s">
        <v>480</v>
      </c>
      <c r="D2" s="385" t="s">
        <v>479</v>
      </c>
      <c r="E2" s="354" t="s">
        <v>481</v>
      </c>
      <c r="F2" s="386" t="s">
        <v>479</v>
      </c>
      <c r="G2" s="385" t="s">
        <v>532</v>
      </c>
      <c r="H2" s="355" t="s">
        <v>482</v>
      </c>
      <c r="I2" s="386" t="s">
        <v>479</v>
      </c>
      <c r="J2" s="385" t="s">
        <v>532</v>
      </c>
      <c r="K2" s="355" t="s">
        <v>495</v>
      </c>
      <c r="L2" s="386" t="s">
        <v>479</v>
      </c>
      <c r="M2" s="385" t="s">
        <v>532</v>
      </c>
      <c r="N2" s="355" t="s">
        <v>510</v>
      </c>
      <c r="O2" s="386" t="s">
        <v>479</v>
      </c>
      <c r="P2" s="385" t="s">
        <v>532</v>
      </c>
    </row>
    <row r="3" spans="2:16" x14ac:dyDescent="0.25">
      <c r="B3" s="356" t="s">
        <v>465</v>
      </c>
      <c r="C3" s="357">
        <f>+SUM('Ppto ventas'!D21:O21)</f>
        <v>1303080000</v>
      </c>
      <c r="D3" s="275">
        <f>+C3/C$3</f>
        <v>1</v>
      </c>
      <c r="E3" s="357">
        <f>+C3*1.1</f>
        <v>1433388000</v>
      </c>
      <c r="F3" s="276">
        <f>+E3/E$3</f>
        <v>1</v>
      </c>
      <c r="G3" s="275">
        <f>+E3/C3-1</f>
        <v>0.10000000000000009</v>
      </c>
      <c r="H3" s="358">
        <f>+E3*1.1</f>
        <v>1576726800.0000002</v>
      </c>
      <c r="I3" s="276">
        <f>+H3/H$3</f>
        <v>1</v>
      </c>
      <c r="J3" s="275">
        <f>+H3/E3-1</f>
        <v>0.10000000000000009</v>
      </c>
      <c r="K3" s="358">
        <f>+H3*1.05</f>
        <v>1655563140.0000002</v>
      </c>
      <c r="L3" s="276">
        <f t="shared" ref="L3:O18" si="0">+K3/K$3</f>
        <v>1</v>
      </c>
      <c r="M3" s="275">
        <f t="shared" ref="M3:M5" si="1">+K3/H3-1</f>
        <v>5.0000000000000044E-2</v>
      </c>
      <c r="N3" s="358">
        <f>+K3*1.05</f>
        <v>1738341297.0000002</v>
      </c>
      <c r="O3" s="276">
        <f t="shared" ref="O3" si="2">+N3/N$3</f>
        <v>1</v>
      </c>
      <c r="P3" s="275">
        <f t="shared" ref="P3:P5" si="3">+N3/K3-1</f>
        <v>5.0000000000000044E-2</v>
      </c>
    </row>
    <row r="4" spans="2:16" x14ac:dyDescent="0.25">
      <c r="B4" s="359" t="s">
        <v>476</v>
      </c>
      <c r="C4" s="360">
        <f>-SUM('ppto costes variables'!E44:N44)</f>
        <v>-57922968.666666664</v>
      </c>
      <c r="D4" s="270">
        <f t="shared" ref="D4:D21" si="4">+C4/$C$3</f>
        <v>-4.4450815503780786E-2</v>
      </c>
      <c r="E4" s="361">
        <f>+C4/C3*E3-(SUM('ppto costes variables'!O44:P44))</f>
        <v>-79139785.533333331</v>
      </c>
      <c r="F4" s="269">
        <f t="shared" ref="F4:F21" si="5">+E4/E$3</f>
        <v>-5.5211698111978985E-2</v>
      </c>
      <c r="G4" s="270">
        <f t="shared" ref="G4:G21" si="6">+E4/C4-1</f>
        <v>0.36629367166528626</v>
      </c>
      <c r="H4" s="362">
        <f>+E4/E3*H3</f>
        <v>-87053764.086666673</v>
      </c>
      <c r="I4" s="269">
        <f t="shared" ref="I4:I21" si="7">+H4/H$3</f>
        <v>-5.5211698111978978E-2</v>
      </c>
      <c r="J4" s="270">
        <f t="shared" ref="J4:J21" si="8">+H4/E4-1</f>
        <v>0.10000000000000009</v>
      </c>
      <c r="K4" s="362">
        <f t="shared" ref="K4" si="9">+H4/H3*K3</f>
        <v>-91406452.291000009</v>
      </c>
      <c r="L4" s="269">
        <f t="shared" si="0"/>
        <v>-5.5211698111978985E-2</v>
      </c>
      <c r="M4" s="270">
        <f t="shared" si="1"/>
        <v>5.0000000000000044E-2</v>
      </c>
      <c r="N4" s="362">
        <f t="shared" ref="N4" si="10">+K4/K3*N3</f>
        <v>-95976774.905550018</v>
      </c>
      <c r="O4" s="269">
        <f t="shared" si="0"/>
        <v>-5.5211698111978985E-2</v>
      </c>
      <c r="P4" s="270">
        <f t="shared" si="3"/>
        <v>5.0000000000000044E-2</v>
      </c>
    </row>
    <row r="5" spans="2:16" s="339" customFormat="1" ht="16.5" thickBot="1" x14ac:dyDescent="0.3">
      <c r="B5" s="363" t="s">
        <v>477</v>
      </c>
      <c r="C5" s="364">
        <f>+C3+C4</f>
        <v>1245157031.3333333</v>
      </c>
      <c r="D5" s="310">
        <f t="shared" si="4"/>
        <v>0.95554918449621917</v>
      </c>
      <c r="E5" s="364">
        <f>+E3+E4</f>
        <v>1354248214.4666667</v>
      </c>
      <c r="F5" s="311">
        <f t="shared" si="5"/>
        <v>0.94478830188802099</v>
      </c>
      <c r="G5" s="310">
        <f t="shared" si="6"/>
        <v>8.7612389753376707E-2</v>
      </c>
      <c r="H5" s="365">
        <f>+H3+H4</f>
        <v>1489673035.9133337</v>
      </c>
      <c r="I5" s="311">
        <f t="shared" si="7"/>
        <v>0.9447883018880211</v>
      </c>
      <c r="J5" s="310">
        <f t="shared" si="8"/>
        <v>0.10000000000000031</v>
      </c>
      <c r="K5" s="365">
        <f t="shared" ref="K5" si="11">+K3+K4</f>
        <v>1564156687.7090001</v>
      </c>
      <c r="L5" s="311">
        <f t="shared" si="0"/>
        <v>0.94478830188802099</v>
      </c>
      <c r="M5" s="310">
        <f t="shared" si="1"/>
        <v>4.9999999999999822E-2</v>
      </c>
      <c r="N5" s="365">
        <f t="shared" ref="N5" si="12">+N3+N4</f>
        <v>1642364522.0944502</v>
      </c>
      <c r="O5" s="311">
        <f t="shared" si="0"/>
        <v>0.94478830188802099</v>
      </c>
      <c r="P5" s="310">
        <f t="shared" si="3"/>
        <v>5.0000000000000044E-2</v>
      </c>
    </row>
    <row r="6" spans="2:16" x14ac:dyDescent="0.25">
      <c r="B6" s="356"/>
      <c r="C6" s="357"/>
      <c r="D6" s="275"/>
      <c r="E6" s="366"/>
      <c r="F6" s="276"/>
      <c r="G6" s="275"/>
      <c r="H6" s="367"/>
      <c r="I6" s="276"/>
      <c r="J6" s="275"/>
      <c r="K6" s="367"/>
      <c r="L6" s="276"/>
      <c r="M6" s="275"/>
      <c r="N6" s="367"/>
      <c r="O6" s="276"/>
      <c r="P6" s="275"/>
    </row>
    <row r="7" spans="2:16" x14ac:dyDescent="0.25">
      <c r="B7" s="359" t="s">
        <v>478</v>
      </c>
      <c r="C7" s="360">
        <f>-Salarios!F95</f>
        <v>-224459142.972</v>
      </c>
      <c r="D7" s="270">
        <f t="shared" si="4"/>
        <v>-0.17225277264020628</v>
      </c>
      <c r="E7" s="361">
        <f>+C7*1.04</f>
        <v>-233437508.69088</v>
      </c>
      <c r="F7" s="269">
        <f t="shared" si="5"/>
        <v>-0.1628571668598314</v>
      </c>
      <c r="G7" s="270">
        <f t="shared" si="6"/>
        <v>4.0000000000000036E-2</v>
      </c>
      <c r="H7" s="361">
        <f>+E7*1.04</f>
        <v>-242775009.03851521</v>
      </c>
      <c r="I7" s="269">
        <f t="shared" si="7"/>
        <v>-0.15397404866747694</v>
      </c>
      <c r="J7" s="270">
        <f t="shared" si="8"/>
        <v>4.0000000000000036E-2</v>
      </c>
      <c r="K7" s="361">
        <f>+H7*1.04</f>
        <v>-252486009.40005583</v>
      </c>
      <c r="L7" s="269">
        <f t="shared" si="0"/>
        <v>-0.15250762915635813</v>
      </c>
      <c r="M7" s="270">
        <f t="shared" ref="M7:M13" si="13">+K7/H7-1</f>
        <v>4.0000000000000036E-2</v>
      </c>
      <c r="N7" s="361">
        <f>+K7*1.04</f>
        <v>-262585449.77605808</v>
      </c>
      <c r="O7" s="269">
        <f t="shared" si="0"/>
        <v>-0.1510551755453452</v>
      </c>
      <c r="P7" s="270">
        <f t="shared" ref="P7:P13" si="14">+N7/K7-1</f>
        <v>4.0000000000000036E-2</v>
      </c>
    </row>
    <row r="8" spans="2:16" x14ac:dyDescent="0.25">
      <c r="B8" s="359" t="s">
        <v>462</v>
      </c>
      <c r="C8" s="360">
        <f>-'Amortización prestamo'!C11</f>
        <v>-291811708.57298648</v>
      </c>
      <c r="D8" s="270">
        <f t="shared" si="4"/>
        <v>-0.22393997956609454</v>
      </c>
      <c r="E8" s="361">
        <f>+C8</f>
        <v>-291811708.57298648</v>
      </c>
      <c r="F8" s="269">
        <f t="shared" si="5"/>
        <v>-0.20358179960554049</v>
      </c>
      <c r="G8" s="270">
        <f t="shared" si="6"/>
        <v>0</v>
      </c>
      <c r="H8" s="368">
        <f>+E8</f>
        <v>-291811708.57298648</v>
      </c>
      <c r="I8" s="269">
        <f t="shared" si="7"/>
        <v>-0.18507436327776405</v>
      </c>
      <c r="J8" s="270">
        <f t="shared" si="8"/>
        <v>0</v>
      </c>
      <c r="K8" s="368">
        <f t="shared" ref="K8" si="15">+H8</f>
        <v>-291811708.57298648</v>
      </c>
      <c r="L8" s="269">
        <f t="shared" si="0"/>
        <v>-0.1762612983597753</v>
      </c>
      <c r="M8" s="270">
        <f t="shared" si="13"/>
        <v>0</v>
      </c>
      <c r="N8" s="368">
        <f t="shared" ref="N8" si="16">+K8</f>
        <v>-291811708.57298648</v>
      </c>
      <c r="O8" s="269">
        <f t="shared" si="0"/>
        <v>-0.16786790319978601</v>
      </c>
      <c r="P8" s="270">
        <f t="shared" si="14"/>
        <v>0</v>
      </c>
    </row>
    <row r="9" spans="2:16" ht="31.5" x14ac:dyDescent="0.25">
      <c r="B9" s="359" t="s">
        <v>464</v>
      </c>
      <c r="C9" s="360">
        <f>-'Comparativo de costes'!J29*12</f>
        <v>-12000000</v>
      </c>
      <c r="D9" s="270">
        <f t="shared" si="4"/>
        <v>-9.2089511004696568E-3</v>
      </c>
      <c r="E9" s="361">
        <f>+C9*1.04</f>
        <v>-12480000</v>
      </c>
      <c r="F9" s="269">
        <f t="shared" si="5"/>
        <v>-8.7066446768076754E-3</v>
      </c>
      <c r="G9" s="270">
        <f t="shared" si="6"/>
        <v>4.0000000000000036E-2</v>
      </c>
      <c r="H9" s="361">
        <f>+E9*1.04</f>
        <v>-12979200</v>
      </c>
      <c r="I9" s="269">
        <f t="shared" si="7"/>
        <v>-8.2317367853454379E-3</v>
      </c>
      <c r="J9" s="270">
        <f t="shared" si="8"/>
        <v>4.0000000000000036E-2</v>
      </c>
      <c r="K9" s="361">
        <f>+H9*1.04</f>
        <v>-13498368</v>
      </c>
      <c r="L9" s="269">
        <f t="shared" si="0"/>
        <v>-8.1533392921516717E-3</v>
      </c>
      <c r="M9" s="270">
        <f t="shared" si="13"/>
        <v>4.0000000000000036E-2</v>
      </c>
      <c r="N9" s="361">
        <f>+K9*1.04</f>
        <v>-14038302.720000001</v>
      </c>
      <c r="O9" s="269">
        <f t="shared" si="0"/>
        <v>-8.0756884417502277E-3</v>
      </c>
      <c r="P9" s="270">
        <f t="shared" si="14"/>
        <v>4.0000000000000036E-2</v>
      </c>
    </row>
    <row r="10" spans="2:16" x14ac:dyDescent="0.25">
      <c r="B10" s="359" t="s">
        <v>531</v>
      </c>
      <c r="C10" s="360">
        <f>-'Comparativo de costes'!J32*12</f>
        <v>-24000000</v>
      </c>
      <c r="D10" s="270">
        <f t="shared" si="4"/>
        <v>-1.8417902200939314E-2</v>
      </c>
      <c r="E10" s="361">
        <f>+C10*1.04</f>
        <v>-24960000</v>
      </c>
      <c r="F10" s="269">
        <f t="shared" si="5"/>
        <v>-1.7413289353615351E-2</v>
      </c>
      <c r="G10" s="270">
        <f t="shared" si="6"/>
        <v>4.0000000000000036E-2</v>
      </c>
      <c r="H10" s="361">
        <f>+E10*1.04</f>
        <v>-25958400</v>
      </c>
      <c r="I10" s="269">
        <f t="shared" si="7"/>
        <v>-1.6463473570690876E-2</v>
      </c>
      <c r="J10" s="270">
        <f t="shared" si="8"/>
        <v>4.0000000000000036E-2</v>
      </c>
      <c r="K10" s="361">
        <f>+H10*1.04</f>
        <v>-26996736</v>
      </c>
      <c r="L10" s="269">
        <f t="shared" si="0"/>
        <v>-1.6306678584303343E-2</v>
      </c>
      <c r="M10" s="270">
        <f t="shared" si="13"/>
        <v>4.0000000000000036E-2</v>
      </c>
      <c r="N10" s="361">
        <f>+K10*1.04</f>
        <v>-28076605.440000001</v>
      </c>
      <c r="O10" s="269">
        <f t="shared" si="0"/>
        <v>-1.6151376883500455E-2</v>
      </c>
      <c r="P10" s="270">
        <f t="shared" si="14"/>
        <v>4.0000000000000036E-2</v>
      </c>
    </row>
    <row r="11" spans="2:16" ht="31.5" x14ac:dyDescent="0.25">
      <c r="B11" s="369" t="s">
        <v>504</v>
      </c>
      <c r="C11" s="370">
        <v>-2000000</v>
      </c>
      <c r="D11" s="270">
        <f t="shared" si="4"/>
        <v>-1.5348251834116093E-3</v>
      </c>
      <c r="E11" s="371">
        <v>0</v>
      </c>
      <c r="F11" s="269">
        <f t="shared" ref="F11:F12" si="17">+E11/E$3</f>
        <v>0</v>
      </c>
      <c r="G11" s="270">
        <f t="shared" ref="G11:G12" si="18">+E11/C11-1</f>
        <v>-1</v>
      </c>
      <c r="H11" s="372">
        <v>300000</v>
      </c>
      <c r="I11" s="269">
        <f t="shared" ref="I11:I12" si="19">+H11/H$3</f>
        <v>1.9026758472044742E-4</v>
      </c>
      <c r="J11" s="270" t="e">
        <f t="shared" ref="J11:J12" si="20">+H11/E11-1</f>
        <v>#DIV/0!</v>
      </c>
      <c r="K11" s="372">
        <v>300000</v>
      </c>
      <c r="L11" s="269">
        <f t="shared" ref="L11:L12" si="21">+K11/K$3</f>
        <v>1.8120722354328326E-4</v>
      </c>
      <c r="M11" s="270">
        <f t="shared" ref="M11:M12" si="22">+K11/H11-1</f>
        <v>0</v>
      </c>
      <c r="N11" s="372">
        <v>300000</v>
      </c>
      <c r="O11" s="269">
        <f t="shared" ref="O11:O12" si="23">+N11/N$3</f>
        <v>1.7257830813646025E-4</v>
      </c>
      <c r="P11" s="270">
        <f t="shared" ref="P11:P12" si="24">+N11/K11-1</f>
        <v>0</v>
      </c>
    </row>
    <row r="12" spans="2:16" ht="31.5" x14ac:dyDescent="0.25">
      <c r="B12" s="369" t="s">
        <v>534</v>
      </c>
      <c r="C12" s="370">
        <v>0</v>
      </c>
      <c r="D12" s="270">
        <f t="shared" si="4"/>
        <v>0</v>
      </c>
      <c r="E12" s="371">
        <f>+'Existencias iniciales'!C9*1.04</f>
        <v>21331856</v>
      </c>
      <c r="F12" s="269">
        <f t="shared" si="17"/>
        <v>1.4882122635322745E-2</v>
      </c>
      <c r="G12" s="270" t="e">
        <f t="shared" si="18"/>
        <v>#DIV/0!</v>
      </c>
      <c r="H12" s="372">
        <f>+E12*1.04+('Comparativo de costes'!F9*52)</f>
        <v>36167930.240000002</v>
      </c>
      <c r="I12" s="269">
        <f t="shared" si="19"/>
        <v>2.2938615770341442E-2</v>
      </c>
      <c r="J12" s="270">
        <f t="shared" si="20"/>
        <v>0.69548914262312667</v>
      </c>
      <c r="K12" s="372">
        <f>+E12*1.08</f>
        <v>23038404.48</v>
      </c>
      <c r="L12" s="269">
        <f t="shared" si="21"/>
        <v>1.3915751035626462E-2</v>
      </c>
      <c r="M12" s="270">
        <f t="shared" si="22"/>
        <v>-0.36301567916317679</v>
      </c>
      <c r="N12" s="372">
        <f>+H12*1.08</f>
        <v>39061364.659200005</v>
      </c>
      <c r="O12" s="269">
        <f t="shared" si="23"/>
        <v>2.247048075462019E-2</v>
      </c>
      <c r="P12" s="270">
        <f t="shared" si="24"/>
        <v>0.69548914262312689</v>
      </c>
    </row>
    <row r="13" spans="2:16" s="339" customFormat="1" ht="16.5" thickBot="1" x14ac:dyDescent="0.3">
      <c r="B13" s="363" t="s">
        <v>485</v>
      </c>
      <c r="C13" s="364">
        <f>+SUM(C5:C10)</f>
        <v>692886179.78834677</v>
      </c>
      <c r="D13" s="310">
        <f t="shared" si="4"/>
        <v>0.53172957898850937</v>
      </c>
      <c r="E13" s="364">
        <f>+SUM(E5:E10)</f>
        <v>791558997.20280015</v>
      </c>
      <c r="F13" s="311">
        <f t="shared" si="5"/>
        <v>0.55222940139222609</v>
      </c>
      <c r="G13" s="310">
        <f t="shared" si="6"/>
        <v>0.14240840745964167</v>
      </c>
      <c r="H13" s="365">
        <f>+SUM(H5:H10)</f>
        <v>916148718.30183184</v>
      </c>
      <c r="I13" s="311">
        <f t="shared" si="7"/>
        <v>0.58104467958674366</v>
      </c>
      <c r="J13" s="310">
        <f t="shared" si="8"/>
        <v>0.1573978964793592</v>
      </c>
      <c r="K13" s="365">
        <f t="shared" ref="K13" si="25">+SUM(K5:K10)</f>
        <v>979363865.73595774</v>
      </c>
      <c r="L13" s="311">
        <f t="shared" si="0"/>
        <v>0.59155935649543245</v>
      </c>
      <c r="M13" s="310">
        <f t="shared" si="13"/>
        <v>6.9000966951414888E-2</v>
      </c>
      <c r="N13" s="365">
        <f t="shared" ref="N13" si="26">+SUM(N5:N10)</f>
        <v>1045852455.5854056</v>
      </c>
      <c r="O13" s="311">
        <f t="shared" si="0"/>
        <v>0.60163815781763907</v>
      </c>
      <c r="P13" s="310">
        <f t="shared" si="14"/>
        <v>6.7889568091716423E-2</v>
      </c>
    </row>
    <row r="14" spans="2:16" s="339" customFormat="1" hidden="1" x14ac:dyDescent="0.25">
      <c r="B14" s="373"/>
      <c r="C14" s="374"/>
      <c r="D14" s="283"/>
      <c r="E14" s="374"/>
      <c r="F14" s="284"/>
      <c r="G14" s="283"/>
      <c r="H14" s="375"/>
      <c r="I14" s="284"/>
      <c r="J14" s="283"/>
      <c r="K14" s="375"/>
      <c r="L14" s="284"/>
      <c r="M14" s="283"/>
      <c r="N14" s="375"/>
      <c r="O14" s="284"/>
      <c r="P14" s="283"/>
    </row>
    <row r="15" spans="2:16" x14ac:dyDescent="0.25">
      <c r="B15" s="359" t="s">
        <v>484</v>
      </c>
      <c r="C15" s="360">
        <f>-Depreciación!F13</f>
        <v>-71751544.719037116</v>
      </c>
      <c r="D15" s="270">
        <f t="shared" si="4"/>
        <v>-5.5063038891731218E-2</v>
      </c>
      <c r="E15" s="361">
        <f>+C15</f>
        <v>-71751544.719037116</v>
      </c>
      <c r="F15" s="269">
        <f t="shared" si="5"/>
        <v>-5.0057308083392017E-2</v>
      </c>
      <c r="G15" s="270">
        <f t="shared" si="6"/>
        <v>0</v>
      </c>
      <c r="H15" s="368">
        <f>+C15</f>
        <v>-71751544.719037116</v>
      </c>
      <c r="I15" s="269">
        <f t="shared" si="7"/>
        <v>-4.5506643712174555E-2</v>
      </c>
      <c r="J15" s="270">
        <f t="shared" si="8"/>
        <v>0</v>
      </c>
      <c r="K15" s="368">
        <f>+H15</f>
        <v>-71751544.719037116</v>
      </c>
      <c r="L15" s="269">
        <f t="shared" si="0"/>
        <v>-4.3339660678261477E-2</v>
      </c>
      <c r="M15" s="270">
        <f t="shared" ref="M15:M16" si="27">+K15/H15-1</f>
        <v>0</v>
      </c>
      <c r="N15" s="368">
        <f>+K15</f>
        <v>-71751544.719037116</v>
      </c>
      <c r="O15" s="269">
        <f t="shared" si="0"/>
        <v>-4.1275867312629978E-2</v>
      </c>
      <c r="P15" s="270">
        <f t="shared" ref="P15:P16" si="28">+N15/K15-1</f>
        <v>0</v>
      </c>
    </row>
    <row r="16" spans="2:16" s="339" customFormat="1" ht="16.5" thickBot="1" x14ac:dyDescent="0.3">
      <c r="B16" s="376" t="s">
        <v>486</v>
      </c>
      <c r="C16" s="377">
        <f>+C13+C15</f>
        <v>621134635.06930971</v>
      </c>
      <c r="D16" s="312">
        <f t="shared" si="4"/>
        <v>0.47666654009677817</v>
      </c>
      <c r="E16" s="377">
        <f>+E13+E15</f>
        <v>719807452.48376298</v>
      </c>
      <c r="F16" s="311">
        <f t="shared" si="5"/>
        <v>0.50217209330883406</v>
      </c>
      <c r="G16" s="310">
        <f t="shared" si="6"/>
        <v>0.15885898457979697</v>
      </c>
      <c r="H16" s="377">
        <f>+H13+H15</f>
        <v>844397173.58279467</v>
      </c>
      <c r="I16" s="311">
        <f t="shared" si="7"/>
        <v>0.53553803587456905</v>
      </c>
      <c r="J16" s="310">
        <f t="shared" si="8"/>
        <v>0.17308756761148159</v>
      </c>
      <c r="K16" s="377">
        <f t="shared" ref="K16" si="29">+K13+K15</f>
        <v>907612321.01692057</v>
      </c>
      <c r="L16" s="311">
        <f t="shared" si="0"/>
        <v>0.548219695817171</v>
      </c>
      <c r="M16" s="310">
        <f t="shared" si="27"/>
        <v>7.4864233812984793E-2</v>
      </c>
      <c r="N16" s="377">
        <f t="shared" ref="N16" si="30">+N13+N15</f>
        <v>974100910.86636853</v>
      </c>
      <c r="O16" s="311">
        <f t="shared" si="0"/>
        <v>0.56036229050500919</v>
      </c>
      <c r="P16" s="310">
        <f t="shared" si="28"/>
        <v>7.3256596797795615E-2</v>
      </c>
    </row>
    <row r="17" spans="2:16" hidden="1" x14ac:dyDescent="0.25">
      <c r="B17" s="356"/>
      <c r="C17" s="357"/>
      <c r="D17" s="275"/>
      <c r="E17" s="366"/>
      <c r="F17" s="276"/>
      <c r="G17" s="275"/>
      <c r="H17" s="367"/>
      <c r="I17" s="276"/>
      <c r="J17" s="275"/>
      <c r="K17" s="367"/>
      <c r="L17" s="276"/>
      <c r="M17" s="275"/>
      <c r="N17" s="367"/>
      <c r="O17" s="276"/>
      <c r="P17" s="275"/>
    </row>
    <row r="18" spans="2:16" ht="47.25" x14ac:dyDescent="0.25">
      <c r="B18" s="359" t="s">
        <v>475</v>
      </c>
      <c r="C18" s="360">
        <f>+C16</f>
        <v>621134635.06930971</v>
      </c>
      <c r="D18" s="270">
        <f t="shared" si="4"/>
        <v>0.47666654009677817</v>
      </c>
      <c r="E18" s="360">
        <f>+E16</f>
        <v>719807452.48376298</v>
      </c>
      <c r="F18" s="269">
        <f t="shared" si="5"/>
        <v>0.50217209330883406</v>
      </c>
      <c r="G18" s="270">
        <f t="shared" si="6"/>
        <v>0.15885898457979697</v>
      </c>
      <c r="H18" s="360">
        <f>+H16</f>
        <v>844397173.58279467</v>
      </c>
      <c r="I18" s="269">
        <f t="shared" si="7"/>
        <v>0.53553803587456905</v>
      </c>
      <c r="J18" s="270">
        <f t="shared" si="8"/>
        <v>0.17308756761148159</v>
      </c>
      <c r="K18" s="360">
        <f t="shared" ref="K18" si="31">+K16</f>
        <v>907612321.01692057</v>
      </c>
      <c r="L18" s="269">
        <f t="shared" si="0"/>
        <v>0.548219695817171</v>
      </c>
      <c r="M18" s="270">
        <f t="shared" ref="M18" si="32">+K18/H18-1</f>
        <v>7.4864233812984793E-2</v>
      </c>
      <c r="N18" s="360">
        <f t="shared" ref="N18" si="33">+N16</f>
        <v>974100910.86636853</v>
      </c>
      <c r="O18" s="269">
        <f t="shared" si="0"/>
        <v>0.56036229050500919</v>
      </c>
      <c r="P18" s="270">
        <f t="shared" ref="P18" si="34">+N18/K18-1</f>
        <v>7.3256596797795615E-2</v>
      </c>
    </row>
    <row r="19" spans="2:16" ht="16.5" hidden="1" thickBot="1" x14ac:dyDescent="0.3">
      <c r="B19" s="378"/>
      <c r="C19" s="379"/>
      <c r="D19" s="272"/>
      <c r="E19" s="379"/>
      <c r="F19" s="271"/>
      <c r="G19" s="272"/>
      <c r="H19" s="380"/>
      <c r="I19" s="271"/>
      <c r="J19" s="272"/>
      <c r="K19" s="380"/>
      <c r="L19" s="271"/>
      <c r="M19" s="272"/>
      <c r="N19" s="380"/>
      <c r="O19" s="271"/>
      <c r="P19" s="272"/>
    </row>
    <row r="20" spans="2:16" hidden="1" x14ac:dyDescent="0.25">
      <c r="B20" s="381"/>
      <c r="C20" s="382"/>
      <c r="D20" s="273"/>
      <c r="E20" s="382"/>
      <c r="F20" s="274"/>
      <c r="G20" s="273"/>
      <c r="H20" s="383"/>
      <c r="I20" s="274"/>
      <c r="J20" s="273"/>
      <c r="K20" s="383"/>
      <c r="L20" s="274"/>
      <c r="M20" s="273"/>
      <c r="N20" s="383"/>
      <c r="O20" s="274"/>
      <c r="P20" s="273"/>
    </row>
    <row r="21" spans="2:16" s="339" customFormat="1" ht="16.5" thickBot="1" x14ac:dyDescent="0.3">
      <c r="B21" s="363" t="s">
        <v>472</v>
      </c>
      <c r="C21" s="364">
        <f>+C18+C19</f>
        <v>621134635.06930971</v>
      </c>
      <c r="D21" s="310">
        <f t="shared" si="4"/>
        <v>0.47666654009677817</v>
      </c>
      <c r="E21" s="364">
        <f>+E18+E19</f>
        <v>719807452.48376298</v>
      </c>
      <c r="F21" s="311">
        <f t="shared" si="5"/>
        <v>0.50217209330883406</v>
      </c>
      <c r="G21" s="310">
        <f t="shared" si="6"/>
        <v>0.15885898457979697</v>
      </c>
      <c r="H21" s="365">
        <f>+H18+H19</f>
        <v>844397173.58279467</v>
      </c>
      <c r="I21" s="311">
        <f t="shared" si="7"/>
        <v>0.53553803587456905</v>
      </c>
      <c r="J21" s="310">
        <f t="shared" si="8"/>
        <v>0.17308756761148159</v>
      </c>
      <c r="K21" s="365">
        <f t="shared" ref="K21" si="35">+K18+K19</f>
        <v>907612321.01692057</v>
      </c>
      <c r="L21" s="311">
        <f t="shared" ref="L21:O21" si="36">+K21/K$3</f>
        <v>0.548219695817171</v>
      </c>
      <c r="M21" s="310">
        <f t="shared" ref="M21" si="37">+K21/H21-1</f>
        <v>7.4864233812984793E-2</v>
      </c>
      <c r="N21" s="365">
        <f t="shared" ref="N21" si="38">+N18+N19</f>
        <v>974100910.86636853</v>
      </c>
      <c r="O21" s="311">
        <f t="shared" si="36"/>
        <v>0.56036229050500919</v>
      </c>
      <c r="P21" s="310">
        <f t="shared" ref="P21" si="39">+N21/K21-1</f>
        <v>7.3256596797795615E-2</v>
      </c>
    </row>
    <row r="24" spans="2:16" ht="157.5" x14ac:dyDescent="0.25">
      <c r="B24" s="349" t="s">
        <v>536</v>
      </c>
    </row>
    <row r="26" spans="2:16" x14ac:dyDescent="0.25">
      <c r="H26" s="35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</sheetPr>
  <dimension ref="A1:M28"/>
  <sheetViews>
    <sheetView workbookViewId="0">
      <selection activeCell="A30" sqref="A30"/>
    </sheetView>
  </sheetViews>
  <sheetFormatPr baseColWidth="10" defaultColWidth="10.875" defaultRowHeight="15.75" x14ac:dyDescent="0.25"/>
  <cols>
    <col min="1" max="1" width="20" style="349" customWidth="1"/>
    <col min="2" max="13" width="12.625" style="335" bestFit="1" customWidth="1"/>
    <col min="14" max="16384" width="10.875" style="335"/>
  </cols>
  <sheetData>
    <row r="1" spans="1:13" x14ac:dyDescent="0.25">
      <c r="A1" s="333"/>
      <c r="B1" s="334" t="s">
        <v>389</v>
      </c>
      <c r="C1" s="334" t="s">
        <v>390</v>
      </c>
      <c r="D1" s="334" t="s">
        <v>391</v>
      </c>
      <c r="E1" s="334" t="s">
        <v>392</v>
      </c>
      <c r="F1" s="334" t="s">
        <v>393</v>
      </c>
      <c r="G1" s="334" t="s">
        <v>394</v>
      </c>
      <c r="H1" s="334" t="s">
        <v>395</v>
      </c>
      <c r="I1" s="334" t="s">
        <v>396</v>
      </c>
      <c r="J1" s="334" t="s">
        <v>397</v>
      </c>
      <c r="K1" s="334" t="s">
        <v>398</v>
      </c>
      <c r="L1" s="334" t="s">
        <v>399</v>
      </c>
      <c r="M1" s="334" t="s">
        <v>400</v>
      </c>
    </row>
    <row r="2" spans="1:13" x14ac:dyDescent="0.25">
      <c r="A2" s="333" t="s">
        <v>461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</row>
    <row r="3" spans="1:13" x14ac:dyDescent="0.25">
      <c r="A3" s="333"/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</row>
    <row r="4" spans="1:13" x14ac:dyDescent="0.25">
      <c r="A4" s="333" t="s">
        <v>465</v>
      </c>
      <c r="B4" s="336">
        <f>+'Ppto ventas'!D21</f>
        <v>51840000</v>
      </c>
      <c r="C4" s="336">
        <f>+'Ppto ventas'!E21</f>
        <v>103680000</v>
      </c>
      <c r="D4" s="336">
        <f>+'Ppto ventas'!F21</f>
        <v>61960000</v>
      </c>
      <c r="E4" s="336">
        <f>+'Ppto ventas'!G21</f>
        <v>103680000</v>
      </c>
      <c r="F4" s="336">
        <f>+'Ppto ventas'!H21</f>
        <v>90720000</v>
      </c>
      <c r="G4" s="336">
        <f>+'Ppto ventas'!I21</f>
        <v>132080000</v>
      </c>
      <c r="H4" s="336">
        <f>+'Ppto ventas'!J21</f>
        <v>134560000</v>
      </c>
      <c r="I4" s="336">
        <f>+'Ppto ventas'!K21</f>
        <v>116640000</v>
      </c>
      <c r="J4" s="336">
        <f>+'Ppto ventas'!L21</f>
        <v>145040000</v>
      </c>
      <c r="K4" s="336">
        <f>+'Ppto ventas'!M21</f>
        <v>103680000</v>
      </c>
      <c r="L4" s="336">
        <f>+'Ppto ventas'!N21</f>
        <v>103680000</v>
      </c>
      <c r="M4" s="336">
        <f>+'Ppto ventas'!O21</f>
        <v>155520000</v>
      </c>
    </row>
    <row r="5" spans="1:13" x14ac:dyDescent="0.25">
      <c r="A5" s="333" t="s">
        <v>466</v>
      </c>
      <c r="B5" s="336">
        <f>+'Ppto ventas'!D23</f>
        <v>8294400</v>
      </c>
      <c r="C5" s="336">
        <f>+'Ppto ventas'!E23</f>
        <v>16588800</v>
      </c>
      <c r="D5" s="336">
        <f>+'Ppto ventas'!F23</f>
        <v>9913600</v>
      </c>
      <c r="E5" s="336">
        <f>+'Ppto ventas'!G23</f>
        <v>16588800</v>
      </c>
      <c r="F5" s="336">
        <f>+'Ppto ventas'!H23</f>
        <v>14515200</v>
      </c>
      <c r="G5" s="336">
        <f>+'Ppto ventas'!I23</f>
        <v>21132800</v>
      </c>
      <c r="H5" s="336">
        <f>+'Ppto ventas'!J23</f>
        <v>21529600</v>
      </c>
      <c r="I5" s="336">
        <f>+'Ppto ventas'!K23</f>
        <v>18662400</v>
      </c>
      <c r="J5" s="336">
        <f>+'Ppto ventas'!L23</f>
        <v>23206400</v>
      </c>
      <c r="K5" s="336">
        <f>+'Ppto ventas'!M23</f>
        <v>16588800</v>
      </c>
      <c r="L5" s="336">
        <f>+'Ppto ventas'!N23</f>
        <v>16588800</v>
      </c>
      <c r="M5" s="336">
        <f>+'Ppto ventas'!O23</f>
        <v>24883200</v>
      </c>
    </row>
    <row r="6" spans="1:13" s="339" customFormat="1" x14ac:dyDescent="0.25">
      <c r="A6" s="337" t="s">
        <v>467</v>
      </c>
      <c r="B6" s="338">
        <f>+B5+B4</f>
        <v>60134400</v>
      </c>
      <c r="C6" s="338">
        <f t="shared" ref="C6:M6" si="0">+C5+C4</f>
        <v>120268800</v>
      </c>
      <c r="D6" s="338">
        <f t="shared" si="0"/>
        <v>71873600</v>
      </c>
      <c r="E6" s="338">
        <f t="shared" si="0"/>
        <v>120268800</v>
      </c>
      <c r="F6" s="338">
        <f t="shared" si="0"/>
        <v>105235200</v>
      </c>
      <c r="G6" s="338">
        <f t="shared" si="0"/>
        <v>153212800</v>
      </c>
      <c r="H6" s="338">
        <f t="shared" si="0"/>
        <v>156089600</v>
      </c>
      <c r="I6" s="338">
        <f t="shared" si="0"/>
        <v>135302400</v>
      </c>
      <c r="J6" s="338">
        <f t="shared" si="0"/>
        <v>168246400</v>
      </c>
      <c r="K6" s="338">
        <f t="shared" si="0"/>
        <v>120268800</v>
      </c>
      <c r="L6" s="338">
        <f t="shared" si="0"/>
        <v>120268800</v>
      </c>
      <c r="M6" s="338">
        <f t="shared" si="0"/>
        <v>180403200</v>
      </c>
    </row>
    <row r="7" spans="1:13" x14ac:dyDescent="0.25">
      <c r="A7" s="333"/>
      <c r="B7" s="336"/>
      <c r="C7" s="336"/>
      <c r="D7" s="336"/>
      <c r="E7" s="336"/>
      <c r="F7" s="336"/>
      <c r="G7" s="336"/>
      <c r="H7" s="336"/>
      <c r="I7" s="336"/>
      <c r="J7" s="336"/>
      <c r="K7" s="336"/>
      <c r="L7" s="336"/>
      <c r="M7" s="336"/>
    </row>
    <row r="8" spans="1:13" x14ac:dyDescent="0.25">
      <c r="A8" s="333" t="s">
        <v>469</v>
      </c>
      <c r="B8" s="336">
        <f>-'ppto costes variables'!C44</f>
        <v>0</v>
      </c>
      <c r="C8" s="336">
        <f>-'ppto costes variables'!D44</f>
        <v>0</v>
      </c>
      <c r="D8" s="336">
        <f>-'ppto costes variables'!E44</f>
        <v>-3584104</v>
      </c>
      <c r="E8" s="336">
        <f>-'ppto costes variables'!F44</f>
        <v>-4992208</v>
      </c>
      <c r="F8" s="336">
        <f>-'ppto costes variables'!G44</f>
        <v>-4263062.666666666</v>
      </c>
      <c r="G8" s="336">
        <f>-'ppto costes variables'!H44</f>
        <v>-5440208</v>
      </c>
      <c r="H8" s="336">
        <f>-'ppto costes variables'!I44</f>
        <v>-5368182</v>
      </c>
      <c r="I8" s="336">
        <f>-'ppto costes variables'!J44</f>
        <v>-6536749</v>
      </c>
      <c r="J8" s="336">
        <f>-'ppto costes variables'!K44</f>
        <v>-6817238</v>
      </c>
      <c r="K8" s="336">
        <f>-'ppto costes variables'!L44</f>
        <v>-6632234</v>
      </c>
      <c r="L8" s="336">
        <f>-'ppto costes variables'!M44</f>
        <v>-7504775</v>
      </c>
      <c r="M8" s="336">
        <f>-'ppto costes variables'!N44</f>
        <v>-6784208</v>
      </c>
    </row>
    <row r="9" spans="1:13" ht="31.5" x14ac:dyDescent="0.25">
      <c r="A9" s="333" t="s">
        <v>470</v>
      </c>
      <c r="B9" s="336">
        <v>0</v>
      </c>
      <c r="C9" s="336">
        <v>0</v>
      </c>
      <c r="D9" s="336">
        <f>-'ppto costes variables'!C40+'ppto costes variables'!C33</f>
        <v>-194543.35999999999</v>
      </c>
      <c r="E9" s="336">
        <f>-'ppto costes variables'!D40+'ppto costes variables'!D33</f>
        <v>-40926.719999999972</v>
      </c>
      <c r="F9" s="336">
        <f>-'ppto costes variables'!E40+'ppto costes variables'!E33</f>
        <v>-229269.97333333336</v>
      </c>
      <c r="G9" s="336">
        <f>-'ppto costes variables'!F40+'ppto costes variables'!F33</f>
        <v>-112606.71999999997</v>
      </c>
      <c r="H9" s="336">
        <f>-'ppto costes variables'!G40+'ppto costes variables'!G33</f>
        <v>-195810.88</v>
      </c>
      <c r="I9" s="336">
        <f>-'ppto costes variables'!H40+'ppto costes variables'!H33</f>
        <v>-80520.159999999974</v>
      </c>
      <c r="J9" s="336">
        <f>-'ppto costes variables'!I40+'ppto costes variables'!I33</f>
        <v>-107321.91999999998</v>
      </c>
      <c r="K9" s="336">
        <f>-'ppto costes variables'!J40+'ppto costes variables'!J33</f>
        <v>-208602.56</v>
      </c>
      <c r="L9" s="336">
        <f>-'ppto costes variables'!K40+'ppto costes variables'!K33</f>
        <v>-140676</v>
      </c>
      <c r="M9" s="336">
        <f>-'ppto costes variables'!L40+'ppto costes variables'!L33</f>
        <v>-327646.71999999997</v>
      </c>
    </row>
    <row r="10" spans="1:13" x14ac:dyDescent="0.25">
      <c r="A10" s="333" t="s">
        <v>525</v>
      </c>
      <c r="B10" s="336">
        <f>-'Costos Mercadeo'!C11</f>
        <v>-131308000</v>
      </c>
      <c r="C10" s="336">
        <f>-'Costos Mercadeo'!D11</f>
        <v>-8257600.0000000009</v>
      </c>
      <c r="D10" s="336">
        <f>-'Costos Mercadeo'!E11</f>
        <v>-6337200</v>
      </c>
      <c r="E10" s="336">
        <f>-'Costos Mercadeo'!F11</f>
        <v>-8257600.0000000009</v>
      </c>
      <c r="F10" s="336">
        <f>-'Costos Mercadeo'!G11</f>
        <v>-7350400.0000000009</v>
      </c>
      <c r="G10" s="336">
        <f>-'Costos Mercadeo'!H11</f>
        <v>-11245600</v>
      </c>
      <c r="H10" s="336">
        <f>-'Costos Mercadeo'!I11</f>
        <v>-10419200</v>
      </c>
      <c r="I10" s="336">
        <f>-'Costos Mercadeo'!J11</f>
        <v>-9164800</v>
      </c>
      <c r="J10" s="336">
        <f>-'Costos Mercadeo'!K11</f>
        <v>-12152800.000000002</v>
      </c>
      <c r="K10" s="336">
        <f>-'Costos Mercadeo'!L11</f>
        <v>-8257600.0000000009</v>
      </c>
      <c r="L10" s="336">
        <f>-'Costos Mercadeo'!M11</f>
        <v>-8257600.0000000009</v>
      </c>
      <c r="M10" s="336">
        <f>-'Costos Mercadeo'!N11</f>
        <v>-12886400.000000002</v>
      </c>
    </row>
    <row r="11" spans="1:13" ht="31.5" x14ac:dyDescent="0.25">
      <c r="A11" s="333" t="s">
        <v>526</v>
      </c>
      <c r="B11" s="336">
        <f>+B10*0.16</f>
        <v>-21009280</v>
      </c>
      <c r="C11" s="336">
        <f t="shared" ref="C11:M11" si="1">+C10*0.16</f>
        <v>-1321216.0000000002</v>
      </c>
      <c r="D11" s="336">
        <f t="shared" si="1"/>
        <v>-1013952</v>
      </c>
      <c r="E11" s="336">
        <f t="shared" si="1"/>
        <v>-1321216.0000000002</v>
      </c>
      <c r="F11" s="336">
        <f t="shared" si="1"/>
        <v>-1176064.0000000002</v>
      </c>
      <c r="G11" s="336">
        <f t="shared" si="1"/>
        <v>-1799296</v>
      </c>
      <c r="H11" s="336">
        <f t="shared" si="1"/>
        <v>-1667072</v>
      </c>
      <c r="I11" s="336">
        <f t="shared" si="1"/>
        <v>-1466368</v>
      </c>
      <c r="J11" s="336">
        <f t="shared" si="1"/>
        <v>-1944448.0000000002</v>
      </c>
      <c r="K11" s="336">
        <f t="shared" si="1"/>
        <v>-1321216.0000000002</v>
      </c>
      <c r="L11" s="336">
        <f t="shared" si="1"/>
        <v>-1321216.0000000002</v>
      </c>
      <c r="M11" s="336">
        <f t="shared" si="1"/>
        <v>-2061824.0000000002</v>
      </c>
    </row>
    <row r="12" spans="1:13" x14ac:dyDescent="0.25">
      <c r="A12" s="333" t="s">
        <v>462</v>
      </c>
      <c r="B12" s="336">
        <f>-'Amortización prestamo'!C20</f>
        <v>-24317642.381082207</v>
      </c>
      <c r="C12" s="336">
        <f>+B12</f>
        <v>-24317642.381082207</v>
      </c>
      <c r="D12" s="336">
        <f t="shared" ref="D12:M12" si="2">+C12</f>
        <v>-24317642.381082207</v>
      </c>
      <c r="E12" s="336">
        <f t="shared" si="2"/>
        <v>-24317642.381082207</v>
      </c>
      <c r="F12" s="336">
        <f t="shared" si="2"/>
        <v>-24317642.381082207</v>
      </c>
      <c r="G12" s="336">
        <f t="shared" si="2"/>
        <v>-24317642.381082207</v>
      </c>
      <c r="H12" s="336">
        <f t="shared" si="2"/>
        <v>-24317642.381082207</v>
      </c>
      <c r="I12" s="336">
        <f t="shared" si="2"/>
        <v>-24317642.381082207</v>
      </c>
      <c r="J12" s="336">
        <f t="shared" si="2"/>
        <v>-24317642.381082207</v>
      </c>
      <c r="K12" s="336">
        <f t="shared" si="2"/>
        <v>-24317642.381082207</v>
      </c>
      <c r="L12" s="336">
        <f t="shared" si="2"/>
        <v>-24317642.381082207</v>
      </c>
      <c r="M12" s="336">
        <f t="shared" si="2"/>
        <v>-24317642.381082207</v>
      </c>
    </row>
    <row r="13" spans="1:13" x14ac:dyDescent="0.25">
      <c r="A13" s="333" t="s">
        <v>463</v>
      </c>
      <c r="B13" s="336">
        <f>-Salarios!E95</f>
        <v>-18704928.581</v>
      </c>
      <c r="C13" s="336">
        <f>+B13</f>
        <v>-18704928.581</v>
      </c>
      <c r="D13" s="336">
        <f t="shared" ref="D13:M13" si="3">+C13</f>
        <v>-18704928.581</v>
      </c>
      <c r="E13" s="336">
        <f t="shared" si="3"/>
        <v>-18704928.581</v>
      </c>
      <c r="F13" s="336">
        <f t="shared" si="3"/>
        <v>-18704928.581</v>
      </c>
      <c r="G13" s="336">
        <f t="shared" si="3"/>
        <v>-18704928.581</v>
      </c>
      <c r="H13" s="336">
        <f t="shared" si="3"/>
        <v>-18704928.581</v>
      </c>
      <c r="I13" s="336">
        <f t="shared" si="3"/>
        <v>-18704928.581</v>
      </c>
      <c r="J13" s="336">
        <f t="shared" si="3"/>
        <v>-18704928.581</v>
      </c>
      <c r="K13" s="336">
        <f t="shared" si="3"/>
        <v>-18704928.581</v>
      </c>
      <c r="L13" s="336">
        <f t="shared" si="3"/>
        <v>-18704928.581</v>
      </c>
      <c r="M13" s="336">
        <f t="shared" si="3"/>
        <v>-18704928.581</v>
      </c>
    </row>
    <row r="14" spans="1:13" s="342" customFormat="1" ht="31.5" x14ac:dyDescent="0.25">
      <c r="A14" s="340" t="s">
        <v>464</v>
      </c>
      <c r="B14" s="341">
        <f>-'Comparativo de costes'!J29</f>
        <v>-1000000</v>
      </c>
      <c r="C14" s="341">
        <f>+B14</f>
        <v>-1000000</v>
      </c>
      <c r="D14" s="341">
        <f t="shared" ref="D14:M14" si="4">+C14</f>
        <v>-1000000</v>
      </c>
      <c r="E14" s="341">
        <f t="shared" si="4"/>
        <v>-1000000</v>
      </c>
      <c r="F14" s="341">
        <f t="shared" si="4"/>
        <v>-1000000</v>
      </c>
      <c r="G14" s="341">
        <f t="shared" si="4"/>
        <v>-1000000</v>
      </c>
      <c r="H14" s="341">
        <f t="shared" si="4"/>
        <v>-1000000</v>
      </c>
      <c r="I14" s="341">
        <f t="shared" si="4"/>
        <v>-1000000</v>
      </c>
      <c r="J14" s="341">
        <f t="shared" si="4"/>
        <v>-1000000</v>
      </c>
      <c r="K14" s="341">
        <f t="shared" si="4"/>
        <v>-1000000</v>
      </c>
      <c r="L14" s="341">
        <f t="shared" si="4"/>
        <v>-1000000</v>
      </c>
      <c r="M14" s="341">
        <f t="shared" si="4"/>
        <v>-1000000</v>
      </c>
    </row>
    <row r="15" spans="1:13" x14ac:dyDescent="0.25">
      <c r="A15" s="333" t="s">
        <v>522</v>
      </c>
      <c r="B15" s="336">
        <f>-'Comparativo de costes'!J32</f>
        <v>-2000000</v>
      </c>
      <c r="C15" s="336">
        <f>+B15</f>
        <v>-2000000</v>
      </c>
      <c r="D15" s="336">
        <f t="shared" ref="D15:M15" si="5">+C15</f>
        <v>-2000000</v>
      </c>
      <c r="E15" s="336">
        <f t="shared" si="5"/>
        <v>-2000000</v>
      </c>
      <c r="F15" s="336">
        <f t="shared" si="5"/>
        <v>-2000000</v>
      </c>
      <c r="G15" s="336">
        <f t="shared" si="5"/>
        <v>-2000000</v>
      </c>
      <c r="H15" s="336">
        <f t="shared" si="5"/>
        <v>-2000000</v>
      </c>
      <c r="I15" s="336">
        <f t="shared" si="5"/>
        <v>-2000000</v>
      </c>
      <c r="J15" s="336">
        <f t="shared" si="5"/>
        <v>-2000000</v>
      </c>
      <c r="K15" s="336">
        <f t="shared" si="5"/>
        <v>-2000000</v>
      </c>
      <c r="L15" s="336">
        <f t="shared" si="5"/>
        <v>-2000000</v>
      </c>
      <c r="M15" s="336">
        <f t="shared" si="5"/>
        <v>-2000000</v>
      </c>
    </row>
    <row r="16" spans="1:13" x14ac:dyDescent="0.25">
      <c r="A16" s="333" t="s">
        <v>503</v>
      </c>
      <c r="B16" s="336">
        <v>-2000000</v>
      </c>
      <c r="C16" s="336"/>
      <c r="D16" s="336"/>
      <c r="E16" s="336"/>
      <c r="F16" s="336"/>
      <c r="G16" s="336"/>
      <c r="H16" s="336"/>
      <c r="I16" s="336"/>
      <c r="J16" s="336"/>
      <c r="K16" s="336"/>
      <c r="L16" s="336"/>
      <c r="M16" s="336"/>
    </row>
    <row r="17" spans="1:13" s="339" customFormat="1" x14ac:dyDescent="0.25">
      <c r="A17" s="337" t="s">
        <v>468</v>
      </c>
      <c r="B17" s="338">
        <f>+SUM(B8:B16)</f>
        <v>-200339850.96208221</v>
      </c>
      <c r="C17" s="338">
        <f t="shared" ref="C17:M17" si="6">+SUM(C8:C15)</f>
        <v>-55601386.962082207</v>
      </c>
      <c r="D17" s="338">
        <f t="shared" si="6"/>
        <v>-57152370.322082207</v>
      </c>
      <c r="E17" s="338">
        <f t="shared" si="6"/>
        <v>-60634521.682082206</v>
      </c>
      <c r="F17" s="338">
        <f t="shared" si="6"/>
        <v>-59041367.602082208</v>
      </c>
      <c r="G17" s="338">
        <f t="shared" si="6"/>
        <v>-64620281.682082206</v>
      </c>
      <c r="H17" s="338">
        <f t="shared" si="6"/>
        <v>-63672835.842082202</v>
      </c>
      <c r="I17" s="338">
        <f t="shared" si="6"/>
        <v>-63271008.122082204</v>
      </c>
      <c r="J17" s="338">
        <f t="shared" si="6"/>
        <v>-67044378.882082209</v>
      </c>
      <c r="K17" s="338">
        <f t="shared" si="6"/>
        <v>-62442223.52208221</v>
      </c>
      <c r="L17" s="338">
        <f t="shared" si="6"/>
        <v>-63246837.962082207</v>
      </c>
      <c r="M17" s="338">
        <f t="shared" si="6"/>
        <v>-68082649.682082206</v>
      </c>
    </row>
    <row r="18" spans="1:13" x14ac:dyDescent="0.25">
      <c r="A18" s="333"/>
      <c r="B18" s="336"/>
      <c r="C18" s="336"/>
      <c r="D18" s="336"/>
      <c r="E18" s="336"/>
      <c r="F18" s="336"/>
      <c r="G18" s="336"/>
      <c r="H18" s="336"/>
      <c r="I18" s="336"/>
      <c r="J18" s="336"/>
      <c r="K18" s="336"/>
      <c r="L18" s="336"/>
      <c r="M18" s="336"/>
    </row>
    <row r="19" spans="1:13" ht="31.5" x14ac:dyDescent="0.25">
      <c r="A19" s="333" t="s">
        <v>471</v>
      </c>
      <c r="B19" s="336"/>
      <c r="C19" s="336">
        <v>0</v>
      </c>
      <c r="D19" s="336"/>
      <c r="E19" s="336">
        <f>-(E5+D5+E9+D9+D10+E10)</f>
        <v>-11672129.920000002</v>
      </c>
      <c r="F19" s="336"/>
      <c r="G19" s="336">
        <f>-(G5+F5+G9+F9+F10+G10)</f>
        <v>-16710123.306666665</v>
      </c>
      <c r="H19" s="336"/>
      <c r="I19" s="336">
        <f>-(I5+H5+I9+H9+H10+I10)</f>
        <v>-20331668.960000001</v>
      </c>
      <c r="J19" s="336"/>
      <c r="K19" s="336">
        <f>-(K5+J5+K9+J9+J10+K10)</f>
        <v>-19068875.519999996</v>
      </c>
      <c r="L19" s="336"/>
      <c r="M19" s="336">
        <f>-(M5+L5+M9+L9+L10+M10)</f>
        <v>-19859677.280000001</v>
      </c>
    </row>
    <row r="20" spans="1:13" hidden="1" x14ac:dyDescent="0.25">
      <c r="A20" s="333"/>
      <c r="B20" s="336"/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</row>
    <row r="21" spans="1:13" s="339" customFormat="1" ht="47.25" x14ac:dyDescent="0.25">
      <c r="A21" s="343" t="s">
        <v>475</v>
      </c>
      <c r="B21" s="344">
        <f>+B6+B17+B19</f>
        <v>-140205450.96208221</v>
      </c>
      <c r="C21" s="344">
        <f t="shared" ref="C21:M21" si="7">+C6+C17+C19</f>
        <v>64667413.037917793</v>
      </c>
      <c r="D21" s="344">
        <f t="shared" si="7"/>
        <v>14721229.677917793</v>
      </c>
      <c r="E21" s="344">
        <f t="shared" si="7"/>
        <v>47962148.397917792</v>
      </c>
      <c r="F21" s="344">
        <f t="shared" si="7"/>
        <v>46193832.397917792</v>
      </c>
      <c r="G21" s="344">
        <f t="shared" si="7"/>
        <v>71882395.011251122</v>
      </c>
      <c r="H21" s="344">
        <f t="shared" si="7"/>
        <v>92416764.157917798</v>
      </c>
      <c r="I21" s="344">
        <f t="shared" si="7"/>
        <v>51699722.917917795</v>
      </c>
      <c r="J21" s="344">
        <f t="shared" si="7"/>
        <v>101202021.11791779</v>
      </c>
      <c r="K21" s="344">
        <f t="shared" si="7"/>
        <v>38757700.957917795</v>
      </c>
      <c r="L21" s="344">
        <f t="shared" si="7"/>
        <v>57021962.037917793</v>
      </c>
      <c r="M21" s="344">
        <f t="shared" si="7"/>
        <v>92460873.037917793</v>
      </c>
    </row>
    <row r="22" spans="1:13" hidden="1" x14ac:dyDescent="0.25">
      <c r="A22" s="333"/>
      <c r="B22" s="345"/>
      <c r="C22" s="345"/>
      <c r="D22" s="345"/>
      <c r="E22" s="345"/>
      <c r="F22" s="345"/>
      <c r="G22" s="345"/>
      <c r="H22" s="345"/>
      <c r="I22" s="345"/>
      <c r="J22" s="345"/>
      <c r="K22" s="345"/>
      <c r="L22" s="345"/>
      <c r="M22" s="345"/>
    </row>
    <row r="23" spans="1:13" hidden="1" x14ac:dyDescent="0.25">
      <c r="A23" s="333"/>
      <c r="B23" s="345"/>
      <c r="C23" s="345"/>
      <c r="D23" s="345"/>
      <c r="E23" s="345"/>
      <c r="F23" s="345"/>
      <c r="G23" s="345"/>
      <c r="H23" s="345"/>
      <c r="I23" s="345"/>
      <c r="J23" s="345"/>
      <c r="K23" s="345"/>
      <c r="L23" s="345"/>
      <c r="M23" s="345"/>
    </row>
    <row r="24" spans="1:13" x14ac:dyDescent="0.25">
      <c r="A24" s="346" t="s">
        <v>472</v>
      </c>
      <c r="B24" s="347">
        <f t="shared" ref="B24:M24" si="8">+B21-B22</f>
        <v>-140205450.96208221</v>
      </c>
      <c r="C24" s="347">
        <f t="shared" si="8"/>
        <v>64667413.037917793</v>
      </c>
      <c r="D24" s="347">
        <f t="shared" si="8"/>
        <v>14721229.677917793</v>
      </c>
      <c r="E24" s="347">
        <f t="shared" si="8"/>
        <v>47962148.397917792</v>
      </c>
      <c r="F24" s="347">
        <f t="shared" si="8"/>
        <v>46193832.397917792</v>
      </c>
      <c r="G24" s="347">
        <f t="shared" si="8"/>
        <v>71882395.011251122</v>
      </c>
      <c r="H24" s="347">
        <f t="shared" si="8"/>
        <v>92416764.157917798</v>
      </c>
      <c r="I24" s="347">
        <f t="shared" si="8"/>
        <v>51699722.917917795</v>
      </c>
      <c r="J24" s="347">
        <f t="shared" si="8"/>
        <v>101202021.11791779</v>
      </c>
      <c r="K24" s="347">
        <f t="shared" si="8"/>
        <v>38757700.957917795</v>
      </c>
      <c r="L24" s="347">
        <f t="shared" si="8"/>
        <v>57021962.037917793</v>
      </c>
      <c r="M24" s="347">
        <f t="shared" si="8"/>
        <v>92460873.037917793</v>
      </c>
    </row>
    <row r="25" spans="1:13" hidden="1" x14ac:dyDescent="0.25">
      <c r="A25" s="333"/>
      <c r="B25" s="345"/>
      <c r="C25" s="345"/>
      <c r="D25" s="345"/>
      <c r="E25" s="345"/>
      <c r="F25" s="345"/>
      <c r="G25" s="345"/>
      <c r="H25" s="345"/>
      <c r="I25" s="345"/>
      <c r="J25" s="345"/>
      <c r="K25" s="345"/>
      <c r="L25" s="345"/>
      <c r="M25" s="345"/>
    </row>
    <row r="26" spans="1:13" x14ac:dyDescent="0.25">
      <c r="A26" s="346" t="s">
        <v>473</v>
      </c>
      <c r="B26" s="348">
        <f>+'Previsión inicial de inv.'!C14</f>
        <v>170205450.962082</v>
      </c>
      <c r="C26" s="347">
        <f>+B28</f>
        <v>29999999.999999791</v>
      </c>
      <c r="D26" s="347">
        <f t="shared" ref="D26:M26" si="9">+C28</f>
        <v>94667413.037917584</v>
      </c>
      <c r="E26" s="347">
        <f t="shared" si="9"/>
        <v>109388642.71583538</v>
      </c>
      <c r="F26" s="347">
        <f t="shared" si="9"/>
        <v>157350791.11375317</v>
      </c>
      <c r="G26" s="347">
        <f t="shared" si="9"/>
        <v>203544623.51167095</v>
      </c>
      <c r="H26" s="347">
        <f t="shared" si="9"/>
        <v>275427018.52292204</v>
      </c>
      <c r="I26" s="347">
        <f t="shared" si="9"/>
        <v>367843782.68083984</v>
      </c>
      <c r="J26" s="347">
        <f t="shared" si="9"/>
        <v>419543505.59875762</v>
      </c>
      <c r="K26" s="347">
        <f t="shared" si="9"/>
        <v>520745526.7166754</v>
      </c>
      <c r="L26" s="347">
        <f t="shared" si="9"/>
        <v>559503227.67459321</v>
      </c>
      <c r="M26" s="347">
        <f t="shared" si="9"/>
        <v>616525189.71251106</v>
      </c>
    </row>
    <row r="27" spans="1:13" hidden="1" x14ac:dyDescent="0.25">
      <c r="A27" s="333"/>
      <c r="B27" s="345"/>
      <c r="C27" s="345"/>
      <c r="D27" s="345"/>
      <c r="E27" s="345"/>
      <c r="F27" s="345"/>
      <c r="G27" s="345"/>
      <c r="H27" s="345"/>
      <c r="I27" s="345"/>
      <c r="J27" s="345"/>
      <c r="K27" s="345"/>
      <c r="L27" s="345"/>
      <c r="M27" s="345"/>
    </row>
    <row r="28" spans="1:13" s="339" customFormat="1" ht="18.95" customHeight="1" x14ac:dyDescent="0.25">
      <c r="A28" s="343" t="s">
        <v>474</v>
      </c>
      <c r="B28" s="344">
        <f>+B26+B24</f>
        <v>29999999.999999791</v>
      </c>
      <c r="C28" s="344">
        <f t="shared" ref="C28:M28" si="10">+C26+C24</f>
        <v>94667413.037917584</v>
      </c>
      <c r="D28" s="344">
        <f t="shared" si="10"/>
        <v>109388642.71583538</v>
      </c>
      <c r="E28" s="344">
        <f t="shared" si="10"/>
        <v>157350791.11375317</v>
      </c>
      <c r="F28" s="344">
        <f t="shared" si="10"/>
        <v>203544623.51167095</v>
      </c>
      <c r="G28" s="344">
        <f t="shared" si="10"/>
        <v>275427018.52292204</v>
      </c>
      <c r="H28" s="344">
        <f t="shared" si="10"/>
        <v>367843782.68083984</v>
      </c>
      <c r="I28" s="344">
        <f t="shared" si="10"/>
        <v>419543505.59875762</v>
      </c>
      <c r="J28" s="344">
        <f t="shared" si="10"/>
        <v>520745526.7166754</v>
      </c>
      <c r="K28" s="344">
        <f t="shared" si="10"/>
        <v>559503227.67459321</v>
      </c>
      <c r="L28" s="344">
        <f t="shared" si="10"/>
        <v>616525189.71251106</v>
      </c>
      <c r="M28" s="344">
        <f t="shared" si="10"/>
        <v>708986062.75042892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</sheetPr>
  <dimension ref="A2:F32"/>
  <sheetViews>
    <sheetView workbookViewId="0">
      <selection activeCell="B19" sqref="B19:D28"/>
    </sheetView>
  </sheetViews>
  <sheetFormatPr baseColWidth="10" defaultRowHeight="15.75" x14ac:dyDescent="0.25"/>
  <cols>
    <col min="2" max="2" width="33.875" style="3" customWidth="1"/>
    <col min="3" max="3" width="14.125" style="222" bestFit="1" customWidth="1"/>
    <col min="4" max="4" width="15.875" customWidth="1"/>
    <col min="5" max="6" width="12.625" bestFit="1" customWidth="1"/>
  </cols>
  <sheetData>
    <row r="2" spans="2:6" s="1" customFormat="1" x14ac:dyDescent="0.25">
      <c r="B2" s="322" t="s">
        <v>0</v>
      </c>
      <c r="C2" s="323" t="s">
        <v>1</v>
      </c>
      <c r="D2" s="324" t="s">
        <v>2</v>
      </c>
    </row>
    <row r="3" spans="2:6" s="1" customFormat="1" x14ac:dyDescent="0.25">
      <c r="B3" s="327" t="s">
        <v>302</v>
      </c>
      <c r="C3" s="328">
        <f>+C4</f>
        <v>2136790894.3807423</v>
      </c>
      <c r="D3" s="329">
        <f t="shared" ref="D3:D8" si="0">+C3/$C$15</f>
        <v>0.91605285882737564</v>
      </c>
    </row>
    <row r="4" spans="2:6" x14ac:dyDescent="0.25">
      <c r="B4" s="213" t="s">
        <v>3</v>
      </c>
      <c r="C4" s="214">
        <f>+C5+C6+C7+C8</f>
        <v>2136790894.3807423</v>
      </c>
      <c r="D4" s="215">
        <f t="shared" si="0"/>
        <v>0.91605285882737564</v>
      </c>
    </row>
    <row r="5" spans="2:6" x14ac:dyDescent="0.25">
      <c r="B5" s="216" t="s">
        <v>4</v>
      </c>
      <c r="C5" s="217">
        <v>800000000</v>
      </c>
      <c r="D5" s="218">
        <f t="shared" si="0"/>
        <v>0.34296396946893748</v>
      </c>
    </row>
    <row r="6" spans="2:6" x14ac:dyDescent="0.25">
      <c r="B6" s="219" t="s">
        <v>6</v>
      </c>
      <c r="C6" s="217">
        <f>+Infraestructura!H293</f>
        <v>1237036894.3807423</v>
      </c>
      <c r="D6" s="218">
        <f t="shared" si="0"/>
        <v>0.53032385459543263</v>
      </c>
    </row>
    <row r="7" spans="2:6" x14ac:dyDescent="0.25">
      <c r="B7" s="219" t="s">
        <v>366</v>
      </c>
      <c r="C7" s="217">
        <f>+'Dotación inicial'!C27</f>
        <v>93754000</v>
      </c>
      <c r="D7" s="218">
        <f t="shared" si="0"/>
        <v>4.0192804991988455E-2</v>
      </c>
    </row>
    <row r="8" spans="2:6" x14ac:dyDescent="0.25">
      <c r="B8" s="219" t="s">
        <v>517</v>
      </c>
      <c r="C8" s="217">
        <v>6000000</v>
      </c>
      <c r="D8" s="309">
        <f t="shared" si="0"/>
        <v>2.5722297710170311E-3</v>
      </c>
    </row>
    <row r="9" spans="2:6" x14ac:dyDescent="0.25">
      <c r="B9" s="219"/>
      <c r="C9" s="217"/>
      <c r="D9" s="218"/>
    </row>
    <row r="10" spans="2:6" x14ac:dyDescent="0.25">
      <c r="B10" s="327" t="s">
        <v>7</v>
      </c>
      <c r="C10" s="328">
        <f>+C11+C14</f>
        <v>195815650.962082</v>
      </c>
      <c r="D10" s="329">
        <f t="shared" ref="D10:D15" si="1">+C10/$C$15</f>
        <v>8.3947141172624515E-2</v>
      </c>
    </row>
    <row r="11" spans="2:6" x14ac:dyDescent="0.25">
      <c r="B11" s="213" t="s">
        <v>8</v>
      </c>
      <c r="C11" s="220">
        <f>+C12+C13</f>
        <v>25610200</v>
      </c>
      <c r="D11" s="221">
        <f t="shared" si="1"/>
        <v>1.0979219813616728E-2</v>
      </c>
    </row>
    <row r="12" spans="2:6" x14ac:dyDescent="0.25">
      <c r="B12" s="219" t="s">
        <v>283</v>
      </c>
      <c r="C12" s="217">
        <f>+'Existencias iniciales'!C9</f>
        <v>20511400</v>
      </c>
      <c r="D12" s="218">
        <f t="shared" si="1"/>
        <v>8.7933389542064547E-3</v>
      </c>
    </row>
    <row r="13" spans="2:6" x14ac:dyDescent="0.25">
      <c r="B13" s="219" t="s">
        <v>290</v>
      </c>
      <c r="C13" s="217">
        <f>+'Existencias iniciales'!C5</f>
        <v>5098800</v>
      </c>
      <c r="D13" s="218">
        <f t="shared" si="1"/>
        <v>2.1858808594102728E-3</v>
      </c>
    </row>
    <row r="14" spans="2:6" x14ac:dyDescent="0.25">
      <c r="B14" s="213" t="s">
        <v>291</v>
      </c>
      <c r="C14" s="220">
        <f>140205450.962082+30000000</f>
        <v>170205450.962082</v>
      </c>
      <c r="D14" s="221">
        <f t="shared" si="1"/>
        <v>7.2967921359007787E-2</v>
      </c>
      <c r="F14" s="202"/>
    </row>
    <row r="15" spans="2:6" s="1" customFormat="1" x14ac:dyDescent="0.25">
      <c r="B15" s="322" t="s">
        <v>5</v>
      </c>
      <c r="C15" s="323">
        <f>+C4+C11+C14</f>
        <v>2332606545.342824</v>
      </c>
      <c r="D15" s="326">
        <f t="shared" si="1"/>
        <v>1</v>
      </c>
    </row>
    <row r="19" spans="1:5" x14ac:dyDescent="0.25">
      <c r="B19" s="308" t="s">
        <v>292</v>
      </c>
      <c r="C19" s="258" t="s">
        <v>1</v>
      </c>
      <c r="D19" s="256" t="s">
        <v>293</v>
      </c>
    </row>
    <row r="20" spans="1:5" x14ac:dyDescent="0.25">
      <c r="B20" s="330" t="s">
        <v>296</v>
      </c>
      <c r="C20" s="331">
        <f>+C21</f>
        <v>1399563927.2056944</v>
      </c>
      <c r="D20" s="332">
        <f>+D21</f>
        <v>0.6</v>
      </c>
    </row>
    <row r="21" spans="1:5" x14ac:dyDescent="0.25">
      <c r="B21" s="223" t="s">
        <v>294</v>
      </c>
      <c r="C21" s="224">
        <f>+C22</f>
        <v>1399563927.2056944</v>
      </c>
      <c r="D21" s="225">
        <f>+D22</f>
        <v>0.6</v>
      </c>
    </row>
    <row r="22" spans="1:5" x14ac:dyDescent="0.25">
      <c r="B22" s="226" t="s">
        <v>295</v>
      </c>
      <c r="C22" s="227">
        <f>+C15*D22</f>
        <v>1399563927.2056944</v>
      </c>
      <c r="D22" s="228">
        <v>0.6</v>
      </c>
    </row>
    <row r="23" spans="1:5" x14ac:dyDescent="0.25">
      <c r="B23" s="226"/>
      <c r="C23" s="227"/>
      <c r="D23" s="228">
        <f>+C23/$C$28</f>
        <v>0</v>
      </c>
    </row>
    <row r="24" spans="1:5" x14ac:dyDescent="0.25">
      <c r="B24" s="330" t="s">
        <v>297</v>
      </c>
      <c r="C24" s="331">
        <f>+C25+C27</f>
        <v>933042618.13712966</v>
      </c>
      <c r="D24" s="332">
        <f>+D25</f>
        <v>0.4</v>
      </c>
      <c r="E24" s="222"/>
    </row>
    <row r="25" spans="1:5" x14ac:dyDescent="0.25">
      <c r="B25" s="223" t="s">
        <v>298</v>
      </c>
      <c r="C25" s="224">
        <f>+C26</f>
        <v>933042618.13712966</v>
      </c>
      <c r="D25" s="225">
        <f>+D26</f>
        <v>0.4</v>
      </c>
    </row>
    <row r="26" spans="1:5" x14ac:dyDescent="0.25">
      <c r="B26" s="226" t="s">
        <v>299</v>
      </c>
      <c r="C26" s="227">
        <f>+C15*D26</f>
        <v>933042618.13712966</v>
      </c>
      <c r="D26" s="228">
        <f>100%-D22</f>
        <v>0.4</v>
      </c>
    </row>
    <row r="27" spans="1:5" x14ac:dyDescent="0.25">
      <c r="B27" s="223" t="s">
        <v>300</v>
      </c>
      <c r="C27" s="224">
        <v>0</v>
      </c>
      <c r="D27" s="225">
        <f>+C27/$C$28</f>
        <v>0</v>
      </c>
    </row>
    <row r="28" spans="1:5" x14ac:dyDescent="0.25">
      <c r="B28" s="308" t="s">
        <v>301</v>
      </c>
      <c r="C28" s="258">
        <f>+C27+C25+C21</f>
        <v>2332606545.342824</v>
      </c>
      <c r="D28" s="325">
        <f>+C28/$C$28</f>
        <v>1</v>
      </c>
    </row>
    <row r="32" spans="1:5" ht="53.1" customHeight="1" x14ac:dyDescent="0.25">
      <c r="A32" s="401" t="s">
        <v>303</v>
      </c>
      <c r="B32" s="401"/>
      <c r="C32" s="401"/>
      <c r="D32" s="401"/>
      <c r="E32" s="401"/>
    </row>
  </sheetData>
  <mergeCells count="1">
    <mergeCell ref="A32:E3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6"/>
  <sheetViews>
    <sheetView tabSelected="1" workbookViewId="0">
      <selection activeCell="E26" sqref="E26"/>
    </sheetView>
  </sheetViews>
  <sheetFormatPr baseColWidth="10" defaultRowHeight="15.75" x14ac:dyDescent="0.25"/>
  <cols>
    <col min="1" max="1" width="27.5" bestFit="1" customWidth="1"/>
    <col min="2" max="2" width="14.375" hidden="1" customWidth="1"/>
    <col min="3" max="3" width="14.125" bestFit="1" customWidth="1"/>
    <col min="4" max="4" width="12.625" bestFit="1" customWidth="1"/>
    <col min="5" max="5" width="11.5" bestFit="1" customWidth="1"/>
    <col min="6" max="6" width="12.625" bestFit="1" customWidth="1"/>
    <col min="7" max="7" width="11.5" bestFit="1" customWidth="1"/>
    <col min="8" max="14" width="12.625" bestFit="1" customWidth="1"/>
  </cols>
  <sheetData>
    <row r="2" spans="1:14" hidden="1" x14ac:dyDescent="0.25">
      <c r="A2" t="s">
        <v>516</v>
      </c>
      <c r="B2" s="202">
        <f>+SUM('Ppto ventas'!D21:O21)</f>
        <v>1303080000</v>
      </c>
      <c r="C2" s="202">
        <f>+'Ppto ventas'!D21</f>
        <v>51840000</v>
      </c>
      <c r="D2" s="202">
        <f>+'Ppto ventas'!E21</f>
        <v>103680000</v>
      </c>
      <c r="E2" s="202">
        <f>+'Ppto ventas'!F21</f>
        <v>61960000</v>
      </c>
      <c r="F2" s="202">
        <f>+'Ppto ventas'!G21</f>
        <v>103680000</v>
      </c>
      <c r="G2" s="202">
        <f>+'Ppto ventas'!H21</f>
        <v>90720000</v>
      </c>
      <c r="H2" s="202">
        <f>+'Ppto ventas'!I21</f>
        <v>132080000</v>
      </c>
      <c r="I2" s="202">
        <f>+'Ppto ventas'!J21</f>
        <v>134560000</v>
      </c>
      <c r="J2" s="202">
        <f>+'Ppto ventas'!K21</f>
        <v>116640000</v>
      </c>
      <c r="K2" s="202">
        <f>+'Ppto ventas'!L21</f>
        <v>145040000</v>
      </c>
      <c r="L2" s="202">
        <f>+'Ppto ventas'!M21</f>
        <v>103680000</v>
      </c>
      <c r="M2" s="202">
        <f>+'Ppto ventas'!N21</f>
        <v>103680000</v>
      </c>
      <c r="N2" s="202">
        <f>+'Ppto ventas'!O21</f>
        <v>155520000</v>
      </c>
    </row>
    <row r="5" spans="1:14" x14ac:dyDescent="0.25">
      <c r="A5" s="266"/>
      <c r="B5" s="266" t="s">
        <v>267</v>
      </c>
      <c r="C5" s="266" t="s">
        <v>389</v>
      </c>
      <c r="D5" s="266" t="s">
        <v>390</v>
      </c>
      <c r="E5" s="266" t="s">
        <v>391</v>
      </c>
      <c r="F5" s="266" t="s">
        <v>392</v>
      </c>
      <c r="G5" s="266" t="s">
        <v>393</v>
      </c>
      <c r="H5" s="266" t="s">
        <v>394</v>
      </c>
      <c r="I5" s="266" t="s">
        <v>395</v>
      </c>
      <c r="J5" s="266" t="s">
        <v>396</v>
      </c>
      <c r="K5" s="266" t="s">
        <v>397</v>
      </c>
      <c r="L5" s="266" t="s">
        <v>398</v>
      </c>
      <c r="M5" s="266" t="s">
        <v>399</v>
      </c>
      <c r="N5" s="266" t="s">
        <v>400</v>
      </c>
    </row>
    <row r="6" spans="1:14" x14ac:dyDescent="0.25">
      <c r="A6" s="236" t="s">
        <v>515</v>
      </c>
      <c r="B6" s="292">
        <v>0.1</v>
      </c>
      <c r="C6" s="227">
        <v>130308000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</row>
    <row r="7" spans="1:14" x14ac:dyDescent="0.25">
      <c r="A7" s="236" t="s">
        <v>519</v>
      </c>
      <c r="B7" s="292">
        <v>7.0000000000000007E-2</v>
      </c>
      <c r="C7" s="236"/>
      <c r="D7" s="237">
        <f t="shared" ref="D7:N7" si="0">+$B$7*D2</f>
        <v>7257600.0000000009</v>
      </c>
      <c r="E7" s="237">
        <f t="shared" si="0"/>
        <v>4337200</v>
      </c>
      <c r="F7" s="237">
        <f t="shared" si="0"/>
        <v>7257600.0000000009</v>
      </c>
      <c r="G7" s="237">
        <f t="shared" si="0"/>
        <v>6350400.0000000009</v>
      </c>
      <c r="H7" s="237">
        <f t="shared" si="0"/>
        <v>9245600</v>
      </c>
      <c r="I7" s="237">
        <f t="shared" si="0"/>
        <v>9419200</v>
      </c>
      <c r="J7" s="237">
        <f t="shared" si="0"/>
        <v>8164800.0000000009</v>
      </c>
      <c r="K7" s="237">
        <f t="shared" si="0"/>
        <v>10152800.000000002</v>
      </c>
      <c r="L7" s="237">
        <f t="shared" si="0"/>
        <v>7257600.0000000009</v>
      </c>
      <c r="M7" s="237">
        <f t="shared" si="0"/>
        <v>7257600.0000000009</v>
      </c>
      <c r="N7" s="237">
        <f t="shared" si="0"/>
        <v>10886400.000000002</v>
      </c>
    </row>
    <row r="8" spans="1:14" x14ac:dyDescent="0.25">
      <c r="A8" s="236" t="s">
        <v>518</v>
      </c>
      <c r="B8" s="292"/>
      <c r="C8" s="227">
        <v>1000000</v>
      </c>
      <c r="D8" s="227">
        <v>1000000</v>
      </c>
      <c r="E8" s="227">
        <v>1000000</v>
      </c>
      <c r="F8" s="227">
        <v>1000000</v>
      </c>
      <c r="G8" s="227">
        <v>1000000</v>
      </c>
      <c r="H8" s="227">
        <v>1000000</v>
      </c>
      <c r="I8" s="227">
        <v>1000000</v>
      </c>
      <c r="J8" s="227">
        <v>1000000</v>
      </c>
      <c r="K8" s="227">
        <v>1000000</v>
      </c>
      <c r="L8" s="227">
        <v>1000000</v>
      </c>
      <c r="M8" s="227">
        <v>1000000</v>
      </c>
      <c r="N8" s="227">
        <v>1000000</v>
      </c>
    </row>
    <row r="9" spans="1:14" s="222" customFormat="1" x14ac:dyDescent="0.25">
      <c r="A9" s="227" t="s">
        <v>523</v>
      </c>
      <c r="B9" s="227"/>
      <c r="C9" s="227"/>
      <c r="D9" s="227"/>
      <c r="E9" s="227">
        <v>1000000</v>
      </c>
      <c r="F9" s="227"/>
      <c r="G9" s="227"/>
      <c r="H9" s="227">
        <v>1000000</v>
      </c>
      <c r="I9" s="227"/>
      <c r="J9" s="227"/>
      <c r="K9" s="227">
        <v>1000000</v>
      </c>
      <c r="L9" s="227"/>
      <c r="M9" s="227"/>
      <c r="N9" s="227">
        <v>1000000</v>
      </c>
    </row>
    <row r="10" spans="1:14" x14ac:dyDescent="0.25">
      <c r="A10" s="236"/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</row>
    <row r="11" spans="1:14" x14ac:dyDescent="0.25">
      <c r="A11" s="266" t="s">
        <v>524</v>
      </c>
      <c r="B11" s="266"/>
      <c r="C11" s="313">
        <f>+SUM(C6:C10)</f>
        <v>131308000</v>
      </c>
      <c r="D11" s="313">
        <f t="shared" ref="D11:N11" si="1">+SUM(D6:D10)</f>
        <v>8257600.0000000009</v>
      </c>
      <c r="E11" s="313">
        <f t="shared" si="1"/>
        <v>6337200</v>
      </c>
      <c r="F11" s="313">
        <f t="shared" si="1"/>
        <v>8257600.0000000009</v>
      </c>
      <c r="G11" s="313">
        <f t="shared" si="1"/>
        <v>7350400.0000000009</v>
      </c>
      <c r="H11" s="313">
        <f t="shared" si="1"/>
        <v>11245600</v>
      </c>
      <c r="I11" s="313">
        <f t="shared" si="1"/>
        <v>10419200</v>
      </c>
      <c r="J11" s="313">
        <f t="shared" si="1"/>
        <v>9164800</v>
      </c>
      <c r="K11" s="313">
        <f t="shared" si="1"/>
        <v>12152800.000000002</v>
      </c>
      <c r="L11" s="313">
        <f t="shared" si="1"/>
        <v>8257600.0000000009</v>
      </c>
      <c r="M11" s="313">
        <f t="shared" si="1"/>
        <v>8257600.0000000009</v>
      </c>
      <c r="N11" s="313">
        <f t="shared" si="1"/>
        <v>12886400.000000002</v>
      </c>
    </row>
    <row r="13" spans="1:14" x14ac:dyDescent="0.25">
      <c r="A13" t="s">
        <v>527</v>
      </c>
      <c r="C13" s="222">
        <f>+C11*0.16</f>
        <v>21009280</v>
      </c>
      <c r="D13" s="222">
        <f t="shared" ref="D13:N13" si="2">+D11*0.16</f>
        <v>1321216.0000000002</v>
      </c>
      <c r="E13" s="222">
        <f t="shared" si="2"/>
        <v>1013952</v>
      </c>
      <c r="F13" s="222">
        <f t="shared" si="2"/>
        <v>1321216.0000000002</v>
      </c>
      <c r="G13" s="222">
        <f t="shared" si="2"/>
        <v>1176064.0000000002</v>
      </c>
      <c r="H13" s="222">
        <f t="shared" si="2"/>
        <v>1799296</v>
      </c>
      <c r="I13" s="222">
        <f t="shared" si="2"/>
        <v>1667072</v>
      </c>
      <c r="J13" s="222">
        <f t="shared" si="2"/>
        <v>1466368</v>
      </c>
      <c r="K13" s="222">
        <f t="shared" si="2"/>
        <v>1944448.0000000002</v>
      </c>
      <c r="L13" s="222">
        <f t="shared" si="2"/>
        <v>1321216.0000000002</v>
      </c>
      <c r="M13" s="222">
        <f t="shared" si="2"/>
        <v>1321216.0000000002</v>
      </c>
      <c r="N13" s="222">
        <f t="shared" si="2"/>
        <v>2061824.0000000002</v>
      </c>
    </row>
    <row r="21" spans="1:3" x14ac:dyDescent="0.25">
      <c r="A21" s="266" t="s">
        <v>525</v>
      </c>
      <c r="C21" s="393">
        <v>2014</v>
      </c>
    </row>
    <row r="22" spans="1:3" x14ac:dyDescent="0.25">
      <c r="A22" s="394" t="s">
        <v>515</v>
      </c>
      <c r="C22" s="227">
        <f>+SUM(C6:N6)</f>
        <v>130308000</v>
      </c>
    </row>
    <row r="23" spans="1:3" x14ac:dyDescent="0.25">
      <c r="A23" s="394" t="s">
        <v>519</v>
      </c>
      <c r="C23" s="227">
        <f t="shared" ref="C23:C25" si="3">+SUM(C7:N7)</f>
        <v>87586800</v>
      </c>
    </row>
    <row r="24" spans="1:3" x14ac:dyDescent="0.25">
      <c r="A24" s="394" t="s">
        <v>518</v>
      </c>
      <c r="C24" s="227">
        <f t="shared" si="3"/>
        <v>12000000</v>
      </c>
    </row>
    <row r="25" spans="1:3" x14ac:dyDescent="0.25">
      <c r="A25" s="394" t="s">
        <v>523</v>
      </c>
      <c r="C25" s="227">
        <f t="shared" si="3"/>
        <v>4000000</v>
      </c>
    </row>
    <row r="26" spans="1:3" x14ac:dyDescent="0.25">
      <c r="A26" s="266" t="s">
        <v>524</v>
      </c>
      <c r="C26" s="313">
        <f>+SUM(C22:C25)</f>
        <v>233894800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opLeftCell="B1" workbookViewId="0">
      <selection activeCell="B9" sqref="B9:O21"/>
    </sheetView>
  </sheetViews>
  <sheetFormatPr baseColWidth="10" defaultRowHeight="15.75" x14ac:dyDescent="0.25"/>
  <cols>
    <col min="1" max="1" width="21.125" bestFit="1" customWidth="1"/>
    <col min="2" max="2" width="19.625" bestFit="1" customWidth="1"/>
    <col min="3" max="3" width="16.375" bestFit="1" customWidth="1"/>
    <col min="4" max="15" width="12.625" bestFit="1" customWidth="1"/>
  </cols>
  <sheetData>
    <row r="1" spans="1:15" x14ac:dyDescent="0.25">
      <c r="A1" t="s">
        <v>440</v>
      </c>
      <c r="B1" t="s">
        <v>443</v>
      </c>
      <c r="C1" t="s">
        <v>444</v>
      </c>
      <c r="F1">
        <v>1.1692307692307686</v>
      </c>
    </row>
    <row r="2" spans="1:15" x14ac:dyDescent="0.25">
      <c r="A2" t="s">
        <v>441</v>
      </c>
      <c r="B2" s="222">
        <v>44</v>
      </c>
      <c r="C2" s="222">
        <f>+B2*30</f>
        <v>1320</v>
      </c>
    </row>
    <row r="3" spans="1:15" x14ac:dyDescent="0.25">
      <c r="A3" t="s">
        <v>442</v>
      </c>
      <c r="B3" s="222">
        <v>8</v>
      </c>
      <c r="C3" s="222">
        <f>+B3*30</f>
        <v>240</v>
      </c>
    </row>
    <row r="4" spans="1:15" x14ac:dyDescent="0.25">
      <c r="A4" t="s">
        <v>496</v>
      </c>
      <c r="B4" s="222">
        <v>160000</v>
      </c>
      <c r="C4" s="222"/>
    </row>
    <row r="5" spans="1:15" x14ac:dyDescent="0.25">
      <c r="A5" t="s">
        <v>497</v>
      </c>
      <c r="B5" s="222">
        <v>200000</v>
      </c>
      <c r="C5" s="222"/>
      <c r="D5" s="291"/>
    </row>
    <row r="6" spans="1:15" x14ac:dyDescent="0.25">
      <c r="D6" s="291"/>
    </row>
    <row r="7" spans="1:15" x14ac:dyDescent="0.25">
      <c r="D7" s="291"/>
    </row>
    <row r="8" spans="1:15" x14ac:dyDescent="0.25">
      <c r="E8" t="s">
        <v>512</v>
      </c>
    </row>
    <row r="9" spans="1:15" s="1" customFormat="1" x14ac:dyDescent="0.25">
      <c r="B9" s="397" t="s">
        <v>439</v>
      </c>
      <c r="C9" s="398"/>
      <c r="D9" s="260">
        <v>0.2</v>
      </c>
      <c r="E9" s="260">
        <v>0.4</v>
      </c>
      <c r="F9" s="260">
        <v>0.24</v>
      </c>
      <c r="G9" s="260">
        <v>0.4</v>
      </c>
      <c r="H9" s="260">
        <v>0.35</v>
      </c>
      <c r="I9" s="260">
        <v>0.51</v>
      </c>
      <c r="J9" s="260">
        <v>0.52</v>
      </c>
      <c r="K9" s="260">
        <v>0.45</v>
      </c>
      <c r="L9" s="260">
        <v>0.56000000000000005</v>
      </c>
      <c r="M9" s="260">
        <v>0.4</v>
      </c>
      <c r="N9" s="260">
        <v>0.4</v>
      </c>
      <c r="O9" s="260">
        <v>0.6</v>
      </c>
    </row>
    <row r="10" spans="1:15" x14ac:dyDescent="0.25">
      <c r="B10" s="236"/>
      <c r="C10" s="236"/>
      <c r="D10" s="254"/>
      <c r="E10" s="254"/>
      <c r="F10" s="254"/>
      <c r="G10" s="254"/>
      <c r="H10" s="254"/>
      <c r="I10" s="254"/>
      <c r="J10" s="254"/>
      <c r="K10" s="254"/>
      <c r="L10" s="254"/>
      <c r="M10" s="254"/>
      <c r="N10" s="254"/>
      <c r="O10" s="254"/>
    </row>
    <row r="11" spans="1:15" x14ac:dyDescent="0.25">
      <c r="B11" s="402" t="s">
        <v>256</v>
      </c>
      <c r="C11" s="403"/>
      <c r="D11" s="236" t="s">
        <v>389</v>
      </c>
      <c r="E11" s="236" t="s">
        <v>390</v>
      </c>
      <c r="F11" s="236" t="s">
        <v>391</v>
      </c>
      <c r="G11" s="236" t="s">
        <v>392</v>
      </c>
      <c r="H11" s="236" t="s">
        <v>393</v>
      </c>
      <c r="I11" s="236" t="s">
        <v>394</v>
      </c>
      <c r="J11" s="236" t="s">
        <v>395</v>
      </c>
      <c r="K11" s="236" t="s">
        <v>396</v>
      </c>
      <c r="L11" s="236" t="s">
        <v>397</v>
      </c>
      <c r="M11" s="236" t="s">
        <v>398</v>
      </c>
      <c r="N11" s="236" t="s">
        <v>399</v>
      </c>
      <c r="O11" s="236" t="s">
        <v>400</v>
      </c>
    </row>
    <row r="12" spans="1:15" x14ac:dyDescent="0.25">
      <c r="B12" s="236"/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</row>
    <row r="13" spans="1:15" x14ac:dyDescent="0.25">
      <c r="B13" s="399" t="s">
        <v>432</v>
      </c>
      <c r="C13" s="236" t="s">
        <v>433</v>
      </c>
      <c r="D13" s="236">
        <f t="shared" ref="D13:O13" si="0">INT(D9*$C$2)</f>
        <v>264</v>
      </c>
      <c r="E13" s="236">
        <f t="shared" si="0"/>
        <v>528</v>
      </c>
      <c r="F13" s="236">
        <f t="shared" si="0"/>
        <v>316</v>
      </c>
      <c r="G13" s="236">
        <f t="shared" si="0"/>
        <v>528</v>
      </c>
      <c r="H13" s="236">
        <f t="shared" si="0"/>
        <v>462</v>
      </c>
      <c r="I13" s="236">
        <f t="shared" si="0"/>
        <v>673</v>
      </c>
      <c r="J13" s="236">
        <f t="shared" si="0"/>
        <v>686</v>
      </c>
      <c r="K13" s="236">
        <f t="shared" si="0"/>
        <v>594</v>
      </c>
      <c r="L13" s="236">
        <f t="shared" si="0"/>
        <v>739</v>
      </c>
      <c r="M13" s="236">
        <f t="shared" si="0"/>
        <v>528</v>
      </c>
      <c r="N13" s="236">
        <f t="shared" si="0"/>
        <v>528</v>
      </c>
      <c r="O13" s="236">
        <f t="shared" si="0"/>
        <v>792</v>
      </c>
    </row>
    <row r="14" spans="1:15" x14ac:dyDescent="0.25">
      <c r="B14" s="399"/>
      <c r="C14" s="236" t="s">
        <v>434</v>
      </c>
      <c r="D14" s="227">
        <f>+B4</f>
        <v>160000</v>
      </c>
      <c r="E14" s="227">
        <f>+D14</f>
        <v>160000</v>
      </c>
      <c r="F14" s="227">
        <f t="shared" ref="F14:O14" si="1">+E14</f>
        <v>160000</v>
      </c>
      <c r="G14" s="227">
        <f t="shared" si="1"/>
        <v>160000</v>
      </c>
      <c r="H14" s="227">
        <f t="shared" si="1"/>
        <v>160000</v>
      </c>
      <c r="I14" s="227">
        <f t="shared" si="1"/>
        <v>160000</v>
      </c>
      <c r="J14" s="227">
        <f t="shared" si="1"/>
        <v>160000</v>
      </c>
      <c r="K14" s="227">
        <f t="shared" si="1"/>
        <v>160000</v>
      </c>
      <c r="L14" s="227">
        <f t="shared" si="1"/>
        <v>160000</v>
      </c>
      <c r="M14" s="227">
        <f t="shared" si="1"/>
        <v>160000</v>
      </c>
      <c r="N14" s="227">
        <f t="shared" si="1"/>
        <v>160000</v>
      </c>
      <c r="O14" s="227">
        <f t="shared" si="1"/>
        <v>160000</v>
      </c>
    </row>
    <row r="15" spans="1:15" x14ac:dyDescent="0.25">
      <c r="B15" s="399"/>
      <c r="C15" s="252" t="s">
        <v>435</v>
      </c>
      <c r="D15" s="255">
        <f>+D13*D14</f>
        <v>42240000</v>
      </c>
      <c r="E15" s="255">
        <f t="shared" ref="E15:O15" si="2">+E13*E14</f>
        <v>84480000</v>
      </c>
      <c r="F15" s="255">
        <f t="shared" si="2"/>
        <v>50560000</v>
      </c>
      <c r="G15" s="255">
        <f t="shared" si="2"/>
        <v>84480000</v>
      </c>
      <c r="H15" s="255">
        <f t="shared" si="2"/>
        <v>73920000</v>
      </c>
      <c r="I15" s="255">
        <f t="shared" si="2"/>
        <v>107680000</v>
      </c>
      <c r="J15" s="255">
        <f t="shared" si="2"/>
        <v>109760000</v>
      </c>
      <c r="K15" s="255">
        <f t="shared" si="2"/>
        <v>95040000</v>
      </c>
      <c r="L15" s="255">
        <f t="shared" si="2"/>
        <v>118240000</v>
      </c>
      <c r="M15" s="255">
        <f t="shared" si="2"/>
        <v>84480000</v>
      </c>
      <c r="N15" s="255">
        <f t="shared" si="2"/>
        <v>84480000</v>
      </c>
      <c r="O15" s="255">
        <f t="shared" si="2"/>
        <v>126720000</v>
      </c>
    </row>
    <row r="16" spans="1:15" x14ac:dyDescent="0.25">
      <c r="B16" s="259"/>
      <c r="C16" s="236"/>
      <c r="D16" s="227"/>
      <c r="E16" s="227"/>
      <c r="F16" s="227"/>
      <c r="G16" s="227"/>
      <c r="H16" s="227"/>
      <c r="I16" s="227"/>
      <c r="J16" s="227"/>
      <c r="K16" s="227"/>
      <c r="L16" s="227"/>
      <c r="M16" s="227"/>
      <c r="N16" s="227"/>
      <c r="O16" s="227"/>
    </row>
    <row r="17" spans="2:16" x14ac:dyDescent="0.25">
      <c r="B17" s="399" t="s">
        <v>436</v>
      </c>
      <c r="C17" s="236" t="s">
        <v>433</v>
      </c>
      <c r="D17" s="236">
        <f t="shared" ref="D17:O17" si="3">INT(D9*$C$3)</f>
        <v>48</v>
      </c>
      <c r="E17" s="236">
        <f t="shared" si="3"/>
        <v>96</v>
      </c>
      <c r="F17" s="236">
        <f t="shared" si="3"/>
        <v>57</v>
      </c>
      <c r="G17" s="236">
        <f t="shared" si="3"/>
        <v>96</v>
      </c>
      <c r="H17" s="236">
        <f t="shared" si="3"/>
        <v>84</v>
      </c>
      <c r="I17" s="236">
        <f t="shared" si="3"/>
        <v>122</v>
      </c>
      <c r="J17" s="236">
        <f t="shared" si="3"/>
        <v>124</v>
      </c>
      <c r="K17" s="236">
        <f t="shared" si="3"/>
        <v>108</v>
      </c>
      <c r="L17" s="236">
        <f t="shared" si="3"/>
        <v>134</v>
      </c>
      <c r="M17" s="236">
        <f t="shared" si="3"/>
        <v>96</v>
      </c>
      <c r="N17" s="236">
        <f t="shared" si="3"/>
        <v>96</v>
      </c>
      <c r="O17" s="236">
        <f t="shared" si="3"/>
        <v>144</v>
      </c>
    </row>
    <row r="18" spans="2:16" x14ac:dyDescent="0.25">
      <c r="B18" s="399"/>
      <c r="C18" s="236" t="s">
        <v>434</v>
      </c>
      <c r="D18" s="227">
        <f>+B5</f>
        <v>200000</v>
      </c>
      <c r="E18" s="227">
        <f>+D18</f>
        <v>200000</v>
      </c>
      <c r="F18" s="227">
        <f t="shared" ref="F18:O18" si="4">+E18</f>
        <v>200000</v>
      </c>
      <c r="G18" s="227">
        <f t="shared" si="4"/>
        <v>200000</v>
      </c>
      <c r="H18" s="227">
        <f t="shared" si="4"/>
        <v>200000</v>
      </c>
      <c r="I18" s="227">
        <f t="shared" si="4"/>
        <v>200000</v>
      </c>
      <c r="J18" s="227">
        <f t="shared" si="4"/>
        <v>200000</v>
      </c>
      <c r="K18" s="227">
        <f t="shared" si="4"/>
        <v>200000</v>
      </c>
      <c r="L18" s="227">
        <f t="shared" si="4"/>
        <v>200000</v>
      </c>
      <c r="M18" s="227">
        <f t="shared" si="4"/>
        <v>200000</v>
      </c>
      <c r="N18" s="227">
        <f t="shared" si="4"/>
        <v>200000</v>
      </c>
      <c r="O18" s="227">
        <f t="shared" si="4"/>
        <v>200000</v>
      </c>
    </row>
    <row r="19" spans="2:16" x14ac:dyDescent="0.25">
      <c r="B19" s="399"/>
      <c r="C19" s="252" t="s">
        <v>435</v>
      </c>
      <c r="D19" s="255">
        <f>+D17*D18</f>
        <v>9600000</v>
      </c>
      <c r="E19" s="255">
        <f t="shared" ref="E19" si="5">+E17*E18</f>
        <v>19200000</v>
      </c>
      <c r="F19" s="255">
        <f t="shared" ref="F19" si="6">+F17*F18</f>
        <v>11400000</v>
      </c>
      <c r="G19" s="255">
        <f t="shared" ref="G19" si="7">+G17*G18</f>
        <v>19200000</v>
      </c>
      <c r="H19" s="255">
        <f t="shared" ref="H19" si="8">+H17*H18</f>
        <v>16800000</v>
      </c>
      <c r="I19" s="255">
        <f t="shared" ref="I19" si="9">+I17*I18</f>
        <v>24400000</v>
      </c>
      <c r="J19" s="255">
        <f t="shared" ref="J19" si="10">+J17*J18</f>
        <v>24800000</v>
      </c>
      <c r="K19" s="255">
        <f t="shared" ref="K19" si="11">+K17*K18</f>
        <v>21600000</v>
      </c>
      <c r="L19" s="255">
        <f t="shared" ref="L19" si="12">+L17*L18</f>
        <v>26800000</v>
      </c>
      <c r="M19" s="255">
        <f t="shared" ref="M19" si="13">+M17*M18</f>
        <v>19200000</v>
      </c>
      <c r="N19" s="255">
        <f t="shared" ref="N19" si="14">+N17*N18</f>
        <v>19200000</v>
      </c>
      <c r="O19" s="255">
        <f t="shared" ref="O19" si="15">+O17*O18</f>
        <v>28800000</v>
      </c>
    </row>
    <row r="20" spans="2:16" x14ac:dyDescent="0.25">
      <c r="B20" s="250"/>
      <c r="C20" s="236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</row>
    <row r="21" spans="2:16" s="1" customFormat="1" x14ac:dyDescent="0.25">
      <c r="B21" s="256" t="s">
        <v>437</v>
      </c>
      <c r="C21" s="256"/>
      <c r="D21" s="257">
        <f>+D19+D15</f>
        <v>51840000</v>
      </c>
      <c r="E21" s="257">
        <f t="shared" ref="E21:O21" si="16">+E19+E15</f>
        <v>103680000</v>
      </c>
      <c r="F21" s="257">
        <f t="shared" si="16"/>
        <v>61960000</v>
      </c>
      <c r="G21" s="257">
        <f t="shared" si="16"/>
        <v>103680000</v>
      </c>
      <c r="H21" s="257">
        <f t="shared" si="16"/>
        <v>90720000</v>
      </c>
      <c r="I21" s="257">
        <f t="shared" si="16"/>
        <v>132080000</v>
      </c>
      <c r="J21" s="257">
        <f t="shared" si="16"/>
        <v>134560000</v>
      </c>
      <c r="K21" s="257">
        <f t="shared" si="16"/>
        <v>116640000</v>
      </c>
      <c r="L21" s="257">
        <f t="shared" si="16"/>
        <v>145040000</v>
      </c>
      <c r="M21" s="257">
        <f t="shared" si="16"/>
        <v>103680000</v>
      </c>
      <c r="N21" s="257">
        <f t="shared" si="16"/>
        <v>103680000</v>
      </c>
      <c r="O21" s="257">
        <f t="shared" si="16"/>
        <v>155520000</v>
      </c>
    </row>
    <row r="22" spans="2:16" s="1" customFormat="1" x14ac:dyDescent="0.25">
      <c r="B22" s="256"/>
      <c r="C22" s="256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</row>
    <row r="23" spans="2:16" s="1" customFormat="1" x14ac:dyDescent="0.25">
      <c r="B23" s="256" t="s">
        <v>438</v>
      </c>
      <c r="C23" s="256"/>
      <c r="D23" s="258">
        <f>+D21*0.16</f>
        <v>8294400</v>
      </c>
      <c r="E23" s="258">
        <f t="shared" ref="E23:O23" si="17">+E21*0.16</f>
        <v>16588800</v>
      </c>
      <c r="F23" s="258">
        <f t="shared" si="17"/>
        <v>9913600</v>
      </c>
      <c r="G23" s="258">
        <f t="shared" si="17"/>
        <v>16588800</v>
      </c>
      <c r="H23" s="258">
        <f t="shared" si="17"/>
        <v>14515200</v>
      </c>
      <c r="I23" s="258">
        <f t="shared" si="17"/>
        <v>21132800</v>
      </c>
      <c r="J23" s="258">
        <f t="shared" si="17"/>
        <v>21529600</v>
      </c>
      <c r="K23" s="258">
        <f t="shared" si="17"/>
        <v>18662400</v>
      </c>
      <c r="L23" s="258">
        <f t="shared" si="17"/>
        <v>23206400</v>
      </c>
      <c r="M23" s="258">
        <f t="shared" si="17"/>
        <v>16588800</v>
      </c>
      <c r="N23" s="258">
        <f t="shared" si="17"/>
        <v>16588800</v>
      </c>
      <c r="O23" s="258">
        <f t="shared" si="17"/>
        <v>24883200</v>
      </c>
    </row>
    <row r="26" spans="2:16" x14ac:dyDescent="0.25">
      <c r="B26" t="s">
        <v>499</v>
      </c>
    </row>
    <row r="30" spans="2:16" x14ac:dyDescent="0.25">
      <c r="C30" t="s">
        <v>511</v>
      </c>
      <c r="D30" s="285">
        <f>+D31/2</f>
        <v>0.1</v>
      </c>
      <c r="E30" s="285">
        <f t="shared" ref="E30:O30" si="18">+E31/2</f>
        <v>0.2</v>
      </c>
      <c r="F30" s="285">
        <f t="shared" si="18"/>
        <v>0.12</v>
      </c>
      <c r="G30" s="285">
        <f t="shared" si="18"/>
        <v>0.2</v>
      </c>
      <c r="H30" s="285">
        <f t="shared" si="18"/>
        <v>0.17499999999999999</v>
      </c>
      <c r="I30" s="285">
        <f t="shared" si="18"/>
        <v>0.255</v>
      </c>
      <c r="J30" s="285">
        <f t="shared" si="18"/>
        <v>0.26</v>
      </c>
      <c r="K30" s="285">
        <f t="shared" si="18"/>
        <v>0.22500000000000001</v>
      </c>
      <c r="L30" s="285">
        <f t="shared" si="18"/>
        <v>0.28000000000000003</v>
      </c>
      <c r="M30" s="285">
        <f t="shared" si="18"/>
        <v>0.2</v>
      </c>
      <c r="N30" s="285">
        <f t="shared" si="18"/>
        <v>0.2</v>
      </c>
      <c r="O30" s="285">
        <f t="shared" si="18"/>
        <v>0.3</v>
      </c>
    </row>
    <row r="31" spans="2:16" x14ac:dyDescent="0.25">
      <c r="C31" t="s">
        <v>513</v>
      </c>
      <c r="D31" s="285">
        <v>0.2</v>
      </c>
      <c r="E31" s="285">
        <v>0.4</v>
      </c>
      <c r="F31" s="285">
        <v>0.24</v>
      </c>
      <c r="G31" s="285">
        <v>0.4</v>
      </c>
      <c r="H31" s="285">
        <v>0.35</v>
      </c>
      <c r="I31" s="285">
        <v>0.51</v>
      </c>
      <c r="J31" s="285">
        <v>0.52</v>
      </c>
      <c r="K31" s="285">
        <v>0.45</v>
      </c>
      <c r="L31" s="285">
        <v>0.56000000000000005</v>
      </c>
      <c r="M31" s="285">
        <v>0.4</v>
      </c>
      <c r="N31" s="285">
        <v>0.4</v>
      </c>
      <c r="O31" s="285">
        <v>0.6</v>
      </c>
    </row>
    <row r="32" spans="2:16" x14ac:dyDescent="0.25">
      <c r="C32" t="s">
        <v>514</v>
      </c>
      <c r="D32" s="285">
        <f t="shared" ref="D32:N32" si="19">+D31*$P$32</f>
        <v>0.23333333333333336</v>
      </c>
      <c r="E32" s="285">
        <f t="shared" si="19"/>
        <v>0.46666666666666673</v>
      </c>
      <c r="F32" s="285">
        <f t="shared" si="19"/>
        <v>0.28000000000000003</v>
      </c>
      <c r="G32" s="285">
        <f t="shared" si="19"/>
        <v>0.46666666666666673</v>
      </c>
      <c r="H32" s="285">
        <f t="shared" si="19"/>
        <v>0.40833333333333333</v>
      </c>
      <c r="I32" s="285">
        <f t="shared" si="19"/>
        <v>0.59500000000000008</v>
      </c>
      <c r="J32" s="285">
        <f t="shared" si="19"/>
        <v>0.60666666666666669</v>
      </c>
      <c r="K32" s="285">
        <f t="shared" si="19"/>
        <v>0.52500000000000002</v>
      </c>
      <c r="L32" s="285">
        <f t="shared" si="19"/>
        <v>0.65333333333333343</v>
      </c>
      <c r="M32" s="285">
        <f t="shared" si="19"/>
        <v>0.46666666666666673</v>
      </c>
      <c r="N32" s="285">
        <f t="shared" si="19"/>
        <v>0.46666666666666673</v>
      </c>
      <c r="O32" s="285">
        <f>+O31*$P$32</f>
        <v>0.70000000000000007</v>
      </c>
      <c r="P32">
        <f>70/60</f>
        <v>1.1666666666666667</v>
      </c>
    </row>
  </sheetData>
  <mergeCells count="4">
    <mergeCell ref="B13:B15"/>
    <mergeCell ref="B17:B19"/>
    <mergeCell ref="B11:C11"/>
    <mergeCell ref="B9:C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topLeftCell="U85" workbookViewId="0">
      <selection activeCell="C106" sqref="C106"/>
    </sheetView>
  </sheetViews>
  <sheetFormatPr baseColWidth="10" defaultRowHeight="15.75" x14ac:dyDescent="0.25"/>
  <cols>
    <col min="1" max="1" width="30.375" customWidth="1"/>
    <col min="2" max="2" width="11.125" bestFit="1" customWidth="1"/>
    <col min="3" max="3" width="13.125" bestFit="1" customWidth="1"/>
    <col min="4" max="4" width="14.5" bestFit="1" customWidth="1"/>
    <col min="5" max="5" width="16" style="222" bestFit="1" customWidth="1"/>
    <col min="6" max="6" width="16.625" style="222" bestFit="1" customWidth="1"/>
    <col min="9" max="9" width="12.5" bestFit="1" customWidth="1"/>
    <col min="10" max="10" width="11.125" bestFit="1" customWidth="1"/>
    <col min="11" max="11" width="7.625" bestFit="1" customWidth="1"/>
    <col min="12" max="12" width="8.5" bestFit="1" customWidth="1"/>
    <col min="13" max="13" width="16" style="222" bestFit="1" customWidth="1"/>
    <col min="14" max="14" width="16.625" style="222" bestFit="1" customWidth="1"/>
  </cols>
  <sheetData>
    <row r="1" spans="1:14" x14ac:dyDescent="0.25">
      <c r="A1" s="404" t="s">
        <v>418</v>
      </c>
      <c r="B1" s="404"/>
      <c r="C1" s="404"/>
      <c r="D1" s="404"/>
      <c r="E1" s="404"/>
      <c r="F1" s="404"/>
      <c r="I1" s="404" t="s">
        <v>419</v>
      </c>
      <c r="J1" s="404"/>
      <c r="K1" s="404"/>
      <c r="L1" s="404"/>
      <c r="M1" s="404"/>
      <c r="N1" s="404"/>
    </row>
    <row r="2" spans="1:14" x14ac:dyDescent="0.25">
      <c r="A2" s="236"/>
      <c r="B2" s="236"/>
      <c r="C2" s="236"/>
      <c r="D2" s="236"/>
      <c r="E2" s="227"/>
      <c r="F2" s="227"/>
      <c r="I2" s="236"/>
      <c r="J2" s="236"/>
      <c r="K2" s="236"/>
      <c r="L2" s="236"/>
      <c r="M2" s="227"/>
      <c r="N2" s="227"/>
    </row>
    <row r="3" spans="1:14" x14ac:dyDescent="0.25">
      <c r="A3" s="241"/>
      <c r="B3" s="242"/>
      <c r="C3" s="243" t="s">
        <v>403</v>
      </c>
      <c r="D3" s="243" t="s">
        <v>404</v>
      </c>
      <c r="E3" s="304" t="s">
        <v>405</v>
      </c>
      <c r="F3" s="304" t="s">
        <v>406</v>
      </c>
      <c r="I3" s="241"/>
      <c r="J3" s="242"/>
      <c r="K3" s="243" t="s">
        <v>403</v>
      </c>
      <c r="L3" s="243" t="s">
        <v>404</v>
      </c>
      <c r="M3" s="304" t="s">
        <v>405</v>
      </c>
      <c r="N3" s="304" t="s">
        <v>406</v>
      </c>
    </row>
    <row r="4" spans="1:14" x14ac:dyDescent="0.25">
      <c r="A4" s="241" t="s">
        <v>407</v>
      </c>
      <c r="B4" s="244">
        <v>3000000</v>
      </c>
      <c r="C4" s="245"/>
      <c r="D4" s="245"/>
      <c r="E4" s="305">
        <f>+B4</f>
        <v>3000000</v>
      </c>
      <c r="F4" s="305"/>
      <c r="I4" s="241" t="s">
        <v>407</v>
      </c>
      <c r="J4" s="244">
        <v>1200000</v>
      </c>
      <c r="K4" s="245"/>
      <c r="L4" s="245"/>
      <c r="M4" s="305">
        <f>+J4</f>
        <v>1200000</v>
      </c>
      <c r="N4" s="305"/>
    </row>
    <row r="5" spans="1:14" x14ac:dyDescent="0.25">
      <c r="A5" s="241" t="s">
        <v>408</v>
      </c>
      <c r="B5" s="246">
        <v>0.125</v>
      </c>
      <c r="C5" s="246">
        <v>8.5000000000000006E-2</v>
      </c>
      <c r="D5" s="246">
        <v>0.04</v>
      </c>
      <c r="E5" s="306">
        <f>+C5*$B$4</f>
        <v>255000.00000000003</v>
      </c>
      <c r="F5" s="306">
        <f>$B$4*D5</f>
        <v>120000</v>
      </c>
      <c r="I5" s="241" t="s">
        <v>408</v>
      </c>
      <c r="J5" s="246">
        <v>0.125</v>
      </c>
      <c r="K5" s="246">
        <v>8.5000000000000006E-2</v>
      </c>
      <c r="L5" s="246">
        <v>0.04</v>
      </c>
      <c r="M5" s="306">
        <f>+K5*$J$4</f>
        <v>102000.00000000001</v>
      </c>
      <c r="N5" s="306">
        <f>$J$4*L5</f>
        <v>48000</v>
      </c>
    </row>
    <row r="6" spans="1:14" x14ac:dyDescent="0.25">
      <c r="A6" s="241" t="s">
        <v>409</v>
      </c>
      <c r="B6" s="246">
        <v>0.16</v>
      </c>
      <c r="C6" s="246">
        <v>0.12</v>
      </c>
      <c r="D6" s="246">
        <v>0.04</v>
      </c>
      <c r="E6" s="306">
        <f t="shared" ref="E6:E11" si="0">+C6*$B$4</f>
        <v>360000</v>
      </c>
      <c r="F6" s="306">
        <f>$B$4*D6</f>
        <v>120000</v>
      </c>
      <c r="I6" s="241" t="s">
        <v>409</v>
      </c>
      <c r="J6" s="246">
        <v>0.16</v>
      </c>
      <c r="K6" s="246">
        <v>0.12</v>
      </c>
      <c r="L6" s="246">
        <v>0.04</v>
      </c>
      <c r="M6" s="306">
        <f t="shared" ref="M6:M11" si="1">+K6*$J$4</f>
        <v>144000</v>
      </c>
      <c r="N6" s="306">
        <f>$J$4*L6</f>
        <v>48000</v>
      </c>
    </row>
    <row r="7" spans="1:14" x14ac:dyDescent="0.25">
      <c r="A7" s="241" t="s">
        <v>410</v>
      </c>
      <c r="B7" s="247">
        <v>5.2199999999999998E-3</v>
      </c>
      <c r="C7" s="247">
        <v>5.2199999999999998E-3</v>
      </c>
      <c r="D7" s="246"/>
      <c r="E7" s="306">
        <f t="shared" si="0"/>
        <v>15660</v>
      </c>
      <c r="F7" s="306"/>
      <c r="I7" s="241" t="s">
        <v>410</v>
      </c>
      <c r="J7" s="247">
        <v>5.2199999999999998E-3</v>
      </c>
      <c r="K7" s="247">
        <v>5.2199999999999998E-3</v>
      </c>
      <c r="L7" s="246"/>
      <c r="M7" s="306">
        <f t="shared" si="1"/>
        <v>6264</v>
      </c>
      <c r="N7" s="306"/>
    </row>
    <row r="8" spans="1:14" x14ac:dyDescent="0.25">
      <c r="A8" s="241" t="s">
        <v>411</v>
      </c>
      <c r="B8" s="246">
        <v>0.09</v>
      </c>
      <c r="C8" s="246">
        <v>0.09</v>
      </c>
      <c r="D8" s="246"/>
      <c r="E8" s="306">
        <f t="shared" si="0"/>
        <v>270000</v>
      </c>
      <c r="F8" s="306"/>
      <c r="I8" s="241" t="s">
        <v>411</v>
      </c>
      <c r="J8" s="246">
        <v>0.09</v>
      </c>
      <c r="K8" s="246">
        <v>0.09</v>
      </c>
      <c r="L8" s="246"/>
      <c r="M8" s="306">
        <f t="shared" si="1"/>
        <v>108000</v>
      </c>
      <c r="N8" s="306"/>
    </row>
    <row r="9" spans="1:14" x14ac:dyDescent="0.25">
      <c r="A9" s="241" t="s">
        <v>412</v>
      </c>
      <c r="B9" s="248">
        <v>8.3299999999999999E-2</v>
      </c>
      <c r="C9" s="248">
        <v>8.3299999999999999E-2</v>
      </c>
      <c r="D9" s="246"/>
      <c r="E9" s="306">
        <f t="shared" si="0"/>
        <v>249900</v>
      </c>
      <c r="F9" s="306"/>
      <c r="I9" s="241" t="s">
        <v>412</v>
      </c>
      <c r="J9" s="248">
        <v>8.3299999999999999E-2</v>
      </c>
      <c r="K9" s="248">
        <v>8.3299999999999999E-2</v>
      </c>
      <c r="L9" s="246"/>
      <c r="M9" s="306">
        <f t="shared" si="1"/>
        <v>99960</v>
      </c>
      <c r="N9" s="306"/>
    </row>
    <row r="10" spans="1:14" x14ac:dyDescent="0.25">
      <c r="A10" s="241" t="s">
        <v>413</v>
      </c>
      <c r="B10" s="246">
        <v>0.01</v>
      </c>
      <c r="C10" s="246">
        <v>0.01</v>
      </c>
      <c r="D10" s="246"/>
      <c r="E10" s="306">
        <f t="shared" si="0"/>
        <v>30000</v>
      </c>
      <c r="F10" s="306"/>
      <c r="I10" s="241" t="s">
        <v>413</v>
      </c>
      <c r="J10" s="246">
        <v>0.01</v>
      </c>
      <c r="K10" s="246">
        <v>0.01</v>
      </c>
      <c r="L10" s="246"/>
      <c r="M10" s="306">
        <f t="shared" si="1"/>
        <v>12000</v>
      </c>
      <c r="N10" s="306"/>
    </row>
    <row r="11" spans="1:14" x14ac:dyDescent="0.25">
      <c r="A11" s="241" t="s">
        <v>414</v>
      </c>
      <c r="B11" s="248">
        <v>8.3299999999999999E-2</v>
      </c>
      <c r="C11" s="248">
        <v>8.3299999999999999E-2</v>
      </c>
      <c r="D11" s="246"/>
      <c r="E11" s="306">
        <f t="shared" si="0"/>
        <v>249900</v>
      </c>
      <c r="F11" s="306"/>
      <c r="I11" s="241" t="s">
        <v>414</v>
      </c>
      <c r="J11" s="248">
        <v>8.3299999999999999E-2</v>
      </c>
      <c r="K11" s="248">
        <v>8.3299999999999999E-2</v>
      </c>
      <c r="L11" s="246"/>
      <c r="M11" s="306">
        <f t="shared" si="1"/>
        <v>99960</v>
      </c>
      <c r="N11" s="306"/>
    </row>
    <row r="12" spans="1:14" x14ac:dyDescent="0.25">
      <c r="A12" s="241"/>
      <c r="B12" s="248"/>
      <c r="C12" s="248"/>
      <c r="D12" s="246"/>
      <c r="E12" s="306"/>
      <c r="F12" s="306"/>
      <c r="I12" s="241"/>
      <c r="J12" s="248"/>
      <c r="K12" s="248"/>
      <c r="L12" s="246"/>
      <c r="M12" s="306"/>
      <c r="N12" s="306"/>
    </row>
    <row r="13" spans="1:14" x14ac:dyDescent="0.25">
      <c r="A13" s="241"/>
      <c r="B13" s="248"/>
      <c r="C13" s="248"/>
      <c r="D13" s="246"/>
      <c r="E13" s="306"/>
      <c r="F13" s="306"/>
      <c r="I13" s="241"/>
      <c r="J13" s="248"/>
      <c r="K13" s="248"/>
      <c r="L13" s="246"/>
      <c r="M13" s="306"/>
      <c r="N13" s="306"/>
    </row>
    <row r="14" spans="1:14" x14ac:dyDescent="0.25">
      <c r="A14" s="241"/>
      <c r="B14" s="248"/>
      <c r="C14" s="248"/>
      <c r="D14" s="246"/>
      <c r="E14" s="306"/>
      <c r="F14" s="306"/>
      <c r="I14" s="241"/>
      <c r="J14" s="248"/>
      <c r="K14" s="248"/>
      <c r="L14" s="246"/>
      <c r="M14" s="306"/>
      <c r="N14" s="306"/>
    </row>
    <row r="15" spans="1:14" x14ac:dyDescent="0.25">
      <c r="A15" s="241"/>
      <c r="B15" s="247"/>
      <c r="C15" s="241"/>
      <c r="D15" s="241"/>
      <c r="E15" s="307">
        <f>+SUM(E4:E12)</f>
        <v>4430460</v>
      </c>
      <c r="F15" s="306">
        <f>+SUM(F4:F12)</f>
        <v>240000</v>
      </c>
      <c r="I15" s="241"/>
      <c r="J15" s="247"/>
      <c r="K15" s="241"/>
      <c r="L15" s="241"/>
      <c r="M15" s="307">
        <f>+SUM(M4:M14)</f>
        <v>1772184</v>
      </c>
      <c r="N15" s="306">
        <f>+SUM(N5:N14)</f>
        <v>96000</v>
      </c>
    </row>
    <row r="19" spans="1:14" x14ac:dyDescent="0.25">
      <c r="A19" s="404" t="s">
        <v>420</v>
      </c>
      <c r="B19" s="404"/>
      <c r="C19" s="404"/>
      <c r="D19" s="404"/>
      <c r="E19" s="404"/>
      <c r="F19" s="404"/>
      <c r="I19" s="404" t="s">
        <v>421</v>
      </c>
      <c r="J19" s="404"/>
      <c r="K19" s="404"/>
      <c r="L19" s="404"/>
      <c r="M19" s="404"/>
      <c r="N19" s="404"/>
    </row>
    <row r="20" spans="1:14" x14ac:dyDescent="0.25">
      <c r="A20" s="236"/>
      <c r="B20" s="236"/>
      <c r="C20" s="236"/>
      <c r="D20" s="236"/>
      <c r="E20" s="227"/>
      <c r="F20" s="227"/>
      <c r="I20" s="236"/>
      <c r="J20" s="236"/>
      <c r="K20" s="236"/>
      <c r="L20" s="236"/>
      <c r="M20" s="227"/>
      <c r="N20" s="227"/>
    </row>
    <row r="21" spans="1:14" x14ac:dyDescent="0.25">
      <c r="A21" s="241"/>
      <c r="B21" s="242"/>
      <c r="C21" s="243" t="s">
        <v>403</v>
      </c>
      <c r="D21" s="243" t="s">
        <v>404</v>
      </c>
      <c r="E21" s="304" t="s">
        <v>405</v>
      </c>
      <c r="F21" s="304" t="s">
        <v>406</v>
      </c>
      <c r="I21" s="241"/>
      <c r="J21" s="242"/>
      <c r="K21" s="243" t="s">
        <v>403</v>
      </c>
      <c r="L21" s="243" t="s">
        <v>404</v>
      </c>
      <c r="M21" s="304" t="s">
        <v>405</v>
      </c>
      <c r="N21" s="304" t="s">
        <v>406</v>
      </c>
    </row>
    <row r="22" spans="1:14" x14ac:dyDescent="0.25">
      <c r="A22" s="241" t="s">
        <v>407</v>
      </c>
      <c r="B22" s="244">
        <v>566700</v>
      </c>
      <c r="C22" s="245"/>
      <c r="D22" s="245"/>
      <c r="E22" s="305">
        <f>+B22</f>
        <v>566700</v>
      </c>
      <c r="F22" s="305"/>
      <c r="I22" s="241" t="s">
        <v>407</v>
      </c>
      <c r="J22" s="244">
        <v>566700</v>
      </c>
      <c r="K22" s="245"/>
      <c r="L22" s="245"/>
      <c r="M22" s="305">
        <f>+J22</f>
        <v>566700</v>
      </c>
      <c r="N22" s="305"/>
    </row>
    <row r="23" spans="1:14" x14ac:dyDescent="0.25">
      <c r="A23" s="241" t="s">
        <v>408</v>
      </c>
      <c r="B23" s="246">
        <v>0.125</v>
      </c>
      <c r="C23" s="246">
        <v>8.5000000000000006E-2</v>
      </c>
      <c r="D23" s="246">
        <v>0.04</v>
      </c>
      <c r="E23" s="306">
        <f>+C23*$B$22</f>
        <v>48169.5</v>
      </c>
      <c r="F23" s="306">
        <f>+D23*B22</f>
        <v>22668</v>
      </c>
      <c r="I23" s="241" t="s">
        <v>408</v>
      </c>
      <c r="J23" s="246">
        <v>0.125</v>
      </c>
      <c r="K23" s="246">
        <v>8.5000000000000006E-2</v>
      </c>
      <c r="L23" s="246">
        <v>0.04</v>
      </c>
      <c r="M23" s="306">
        <f>+J22*K23</f>
        <v>48169.5</v>
      </c>
      <c r="N23" s="306">
        <f>+L23*J22</f>
        <v>22668</v>
      </c>
    </row>
    <row r="24" spans="1:14" x14ac:dyDescent="0.25">
      <c r="A24" s="241" t="s">
        <v>409</v>
      </c>
      <c r="B24" s="246">
        <v>0.16</v>
      </c>
      <c r="C24" s="246">
        <v>0.12</v>
      </c>
      <c r="D24" s="246">
        <v>0.04</v>
      </c>
      <c r="E24" s="306">
        <f t="shared" ref="E24:E30" si="2">+C24*$B$22</f>
        <v>68004</v>
      </c>
      <c r="F24" s="306">
        <f>+D24*B22</f>
        <v>22668</v>
      </c>
      <c r="I24" s="241" t="s">
        <v>409</v>
      </c>
      <c r="J24" s="246">
        <v>0.16</v>
      </c>
      <c r="K24" s="246">
        <v>0.12</v>
      </c>
      <c r="L24" s="246">
        <v>0.04</v>
      </c>
      <c r="M24" s="306">
        <f>+J22*K24</f>
        <v>68004</v>
      </c>
      <c r="N24" s="306">
        <f>+L24*J22</f>
        <v>22668</v>
      </c>
    </row>
    <row r="25" spans="1:14" x14ac:dyDescent="0.25">
      <c r="A25" s="241" t="s">
        <v>410</v>
      </c>
      <c r="B25" s="247">
        <v>5.2199999999999998E-3</v>
      </c>
      <c r="C25" s="247">
        <v>5.2199999999999998E-3</v>
      </c>
      <c r="D25" s="246"/>
      <c r="E25" s="306">
        <f t="shared" si="2"/>
        <v>2958.174</v>
      </c>
      <c r="F25" s="306"/>
      <c r="I25" s="241" t="s">
        <v>410</v>
      </c>
      <c r="J25" s="247">
        <v>5.2199999999999998E-3</v>
      </c>
      <c r="K25" s="247">
        <v>5.2199999999999998E-3</v>
      </c>
      <c r="L25" s="246"/>
      <c r="M25" s="306">
        <f>+J22*K25</f>
        <v>2958.174</v>
      </c>
      <c r="N25" s="306"/>
    </row>
    <row r="26" spans="1:14" x14ac:dyDescent="0.25">
      <c r="A26" s="241" t="s">
        <v>411</v>
      </c>
      <c r="B26" s="246">
        <v>0.09</v>
      </c>
      <c r="C26" s="246">
        <v>0.09</v>
      </c>
      <c r="D26" s="246"/>
      <c r="E26" s="306">
        <f t="shared" si="2"/>
        <v>51003</v>
      </c>
      <c r="F26" s="306"/>
      <c r="I26" s="241" t="s">
        <v>411</v>
      </c>
      <c r="J26" s="246">
        <v>0.09</v>
      </c>
      <c r="K26" s="246">
        <v>0.09</v>
      </c>
      <c r="L26" s="246"/>
      <c r="M26" s="306">
        <f>+J22*K26</f>
        <v>51003</v>
      </c>
      <c r="N26" s="306"/>
    </row>
    <row r="27" spans="1:14" x14ac:dyDescent="0.25">
      <c r="A27" s="241" t="s">
        <v>412</v>
      </c>
      <c r="B27" s="248">
        <v>8.3299999999999999E-2</v>
      </c>
      <c r="C27" s="248">
        <v>8.3299999999999999E-2</v>
      </c>
      <c r="D27" s="246"/>
      <c r="E27" s="306">
        <f t="shared" si="2"/>
        <v>47206.11</v>
      </c>
      <c r="F27" s="306"/>
      <c r="I27" s="241" t="s">
        <v>412</v>
      </c>
      <c r="J27" s="248">
        <v>8.3299999999999999E-2</v>
      </c>
      <c r="K27" s="248">
        <v>8.3299999999999999E-2</v>
      </c>
      <c r="L27" s="246"/>
      <c r="M27" s="306">
        <f>+J22*K27</f>
        <v>47206.11</v>
      </c>
      <c r="N27" s="306"/>
    </row>
    <row r="28" spans="1:14" x14ac:dyDescent="0.25">
      <c r="A28" s="241" t="s">
        <v>413</v>
      </c>
      <c r="B28" s="246">
        <v>0.01</v>
      </c>
      <c r="C28" s="246">
        <v>0.01</v>
      </c>
      <c r="D28" s="246"/>
      <c r="E28" s="306">
        <f t="shared" si="2"/>
        <v>5667</v>
      </c>
      <c r="F28" s="306"/>
      <c r="I28" s="241" t="s">
        <v>413</v>
      </c>
      <c r="J28" s="246">
        <v>0.01</v>
      </c>
      <c r="K28" s="246">
        <v>0.01</v>
      </c>
      <c r="L28" s="246"/>
      <c r="M28" s="306">
        <f>+J22*K28</f>
        <v>5667</v>
      </c>
      <c r="N28" s="306"/>
    </row>
    <row r="29" spans="1:14" x14ac:dyDescent="0.25">
      <c r="A29" s="241" t="s">
        <v>414</v>
      </c>
      <c r="B29" s="248">
        <v>8.3299999999999999E-2</v>
      </c>
      <c r="C29" s="248">
        <v>8.3299999999999999E-2</v>
      </c>
      <c r="D29" s="246"/>
      <c r="E29" s="306">
        <f t="shared" si="2"/>
        <v>47206.11</v>
      </c>
      <c r="F29" s="306"/>
      <c r="I29" s="241" t="s">
        <v>414</v>
      </c>
      <c r="J29" s="248">
        <v>8.3299999999999999E-2</v>
      </c>
      <c r="K29" s="248">
        <v>8.3299999999999999E-2</v>
      </c>
      <c r="L29" s="246"/>
      <c r="M29" s="306">
        <f>+J22*K29</f>
        <v>47206.11</v>
      </c>
      <c r="N29" s="306"/>
    </row>
    <row r="30" spans="1:14" x14ac:dyDescent="0.25">
      <c r="A30" s="241" t="s">
        <v>415</v>
      </c>
      <c r="B30" s="248">
        <v>4.1599999999999998E-2</v>
      </c>
      <c r="C30" s="248">
        <v>4.1599999999999998E-2</v>
      </c>
      <c r="D30" s="246"/>
      <c r="E30" s="306">
        <f t="shared" si="2"/>
        <v>23574.719999999998</v>
      </c>
      <c r="F30" s="306"/>
      <c r="I30" s="241" t="s">
        <v>415</v>
      </c>
      <c r="J30" s="248">
        <v>4.1599999999999998E-2</v>
      </c>
      <c r="K30" s="248">
        <v>4.1599999999999998E-2</v>
      </c>
      <c r="L30" s="246"/>
      <c r="M30" s="306">
        <f>+J22*K30</f>
        <v>23574.719999999998</v>
      </c>
      <c r="N30" s="306"/>
    </row>
    <row r="31" spans="1:14" x14ac:dyDescent="0.25">
      <c r="A31" s="241" t="s">
        <v>416</v>
      </c>
      <c r="B31" s="248"/>
      <c r="C31" s="248"/>
      <c r="D31" s="246"/>
      <c r="E31" s="306">
        <v>67800</v>
      </c>
      <c r="F31" s="306"/>
      <c r="I31" s="241" t="s">
        <v>416</v>
      </c>
      <c r="J31" s="248"/>
      <c r="K31" s="248"/>
      <c r="L31" s="246"/>
      <c r="M31" s="306">
        <v>67800</v>
      </c>
      <c r="N31" s="306"/>
    </row>
    <row r="32" spans="1:14" x14ac:dyDescent="0.25">
      <c r="A32" s="241" t="s">
        <v>417</v>
      </c>
      <c r="B32" s="248"/>
      <c r="C32" s="248"/>
      <c r="D32" s="246"/>
      <c r="E32" s="306">
        <v>10000</v>
      </c>
      <c r="F32" s="306"/>
      <c r="I32" s="241" t="s">
        <v>417</v>
      </c>
      <c r="J32" s="248"/>
      <c r="K32" s="248"/>
      <c r="L32" s="246"/>
      <c r="M32" s="306">
        <v>10000</v>
      </c>
      <c r="N32" s="306"/>
    </row>
    <row r="33" spans="1:14" x14ac:dyDescent="0.25">
      <c r="A33" s="241"/>
      <c r="B33" s="247"/>
      <c r="C33" s="241"/>
      <c r="D33" s="241"/>
      <c r="E33" s="307">
        <f>+SUM(E22:E32)</f>
        <v>938288.61399999994</v>
      </c>
      <c r="F33" s="306">
        <f>+SUM(F23:F32)</f>
        <v>45336</v>
      </c>
      <c r="I33" s="241"/>
      <c r="J33" s="247"/>
      <c r="K33" s="241"/>
      <c r="L33" s="241"/>
      <c r="M33" s="307">
        <f>+SUM(M22:M32)</f>
        <v>938288.61399999994</v>
      </c>
      <c r="N33" s="306">
        <f>+SUM(N23:N32)</f>
        <v>45336</v>
      </c>
    </row>
    <row r="37" spans="1:14" x14ac:dyDescent="0.25">
      <c r="A37" s="404" t="s">
        <v>505</v>
      </c>
      <c r="B37" s="404"/>
      <c r="C37" s="404"/>
      <c r="D37" s="404"/>
      <c r="E37" s="404"/>
      <c r="F37" s="404"/>
      <c r="H37" s="240"/>
      <c r="I37" s="404" t="s">
        <v>506</v>
      </c>
      <c r="J37" s="404"/>
      <c r="K37" s="404"/>
      <c r="L37" s="404"/>
      <c r="M37" s="404"/>
      <c r="N37" s="404"/>
    </row>
    <row r="38" spans="1:14" x14ac:dyDescent="0.25">
      <c r="A38" s="236"/>
      <c r="B38" s="236"/>
      <c r="C38" s="236"/>
      <c r="D38" s="236"/>
      <c r="E38" s="227"/>
      <c r="F38" s="227"/>
      <c r="H38" s="240"/>
      <c r="I38" s="236"/>
      <c r="J38" s="236"/>
      <c r="K38" s="236"/>
      <c r="L38" s="236"/>
      <c r="M38" s="227"/>
      <c r="N38" s="227"/>
    </row>
    <row r="39" spans="1:14" x14ac:dyDescent="0.25">
      <c r="A39" s="241"/>
      <c r="B39" s="242"/>
      <c r="C39" s="243" t="s">
        <v>403</v>
      </c>
      <c r="D39" s="243" t="s">
        <v>404</v>
      </c>
      <c r="E39" s="304" t="s">
        <v>405</v>
      </c>
      <c r="F39" s="304" t="s">
        <v>406</v>
      </c>
      <c r="H39" s="240"/>
      <c r="I39" s="241"/>
      <c r="J39" s="242"/>
      <c r="K39" s="243" t="s">
        <v>403</v>
      </c>
      <c r="L39" s="243" t="s">
        <v>404</v>
      </c>
      <c r="M39" s="304" t="s">
        <v>405</v>
      </c>
      <c r="N39" s="304" t="s">
        <v>406</v>
      </c>
    </row>
    <row r="40" spans="1:14" x14ac:dyDescent="0.25">
      <c r="A40" s="241" t="s">
        <v>407</v>
      </c>
      <c r="B40" s="244">
        <v>2000000</v>
      </c>
      <c r="C40" s="245"/>
      <c r="D40" s="245"/>
      <c r="E40" s="305">
        <f>+B40</f>
        <v>2000000</v>
      </c>
      <c r="F40" s="305"/>
      <c r="H40" s="240"/>
      <c r="I40" s="241" t="s">
        <v>407</v>
      </c>
      <c r="J40" s="244">
        <v>2000000</v>
      </c>
      <c r="K40" s="245"/>
      <c r="L40" s="245"/>
      <c r="M40" s="305">
        <f>+J40</f>
        <v>2000000</v>
      </c>
      <c r="N40" s="305"/>
    </row>
    <row r="41" spans="1:14" x14ac:dyDescent="0.25">
      <c r="A41" s="241" t="s">
        <v>408</v>
      </c>
      <c r="B41" s="246">
        <v>0.125</v>
      </c>
      <c r="C41" s="246">
        <v>8.5000000000000006E-2</v>
      </c>
      <c r="D41" s="246">
        <v>0.04</v>
      </c>
      <c r="E41" s="306">
        <f>+B40*C41</f>
        <v>170000</v>
      </c>
      <c r="F41" s="306">
        <f>+D41*B40</f>
        <v>80000</v>
      </c>
      <c r="H41" s="240"/>
      <c r="I41" s="241" t="s">
        <v>408</v>
      </c>
      <c r="J41" s="246">
        <v>0.125</v>
      </c>
      <c r="K41" s="246">
        <v>8.5000000000000006E-2</v>
      </c>
      <c r="L41" s="246">
        <v>0.04</v>
      </c>
      <c r="M41" s="306">
        <f>+K41*$B$4</f>
        <v>255000.00000000003</v>
      </c>
      <c r="N41" s="306">
        <f>$B$4*L41</f>
        <v>120000</v>
      </c>
    </row>
    <row r="42" spans="1:14" x14ac:dyDescent="0.25">
      <c r="A42" s="241" t="s">
        <v>409</v>
      </c>
      <c r="B42" s="246">
        <v>0.16</v>
      </c>
      <c r="C42" s="246">
        <v>0.12</v>
      </c>
      <c r="D42" s="246">
        <v>0.04</v>
      </c>
      <c r="E42" s="306">
        <f>+B40*C42</f>
        <v>240000</v>
      </c>
      <c r="F42" s="306">
        <f>+D42*B40</f>
        <v>80000</v>
      </c>
      <c r="H42" s="240"/>
      <c r="I42" s="241" t="s">
        <v>409</v>
      </c>
      <c r="J42" s="246">
        <v>0.16</v>
      </c>
      <c r="K42" s="246">
        <v>0.12</v>
      </c>
      <c r="L42" s="246">
        <v>0.04</v>
      </c>
      <c r="M42" s="306">
        <f t="shared" ref="M42:M47" si="3">+K42*$B$4</f>
        <v>360000</v>
      </c>
      <c r="N42" s="306">
        <f>$B$4*L42</f>
        <v>120000</v>
      </c>
    </row>
    <row r="43" spans="1:14" x14ac:dyDescent="0.25">
      <c r="A43" s="241" t="s">
        <v>410</v>
      </c>
      <c r="B43" s="247">
        <v>5.2199999999999998E-3</v>
      </c>
      <c r="C43" s="247">
        <v>5.2199999999999998E-3</v>
      </c>
      <c r="D43" s="246"/>
      <c r="E43" s="306">
        <f>+B40*C43</f>
        <v>10440</v>
      </c>
      <c r="F43" s="306"/>
      <c r="H43" s="240"/>
      <c r="I43" s="241" t="s">
        <v>410</v>
      </c>
      <c r="J43" s="247">
        <v>5.2199999999999998E-3</v>
      </c>
      <c r="K43" s="247">
        <v>5.2199999999999998E-3</v>
      </c>
      <c r="L43" s="246"/>
      <c r="M43" s="306">
        <f t="shared" si="3"/>
        <v>15660</v>
      </c>
      <c r="N43" s="306"/>
    </row>
    <row r="44" spans="1:14" x14ac:dyDescent="0.25">
      <c r="A44" s="241" t="s">
        <v>411</v>
      </c>
      <c r="B44" s="246">
        <v>0.09</v>
      </c>
      <c r="C44" s="246">
        <v>0.09</v>
      </c>
      <c r="D44" s="246"/>
      <c r="E44" s="306">
        <f>+B40*C44</f>
        <v>180000</v>
      </c>
      <c r="F44" s="306"/>
      <c r="H44" s="240"/>
      <c r="I44" s="241" t="s">
        <v>411</v>
      </c>
      <c r="J44" s="246">
        <v>0.09</v>
      </c>
      <c r="K44" s="246">
        <v>0.09</v>
      </c>
      <c r="L44" s="246"/>
      <c r="M44" s="306">
        <f t="shared" si="3"/>
        <v>270000</v>
      </c>
      <c r="N44" s="306"/>
    </row>
    <row r="45" spans="1:14" x14ac:dyDescent="0.25">
      <c r="A45" s="241" t="s">
        <v>412</v>
      </c>
      <c r="B45" s="248">
        <v>8.3299999999999999E-2</v>
      </c>
      <c r="C45" s="248">
        <v>8.3299999999999999E-2</v>
      </c>
      <c r="D45" s="246"/>
      <c r="E45" s="306">
        <f>+B40*C45</f>
        <v>166600</v>
      </c>
      <c r="F45" s="306"/>
      <c r="H45" s="240"/>
      <c r="I45" s="241" t="s">
        <v>412</v>
      </c>
      <c r="J45" s="248">
        <v>8.3299999999999999E-2</v>
      </c>
      <c r="K45" s="248">
        <v>8.3299999999999999E-2</v>
      </c>
      <c r="L45" s="246"/>
      <c r="M45" s="306">
        <f t="shared" si="3"/>
        <v>249900</v>
      </c>
      <c r="N45" s="306"/>
    </row>
    <row r="46" spans="1:14" x14ac:dyDescent="0.25">
      <c r="A46" s="241" t="s">
        <v>413</v>
      </c>
      <c r="B46" s="246">
        <v>0.01</v>
      </c>
      <c r="C46" s="246">
        <v>0.01</v>
      </c>
      <c r="D46" s="246"/>
      <c r="E46" s="306">
        <f>+B40*C46</f>
        <v>20000</v>
      </c>
      <c r="F46" s="306"/>
      <c r="H46" s="240"/>
      <c r="I46" s="241" t="s">
        <v>413</v>
      </c>
      <c r="J46" s="246">
        <v>0.01</v>
      </c>
      <c r="K46" s="246">
        <v>0.01</v>
      </c>
      <c r="L46" s="246"/>
      <c r="M46" s="306">
        <f t="shared" si="3"/>
        <v>30000</v>
      </c>
      <c r="N46" s="306"/>
    </row>
    <row r="47" spans="1:14" x14ac:dyDescent="0.25">
      <c r="A47" s="241" t="s">
        <v>414</v>
      </c>
      <c r="B47" s="248">
        <v>8.3299999999999999E-2</v>
      </c>
      <c r="C47" s="248">
        <v>8.3299999999999999E-2</v>
      </c>
      <c r="D47" s="246"/>
      <c r="E47" s="306">
        <f>+B40*C47</f>
        <v>166600</v>
      </c>
      <c r="F47" s="306"/>
      <c r="H47" s="240"/>
      <c r="I47" s="241" t="s">
        <v>414</v>
      </c>
      <c r="J47" s="248">
        <v>8.3299999999999999E-2</v>
      </c>
      <c r="K47" s="248">
        <v>8.3299999999999999E-2</v>
      </c>
      <c r="L47" s="246"/>
      <c r="M47" s="306">
        <f t="shared" si="3"/>
        <v>249900</v>
      </c>
      <c r="N47" s="306"/>
    </row>
    <row r="48" spans="1:14" x14ac:dyDescent="0.25">
      <c r="A48" s="241"/>
      <c r="B48" s="248"/>
      <c r="C48" s="248"/>
      <c r="D48" s="246"/>
      <c r="E48" s="306"/>
      <c r="F48" s="306"/>
      <c r="H48" s="240"/>
      <c r="I48" s="241"/>
      <c r="J48" s="248"/>
      <c r="K48" s="248"/>
      <c r="L48" s="246"/>
      <c r="M48" s="306"/>
      <c r="N48" s="306"/>
    </row>
    <row r="49" spans="1:14" x14ac:dyDescent="0.25">
      <c r="A49" s="241"/>
      <c r="B49" s="248"/>
      <c r="C49" s="248"/>
      <c r="D49" s="246"/>
      <c r="E49" s="306"/>
      <c r="F49" s="306"/>
      <c r="I49" s="241"/>
      <c r="J49" s="248"/>
      <c r="K49" s="248"/>
      <c r="L49" s="246"/>
      <c r="M49" s="306"/>
      <c r="N49" s="306"/>
    </row>
    <row r="50" spans="1:14" x14ac:dyDescent="0.25">
      <c r="A50" s="241"/>
      <c r="B50" s="248"/>
      <c r="C50" s="248"/>
      <c r="D50" s="246"/>
      <c r="E50" s="306"/>
      <c r="F50" s="306"/>
      <c r="I50" s="241"/>
      <c r="J50" s="248"/>
      <c r="K50" s="248"/>
      <c r="L50" s="246"/>
      <c r="M50" s="306"/>
      <c r="N50" s="306"/>
    </row>
    <row r="51" spans="1:14" x14ac:dyDescent="0.25">
      <c r="A51" s="241"/>
      <c r="B51" s="247"/>
      <c r="C51" s="241"/>
      <c r="D51" s="241"/>
      <c r="E51" s="307">
        <f>+SUM(E40:E50)</f>
        <v>2953640</v>
      </c>
      <c r="F51" s="306">
        <f>+SUM(F41:F50)</f>
        <v>160000</v>
      </c>
      <c r="I51" s="241"/>
      <c r="J51" s="247"/>
      <c r="K51" s="241"/>
      <c r="L51" s="241"/>
      <c r="M51" s="307">
        <f>+SUM(M40:M48)</f>
        <v>3430460</v>
      </c>
      <c r="N51" s="306">
        <f>+SUM(N40:N48)</f>
        <v>240000</v>
      </c>
    </row>
    <row r="55" spans="1:14" x14ac:dyDescent="0.25">
      <c r="A55" s="404" t="s">
        <v>507</v>
      </c>
      <c r="B55" s="404"/>
      <c r="C55" s="404"/>
      <c r="D55" s="404"/>
      <c r="E55" s="404"/>
      <c r="F55" s="404"/>
    </row>
    <row r="56" spans="1:14" x14ac:dyDescent="0.25">
      <c r="A56" s="236"/>
      <c r="B56" s="236"/>
      <c r="C56" s="236"/>
      <c r="D56" s="236"/>
      <c r="E56" s="227"/>
      <c r="F56" s="227"/>
    </row>
    <row r="57" spans="1:14" x14ac:dyDescent="0.25">
      <c r="A57" s="241"/>
      <c r="B57" s="242"/>
      <c r="C57" s="243" t="s">
        <v>403</v>
      </c>
      <c r="D57" s="243" t="s">
        <v>404</v>
      </c>
      <c r="E57" s="304" t="s">
        <v>405</v>
      </c>
      <c r="F57" s="304" t="s">
        <v>406</v>
      </c>
    </row>
    <row r="58" spans="1:14" x14ac:dyDescent="0.25">
      <c r="A58" s="241" t="s">
        <v>407</v>
      </c>
      <c r="B58" s="244">
        <f>566700*0.75</f>
        <v>425025</v>
      </c>
      <c r="C58" s="245"/>
      <c r="D58" s="245"/>
      <c r="E58" s="305">
        <f>+B58</f>
        <v>425025</v>
      </c>
      <c r="F58" s="305"/>
    </row>
    <row r="59" spans="1:14" x14ac:dyDescent="0.25">
      <c r="A59" s="241" t="s">
        <v>408</v>
      </c>
      <c r="B59" s="246">
        <v>0.125</v>
      </c>
      <c r="C59" s="246">
        <v>8.5000000000000006E-2</v>
      </c>
      <c r="D59" s="246">
        <v>0.04</v>
      </c>
      <c r="E59" s="306">
        <f>+B58*C59</f>
        <v>36127.125</v>
      </c>
      <c r="F59" s="306">
        <f>+D59*B58</f>
        <v>17001</v>
      </c>
    </row>
    <row r="60" spans="1:14" x14ac:dyDescent="0.25">
      <c r="A60" s="241" t="s">
        <v>410</v>
      </c>
      <c r="B60" s="247">
        <v>5.2199999999999998E-3</v>
      </c>
      <c r="C60" s="247">
        <v>5.2199999999999998E-3</v>
      </c>
      <c r="D60" s="246"/>
      <c r="E60" s="306">
        <f>+B58*C60</f>
        <v>2218.6304999999998</v>
      </c>
      <c r="F60" s="306"/>
    </row>
    <row r="61" spans="1:14" x14ac:dyDescent="0.25">
      <c r="A61" s="241"/>
      <c r="B61" s="246"/>
      <c r="C61" s="246"/>
      <c r="D61" s="246"/>
      <c r="E61" s="306"/>
      <c r="F61" s="306"/>
    </row>
    <row r="62" spans="1:14" x14ac:dyDescent="0.25">
      <c r="A62" s="241"/>
      <c r="B62" s="248"/>
      <c r="C62" s="248"/>
      <c r="D62" s="246"/>
      <c r="E62" s="306"/>
      <c r="F62" s="306"/>
    </row>
    <row r="63" spans="1:14" x14ac:dyDescent="0.25">
      <c r="A63" s="241"/>
      <c r="B63" s="246"/>
      <c r="C63" s="246"/>
      <c r="D63" s="246"/>
      <c r="E63" s="306"/>
      <c r="F63" s="306"/>
    </row>
    <row r="64" spans="1:14" x14ac:dyDescent="0.25">
      <c r="A64" s="241"/>
      <c r="B64" s="248"/>
      <c r="C64" s="248"/>
      <c r="D64" s="246"/>
      <c r="E64" s="306"/>
      <c r="F64" s="306"/>
    </row>
    <row r="65" spans="1:6" x14ac:dyDescent="0.25">
      <c r="A65" s="241"/>
      <c r="B65" s="248"/>
      <c r="C65" s="248"/>
      <c r="D65" s="246"/>
      <c r="E65" s="306"/>
      <c r="F65" s="306"/>
    </row>
    <row r="66" spans="1:6" x14ac:dyDescent="0.25">
      <c r="A66" s="241"/>
      <c r="B66" s="248"/>
      <c r="C66" s="248"/>
      <c r="D66" s="246"/>
      <c r="E66" s="306"/>
      <c r="F66" s="306"/>
    </row>
    <row r="67" spans="1:6" x14ac:dyDescent="0.25">
      <c r="A67" s="241"/>
      <c r="B67" s="248"/>
      <c r="C67" s="248"/>
      <c r="D67" s="246"/>
      <c r="E67" s="306"/>
      <c r="F67" s="306"/>
    </row>
    <row r="68" spans="1:6" x14ac:dyDescent="0.25">
      <c r="A68" s="241"/>
      <c r="B68" s="247"/>
      <c r="C68" s="241"/>
      <c r="D68" s="241"/>
      <c r="E68" s="307">
        <f>+SUM(E58:E67)</f>
        <v>463370.75550000003</v>
      </c>
      <c r="F68" s="306">
        <f>+SUM(F59:F67)</f>
        <v>17001</v>
      </c>
    </row>
    <row r="82" spans="1:6" x14ac:dyDescent="0.25">
      <c r="A82" t="s">
        <v>500</v>
      </c>
    </row>
    <row r="85" spans="1:6" ht="31.5" x14ac:dyDescent="0.25">
      <c r="A85" s="249"/>
      <c r="B85" s="250" t="s">
        <v>12</v>
      </c>
      <c r="C85" s="236" t="s">
        <v>431</v>
      </c>
      <c r="D85" s="250" t="s">
        <v>422</v>
      </c>
      <c r="E85" s="251" t="s">
        <v>423</v>
      </c>
      <c r="F85" s="251" t="s">
        <v>424</v>
      </c>
    </row>
    <row r="86" spans="1:6" x14ac:dyDescent="0.25">
      <c r="A86" s="249" t="s">
        <v>425</v>
      </c>
      <c r="B86" s="250">
        <v>1</v>
      </c>
      <c r="C86" s="227">
        <f>+B4</f>
        <v>3000000</v>
      </c>
      <c r="D86" s="251">
        <f>+E15</f>
        <v>4430460</v>
      </c>
      <c r="E86" s="251">
        <f t="shared" ref="E86:E91" si="4">+D86*B86</f>
        <v>4430460</v>
      </c>
      <c r="F86" s="251">
        <f>+E86*12</f>
        <v>53165520</v>
      </c>
    </row>
    <row r="87" spans="1:6" x14ac:dyDescent="0.25">
      <c r="A87" s="249" t="s">
        <v>426</v>
      </c>
      <c r="B87" s="250">
        <v>1</v>
      </c>
      <c r="C87" s="227">
        <f>+J4</f>
        <v>1200000</v>
      </c>
      <c r="D87" s="251">
        <f>+M15</f>
        <v>1772184</v>
      </c>
      <c r="E87" s="251">
        <f t="shared" si="4"/>
        <v>1772184</v>
      </c>
      <c r="F87" s="251">
        <f t="shared" ref="F87:F95" si="5">+E87*12</f>
        <v>21266208</v>
      </c>
    </row>
    <row r="88" spans="1:6" x14ac:dyDescent="0.25">
      <c r="A88" s="249" t="s">
        <v>427</v>
      </c>
      <c r="B88" s="250">
        <v>2</v>
      </c>
      <c r="C88" s="227">
        <f>+B22</f>
        <v>566700</v>
      </c>
      <c r="D88" s="251">
        <f>+E33</f>
        <v>938288.61399999994</v>
      </c>
      <c r="E88" s="251">
        <f t="shared" si="4"/>
        <v>1876577.2279999999</v>
      </c>
      <c r="F88" s="251">
        <f t="shared" si="5"/>
        <v>22518926.735999998</v>
      </c>
    </row>
    <row r="89" spans="1:6" x14ac:dyDescent="0.25">
      <c r="A89" s="249" t="s">
        <v>428</v>
      </c>
      <c r="B89" s="250">
        <v>3</v>
      </c>
      <c r="C89" s="227">
        <f>+J22</f>
        <v>566700</v>
      </c>
      <c r="D89" s="251">
        <f>+M33</f>
        <v>938288.61399999994</v>
      </c>
      <c r="E89" s="251">
        <f t="shared" si="4"/>
        <v>2814865.8419999997</v>
      </c>
      <c r="F89" s="251">
        <f t="shared" si="5"/>
        <v>33778390.103999995</v>
      </c>
    </row>
    <row r="90" spans="1:6" x14ac:dyDescent="0.25">
      <c r="A90" s="249" t="s">
        <v>429</v>
      </c>
      <c r="B90" s="250">
        <v>1</v>
      </c>
      <c r="C90" s="227">
        <f>+B40</f>
        <v>2000000</v>
      </c>
      <c r="D90" s="251">
        <f>+E51</f>
        <v>2953640</v>
      </c>
      <c r="E90" s="251">
        <f t="shared" si="4"/>
        <v>2953640</v>
      </c>
      <c r="F90" s="251">
        <f t="shared" si="5"/>
        <v>35443680</v>
      </c>
    </row>
    <row r="91" spans="1:6" x14ac:dyDescent="0.25">
      <c r="A91" s="249" t="s">
        <v>430</v>
      </c>
      <c r="B91" s="250">
        <v>1</v>
      </c>
      <c r="C91" s="227">
        <v>500000</v>
      </c>
      <c r="D91" s="251">
        <v>500000</v>
      </c>
      <c r="E91" s="251">
        <f t="shared" si="4"/>
        <v>500000</v>
      </c>
      <c r="F91" s="251">
        <f t="shared" si="5"/>
        <v>6000000</v>
      </c>
    </row>
    <row r="92" spans="1:6" x14ac:dyDescent="0.25">
      <c r="A92" s="249" t="s">
        <v>508</v>
      </c>
      <c r="B92" s="250">
        <v>2</v>
      </c>
      <c r="C92" s="227">
        <f>+B58</f>
        <v>425025</v>
      </c>
      <c r="D92" s="251">
        <f>+E68</f>
        <v>463370.75550000003</v>
      </c>
      <c r="E92" s="251">
        <f t="shared" ref="E92:E93" si="6">+D92*B92</f>
        <v>926741.51100000006</v>
      </c>
      <c r="F92" s="251">
        <f t="shared" ref="F92:F93" si="7">+E92*12</f>
        <v>11120898.132000001</v>
      </c>
    </row>
    <row r="93" spans="1:6" x14ac:dyDescent="0.25">
      <c r="A93" s="249" t="s">
        <v>509</v>
      </c>
      <c r="B93" s="250">
        <v>1</v>
      </c>
      <c r="C93" s="227">
        <f>+J40</f>
        <v>2000000</v>
      </c>
      <c r="D93" s="251">
        <f>+M51</f>
        <v>3430460</v>
      </c>
      <c r="E93" s="251">
        <f t="shared" si="6"/>
        <v>3430460</v>
      </c>
      <c r="F93" s="251">
        <f t="shared" si="7"/>
        <v>41165520</v>
      </c>
    </row>
    <row r="94" spans="1:6" x14ac:dyDescent="0.25">
      <c r="A94" s="249"/>
      <c r="B94" s="250"/>
      <c r="C94" s="227"/>
      <c r="D94" s="251"/>
      <c r="E94" s="251"/>
      <c r="F94" s="251"/>
    </row>
    <row r="95" spans="1:6" x14ac:dyDescent="0.25">
      <c r="A95" s="249" t="s">
        <v>5</v>
      </c>
      <c r="B95" s="250">
        <f>+SUM(B86:B94)</f>
        <v>12</v>
      </c>
      <c r="C95" s="253"/>
      <c r="D95" s="251"/>
      <c r="E95" s="251">
        <f>+SUM(E86:E93)</f>
        <v>18704928.581</v>
      </c>
      <c r="F95" s="251">
        <f t="shared" si="5"/>
        <v>224459142.972</v>
      </c>
    </row>
    <row r="98" spans="1:13" x14ac:dyDescent="0.25">
      <c r="E98" s="222">
        <v>18704928.581</v>
      </c>
    </row>
    <row r="103" spans="1:13" x14ac:dyDescent="0.25">
      <c r="A103" s="236"/>
      <c r="B103" s="236" t="s">
        <v>389</v>
      </c>
      <c r="C103" s="236" t="s">
        <v>390</v>
      </c>
      <c r="D103" s="236" t="s">
        <v>391</v>
      </c>
      <c r="E103" s="236" t="s">
        <v>392</v>
      </c>
      <c r="F103" s="236" t="s">
        <v>393</v>
      </c>
      <c r="G103" s="236" t="s">
        <v>394</v>
      </c>
      <c r="H103" s="236" t="s">
        <v>395</v>
      </c>
      <c r="I103" s="236" t="s">
        <v>396</v>
      </c>
      <c r="J103" s="236" t="s">
        <v>397</v>
      </c>
      <c r="K103" s="236" t="s">
        <v>398</v>
      </c>
      <c r="L103" s="236" t="s">
        <v>399</v>
      </c>
      <c r="M103" s="236" t="s">
        <v>400</v>
      </c>
    </row>
    <row r="104" spans="1:13" x14ac:dyDescent="0.25">
      <c r="A104" s="236" t="s">
        <v>425</v>
      </c>
      <c r="B104" s="236">
        <v>1</v>
      </c>
      <c r="C104" s="236">
        <v>1</v>
      </c>
      <c r="D104" s="236">
        <v>1</v>
      </c>
      <c r="E104" s="236">
        <v>1</v>
      </c>
      <c r="F104" s="236">
        <v>1</v>
      </c>
      <c r="G104" s="236">
        <v>1</v>
      </c>
      <c r="H104" s="236">
        <v>1</v>
      </c>
      <c r="I104" s="236">
        <v>1</v>
      </c>
      <c r="J104" s="236">
        <v>1</v>
      </c>
      <c r="K104" s="236">
        <v>1</v>
      </c>
      <c r="L104" s="236">
        <v>1</v>
      </c>
      <c r="M104" s="236">
        <v>1</v>
      </c>
    </row>
    <row r="105" spans="1:13" x14ac:dyDescent="0.25">
      <c r="A105" s="236" t="s">
        <v>426</v>
      </c>
      <c r="B105" s="236">
        <v>1</v>
      </c>
      <c r="C105" s="236">
        <v>1</v>
      </c>
      <c r="D105" s="236">
        <v>1</v>
      </c>
      <c r="E105" s="236">
        <v>1</v>
      </c>
      <c r="F105" s="236">
        <v>1</v>
      </c>
      <c r="G105" s="236">
        <v>1</v>
      </c>
      <c r="H105" s="236">
        <v>1</v>
      </c>
      <c r="I105" s="236">
        <v>1</v>
      </c>
      <c r="J105" s="236">
        <v>1</v>
      </c>
      <c r="K105" s="236">
        <v>1</v>
      </c>
      <c r="L105" s="236">
        <v>1</v>
      </c>
      <c r="M105" s="236">
        <v>1</v>
      </c>
    </row>
    <row r="106" spans="1:13" x14ac:dyDescent="0.25">
      <c r="A106" s="236" t="s">
        <v>427</v>
      </c>
      <c r="B106" s="236">
        <v>1</v>
      </c>
      <c r="C106" s="236">
        <v>2</v>
      </c>
      <c r="D106" s="236">
        <v>2</v>
      </c>
      <c r="E106" s="236">
        <v>2</v>
      </c>
      <c r="F106" s="236">
        <v>2</v>
      </c>
      <c r="G106" s="236">
        <v>2</v>
      </c>
      <c r="H106" s="236">
        <v>2</v>
      </c>
      <c r="I106" s="236">
        <v>2</v>
      </c>
      <c r="J106" s="236">
        <v>2</v>
      </c>
      <c r="K106" s="236">
        <v>2</v>
      </c>
      <c r="L106" s="236">
        <v>2</v>
      </c>
      <c r="M106" s="236">
        <v>2</v>
      </c>
    </row>
    <row r="107" spans="1:13" x14ac:dyDescent="0.25">
      <c r="A107" s="236" t="s">
        <v>428</v>
      </c>
      <c r="B107" s="236">
        <v>1</v>
      </c>
      <c r="C107" s="236">
        <v>3</v>
      </c>
      <c r="D107" s="236">
        <v>3</v>
      </c>
      <c r="E107" s="236">
        <v>3</v>
      </c>
      <c r="F107" s="236">
        <v>3</v>
      </c>
      <c r="G107" s="236">
        <v>3</v>
      </c>
      <c r="H107" s="236">
        <v>3</v>
      </c>
      <c r="I107" s="236">
        <v>3</v>
      </c>
      <c r="J107" s="236">
        <v>3</v>
      </c>
      <c r="K107" s="236">
        <v>3</v>
      </c>
      <c r="L107" s="236">
        <v>3</v>
      </c>
      <c r="M107" s="236">
        <v>3</v>
      </c>
    </row>
    <row r="108" spans="1:13" x14ac:dyDescent="0.25">
      <c r="A108" s="236" t="s">
        <v>429</v>
      </c>
      <c r="B108" s="236">
        <v>1</v>
      </c>
      <c r="C108" s="236">
        <v>1</v>
      </c>
      <c r="D108" s="236">
        <v>1</v>
      </c>
      <c r="E108" s="236">
        <v>1</v>
      </c>
      <c r="F108" s="236">
        <v>1</v>
      </c>
      <c r="G108" s="236">
        <v>1</v>
      </c>
      <c r="H108" s="236">
        <v>1</v>
      </c>
      <c r="I108" s="236">
        <v>1</v>
      </c>
      <c r="J108" s="236">
        <v>1</v>
      </c>
      <c r="K108" s="236">
        <v>1</v>
      </c>
      <c r="L108" s="236">
        <v>1</v>
      </c>
      <c r="M108" s="236">
        <v>1</v>
      </c>
    </row>
    <row r="109" spans="1:13" x14ac:dyDescent="0.25">
      <c r="A109" s="236" t="s">
        <v>430</v>
      </c>
      <c r="B109" s="236">
        <v>1</v>
      </c>
      <c r="C109" s="236">
        <v>1</v>
      </c>
      <c r="D109" s="236">
        <v>1</v>
      </c>
      <c r="E109" s="236">
        <v>1</v>
      </c>
      <c r="F109" s="236">
        <v>1</v>
      </c>
      <c r="G109" s="236">
        <v>1</v>
      </c>
      <c r="H109" s="236">
        <v>1</v>
      </c>
      <c r="I109" s="236">
        <v>1</v>
      </c>
      <c r="J109" s="236">
        <v>1</v>
      </c>
      <c r="K109" s="236">
        <v>1</v>
      </c>
      <c r="L109" s="236">
        <v>1</v>
      </c>
      <c r="M109" s="236">
        <v>1</v>
      </c>
    </row>
    <row r="110" spans="1:13" x14ac:dyDescent="0.25">
      <c r="A110" s="236" t="s">
        <v>508</v>
      </c>
      <c r="B110" s="236">
        <v>2</v>
      </c>
      <c r="C110" s="236">
        <v>2</v>
      </c>
      <c r="D110" s="236">
        <v>2</v>
      </c>
      <c r="E110" s="236">
        <v>2</v>
      </c>
      <c r="F110" s="236">
        <v>2</v>
      </c>
      <c r="G110" s="236">
        <v>2</v>
      </c>
      <c r="H110" s="236">
        <v>2</v>
      </c>
      <c r="I110" s="236">
        <v>2</v>
      </c>
      <c r="J110" s="236">
        <v>2</v>
      </c>
      <c r="K110" s="236">
        <v>2</v>
      </c>
      <c r="L110" s="236">
        <v>2</v>
      </c>
      <c r="M110" s="236">
        <v>2</v>
      </c>
    </row>
    <row r="111" spans="1:13" x14ac:dyDescent="0.25">
      <c r="A111" s="236" t="s">
        <v>509</v>
      </c>
      <c r="B111" s="236"/>
      <c r="C111" s="236">
        <v>1</v>
      </c>
      <c r="D111" s="236">
        <v>1</v>
      </c>
      <c r="E111" s="236">
        <v>1</v>
      </c>
      <c r="F111" s="236">
        <v>1</v>
      </c>
      <c r="G111" s="236">
        <v>1</v>
      </c>
      <c r="H111" s="236">
        <v>1</v>
      </c>
      <c r="I111" s="236">
        <v>1</v>
      </c>
      <c r="J111" s="236">
        <v>1</v>
      </c>
      <c r="K111" s="236">
        <v>1</v>
      </c>
      <c r="L111" s="236">
        <v>1</v>
      </c>
      <c r="M111" s="236">
        <v>1</v>
      </c>
    </row>
    <row r="112" spans="1:13" x14ac:dyDescent="0.25">
      <c r="A112" s="236"/>
      <c r="B112" s="236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6"/>
    </row>
    <row r="113" spans="1:13" x14ac:dyDescent="0.25">
      <c r="A113" s="236" t="s">
        <v>5</v>
      </c>
      <c r="B113" s="236">
        <f>+SUM(B104:B112)</f>
        <v>8</v>
      </c>
      <c r="C113" s="236">
        <f t="shared" ref="C113:M113" si="8">+SUM(C104:C112)</f>
        <v>12</v>
      </c>
      <c r="D113" s="236">
        <f t="shared" si="8"/>
        <v>12</v>
      </c>
      <c r="E113" s="236">
        <f t="shared" si="8"/>
        <v>12</v>
      </c>
      <c r="F113" s="236">
        <f t="shared" si="8"/>
        <v>12</v>
      </c>
      <c r="G113" s="236">
        <f t="shared" si="8"/>
        <v>12</v>
      </c>
      <c r="H113" s="236">
        <f t="shared" si="8"/>
        <v>12</v>
      </c>
      <c r="I113" s="236">
        <f t="shared" si="8"/>
        <v>12</v>
      </c>
      <c r="J113" s="236">
        <f t="shared" si="8"/>
        <v>12</v>
      </c>
      <c r="K113" s="236">
        <f t="shared" si="8"/>
        <v>12</v>
      </c>
      <c r="L113" s="236">
        <f t="shared" si="8"/>
        <v>12</v>
      </c>
      <c r="M113" s="236">
        <f t="shared" si="8"/>
        <v>12</v>
      </c>
    </row>
  </sheetData>
  <mergeCells count="7">
    <mergeCell ref="A55:F55"/>
    <mergeCell ref="A1:F1"/>
    <mergeCell ref="A19:F19"/>
    <mergeCell ref="A37:F37"/>
    <mergeCell ref="I1:N1"/>
    <mergeCell ref="I19:N19"/>
    <mergeCell ref="I37:N37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sqref="A1:J32"/>
    </sheetView>
  </sheetViews>
  <sheetFormatPr baseColWidth="10" defaultColWidth="10.875" defaultRowHeight="17.100000000000001" customHeight="1" x14ac:dyDescent="0.25"/>
  <cols>
    <col min="1" max="1" width="22.875" style="222" bestFit="1" customWidth="1"/>
    <col min="2" max="2" width="21" style="222" bestFit="1" customWidth="1"/>
    <col min="3" max="3" width="22.625" style="222" bestFit="1" customWidth="1"/>
    <col min="4" max="4" width="17.625" style="222" bestFit="1" customWidth="1"/>
    <col min="5" max="5" width="26" style="222" bestFit="1" customWidth="1"/>
    <col min="6" max="6" width="13.625" style="222" bestFit="1" customWidth="1"/>
    <col min="7" max="7" width="16.125" style="222" bestFit="1" customWidth="1"/>
    <col min="8" max="8" width="19" style="222" bestFit="1" customWidth="1"/>
    <col min="9" max="9" width="33.625" style="222" bestFit="1" customWidth="1"/>
    <col min="10" max="10" width="11.5" style="222" bestFit="1" customWidth="1"/>
    <col min="11" max="16384" width="10.875" style="222"/>
  </cols>
  <sheetData>
    <row r="1" spans="1:10" s="231" customFormat="1" ht="31.5" x14ac:dyDescent="0.25">
      <c r="A1" s="230" t="s">
        <v>319</v>
      </c>
      <c r="B1" s="230" t="s">
        <v>320</v>
      </c>
      <c r="C1" s="230" t="s">
        <v>321</v>
      </c>
      <c r="D1" s="230" t="s">
        <v>322</v>
      </c>
      <c r="E1" s="230" t="s">
        <v>323</v>
      </c>
      <c r="F1" s="230" t="s">
        <v>324</v>
      </c>
      <c r="G1" s="230" t="s">
        <v>325</v>
      </c>
      <c r="H1" s="230" t="s">
        <v>326</v>
      </c>
      <c r="I1" s="230" t="s">
        <v>327</v>
      </c>
      <c r="J1" s="230" t="s">
        <v>328</v>
      </c>
    </row>
    <row r="2" spans="1:10" ht="17.100000000000001" customHeight="1" x14ac:dyDescent="0.25">
      <c r="A2" s="227" t="s">
        <v>307</v>
      </c>
      <c r="B2" s="227" t="s">
        <v>305</v>
      </c>
      <c r="C2" s="227" t="s">
        <v>329</v>
      </c>
      <c r="D2" s="227" t="s">
        <v>330</v>
      </c>
      <c r="E2" s="227" t="s">
        <v>331</v>
      </c>
      <c r="F2" s="227">
        <v>29900</v>
      </c>
      <c r="G2" s="227">
        <v>1</v>
      </c>
      <c r="H2" s="227">
        <f t="shared" ref="H2:H26" si="0">+F2*G2</f>
        <v>29900</v>
      </c>
      <c r="I2" s="227"/>
      <c r="J2" s="232"/>
    </row>
    <row r="3" spans="1:10" ht="17.100000000000001" customHeight="1" x14ac:dyDescent="0.25">
      <c r="A3" s="227" t="s">
        <v>306</v>
      </c>
      <c r="B3" s="227" t="s">
        <v>305</v>
      </c>
      <c r="C3" s="227" t="s">
        <v>329</v>
      </c>
      <c r="D3" s="227" t="s">
        <v>330</v>
      </c>
      <c r="E3" s="227" t="s">
        <v>332</v>
      </c>
      <c r="F3" s="227">
        <v>749000</v>
      </c>
      <c r="G3" s="227">
        <v>1</v>
      </c>
      <c r="H3" s="227">
        <f t="shared" si="0"/>
        <v>749000</v>
      </c>
      <c r="I3" s="227"/>
      <c r="J3" s="232"/>
    </row>
    <row r="4" spans="1:10" ht="17.100000000000001" customHeight="1" x14ac:dyDescent="0.25">
      <c r="A4" s="227" t="s">
        <v>307</v>
      </c>
      <c r="B4" s="227" t="s">
        <v>308</v>
      </c>
      <c r="C4" s="227" t="s">
        <v>329</v>
      </c>
      <c r="D4" s="227" t="s">
        <v>330</v>
      </c>
      <c r="E4" s="227" t="s">
        <v>331</v>
      </c>
      <c r="F4" s="227">
        <v>29900</v>
      </c>
      <c r="G4" s="227">
        <v>1</v>
      </c>
      <c r="H4" s="227">
        <f t="shared" si="0"/>
        <v>29900</v>
      </c>
      <c r="I4" s="227"/>
      <c r="J4" s="232"/>
    </row>
    <row r="5" spans="1:10" ht="17.100000000000001" customHeight="1" x14ac:dyDescent="0.25">
      <c r="A5" s="227" t="s">
        <v>310</v>
      </c>
      <c r="B5" s="227" t="s">
        <v>309</v>
      </c>
      <c r="C5" s="227" t="s">
        <v>329</v>
      </c>
      <c r="D5" s="227" t="s">
        <v>333</v>
      </c>
      <c r="E5" s="227" t="s">
        <v>334</v>
      </c>
      <c r="F5" s="233">
        <v>949000</v>
      </c>
      <c r="G5" s="227">
        <v>1</v>
      </c>
      <c r="H5" s="227">
        <f t="shared" si="0"/>
        <v>949000</v>
      </c>
      <c r="I5" s="227"/>
      <c r="J5" s="232"/>
    </row>
    <row r="6" spans="1:10" ht="17.100000000000001" customHeight="1" x14ac:dyDescent="0.25">
      <c r="A6" s="227" t="s">
        <v>284</v>
      </c>
      <c r="B6" s="227" t="s">
        <v>283</v>
      </c>
      <c r="C6" s="227" t="s">
        <v>335</v>
      </c>
      <c r="D6" s="227" t="s">
        <v>336</v>
      </c>
      <c r="E6" s="227" t="s">
        <v>337</v>
      </c>
      <c r="F6" s="227">
        <v>24900</v>
      </c>
      <c r="G6" s="227">
        <f>30*4*1.5</f>
        <v>180</v>
      </c>
      <c r="H6" s="227">
        <f t="shared" si="0"/>
        <v>4482000</v>
      </c>
      <c r="I6" s="227">
        <v>12</v>
      </c>
      <c r="J6" s="232">
        <f t="shared" ref="J6:J32" si="1">+H6/I6</f>
        <v>373500</v>
      </c>
    </row>
    <row r="7" spans="1:10" ht="17.100000000000001" customHeight="1" x14ac:dyDescent="0.25">
      <c r="A7" s="227" t="s">
        <v>311</v>
      </c>
      <c r="B7" s="227" t="s">
        <v>279</v>
      </c>
      <c r="C7" s="227" t="s">
        <v>329</v>
      </c>
      <c r="D7" s="227" t="s">
        <v>336</v>
      </c>
      <c r="E7" s="227" t="s">
        <v>338</v>
      </c>
      <c r="F7" s="227">
        <v>109900</v>
      </c>
      <c r="G7" s="227">
        <v>52</v>
      </c>
      <c r="H7" s="227">
        <f t="shared" si="0"/>
        <v>5714800</v>
      </c>
      <c r="I7" s="227"/>
      <c r="J7" s="232"/>
    </row>
    <row r="8" spans="1:10" ht="17.100000000000001" customHeight="1" x14ac:dyDescent="0.25">
      <c r="A8" s="227" t="s">
        <v>312</v>
      </c>
      <c r="B8" s="227" t="s">
        <v>279</v>
      </c>
      <c r="C8" s="227" t="s">
        <v>329</v>
      </c>
      <c r="D8" s="227" t="s">
        <v>336</v>
      </c>
      <c r="E8" s="227" t="s">
        <v>339</v>
      </c>
      <c r="F8" s="227">
        <v>299900</v>
      </c>
      <c r="G8" s="227">
        <v>52</v>
      </c>
      <c r="H8" s="227">
        <f t="shared" si="0"/>
        <v>15594800</v>
      </c>
      <c r="I8" s="227"/>
      <c r="J8" s="232"/>
    </row>
    <row r="9" spans="1:10" ht="17.100000000000001" customHeight="1" x14ac:dyDescent="0.25">
      <c r="A9" s="227" t="s">
        <v>313</v>
      </c>
      <c r="B9" s="227" t="s">
        <v>279</v>
      </c>
      <c r="C9" s="227" t="s">
        <v>329</v>
      </c>
      <c r="D9" s="227" t="s">
        <v>330</v>
      </c>
      <c r="E9" s="227" t="s">
        <v>330</v>
      </c>
      <c r="F9" s="227">
        <v>268900</v>
      </c>
      <c r="G9" s="227">
        <f>13*4</f>
        <v>52</v>
      </c>
      <c r="H9" s="227">
        <f t="shared" si="0"/>
        <v>13982800</v>
      </c>
      <c r="I9" s="227"/>
      <c r="J9" s="232"/>
    </row>
    <row r="10" spans="1:10" ht="17.100000000000001" customHeight="1" x14ac:dyDescent="0.25">
      <c r="A10" s="227" t="s">
        <v>285</v>
      </c>
      <c r="B10" s="227" t="s">
        <v>283</v>
      </c>
      <c r="C10" s="227" t="s">
        <v>335</v>
      </c>
      <c r="D10" s="227" t="s">
        <v>336</v>
      </c>
      <c r="E10" s="227" t="s">
        <v>340</v>
      </c>
      <c r="F10" s="227">
        <v>86900</v>
      </c>
      <c r="G10" s="227">
        <f>52*1.5</f>
        <v>78</v>
      </c>
      <c r="H10" s="227">
        <f t="shared" si="0"/>
        <v>6778200</v>
      </c>
      <c r="I10" s="227">
        <v>12</v>
      </c>
      <c r="J10" s="232">
        <f t="shared" si="1"/>
        <v>564850</v>
      </c>
    </row>
    <row r="11" spans="1:10" ht="17.100000000000001" customHeight="1" x14ac:dyDescent="0.25">
      <c r="A11" s="227" t="s">
        <v>286</v>
      </c>
      <c r="B11" s="227" t="s">
        <v>283</v>
      </c>
      <c r="C11" s="227" t="s">
        <v>335</v>
      </c>
      <c r="D11" s="227" t="s">
        <v>333</v>
      </c>
      <c r="E11" s="227" t="s">
        <v>341</v>
      </c>
      <c r="F11" s="227">
        <v>57900</v>
      </c>
      <c r="G11" s="227">
        <f>13*4*2</f>
        <v>104</v>
      </c>
      <c r="H11" s="227">
        <f t="shared" si="0"/>
        <v>6021600</v>
      </c>
      <c r="I11" s="227">
        <v>12</v>
      </c>
      <c r="J11" s="232">
        <f t="shared" si="1"/>
        <v>501800</v>
      </c>
    </row>
    <row r="12" spans="1:10" ht="17.100000000000001" customHeight="1" x14ac:dyDescent="0.25">
      <c r="A12" s="227" t="s">
        <v>314</v>
      </c>
      <c r="B12" s="227" t="s">
        <v>279</v>
      </c>
      <c r="C12" s="227" t="s">
        <v>329</v>
      </c>
      <c r="D12" s="227" t="s">
        <v>333</v>
      </c>
      <c r="E12" s="227" t="s">
        <v>342</v>
      </c>
      <c r="F12" s="227">
        <v>59900</v>
      </c>
      <c r="G12" s="227">
        <v>52</v>
      </c>
      <c r="H12" s="227">
        <f t="shared" si="0"/>
        <v>3114800</v>
      </c>
      <c r="I12" s="227"/>
      <c r="J12" s="232"/>
    </row>
    <row r="13" spans="1:10" ht="17.100000000000001" customHeight="1" x14ac:dyDescent="0.25">
      <c r="A13" s="227" t="s">
        <v>307</v>
      </c>
      <c r="B13" s="227" t="s">
        <v>279</v>
      </c>
      <c r="C13" s="227" t="s">
        <v>329</v>
      </c>
      <c r="D13" s="227" t="s">
        <v>330</v>
      </c>
      <c r="E13" s="227" t="s">
        <v>331</v>
      </c>
      <c r="F13" s="227">
        <v>29900</v>
      </c>
      <c r="G13" s="227">
        <v>52</v>
      </c>
      <c r="H13" s="227">
        <f t="shared" si="0"/>
        <v>1554800</v>
      </c>
      <c r="I13" s="227"/>
      <c r="J13" s="232"/>
    </row>
    <row r="14" spans="1:10" ht="17.100000000000001" customHeight="1" x14ac:dyDescent="0.25">
      <c r="A14" s="227" t="s">
        <v>310</v>
      </c>
      <c r="B14" s="227" t="s">
        <v>279</v>
      </c>
      <c r="C14" s="227" t="s">
        <v>329</v>
      </c>
      <c r="D14" s="227" t="s">
        <v>333</v>
      </c>
      <c r="E14" s="227" t="s">
        <v>334</v>
      </c>
      <c r="F14" s="233">
        <v>949000</v>
      </c>
      <c r="G14" s="227">
        <v>52</v>
      </c>
      <c r="H14" s="227">
        <f t="shared" si="0"/>
        <v>49348000</v>
      </c>
      <c r="I14" s="227"/>
      <c r="J14" s="232"/>
    </row>
    <row r="15" spans="1:10" ht="17.100000000000001" customHeight="1" x14ac:dyDescent="0.25">
      <c r="A15" s="227" t="s">
        <v>287</v>
      </c>
      <c r="B15" s="227" t="s">
        <v>283</v>
      </c>
      <c r="C15" s="227" t="s">
        <v>335</v>
      </c>
      <c r="D15" s="227" t="s">
        <v>336</v>
      </c>
      <c r="E15" s="227" t="s">
        <v>343</v>
      </c>
      <c r="F15" s="227">
        <v>10900</v>
      </c>
      <c r="G15" s="227">
        <f>30*4*2</f>
        <v>240</v>
      </c>
      <c r="H15" s="227">
        <f t="shared" si="0"/>
        <v>2616000</v>
      </c>
      <c r="I15" s="227">
        <v>12</v>
      </c>
      <c r="J15" s="232">
        <f t="shared" si="1"/>
        <v>218000</v>
      </c>
    </row>
    <row r="16" spans="1:10" ht="17.100000000000001" customHeight="1" x14ac:dyDescent="0.25">
      <c r="A16" s="227" t="s">
        <v>288</v>
      </c>
      <c r="B16" s="227" t="s">
        <v>283</v>
      </c>
      <c r="C16" s="227" t="s">
        <v>335</v>
      </c>
      <c r="D16" s="227" t="s">
        <v>330</v>
      </c>
      <c r="E16" s="227" t="s">
        <v>344</v>
      </c>
      <c r="F16" s="227">
        <v>5900</v>
      </c>
      <c r="G16" s="227">
        <f>13*4*2</f>
        <v>104</v>
      </c>
      <c r="H16" s="227">
        <f t="shared" si="0"/>
        <v>613600</v>
      </c>
      <c r="I16" s="227">
        <v>12</v>
      </c>
      <c r="J16" s="232">
        <f t="shared" si="1"/>
        <v>51133.333333333336</v>
      </c>
    </row>
    <row r="17" spans="1:10" ht="17.100000000000001" customHeight="1" x14ac:dyDescent="0.25">
      <c r="A17" s="227" t="s">
        <v>280</v>
      </c>
      <c r="B17" s="227" t="s">
        <v>279</v>
      </c>
      <c r="C17" s="227" t="s">
        <v>335</v>
      </c>
      <c r="D17" s="227" t="s">
        <v>336</v>
      </c>
      <c r="E17" s="227" t="s">
        <v>345</v>
      </c>
      <c r="F17" s="227">
        <v>19620</v>
      </c>
      <c r="G17" s="227">
        <v>110</v>
      </c>
      <c r="H17" s="227">
        <f t="shared" si="0"/>
        <v>2158200</v>
      </c>
      <c r="I17" s="227">
        <v>1</v>
      </c>
      <c r="J17" s="232">
        <f t="shared" si="1"/>
        <v>2158200</v>
      </c>
    </row>
    <row r="18" spans="1:10" ht="17.100000000000001" customHeight="1" x14ac:dyDescent="0.25">
      <c r="A18" s="227" t="s">
        <v>282</v>
      </c>
      <c r="B18" s="227" t="s">
        <v>279</v>
      </c>
      <c r="C18" s="227" t="s">
        <v>335</v>
      </c>
      <c r="D18" s="227" t="s">
        <v>336</v>
      </c>
      <c r="E18" s="227" t="s">
        <v>345</v>
      </c>
      <c r="F18" s="233">
        <v>23190</v>
      </c>
      <c r="G18" s="227">
        <v>110</v>
      </c>
      <c r="H18" s="227">
        <f t="shared" si="0"/>
        <v>2550900</v>
      </c>
      <c r="I18" s="227">
        <v>1</v>
      </c>
      <c r="J18" s="232">
        <f t="shared" si="1"/>
        <v>2550900</v>
      </c>
    </row>
    <row r="19" spans="1:10" ht="17.100000000000001" customHeight="1" x14ac:dyDescent="0.25">
      <c r="A19" s="227" t="s">
        <v>281</v>
      </c>
      <c r="B19" s="227" t="s">
        <v>279</v>
      </c>
      <c r="C19" s="227" t="s">
        <v>335</v>
      </c>
      <c r="D19" s="227" t="s">
        <v>336</v>
      </c>
      <c r="E19" s="227" t="s">
        <v>346</v>
      </c>
      <c r="F19" s="227">
        <v>12990</v>
      </c>
      <c r="G19" s="227">
        <v>30</v>
      </c>
      <c r="H19" s="227">
        <f t="shared" si="0"/>
        <v>389700</v>
      </c>
      <c r="I19" s="227">
        <v>1</v>
      </c>
      <c r="J19" s="232">
        <f t="shared" si="1"/>
        <v>389700</v>
      </c>
    </row>
    <row r="20" spans="1:10" ht="17.100000000000001" customHeight="1" x14ac:dyDescent="0.25">
      <c r="A20" s="227" t="s">
        <v>307</v>
      </c>
      <c r="B20" s="227" t="s">
        <v>315</v>
      </c>
      <c r="C20" s="227" t="s">
        <v>329</v>
      </c>
      <c r="D20" s="227" t="s">
        <v>330</v>
      </c>
      <c r="E20" s="227" t="s">
        <v>331</v>
      </c>
      <c r="F20" s="227">
        <v>29900</v>
      </c>
      <c r="G20" s="227">
        <v>1</v>
      </c>
      <c r="H20" s="227">
        <f t="shared" si="0"/>
        <v>29900</v>
      </c>
      <c r="I20" s="227"/>
      <c r="J20" s="232"/>
    </row>
    <row r="21" spans="1:10" ht="17.100000000000001" customHeight="1" x14ac:dyDescent="0.25">
      <c r="A21" s="227" t="s">
        <v>306</v>
      </c>
      <c r="B21" s="227" t="s">
        <v>315</v>
      </c>
      <c r="C21" s="227" t="s">
        <v>329</v>
      </c>
      <c r="D21" s="227" t="s">
        <v>330</v>
      </c>
      <c r="E21" s="227" t="s">
        <v>332</v>
      </c>
      <c r="F21" s="227">
        <v>749000</v>
      </c>
      <c r="G21" s="227">
        <v>1</v>
      </c>
      <c r="H21" s="227">
        <f t="shared" si="0"/>
        <v>749000</v>
      </c>
      <c r="I21" s="227"/>
      <c r="J21" s="232"/>
    </row>
    <row r="22" spans="1:10" ht="17.100000000000001" customHeight="1" x14ac:dyDescent="0.25">
      <c r="A22" s="227" t="s">
        <v>307</v>
      </c>
      <c r="B22" s="227" t="s">
        <v>316</v>
      </c>
      <c r="C22" s="227" t="s">
        <v>329</v>
      </c>
      <c r="D22" s="227" t="s">
        <v>330</v>
      </c>
      <c r="E22" s="227" t="s">
        <v>331</v>
      </c>
      <c r="F22" s="227">
        <v>29900</v>
      </c>
      <c r="G22" s="227">
        <v>1</v>
      </c>
      <c r="H22" s="227">
        <f t="shared" si="0"/>
        <v>29900</v>
      </c>
      <c r="I22" s="227"/>
      <c r="J22" s="232"/>
    </row>
    <row r="23" spans="1:10" ht="17.100000000000001" customHeight="1" x14ac:dyDescent="0.25">
      <c r="A23" s="227" t="s">
        <v>317</v>
      </c>
      <c r="B23" s="227" t="s">
        <v>316</v>
      </c>
      <c r="C23" s="227" t="s">
        <v>329</v>
      </c>
      <c r="D23" s="227" t="s">
        <v>333</v>
      </c>
      <c r="E23" s="227" t="s">
        <v>347</v>
      </c>
      <c r="F23" s="227">
        <v>149500</v>
      </c>
      <c r="G23" s="227">
        <v>1</v>
      </c>
      <c r="H23" s="227">
        <f t="shared" si="0"/>
        <v>149500</v>
      </c>
      <c r="I23" s="227"/>
      <c r="J23" s="232"/>
    </row>
    <row r="24" spans="1:10" ht="17.100000000000001" customHeight="1" x14ac:dyDescent="0.25">
      <c r="A24" s="227" t="s">
        <v>306</v>
      </c>
      <c r="B24" s="227" t="s">
        <v>316</v>
      </c>
      <c r="C24" s="227" t="s">
        <v>329</v>
      </c>
      <c r="D24" s="227" t="s">
        <v>330</v>
      </c>
      <c r="E24" s="227" t="s">
        <v>332</v>
      </c>
      <c r="F24" s="227">
        <v>749000</v>
      </c>
      <c r="G24" s="227">
        <v>1</v>
      </c>
      <c r="H24" s="227">
        <f t="shared" si="0"/>
        <v>749000</v>
      </c>
      <c r="I24" s="227"/>
      <c r="J24" s="232"/>
    </row>
    <row r="25" spans="1:10" ht="17.100000000000001" customHeight="1" x14ac:dyDescent="0.25">
      <c r="A25" s="227" t="s">
        <v>307</v>
      </c>
      <c r="B25" s="227" t="s">
        <v>318</v>
      </c>
      <c r="C25" s="227" t="s">
        <v>329</v>
      </c>
      <c r="D25" s="227" t="s">
        <v>330</v>
      </c>
      <c r="E25" s="227" t="s">
        <v>331</v>
      </c>
      <c r="F25" s="227">
        <v>29900</v>
      </c>
      <c r="G25" s="227">
        <v>1</v>
      </c>
      <c r="H25" s="227">
        <f t="shared" si="0"/>
        <v>29900</v>
      </c>
      <c r="I25" s="227"/>
      <c r="J25" s="232"/>
    </row>
    <row r="26" spans="1:10" ht="17.100000000000001" customHeight="1" x14ac:dyDescent="0.25">
      <c r="A26" s="227" t="s">
        <v>310</v>
      </c>
      <c r="B26" s="227" t="s">
        <v>318</v>
      </c>
      <c r="C26" s="227" t="s">
        <v>329</v>
      </c>
      <c r="D26" s="227" t="s">
        <v>333</v>
      </c>
      <c r="E26" s="227" t="s">
        <v>334</v>
      </c>
      <c r="F26" s="233">
        <v>949000</v>
      </c>
      <c r="G26" s="227">
        <v>1</v>
      </c>
      <c r="H26" s="227">
        <f t="shared" si="0"/>
        <v>949000</v>
      </c>
      <c r="I26" s="227"/>
      <c r="J26" s="232"/>
    </row>
    <row r="27" spans="1:10" ht="17.100000000000001" customHeight="1" x14ac:dyDescent="0.25">
      <c r="A27" s="227" t="s">
        <v>348</v>
      </c>
      <c r="B27" s="227" t="s">
        <v>349</v>
      </c>
      <c r="C27" s="227" t="s">
        <v>335</v>
      </c>
      <c r="D27" s="227"/>
      <c r="E27" s="227"/>
      <c r="F27" s="227"/>
      <c r="G27" s="227"/>
      <c r="H27" s="227">
        <v>3000000</v>
      </c>
      <c r="I27" s="227">
        <v>1</v>
      </c>
      <c r="J27" s="227">
        <v>5000000</v>
      </c>
    </row>
    <row r="28" spans="1:10" ht="17.100000000000001" customHeight="1" x14ac:dyDescent="0.25">
      <c r="A28" s="227" t="s">
        <v>350</v>
      </c>
      <c r="B28" s="227" t="s">
        <v>349</v>
      </c>
      <c r="C28" s="227" t="s">
        <v>335</v>
      </c>
      <c r="D28" s="227"/>
      <c r="E28" s="227"/>
      <c r="F28" s="227"/>
      <c r="G28" s="227"/>
      <c r="H28" s="227">
        <v>1000000</v>
      </c>
      <c r="I28" s="227">
        <v>1</v>
      </c>
      <c r="J28" s="227">
        <v>2000000</v>
      </c>
    </row>
    <row r="29" spans="1:10" ht="17.100000000000001" customHeight="1" x14ac:dyDescent="0.25">
      <c r="A29" s="227" t="s">
        <v>351</v>
      </c>
      <c r="B29" s="227" t="s">
        <v>349</v>
      </c>
      <c r="C29" s="227" t="s">
        <v>335</v>
      </c>
      <c r="D29" s="227"/>
      <c r="E29" s="227"/>
      <c r="F29" s="227"/>
      <c r="G29" s="227"/>
      <c r="H29" s="227">
        <v>500000</v>
      </c>
      <c r="I29" s="227">
        <v>1</v>
      </c>
      <c r="J29" s="227">
        <v>1000000</v>
      </c>
    </row>
    <row r="30" spans="1:10" ht="17.100000000000001" customHeight="1" x14ac:dyDescent="0.25">
      <c r="A30" s="227" t="s">
        <v>352</v>
      </c>
      <c r="B30" s="227" t="s">
        <v>349</v>
      </c>
      <c r="C30" s="227" t="s">
        <v>335</v>
      </c>
      <c r="D30" s="227"/>
      <c r="E30" s="227"/>
      <c r="F30" s="227"/>
      <c r="G30" s="227"/>
      <c r="H30" s="227">
        <v>500000</v>
      </c>
      <c r="I30" s="227">
        <v>1</v>
      </c>
      <c r="J30" s="227">
        <v>1000000</v>
      </c>
    </row>
    <row r="31" spans="1:10" ht="17.100000000000001" customHeight="1" x14ac:dyDescent="0.25">
      <c r="A31" s="227" t="s">
        <v>277</v>
      </c>
      <c r="B31" s="227" t="s">
        <v>276</v>
      </c>
      <c r="C31" s="227" t="s">
        <v>335</v>
      </c>
      <c r="D31" s="227"/>
      <c r="E31" s="227"/>
      <c r="F31" s="227">
        <v>10200000</v>
      </c>
      <c r="G31" s="227">
        <v>1</v>
      </c>
      <c r="H31" s="227">
        <f t="shared" ref="H31:H32" si="2">+F31*G31</f>
        <v>10200000</v>
      </c>
      <c r="I31" s="227">
        <v>1</v>
      </c>
      <c r="J31" s="227">
        <f t="shared" si="1"/>
        <v>10200000</v>
      </c>
    </row>
    <row r="32" spans="1:10" ht="17.100000000000001" customHeight="1" x14ac:dyDescent="0.25">
      <c r="A32" s="227" t="s">
        <v>278</v>
      </c>
      <c r="B32" s="227" t="s">
        <v>276</v>
      </c>
      <c r="C32" s="227" t="s">
        <v>335</v>
      </c>
      <c r="D32" s="227"/>
      <c r="E32" s="227"/>
      <c r="F32" s="227">
        <v>2000000</v>
      </c>
      <c r="G32" s="227">
        <v>1</v>
      </c>
      <c r="H32" s="227">
        <f t="shared" si="2"/>
        <v>2000000</v>
      </c>
      <c r="I32" s="227">
        <v>1</v>
      </c>
      <c r="J32" s="227">
        <f t="shared" si="1"/>
        <v>2000000</v>
      </c>
    </row>
    <row r="33" spans="1:10" ht="17.100000000000001" customHeight="1" x14ac:dyDescent="0.25">
      <c r="A33" s="227"/>
      <c r="B33" s="227"/>
      <c r="C33" s="227"/>
      <c r="D33" s="227"/>
      <c r="E33" s="227"/>
      <c r="F33" s="227"/>
      <c r="G33" s="227"/>
      <c r="H33" s="227"/>
      <c r="I33" s="227"/>
      <c r="J33" s="227"/>
    </row>
    <row r="34" spans="1:10" ht="17.100000000000001" customHeight="1" x14ac:dyDescent="0.25">
      <c r="A34" s="227"/>
      <c r="B34" s="227"/>
      <c r="C34" s="227"/>
      <c r="D34" s="227"/>
      <c r="E34" s="227"/>
      <c r="F34" s="227"/>
      <c r="G34" s="227"/>
      <c r="H34" s="227"/>
      <c r="I34" s="227"/>
      <c r="J34" s="227"/>
    </row>
    <row r="35" spans="1:10" ht="17.100000000000001" customHeight="1" x14ac:dyDescent="0.25">
      <c r="A35" s="227"/>
      <c r="B35" s="227"/>
      <c r="C35" s="227"/>
      <c r="D35" s="227"/>
      <c r="E35" s="227"/>
      <c r="F35" s="227"/>
      <c r="G35" s="227"/>
      <c r="H35" s="227"/>
      <c r="I35" s="227"/>
      <c r="J35" s="227"/>
    </row>
    <row r="36" spans="1:10" ht="17.100000000000001" customHeight="1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</row>
    <row r="37" spans="1:10" ht="17.100000000000001" customHeight="1" x14ac:dyDescent="0.25">
      <c r="A37" s="405" t="s">
        <v>5</v>
      </c>
      <c r="B37" s="405"/>
      <c r="C37" s="405"/>
      <c r="D37" s="405"/>
      <c r="E37" s="405"/>
      <c r="F37" s="405"/>
      <c r="G37" s="405"/>
      <c r="H37" s="227">
        <f>+SUM(H2:H36)</f>
        <v>136564200</v>
      </c>
      <c r="I37" s="227"/>
      <c r="J37" s="227"/>
    </row>
    <row r="39" spans="1:10" s="234" customFormat="1" ht="17.100000000000001" hidden="1" customHeight="1" x14ac:dyDescent="0.2">
      <c r="A39" s="234" t="s">
        <v>353</v>
      </c>
    </row>
    <row r="40" spans="1:10" s="234" customFormat="1" ht="17.100000000000001" hidden="1" customHeight="1" x14ac:dyDescent="0.2">
      <c r="C40" s="234" t="s">
        <v>354</v>
      </c>
      <c r="D40" s="234" t="s">
        <v>355</v>
      </c>
      <c r="E40" s="234" t="s">
        <v>356</v>
      </c>
      <c r="F40" s="234" t="s">
        <v>357</v>
      </c>
    </row>
    <row r="41" spans="1:10" ht="17.100000000000001" hidden="1" customHeight="1" x14ac:dyDescent="0.25">
      <c r="C41" s="222" t="s">
        <v>358</v>
      </c>
      <c r="D41" s="222" t="s">
        <v>359</v>
      </c>
      <c r="E41" s="222" t="s">
        <v>358</v>
      </c>
      <c r="F41" s="222" t="s">
        <v>360</v>
      </c>
    </row>
    <row r="42" spans="1:10" ht="17.100000000000001" hidden="1" customHeight="1" x14ac:dyDescent="0.25">
      <c r="C42" s="222" t="s">
        <v>361</v>
      </c>
      <c r="E42" s="222" t="s">
        <v>362</v>
      </c>
      <c r="F42" s="222" t="s">
        <v>363</v>
      </c>
    </row>
    <row r="43" spans="1:10" ht="17.100000000000001" hidden="1" customHeight="1" x14ac:dyDescent="0.25">
      <c r="C43" s="222" t="s">
        <v>359</v>
      </c>
    </row>
    <row r="44" spans="1:10" ht="17.100000000000001" hidden="1" customHeight="1" x14ac:dyDescent="0.25">
      <c r="C44" s="222" t="s">
        <v>364</v>
      </c>
    </row>
    <row r="45" spans="1:10" ht="17.100000000000001" hidden="1" customHeight="1" x14ac:dyDescent="0.25">
      <c r="C45" s="222" t="s">
        <v>365</v>
      </c>
    </row>
    <row r="46" spans="1:10" ht="17.100000000000001" hidden="1" customHeight="1" x14ac:dyDescent="0.25"/>
  </sheetData>
  <autoFilter ref="A1:J32"/>
  <mergeCells count="1">
    <mergeCell ref="A37:G37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Ratios</vt:lpstr>
      <vt:lpstr>Punto de equilibrio</vt:lpstr>
      <vt:lpstr>Cta resultados 5 años</vt:lpstr>
      <vt:lpstr>Flujo de caja primer año</vt:lpstr>
      <vt:lpstr>Previsión inicial de inv.</vt:lpstr>
      <vt:lpstr>Costos Mercadeo</vt:lpstr>
      <vt:lpstr>Ppto ventas</vt:lpstr>
      <vt:lpstr>Salarios</vt:lpstr>
      <vt:lpstr>Comparativo de costes</vt:lpstr>
      <vt:lpstr>ppto costes variables</vt:lpstr>
      <vt:lpstr>Amortización prestamo</vt:lpstr>
      <vt:lpstr>Depreciación</vt:lpstr>
      <vt:lpstr>Infraestructura</vt:lpstr>
      <vt:lpstr>Existencias iniciales</vt:lpstr>
      <vt:lpstr>Dotación inicial</vt:lpstr>
      <vt:lpstr>Costes de producción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López</dc:creator>
  <cp:lastModifiedBy>Yolanda Beatriz Riaño Garzon</cp:lastModifiedBy>
  <dcterms:created xsi:type="dcterms:W3CDTF">2012-05-24T14:00:57Z</dcterms:created>
  <dcterms:modified xsi:type="dcterms:W3CDTF">2014-01-17T17:32:27Z</dcterms:modified>
</cp:coreProperties>
</file>