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/>
  <mc:AlternateContent xmlns:mc="http://schemas.openxmlformats.org/markup-compatibility/2006">
    <mc:Choice Requires="x15">
      <x15ac:absPath xmlns:x15ac="http://schemas.microsoft.com/office/spreadsheetml/2010/11/ac" url="C:\Users\ED\Desktop\"/>
    </mc:Choice>
  </mc:AlternateContent>
  <xr:revisionPtr revIDLastSave="8" documentId="13_ncr:1_{8147AB0B-F573-4337-9749-110488A4ADC2}" xr6:coauthVersionLast="47" xr6:coauthVersionMax="47" xr10:uidLastSave="{5B14BB81-1DD8-4F71-A3C0-431D66C85A14}"/>
  <bookViews>
    <workbookView xWindow="-120" yWindow="-120" windowWidth="20730" windowHeight="11160" xr2:uid="{2B1AB279-3F5C-4984-93F4-82FFDCF4A452}"/>
  </bookViews>
  <sheets>
    <sheet name="Datos" sheetId="1" r:id="rId1"/>
    <sheet name="VPN" sheetId="2" r:id="rId2"/>
    <sheet name="TIR" sheetId="4" r:id="rId3"/>
    <sheet name="EXPLICACION IMPUESTO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C5" i="2"/>
  <c r="C4" i="2"/>
  <c r="C3" i="2"/>
  <c r="C2" i="2"/>
  <c r="D2" i="2" s="1"/>
  <c r="P10" i="1"/>
  <c r="P17" i="1"/>
  <c r="P16" i="1"/>
  <c r="P15" i="1"/>
  <c r="P14" i="1"/>
  <c r="P13" i="1"/>
  <c r="P12" i="1"/>
  <c r="P11" i="1"/>
  <c r="P18" i="1"/>
  <c r="C21" i="3"/>
  <c r="C19" i="3"/>
  <c r="C15" i="3"/>
  <c r="C9" i="3"/>
  <c r="C7" i="3"/>
  <c r="C6" i="3"/>
  <c r="C4" i="3"/>
  <c r="I18" i="1"/>
  <c r="D24" i="1"/>
  <c r="H10" i="1"/>
  <c r="H11" i="1"/>
  <c r="H12" i="1"/>
  <c r="H13" i="1"/>
  <c r="H14" i="1"/>
  <c r="H15" i="1"/>
  <c r="H16" i="1"/>
  <c r="H17" i="1"/>
  <c r="C11" i="3" l="1"/>
  <c r="C12" i="3" s="1"/>
  <c r="C13" i="3"/>
  <c r="D13" i="3" s="1"/>
  <c r="C10" i="3"/>
  <c r="C20" i="3"/>
  <c r="C5" i="3"/>
  <c r="C8" i="3" s="1"/>
  <c r="J11" i="1"/>
  <c r="J15" i="1"/>
  <c r="J16" i="1"/>
  <c r="J17" i="1"/>
  <c r="J14" i="1"/>
  <c r="J13" i="1"/>
  <c r="J12" i="1"/>
  <c r="J10" i="1"/>
  <c r="G17" i="1" l="1"/>
  <c r="K17" i="1"/>
  <c r="L17" i="1" s="1"/>
  <c r="G16" i="1"/>
  <c r="K16" i="1"/>
  <c r="L16" i="1" s="1"/>
  <c r="G15" i="1"/>
  <c r="K15" i="1"/>
  <c r="L15" i="1" s="1"/>
  <c r="G14" i="1"/>
  <c r="K14" i="1"/>
  <c r="L14" i="1" s="1"/>
  <c r="G11" i="1"/>
  <c r="K11" i="1"/>
  <c r="L11" i="1" s="1"/>
  <c r="G13" i="1"/>
  <c r="K13" i="1"/>
  <c r="L13" i="1" s="1"/>
  <c r="G12" i="1"/>
  <c r="K12" i="1"/>
  <c r="L12" i="1" s="1"/>
  <c r="J18" i="1"/>
  <c r="N17" i="1" l="1"/>
  <c r="S17" i="1" s="1"/>
  <c r="Q17" i="1"/>
  <c r="N16" i="1"/>
  <c r="S16" i="1" s="1"/>
  <c r="Q16" i="1"/>
  <c r="N15" i="1"/>
  <c r="S15" i="1" s="1"/>
  <c r="Q15" i="1"/>
  <c r="N14" i="1"/>
  <c r="S14" i="1" s="1"/>
  <c r="Q14" i="1"/>
  <c r="N11" i="1"/>
  <c r="S11" i="1" s="1"/>
  <c r="Q11" i="1"/>
  <c r="N13" i="1"/>
  <c r="S13" i="1" s="1"/>
  <c r="Q13" i="1"/>
  <c r="N12" i="1"/>
  <c r="S12" i="1" s="1"/>
  <c r="Q12" i="1"/>
  <c r="K10" i="1"/>
  <c r="L10" i="1" s="1"/>
  <c r="G10" i="1"/>
  <c r="U10" i="1"/>
  <c r="Q10" i="1" l="1"/>
  <c r="N10" i="1"/>
  <c r="S10" i="1" s="1"/>
  <c r="S18" i="1"/>
  <c r="Q18" i="1"/>
  <c r="Q19" i="1" l="1"/>
  <c r="Q20" i="1" s="1"/>
  <c r="B5" i="2"/>
  <c r="D5" i="2" s="1"/>
  <c r="B4" i="2"/>
  <c r="D4" i="2" s="1"/>
  <c r="B3" i="2"/>
  <c r="D11" i="2" l="1"/>
  <c r="D3" i="2"/>
  <c r="D6" i="2" l="1"/>
  <c r="D7" i="2"/>
</calcChain>
</file>

<file path=xl/sharedStrings.xml><?xml version="1.0" encoding="utf-8"?>
<sst xmlns="http://schemas.openxmlformats.org/spreadsheetml/2006/main" count="85" uniqueCount="77">
  <si>
    <t xml:space="preserve">Nivel de especialización requerido </t>
  </si>
  <si>
    <t xml:space="preserve">Gastos </t>
  </si>
  <si>
    <t>Consultor Junior</t>
  </si>
  <si>
    <t>Senior</t>
  </si>
  <si>
    <t xml:space="preserve">Especialista </t>
  </si>
  <si>
    <t>Incluir IVA 19% retención fuente 11%</t>
  </si>
  <si>
    <t>INGRESO</t>
  </si>
  <si>
    <t>GASTOS</t>
  </si>
  <si>
    <t xml:space="preserve">Eje </t>
  </si>
  <si>
    <t xml:space="preserve">Servicios </t>
  </si>
  <si>
    <t>Tiempo de dedicación del equipo consultor (horas)</t>
  </si>
  <si>
    <t>Valor del Ingreso</t>
  </si>
  <si>
    <t>IVA 19%</t>
  </si>
  <si>
    <t>Valor Gasto total consultor</t>
  </si>
  <si>
    <t xml:space="preserve">Adicional gastos directos </t>
  </si>
  <si>
    <t xml:space="preserve">Gastos indirectos 
(10%) </t>
  </si>
  <si>
    <t>RENTA Y COMPLEMENTARIOS</t>
  </si>
  <si>
    <t>Total Gastos</t>
  </si>
  <si>
    <t>Utilidad</t>
  </si>
  <si>
    <t>UTILIDAD NETA</t>
  </si>
  <si>
    <t>Número de servicios por cliente x año</t>
  </si>
  <si>
    <t>INGRESO POR AÑO POR SERVICIO</t>
  </si>
  <si>
    <t>GASTOS POR AÑO POR SERVICIO</t>
  </si>
  <si>
    <t>Valor total por servicio x año</t>
  </si>
  <si>
    <t>1. Gestión de recursos y ecoeficiencia</t>
  </si>
  <si>
    <t>Programa de uso eficiente del agua (medición, control y reutilización)</t>
  </si>
  <si>
    <t>Plan integral de gestión de residuos con enfoque de economía circular</t>
  </si>
  <si>
    <t xml:space="preserve">Junior 
Senior </t>
  </si>
  <si>
    <t>2. Cultura organizacional y formación en sostenibilidad</t>
  </si>
  <si>
    <t xml:space="preserve">Programas de hábitos sostenibles en el lugar de trabajo (neuroarquitectura, movilidad sostenible, las 3 R) </t>
  </si>
  <si>
    <t>Senior
Especialista</t>
  </si>
  <si>
    <t>Capacitaciones en temas de sostenibilidad (ambiental, social y financiera)</t>
  </si>
  <si>
    <t xml:space="preserve">3. Autorizaciones y permisos  ambientales </t>
  </si>
  <si>
    <t>Asesorar, responder y representar en tramites ambientales ante entidades.</t>
  </si>
  <si>
    <t xml:space="preserve">4. Certificaciones </t>
  </si>
  <si>
    <t>Apoyo técnico para la obtención de certificaciones (ISO 14001, ISO 50001, RUC ambiental)</t>
  </si>
  <si>
    <t>Junior 
Senior
Especialista</t>
  </si>
  <si>
    <t xml:space="preserve">Auditorias internas </t>
  </si>
  <si>
    <t xml:space="preserve">Elaboración de reportes de sostenibilidad </t>
  </si>
  <si>
    <t>Inversión:</t>
  </si>
  <si>
    <t xml:space="preserve">Marketing </t>
  </si>
  <si>
    <t>Campañas digitales, diseño de material corporativo, lanzamiento</t>
  </si>
  <si>
    <t>Capacitación y formación interna</t>
  </si>
  <si>
    <t>Entrenar al equipo en sostenibilidad, certificaciones, metodologías</t>
  </si>
  <si>
    <t>Herramientas tecnologicas</t>
  </si>
  <si>
    <t>software de gestión, licencias, plataformas</t>
  </si>
  <si>
    <t>Equipos y materiales</t>
  </si>
  <si>
    <t>papelería, recursos audiovisuales, guías</t>
  </si>
  <si>
    <t>Total inversión Inicial</t>
  </si>
  <si>
    <t>Periodo (t)</t>
  </si>
  <si>
    <t>Flujo de Caja (Ft)</t>
  </si>
  <si>
    <t>Factor de Descuento 1/(1+r)^t</t>
  </si>
  <si>
    <t>Valor Presente</t>
  </si>
  <si>
    <t>Tasa de Descuento (r):</t>
  </si>
  <si>
    <t>VPN =</t>
  </si>
  <si>
    <t>TIR=</t>
  </si>
  <si>
    <t>VPN</t>
  </si>
  <si>
    <t>TIR:</t>
  </si>
  <si>
    <t>PERSONA JURIDICA DEL REGIMEN ORDINARIO G3</t>
  </si>
  <si>
    <t>BASE</t>
  </si>
  <si>
    <t>IVA</t>
  </si>
  <si>
    <t>TOTAL</t>
  </si>
  <si>
    <t>-RETENCION EN LA FUENTE</t>
  </si>
  <si>
    <t>SIRVE PARA DESCONTAR EN LA RENTA ES ANUAL</t>
  </si>
  <si>
    <t>- RETENCION DE ICA</t>
  </si>
  <si>
    <t>SIRVE PARA DESCONTAR EN EL ICA ES ANUAL</t>
  </si>
  <si>
    <t>TOTAL RECIBIDO</t>
  </si>
  <si>
    <t xml:space="preserve">GASTOS </t>
  </si>
  <si>
    <t>G3 PAGA EL IVA A LA DIAN</t>
  </si>
  <si>
    <t>RENTA 35%</t>
  </si>
  <si>
    <t>PAGO DE RENTA</t>
  </si>
  <si>
    <t>UTILIDAD BRUTA</t>
  </si>
  <si>
    <t>LA EMPRESA DE DIANA</t>
  </si>
  <si>
    <t>RETIENE 11% SE PAGA A LA DIAN</t>
  </si>
  <si>
    <t>YO TE CERTIFICO QUE PAGUE TAL VALOR POR CON DE RENTENCION EN LA FUENTE</t>
  </si>
  <si>
    <t>TE PAGA EL IVA A G3</t>
  </si>
  <si>
    <t>RETE IVA 8,66/1000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</si>
</sst>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_-[$$-409]* #,##0.00_ ;_-[$$-409]* \-#,##0.00\ ;_-[$$-409]* &quot;-&quot;??_ ;_-@_ "/>
    <numFmt numFmtId="167" formatCode="_-[$$-409]* #,##0_ ;_-[$$-409]* \-#,##0\ ;_-[$$-409]* &quot;-&quot;??_ ;_-@_ "/>
    <numFmt numFmtId="168" formatCode="_-* #,##0_-;\-* #,##0_-;_-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Calibri"/>
      <family val="2"/>
    </font>
    <font>
      <b/>
      <sz val="12"/>
      <color theme="0"/>
      <name val="Aptos Narrow"/>
      <scheme val="minor"/>
    </font>
    <font>
      <b/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9" fontId="2" fillId="0" borderId="1" xfId="2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wrapText="1"/>
    </xf>
    <xf numFmtId="166" fontId="2" fillId="3" borderId="0" xfId="0" applyNumberFormat="1" applyFont="1" applyFill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43" fontId="2" fillId="0" borderId="0" xfId="3" applyFont="1" applyAlignment="1">
      <alignment vertical="center"/>
    </xf>
    <xf numFmtId="0" fontId="2" fillId="0" borderId="0" xfId="0" quotePrefix="1" applyFont="1" applyAlignment="1">
      <alignment vertical="center"/>
    </xf>
    <xf numFmtId="43" fontId="2" fillId="0" borderId="0" xfId="0" applyNumberFormat="1" applyFont="1" applyAlignment="1">
      <alignment vertical="center"/>
    </xf>
    <xf numFmtId="9" fontId="2" fillId="0" borderId="0" xfId="2" applyFont="1" applyAlignment="1">
      <alignment vertical="center"/>
    </xf>
    <xf numFmtId="9" fontId="2" fillId="4" borderId="0" xfId="0" applyNumberFormat="1" applyFont="1" applyFill="1" applyAlignment="1">
      <alignment vertical="center"/>
    </xf>
    <xf numFmtId="43" fontId="2" fillId="4" borderId="0" xfId="3" applyFont="1" applyFill="1" applyAlignment="1">
      <alignment vertical="center"/>
    </xf>
    <xf numFmtId="43" fontId="2" fillId="0" borderId="1" xfId="3" applyFont="1" applyBorder="1" applyAlignment="1">
      <alignment horizontal="center" vertical="center"/>
    </xf>
    <xf numFmtId="43" fontId="0" fillId="0" borderId="0" xfId="3" applyFont="1"/>
    <xf numFmtId="165" fontId="0" fillId="0" borderId="0" xfId="0" applyNumberFormat="1"/>
    <xf numFmtId="9" fontId="0" fillId="0" borderId="0" xfId="2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5" fontId="2" fillId="0" borderId="0" xfId="0" applyNumberFormat="1" applyFont="1"/>
    <xf numFmtId="0" fontId="6" fillId="0" borderId="0" xfId="0" applyFont="1" applyAlignment="1">
      <alignment vertical="center" wrapText="1"/>
    </xf>
    <xf numFmtId="43" fontId="6" fillId="0" borderId="0" xfId="3" applyFont="1" applyAlignment="1">
      <alignment vertical="center" wrapText="1"/>
    </xf>
    <xf numFmtId="9" fontId="0" fillId="0" borderId="0" xfId="3" applyNumberFormat="1" applyFont="1"/>
    <xf numFmtId="43" fontId="0" fillId="0" borderId="0" xfId="3" applyFont="1" applyAlignment="1">
      <alignment horizontal="right"/>
    </xf>
    <xf numFmtId="43" fontId="0" fillId="0" borderId="0" xfId="0" applyNumberFormat="1"/>
    <xf numFmtId="9" fontId="0" fillId="0" borderId="0" xfId="0" applyNumberFormat="1"/>
    <xf numFmtId="2" fontId="6" fillId="0" borderId="0" xfId="0" applyNumberFormat="1" applyFont="1" applyAlignment="1">
      <alignment vertical="center" wrapText="1"/>
    </xf>
    <xf numFmtId="9" fontId="7" fillId="5" borderId="0" xfId="3" applyNumberFormat="1" applyFont="1" applyFill="1"/>
    <xf numFmtId="168" fontId="8" fillId="6" borderId="0" xfId="3" applyNumberFormat="1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vertical="center"/>
    </xf>
    <xf numFmtId="165" fontId="2" fillId="0" borderId="0" xfId="0" applyNumberFormat="1" applyFont="1" applyFill="1"/>
    <xf numFmtId="165" fontId="0" fillId="0" borderId="0" xfId="0" applyNumberFormat="1" applyFill="1"/>
    <xf numFmtId="9" fontId="0" fillId="0" borderId="0" xfId="2" applyFont="1" applyFill="1"/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2A3D-6C4F-4A91-A973-84B09CD8C210}">
  <dimension ref="B2:U25"/>
  <sheetViews>
    <sheetView tabSelected="1" topLeftCell="B1" zoomScale="74" zoomScaleNormal="81" workbookViewId="0">
      <selection activeCell="R1" sqref="R1:R1048576"/>
    </sheetView>
  </sheetViews>
  <sheetFormatPr defaultColWidth="11.42578125" defaultRowHeight="15"/>
  <cols>
    <col min="1" max="1" width="11.42578125" style="1"/>
    <col min="2" max="2" width="30.140625" style="3" customWidth="1"/>
    <col min="3" max="3" width="61" style="3" customWidth="1"/>
    <col min="4" max="4" width="28.42578125" style="2" customWidth="1"/>
    <col min="5" max="7" width="22.42578125" style="2" customWidth="1"/>
    <col min="8" max="8" width="13.42578125" style="1" bestFit="1" customWidth="1"/>
    <col min="9" max="9" width="13" style="1" bestFit="1" customWidth="1"/>
    <col min="10" max="10" width="13" style="1" customWidth="1"/>
    <col min="11" max="11" width="20.28515625" style="1" customWidth="1"/>
    <col min="12" max="12" width="13" style="1" customWidth="1"/>
    <col min="13" max="13" width="11.42578125" style="1" customWidth="1"/>
    <col min="14" max="14" width="14.42578125" style="1" customWidth="1"/>
    <col min="15" max="15" width="14.140625" style="2" customWidth="1"/>
    <col min="16" max="16" width="16.7109375" customWidth="1"/>
    <col min="17" max="17" width="22" bestFit="1" customWidth="1"/>
    <col min="18" max="18" width="22" style="48" customWidth="1"/>
    <col min="19" max="19" width="17.5703125" style="1" customWidth="1"/>
    <col min="20" max="20" width="11.42578125" style="1"/>
    <col min="21" max="21" width="13.42578125" style="1" bestFit="1" customWidth="1"/>
    <col min="22" max="16384" width="11.42578125" style="1"/>
  </cols>
  <sheetData>
    <row r="2" spans="2:21" ht="29.25">
      <c r="B2" s="3" t="s">
        <v>0</v>
      </c>
      <c r="E2" s="6" t="s">
        <v>1</v>
      </c>
      <c r="F2" s="6"/>
      <c r="G2" s="6"/>
      <c r="H2" s="6"/>
      <c r="I2" s="6"/>
      <c r="J2" s="6"/>
      <c r="K2" s="6"/>
      <c r="L2" s="6"/>
    </row>
    <row r="3" spans="2:21">
      <c r="B3" s="3" t="s">
        <v>2</v>
      </c>
      <c r="C3" s="3">
        <v>80000</v>
      </c>
      <c r="E3" s="6"/>
      <c r="F3" s="6"/>
      <c r="G3" s="6"/>
      <c r="H3" s="6"/>
      <c r="I3" s="6"/>
      <c r="J3" s="6"/>
      <c r="K3" s="6"/>
      <c r="L3" s="6"/>
    </row>
    <row r="4" spans="2:21">
      <c r="B4" s="3" t="s">
        <v>3</v>
      </c>
      <c r="C4" s="3">
        <v>180000</v>
      </c>
      <c r="D4" s="2">
        <v>300000</v>
      </c>
      <c r="E4" s="6"/>
      <c r="F4" s="6"/>
      <c r="G4" s="6"/>
      <c r="H4" s="6"/>
      <c r="I4" s="6"/>
      <c r="J4" s="6"/>
      <c r="K4" s="6"/>
      <c r="L4" s="6"/>
    </row>
    <row r="5" spans="2:21">
      <c r="B5" s="3" t="s">
        <v>4</v>
      </c>
      <c r="C5" s="3">
        <v>180000</v>
      </c>
      <c r="E5" s="6"/>
      <c r="F5" s="6"/>
      <c r="G5" s="6"/>
      <c r="H5" s="6"/>
      <c r="I5" s="6"/>
      <c r="J5" s="6"/>
      <c r="K5" s="6"/>
      <c r="L5" s="6"/>
    </row>
    <row r="6" spans="2:21">
      <c r="E6" s="6"/>
      <c r="F6" s="6"/>
      <c r="G6" s="6"/>
      <c r="H6" s="6"/>
      <c r="I6" s="6"/>
      <c r="J6" s="6"/>
      <c r="K6" s="6"/>
      <c r="L6" s="6"/>
      <c r="O6" s="2" t="s">
        <v>5</v>
      </c>
    </row>
    <row r="8" spans="2:21">
      <c r="F8" s="32" t="s">
        <v>6</v>
      </c>
      <c r="H8" s="43" t="s">
        <v>7</v>
      </c>
      <c r="I8" s="43"/>
      <c r="J8" s="43"/>
      <c r="K8" s="43"/>
      <c r="L8" s="44"/>
    </row>
    <row r="9" spans="2:21" s="5" customFormat="1" ht="59.25" customHeight="1">
      <c r="B9" s="8" t="s">
        <v>8</v>
      </c>
      <c r="C9" s="8" t="s">
        <v>9</v>
      </c>
      <c r="D9" s="8" t="s">
        <v>10</v>
      </c>
      <c r="E9" s="8" t="s">
        <v>0</v>
      </c>
      <c r="F9" s="31" t="s">
        <v>11</v>
      </c>
      <c r="G9" s="8" t="s">
        <v>12</v>
      </c>
      <c r="H9" s="8" t="s">
        <v>13</v>
      </c>
      <c r="I9" s="8" t="s">
        <v>14</v>
      </c>
      <c r="J9" s="31" t="s">
        <v>15</v>
      </c>
      <c r="K9" s="31" t="s">
        <v>16</v>
      </c>
      <c r="L9" s="31" t="s">
        <v>17</v>
      </c>
      <c r="M9" s="8" t="s">
        <v>18</v>
      </c>
      <c r="N9" s="8" t="s">
        <v>19</v>
      </c>
      <c r="O9" s="8" t="s">
        <v>20</v>
      </c>
      <c r="P9" s="8" t="s">
        <v>21</v>
      </c>
      <c r="Q9" s="8" t="s">
        <v>22</v>
      </c>
      <c r="R9" s="49"/>
      <c r="S9" s="5" t="s">
        <v>23</v>
      </c>
    </row>
    <row r="10" spans="2:21" ht="46.5" customHeight="1">
      <c r="B10" s="45" t="s">
        <v>24</v>
      </c>
      <c r="C10" s="9" t="s">
        <v>25</v>
      </c>
      <c r="D10" s="10">
        <v>30</v>
      </c>
      <c r="E10" s="10" t="s">
        <v>3</v>
      </c>
      <c r="F10" s="11">
        <v>7728000</v>
      </c>
      <c r="G10" s="27">
        <f>ROUND(F10*19%,-3)</f>
        <v>1468000</v>
      </c>
      <c r="H10" s="11">
        <f>+D10*C4</f>
        <v>5400000</v>
      </c>
      <c r="I10" s="11">
        <v>500000</v>
      </c>
      <c r="J10" s="11">
        <f t="shared" ref="J10:J17" si="0">+H10*10%</f>
        <v>540000</v>
      </c>
      <c r="K10" s="11">
        <f>ROUND(((F10-H10-I10-J10)*35%),-3)</f>
        <v>451000</v>
      </c>
      <c r="L10" s="11">
        <f>+H10+I10+J10+K10</f>
        <v>6891000</v>
      </c>
      <c r="M10" s="12">
        <v>0.2</v>
      </c>
      <c r="N10" s="11">
        <f t="shared" ref="N10:N17" si="1">+F10-L10</f>
        <v>837000</v>
      </c>
      <c r="O10" s="10">
        <v>4</v>
      </c>
      <c r="P10" s="11">
        <f>+F10*O10</f>
        <v>30912000</v>
      </c>
      <c r="Q10" s="11">
        <f>+L10*O10</f>
        <v>27564000</v>
      </c>
      <c r="R10" s="50"/>
      <c r="S10" s="15">
        <f>+N10*O10</f>
        <v>3348000</v>
      </c>
      <c r="U10" s="21">
        <f>+F10*20%</f>
        <v>1545600</v>
      </c>
    </row>
    <row r="11" spans="2:21" ht="46.5" customHeight="1">
      <c r="B11" s="45"/>
      <c r="C11" s="9" t="s">
        <v>26</v>
      </c>
      <c r="D11" s="10">
        <v>50</v>
      </c>
      <c r="E11" s="13" t="s">
        <v>27</v>
      </c>
      <c r="F11" s="11">
        <v>9540000</v>
      </c>
      <c r="G11" s="27">
        <f t="shared" ref="G11:G17" si="2">ROUND(F11*19%,-3)</f>
        <v>1813000</v>
      </c>
      <c r="H11" s="11">
        <f>+D11*(AVERAGE(C3,C4))</f>
        <v>6500000</v>
      </c>
      <c r="I11" s="11">
        <v>800000</v>
      </c>
      <c r="J11" s="11">
        <f t="shared" si="0"/>
        <v>650000</v>
      </c>
      <c r="K11" s="11">
        <f t="shared" ref="K11:K17" si="3">ROUND(((F11-H11-I11-J11)*35%),-3)</f>
        <v>557000</v>
      </c>
      <c r="L11" s="11">
        <f t="shared" ref="L11:L17" si="4">+H11+I11+J11+K11</f>
        <v>8507000</v>
      </c>
      <c r="M11" s="12">
        <v>0.2</v>
      </c>
      <c r="N11" s="11">
        <f t="shared" si="1"/>
        <v>1033000</v>
      </c>
      <c r="O11" s="10">
        <v>4</v>
      </c>
      <c r="P11" s="11">
        <f t="shared" ref="P11:P17" si="5">+F11*O11</f>
        <v>38160000</v>
      </c>
      <c r="Q11" s="11">
        <f t="shared" ref="Q11:Q17" si="6">+L11*O11</f>
        <v>34028000</v>
      </c>
      <c r="R11" s="50"/>
      <c r="S11" s="15">
        <f t="shared" ref="S11:S17" si="7">+N11*O11</f>
        <v>4132000</v>
      </c>
    </row>
    <row r="12" spans="2:21" ht="46.5" customHeight="1">
      <c r="B12" s="46" t="s">
        <v>28</v>
      </c>
      <c r="C12" s="9" t="s">
        <v>29</v>
      </c>
      <c r="D12" s="10">
        <v>30</v>
      </c>
      <c r="E12" s="13" t="s">
        <v>30</v>
      </c>
      <c r="F12" s="11">
        <v>7608000</v>
      </c>
      <c r="G12" s="27">
        <f t="shared" si="2"/>
        <v>1446000</v>
      </c>
      <c r="H12" s="11">
        <f>+D12*(AVERAGE(C4,C5))</f>
        <v>5400000</v>
      </c>
      <c r="I12" s="11">
        <v>400000</v>
      </c>
      <c r="J12" s="11">
        <f t="shared" si="0"/>
        <v>540000</v>
      </c>
      <c r="K12" s="11">
        <f t="shared" si="3"/>
        <v>444000</v>
      </c>
      <c r="L12" s="11">
        <f t="shared" si="4"/>
        <v>6784000</v>
      </c>
      <c r="M12" s="12">
        <v>0.2</v>
      </c>
      <c r="N12" s="11">
        <f t="shared" si="1"/>
        <v>824000</v>
      </c>
      <c r="O12" s="10">
        <v>3</v>
      </c>
      <c r="P12" s="11">
        <f t="shared" si="5"/>
        <v>22824000</v>
      </c>
      <c r="Q12" s="11">
        <f t="shared" si="6"/>
        <v>20352000</v>
      </c>
      <c r="R12" s="50"/>
      <c r="S12" s="15">
        <f t="shared" si="7"/>
        <v>2472000</v>
      </c>
    </row>
    <row r="13" spans="2:21" ht="46.5" customHeight="1">
      <c r="B13" s="46"/>
      <c r="C13" s="9" t="s">
        <v>31</v>
      </c>
      <c r="D13" s="10">
        <v>2</v>
      </c>
      <c r="E13" s="13" t="s">
        <v>30</v>
      </c>
      <c r="F13" s="11">
        <v>715200</v>
      </c>
      <c r="G13" s="27">
        <f t="shared" si="2"/>
        <v>136000</v>
      </c>
      <c r="H13" s="11">
        <f>+D13*(AVERAGE(C5,C6))</f>
        <v>360000</v>
      </c>
      <c r="I13" s="11">
        <v>200000</v>
      </c>
      <c r="J13" s="11">
        <f t="shared" si="0"/>
        <v>36000</v>
      </c>
      <c r="K13" s="11">
        <f t="shared" si="3"/>
        <v>42000</v>
      </c>
      <c r="L13" s="11">
        <f t="shared" si="4"/>
        <v>638000</v>
      </c>
      <c r="M13" s="12">
        <v>0.2</v>
      </c>
      <c r="N13" s="11">
        <f t="shared" si="1"/>
        <v>77200</v>
      </c>
      <c r="O13" s="10">
        <v>8</v>
      </c>
      <c r="P13" s="11">
        <f t="shared" si="5"/>
        <v>5721600</v>
      </c>
      <c r="Q13" s="11">
        <f t="shared" si="6"/>
        <v>5104000</v>
      </c>
      <c r="R13" s="50"/>
      <c r="S13" s="15">
        <f t="shared" si="7"/>
        <v>617600</v>
      </c>
    </row>
    <row r="14" spans="2:21" ht="46.5" customHeight="1">
      <c r="B14" s="14" t="s">
        <v>32</v>
      </c>
      <c r="C14" s="9" t="s">
        <v>33</v>
      </c>
      <c r="D14" s="10">
        <v>35</v>
      </c>
      <c r="E14" s="10" t="s">
        <v>4</v>
      </c>
      <c r="F14" s="11">
        <v>8556000</v>
      </c>
      <c r="G14" s="27">
        <f t="shared" si="2"/>
        <v>1626000</v>
      </c>
      <c r="H14" s="11">
        <f>+D14*C5</f>
        <v>6300000</v>
      </c>
      <c r="I14" s="11">
        <v>200000</v>
      </c>
      <c r="J14" s="11">
        <f t="shared" si="0"/>
        <v>630000</v>
      </c>
      <c r="K14" s="11">
        <f t="shared" si="3"/>
        <v>499000</v>
      </c>
      <c r="L14" s="11">
        <f t="shared" si="4"/>
        <v>7629000</v>
      </c>
      <c r="M14" s="12">
        <v>0.2</v>
      </c>
      <c r="N14" s="11">
        <f t="shared" si="1"/>
        <v>927000</v>
      </c>
      <c r="O14" s="10">
        <v>2</v>
      </c>
      <c r="P14" s="11">
        <f t="shared" si="5"/>
        <v>17112000</v>
      </c>
      <c r="Q14" s="11">
        <f t="shared" si="6"/>
        <v>15258000</v>
      </c>
      <c r="R14" s="50"/>
      <c r="S14" s="15">
        <f t="shared" si="7"/>
        <v>1854000</v>
      </c>
    </row>
    <row r="15" spans="2:21" ht="46.5" customHeight="1">
      <c r="B15" s="45" t="s">
        <v>34</v>
      </c>
      <c r="C15" s="9" t="s">
        <v>35</v>
      </c>
      <c r="D15" s="10">
        <v>120</v>
      </c>
      <c r="E15" s="13" t="s">
        <v>36</v>
      </c>
      <c r="F15" s="11">
        <v>29352000</v>
      </c>
      <c r="G15" s="27">
        <f t="shared" si="2"/>
        <v>5577000</v>
      </c>
      <c r="H15" s="11">
        <f>+D15*(AVERAGE(C7,C5,C6))</f>
        <v>21600000</v>
      </c>
      <c r="I15" s="11">
        <v>700000</v>
      </c>
      <c r="J15" s="11">
        <f t="shared" si="0"/>
        <v>2160000</v>
      </c>
      <c r="K15" s="11">
        <f t="shared" si="3"/>
        <v>1712000</v>
      </c>
      <c r="L15" s="11">
        <f t="shared" si="4"/>
        <v>26172000</v>
      </c>
      <c r="M15" s="12">
        <v>0.2</v>
      </c>
      <c r="N15" s="11">
        <f t="shared" si="1"/>
        <v>3180000</v>
      </c>
      <c r="O15" s="10">
        <v>3</v>
      </c>
      <c r="P15" s="11">
        <f t="shared" si="5"/>
        <v>88056000</v>
      </c>
      <c r="Q15" s="11">
        <f t="shared" si="6"/>
        <v>78516000</v>
      </c>
      <c r="R15" s="50"/>
      <c r="S15" s="15">
        <f t="shared" si="7"/>
        <v>9540000</v>
      </c>
    </row>
    <row r="16" spans="2:21" ht="46.5" customHeight="1">
      <c r="B16" s="45"/>
      <c r="C16" s="9" t="s">
        <v>37</v>
      </c>
      <c r="D16" s="10">
        <v>8</v>
      </c>
      <c r="E16" s="13" t="s">
        <v>27</v>
      </c>
      <c r="F16" s="11">
        <v>1612800</v>
      </c>
      <c r="G16" s="27">
        <f t="shared" si="2"/>
        <v>306000</v>
      </c>
      <c r="H16" s="11">
        <f>+D16*(AVERAGE(C3,C4))</f>
        <v>1040000</v>
      </c>
      <c r="I16" s="11">
        <v>200000</v>
      </c>
      <c r="J16" s="11">
        <f t="shared" si="0"/>
        <v>104000</v>
      </c>
      <c r="K16" s="11">
        <f t="shared" si="3"/>
        <v>94000</v>
      </c>
      <c r="L16" s="11">
        <f t="shared" si="4"/>
        <v>1438000</v>
      </c>
      <c r="M16" s="12">
        <v>0.2</v>
      </c>
      <c r="N16" s="11">
        <f t="shared" si="1"/>
        <v>174800</v>
      </c>
      <c r="O16" s="10">
        <v>5</v>
      </c>
      <c r="P16" s="11">
        <f t="shared" si="5"/>
        <v>8064000</v>
      </c>
      <c r="Q16" s="11">
        <f t="shared" si="6"/>
        <v>7190000</v>
      </c>
      <c r="R16" s="50"/>
      <c r="S16" s="15">
        <f t="shared" si="7"/>
        <v>874000</v>
      </c>
    </row>
    <row r="17" spans="2:19" ht="46.5" customHeight="1">
      <c r="B17" s="45"/>
      <c r="C17" s="9" t="s">
        <v>38</v>
      </c>
      <c r="D17" s="10">
        <v>60</v>
      </c>
      <c r="E17" s="13" t="s">
        <v>30</v>
      </c>
      <c r="F17" s="11">
        <v>15216000</v>
      </c>
      <c r="G17" s="27">
        <f t="shared" si="2"/>
        <v>2891000</v>
      </c>
      <c r="H17" s="11">
        <f>+D17*(C4)</f>
        <v>10800000</v>
      </c>
      <c r="I17" s="11">
        <v>800000</v>
      </c>
      <c r="J17" s="11">
        <f t="shared" si="0"/>
        <v>1080000</v>
      </c>
      <c r="K17" s="11">
        <f t="shared" si="3"/>
        <v>888000</v>
      </c>
      <c r="L17" s="11">
        <f t="shared" si="4"/>
        <v>13568000</v>
      </c>
      <c r="M17" s="12">
        <v>0.2</v>
      </c>
      <c r="N17" s="11">
        <f t="shared" si="1"/>
        <v>1648000</v>
      </c>
      <c r="O17" s="10">
        <v>3</v>
      </c>
      <c r="P17" s="11">
        <f t="shared" si="5"/>
        <v>45648000</v>
      </c>
      <c r="Q17" s="11">
        <f t="shared" si="6"/>
        <v>40704000</v>
      </c>
      <c r="R17" s="50"/>
      <c r="S17" s="15">
        <f t="shared" si="7"/>
        <v>4944000</v>
      </c>
    </row>
    <row r="18" spans="2:19" ht="33.75" customHeight="1">
      <c r="I18" s="20">
        <f>SUM(I10:I17)</f>
        <v>3800000</v>
      </c>
      <c r="J18" s="20">
        <f>SUM(J10:J17)</f>
        <v>5740000</v>
      </c>
      <c r="K18" s="20"/>
      <c r="L18" s="20"/>
      <c r="P18" s="33">
        <f>SUM(P10:P17)</f>
        <v>256497600</v>
      </c>
      <c r="Q18" s="33">
        <f>SUM(Q10:Q17)</f>
        <v>228716000</v>
      </c>
      <c r="R18" s="51"/>
      <c r="S18" s="15">
        <f>SUM(S10:S17)</f>
        <v>27781600</v>
      </c>
    </row>
    <row r="19" spans="2:19" ht="36" customHeight="1">
      <c r="B19" s="3" t="s">
        <v>39</v>
      </c>
      <c r="C19" s="4"/>
      <c r="Q19" s="29">
        <f>+P18-Q18</f>
        <v>27781600</v>
      </c>
      <c r="R19" s="52"/>
    </row>
    <row r="20" spans="2:19">
      <c r="B20" s="3" t="s">
        <v>40</v>
      </c>
      <c r="C20" s="17" t="s">
        <v>41</v>
      </c>
      <c r="D20" s="16">
        <v>10000000</v>
      </c>
      <c r="Q20" s="30">
        <f>+Q19/P18</f>
        <v>0.10831134482349933</v>
      </c>
      <c r="R20" s="53"/>
    </row>
    <row r="21" spans="2:19">
      <c r="B21" s="3" t="s">
        <v>42</v>
      </c>
      <c r="C21" s="17" t="s">
        <v>43</v>
      </c>
      <c r="D21" s="16">
        <v>8000000</v>
      </c>
    </row>
    <row r="22" spans="2:19">
      <c r="B22" s="3" t="s">
        <v>44</v>
      </c>
      <c r="C22" s="17" t="s">
        <v>45</v>
      </c>
      <c r="D22" s="16">
        <v>5000000</v>
      </c>
    </row>
    <row r="23" spans="2:19">
      <c r="B23" s="3" t="s">
        <v>46</v>
      </c>
      <c r="C23" s="17" t="s">
        <v>47</v>
      </c>
      <c r="D23" s="16">
        <v>2000000</v>
      </c>
    </row>
    <row r="24" spans="2:19">
      <c r="C24" s="18" t="s">
        <v>48</v>
      </c>
      <c r="D24" s="19">
        <f>SUM(D20:D23)</f>
        <v>25000000</v>
      </c>
    </row>
    <row r="25" spans="2:19">
      <c r="D25" s="16"/>
    </row>
  </sheetData>
  <mergeCells count="4">
    <mergeCell ref="H8:L8"/>
    <mergeCell ref="B10:B11"/>
    <mergeCell ref="B12:B13"/>
    <mergeCell ref="B15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D0FC-0D12-446F-97B6-A1EFD19E5886}">
  <dimension ref="A1:F11"/>
  <sheetViews>
    <sheetView workbookViewId="0">
      <selection activeCell="D6" sqref="D6"/>
    </sheetView>
  </sheetViews>
  <sheetFormatPr defaultColWidth="8.85546875" defaultRowHeight="14.25"/>
  <cols>
    <col min="2" max="2" width="16.42578125" style="28" bestFit="1" customWidth="1"/>
    <col min="3" max="3" width="19.7109375" style="28" bestFit="1" customWidth="1"/>
    <col min="4" max="4" width="16.7109375" style="28" bestFit="1" customWidth="1"/>
    <col min="5" max="5" width="19.7109375" bestFit="1" customWidth="1"/>
  </cols>
  <sheetData>
    <row r="1" spans="1:6" ht="30">
      <c r="A1" s="34" t="s">
        <v>49</v>
      </c>
      <c r="B1" s="35" t="s">
        <v>50</v>
      </c>
      <c r="C1" s="35" t="s">
        <v>51</v>
      </c>
      <c r="D1" s="35" t="s">
        <v>52</v>
      </c>
      <c r="E1" s="34" t="s">
        <v>53</v>
      </c>
      <c r="F1" s="34">
        <v>0.1</v>
      </c>
    </row>
    <row r="2" spans="1:6">
      <c r="A2">
        <v>0</v>
      </c>
      <c r="B2" s="28">
        <v>-25000000</v>
      </c>
      <c r="C2" s="28">
        <f>1/(1+$F$1)^A2</f>
        <v>1</v>
      </c>
      <c r="D2" s="28">
        <f>B2*C2</f>
        <v>-25000000</v>
      </c>
    </row>
    <row r="3" spans="1:6">
      <c r="A3">
        <v>1</v>
      </c>
      <c r="B3" s="28">
        <f>+Datos!$P$18-Datos!$Q$18</f>
        <v>27781600</v>
      </c>
      <c r="C3" s="28">
        <f>1/(1+$F$1)^A3</f>
        <v>0.90909090909090906</v>
      </c>
      <c r="D3" s="28">
        <f>B3*C3</f>
        <v>25256000</v>
      </c>
    </row>
    <row r="4" spans="1:6">
      <c r="A4">
        <v>2</v>
      </c>
      <c r="B4" s="28">
        <f>+Datos!$P$18-Datos!$Q$18</f>
        <v>27781600</v>
      </c>
      <c r="C4" s="28">
        <f>1/(1+$F$1)^A4</f>
        <v>0.82644628099173545</v>
      </c>
      <c r="D4" s="28">
        <f>B4*C4</f>
        <v>22959999.999999996</v>
      </c>
    </row>
    <row r="5" spans="1:6">
      <c r="A5">
        <v>3</v>
      </c>
      <c r="B5" s="28">
        <f>+Datos!$P$18-Datos!$Q$18</f>
        <v>27781600</v>
      </c>
      <c r="C5" s="28">
        <f>1/(1+$F$1)^A5</f>
        <v>0.75131480090157754</v>
      </c>
      <c r="D5" s="28">
        <f>B5*C5</f>
        <v>20872727.272727266</v>
      </c>
    </row>
    <row r="6" spans="1:6" ht="15.75">
      <c r="C6" s="37" t="s">
        <v>54</v>
      </c>
      <c r="D6" s="42">
        <f>SUM(D2:D5)</f>
        <v>44088727.272727266</v>
      </c>
    </row>
    <row r="7" spans="1:6" ht="15.75">
      <c r="C7" s="37" t="s">
        <v>55</v>
      </c>
      <c r="D7" s="41">
        <f>IRR(D2:D5)</f>
        <v>0.78612995223120974</v>
      </c>
    </row>
    <row r="8" spans="1:6">
      <c r="B8"/>
      <c r="C8"/>
      <c r="D8"/>
    </row>
    <row r="11" spans="1:6">
      <c r="C11" s="28" t="s">
        <v>56</v>
      </c>
      <c r="D11" s="28">
        <f>NPV(F1,B3:B5)+B2</f>
        <v>44088727.272727266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24FD-3BFE-4696-A892-493561DBC47E}">
  <dimension ref="A1:F12"/>
  <sheetViews>
    <sheetView workbookViewId="0">
      <selection activeCell="B6" sqref="B6"/>
    </sheetView>
  </sheetViews>
  <sheetFormatPr defaultColWidth="11.42578125" defaultRowHeight="14.25"/>
  <cols>
    <col min="2" max="2" width="14" bestFit="1" customWidth="1"/>
    <col min="4" max="4" width="14" bestFit="1" customWidth="1"/>
    <col min="6" max="6" width="14" bestFit="1" customWidth="1"/>
  </cols>
  <sheetData>
    <row r="1" spans="1:6" ht="15">
      <c r="A1" s="34" t="s">
        <v>49</v>
      </c>
      <c r="B1" s="35" t="s">
        <v>52</v>
      </c>
      <c r="C1" s="35"/>
      <c r="D1" s="35"/>
      <c r="E1" s="34"/>
      <c r="F1" s="40"/>
    </row>
    <row r="2" spans="1:6">
      <c r="A2">
        <v>0</v>
      </c>
      <c r="B2" s="28">
        <v>-25000000</v>
      </c>
      <c r="C2" s="28"/>
      <c r="D2" s="28"/>
    </row>
    <row r="3" spans="1:6" ht="15">
      <c r="A3">
        <v>1</v>
      </c>
      <c r="B3" s="28">
        <v>25256000</v>
      </c>
      <c r="C3" s="28"/>
      <c r="D3" s="28"/>
      <c r="E3" s="7"/>
      <c r="F3" s="38"/>
    </row>
    <row r="4" spans="1:6">
      <c r="A4">
        <v>2</v>
      </c>
      <c r="B4" s="28">
        <v>22959999.999999996</v>
      </c>
      <c r="C4" s="28"/>
      <c r="D4" s="28"/>
    </row>
    <row r="5" spans="1:6">
      <c r="A5">
        <v>3</v>
      </c>
      <c r="B5" s="28">
        <v>20872727.272727266</v>
      </c>
      <c r="C5" s="28"/>
      <c r="D5" s="28"/>
    </row>
    <row r="6" spans="1:6" ht="15">
      <c r="A6" s="7" t="s">
        <v>57</v>
      </c>
      <c r="B6" s="39">
        <f>IRR(B2:B5)</f>
        <v>0.78612995223120974</v>
      </c>
      <c r="C6" s="37"/>
      <c r="D6" s="28"/>
    </row>
    <row r="7" spans="1:6">
      <c r="B7" s="28"/>
      <c r="C7" s="37"/>
      <c r="D7" s="36"/>
    </row>
    <row r="9" spans="1:6">
      <c r="B9" s="28"/>
      <c r="C9" s="28"/>
      <c r="D9" s="28"/>
    </row>
    <row r="10" spans="1:6">
      <c r="B10" s="28"/>
      <c r="C10" s="28"/>
      <c r="D10" s="28"/>
    </row>
    <row r="11" spans="1:6">
      <c r="B11" s="28"/>
      <c r="C11" s="28"/>
      <c r="D11" s="28"/>
    </row>
    <row r="12" spans="1:6">
      <c r="B12" s="28"/>
      <c r="C12" s="28"/>
      <c r="D12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B662-17D0-43F7-96CA-CF73BF85FE1F}">
  <dimension ref="B2:H30"/>
  <sheetViews>
    <sheetView workbookViewId="0">
      <selection activeCell="B26" sqref="B26"/>
    </sheetView>
  </sheetViews>
  <sheetFormatPr defaultColWidth="11.42578125" defaultRowHeight="14.25"/>
  <cols>
    <col min="2" max="2" width="23.42578125" bestFit="1" customWidth="1"/>
    <col min="3" max="3" width="14" bestFit="1" customWidth="1"/>
  </cols>
  <sheetData>
    <row r="2" spans="2:8" ht="15">
      <c r="B2" s="47" t="s">
        <v>58</v>
      </c>
      <c r="C2" s="47"/>
      <c r="D2" s="1"/>
      <c r="E2" s="1"/>
      <c r="F2" s="2"/>
      <c r="H2" s="1"/>
    </row>
    <row r="3" spans="2:8" ht="15">
      <c r="B3" s="1" t="s">
        <v>59</v>
      </c>
      <c r="C3" s="21">
        <v>10000000</v>
      </c>
      <c r="D3" s="1"/>
      <c r="E3" s="1"/>
      <c r="F3" s="2"/>
      <c r="H3" s="1"/>
    </row>
    <row r="4" spans="2:8" ht="15">
      <c r="B4" s="1" t="s">
        <v>60</v>
      </c>
      <c r="C4" s="21">
        <f>+C3*19%</f>
        <v>1900000</v>
      </c>
      <c r="D4" s="1"/>
      <c r="E4" s="1"/>
      <c r="F4" s="2"/>
      <c r="H4" s="1"/>
    </row>
    <row r="5" spans="2:8" ht="15">
      <c r="B5" s="1" t="s">
        <v>61</v>
      </c>
      <c r="C5" s="21">
        <f>+C3+C4</f>
        <v>11900000</v>
      </c>
      <c r="D5" s="1"/>
      <c r="E5" s="1"/>
      <c r="F5" s="2"/>
      <c r="H5" s="1"/>
    </row>
    <row r="6" spans="2:8" ht="15">
      <c r="B6" s="22" t="s">
        <v>62</v>
      </c>
      <c r="C6" s="21">
        <f>+C19</f>
        <v>1100000</v>
      </c>
      <c r="D6" s="1" t="s">
        <v>63</v>
      </c>
      <c r="E6" s="1"/>
      <c r="F6" s="2"/>
      <c r="H6" s="1"/>
    </row>
    <row r="7" spans="2:8" ht="15">
      <c r="B7" s="22" t="s">
        <v>64</v>
      </c>
      <c r="C7" s="21">
        <f>+C21</f>
        <v>86600</v>
      </c>
      <c r="D7" s="1" t="s">
        <v>65</v>
      </c>
      <c r="E7" s="1"/>
      <c r="F7" s="2"/>
      <c r="H7" s="1"/>
    </row>
    <row r="8" spans="2:8" ht="15">
      <c r="B8" s="1" t="s">
        <v>66</v>
      </c>
      <c r="C8" s="21">
        <f>+C5-C6-C7</f>
        <v>10713400</v>
      </c>
      <c r="D8" s="1"/>
      <c r="E8" s="1"/>
      <c r="F8" s="2"/>
      <c r="H8" s="1"/>
    </row>
    <row r="9" spans="2:8" ht="15">
      <c r="B9" s="1" t="s">
        <v>67</v>
      </c>
      <c r="C9" s="21">
        <f>+C3*15%</f>
        <v>1500000</v>
      </c>
      <c r="D9" s="1"/>
      <c r="E9" s="1"/>
      <c r="F9" s="2"/>
      <c r="H9" s="1"/>
    </row>
    <row r="10" spans="2:8" ht="30">
      <c r="B10" s="3" t="s">
        <v>68</v>
      </c>
      <c r="C10" s="21">
        <f>+C4</f>
        <v>1900000</v>
      </c>
      <c r="D10" s="1"/>
      <c r="E10" s="1"/>
      <c r="F10" s="2"/>
      <c r="H10" s="1"/>
    </row>
    <row r="11" spans="2:8" ht="15">
      <c r="B11" s="1" t="s">
        <v>69</v>
      </c>
      <c r="C11" s="21">
        <f>(C3-C9)*35%</f>
        <v>2975000</v>
      </c>
      <c r="D11" s="1"/>
      <c r="E11" s="1"/>
      <c r="F11" s="2"/>
      <c r="H11" s="1"/>
    </row>
    <row r="12" spans="2:8" ht="15">
      <c r="B12" s="1" t="s">
        <v>70</v>
      </c>
      <c r="C12" s="21">
        <f>+C11-C6</f>
        <v>1875000</v>
      </c>
      <c r="D12" s="1"/>
      <c r="E12" s="1"/>
      <c r="F12" s="2"/>
      <c r="H12" s="1"/>
    </row>
    <row r="13" spans="2:8" ht="15">
      <c r="B13" s="1" t="s">
        <v>71</v>
      </c>
      <c r="C13" s="23">
        <f>+C3-C9-C11</f>
        <v>5525000</v>
      </c>
      <c r="D13" s="24">
        <f>+C13/C3</f>
        <v>0.55249999999999999</v>
      </c>
      <c r="E13" s="1"/>
      <c r="F13" s="2"/>
      <c r="H13" s="1"/>
    </row>
    <row r="14" spans="2:8" ht="15">
      <c r="B14" s="1"/>
      <c r="C14" s="21"/>
      <c r="D14" s="1"/>
      <c r="E14" s="1"/>
      <c r="F14" s="2"/>
      <c r="H14" s="1"/>
    </row>
    <row r="15" spans="2:8" ht="15">
      <c r="B15" s="25">
        <v>0.14000000000000001</v>
      </c>
      <c r="C15" s="26">
        <f>+C3*14%</f>
        <v>1400000.0000000002</v>
      </c>
      <c r="D15" s="1"/>
      <c r="E15" s="1"/>
      <c r="F15" s="2"/>
      <c r="H15" s="1"/>
    </row>
    <row r="16" spans="2:8" ht="15">
      <c r="B16" s="1"/>
      <c r="C16" s="21"/>
      <c r="D16" s="1"/>
      <c r="E16" s="1"/>
      <c r="F16" s="2"/>
      <c r="H16" s="1"/>
    </row>
    <row r="17" spans="2:8" ht="15">
      <c r="B17" s="1"/>
      <c r="C17" s="21"/>
      <c r="D17" s="1"/>
      <c r="E17" s="1"/>
      <c r="F17" s="2"/>
      <c r="H17" s="1"/>
    </row>
    <row r="18" spans="2:8" ht="15">
      <c r="B18" s="1" t="s">
        <v>72</v>
      </c>
      <c r="C18" s="21"/>
      <c r="D18" s="1"/>
      <c r="E18" s="1"/>
      <c r="F18" s="2"/>
      <c r="H18" s="1"/>
    </row>
    <row r="19" spans="2:8" ht="30">
      <c r="B19" s="3" t="s">
        <v>73</v>
      </c>
      <c r="C19" s="21">
        <f>+C3*11%</f>
        <v>1100000</v>
      </c>
      <c r="D19" s="1" t="s">
        <v>74</v>
      </c>
      <c r="E19" s="1"/>
      <c r="F19" s="2"/>
      <c r="H19" s="1"/>
    </row>
    <row r="20" spans="2:8" ht="15">
      <c r="B20" s="3" t="s">
        <v>75</v>
      </c>
      <c r="C20" s="21">
        <f>+C4</f>
        <v>1900000</v>
      </c>
      <c r="D20" s="1"/>
      <c r="E20" s="1"/>
      <c r="F20" s="2"/>
      <c r="H20" s="1"/>
    </row>
    <row r="21" spans="2:8" ht="15">
      <c r="B21" s="1" t="s">
        <v>76</v>
      </c>
      <c r="C21" s="21">
        <f>+C3*8.66/1000</f>
        <v>86600</v>
      </c>
      <c r="D21" s="1"/>
      <c r="E21" s="1"/>
      <c r="F21" s="2"/>
      <c r="H21" s="1"/>
    </row>
    <row r="22" spans="2:8" ht="15">
      <c r="B22" s="1"/>
      <c r="C22" s="21"/>
      <c r="D22" s="1"/>
      <c r="E22" s="1"/>
      <c r="F22" s="2"/>
      <c r="H22" s="1"/>
    </row>
    <row r="23" spans="2:8" ht="15">
      <c r="B23" s="1"/>
      <c r="C23" s="21"/>
      <c r="D23" s="1"/>
      <c r="E23" s="1"/>
      <c r="F23" s="2"/>
      <c r="H23" s="1"/>
    </row>
    <row r="24" spans="2:8" ht="15">
      <c r="B24" s="1"/>
      <c r="C24" s="21"/>
      <c r="D24" s="1"/>
      <c r="E24" s="1"/>
      <c r="F24" s="2"/>
      <c r="H24" s="1"/>
    </row>
    <row r="25" spans="2:8" ht="15">
      <c r="B25" s="1"/>
      <c r="C25" s="1"/>
      <c r="D25" s="1"/>
      <c r="E25" s="1"/>
      <c r="F25" s="2"/>
      <c r="H25" s="1"/>
    </row>
    <row r="26" spans="2:8" ht="15">
      <c r="B26" s="1"/>
      <c r="C26" s="1"/>
      <c r="D26" s="1"/>
      <c r="E26" s="1"/>
      <c r="F26" s="2"/>
      <c r="H26" s="1"/>
    </row>
    <row r="27" spans="2:8" ht="15">
      <c r="B27" s="1"/>
      <c r="C27" s="1"/>
      <c r="D27" s="1"/>
      <c r="E27" s="1"/>
      <c r="F27" s="2"/>
      <c r="H27" s="1"/>
    </row>
    <row r="28" spans="2:8" ht="15">
      <c r="B28" s="1"/>
      <c r="C28" s="1"/>
      <c r="D28" s="1"/>
      <c r="E28" s="1"/>
      <c r="F28" s="2"/>
      <c r="H28" s="1"/>
    </row>
    <row r="29" spans="2:8" ht="15">
      <c r="B29" s="1"/>
      <c r="C29" s="1"/>
      <c r="D29" s="1"/>
      <c r="E29" s="1"/>
      <c r="F29" s="2"/>
      <c r="H29" s="1"/>
    </row>
    <row r="30" spans="2:8" ht="15">
      <c r="B30" s="1"/>
      <c r="C30" s="1"/>
      <c r="D30" s="1"/>
      <c r="E30" s="1"/>
      <c r="F30" s="2"/>
      <c r="H30" s="1"/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8B8645FAAC88469D21461722E5D2B7" ma:contentTypeVersion="3" ma:contentTypeDescription="Crear nuevo documento." ma:contentTypeScope="" ma:versionID="ff9532e88ce9a98f118a58b1a1e64181">
  <xsd:schema xmlns:xsd="http://www.w3.org/2001/XMLSchema" xmlns:xs="http://www.w3.org/2001/XMLSchema" xmlns:p="http://schemas.microsoft.com/office/2006/metadata/properties" xmlns:ns2="d841bbf5-b035-4268-ab8a-edb0677be66e" targetNamespace="http://schemas.microsoft.com/office/2006/metadata/properties" ma:root="true" ma:fieldsID="ad369f4e23e4f8bed5898ee4fd48bb31" ns2:_="">
    <xsd:import namespace="d841bbf5-b035-4268-ab8a-edb0677be6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1bbf5-b035-4268-ab8a-edb0677be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2D8E71-D5A4-4984-AAC3-F244E57474BE}"/>
</file>

<file path=customXml/itemProps2.xml><?xml version="1.0" encoding="utf-8"?>
<ds:datastoreItem xmlns:ds="http://schemas.openxmlformats.org/officeDocument/2006/customXml" ds:itemID="{D00279D2-7D60-4631-BEC4-B2B86C4C3A3E}"/>
</file>

<file path=customXml/itemProps3.xml><?xml version="1.0" encoding="utf-8"?>
<ds:datastoreItem xmlns:ds="http://schemas.openxmlformats.org/officeDocument/2006/customXml" ds:itemID="{C58C6075-A13B-453A-B292-C60AC65A8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Cristina Rios Cespedes</dc:creator>
  <cp:keywords/>
  <dc:description/>
  <cp:lastModifiedBy>ANA MARIA JARAMILLO RAMIREZ</cp:lastModifiedBy>
  <cp:revision/>
  <dcterms:created xsi:type="dcterms:W3CDTF">2025-09-20T00:50:29Z</dcterms:created>
  <dcterms:modified xsi:type="dcterms:W3CDTF">2025-09-27T22:04:52Z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0x010100C68B8645FAAC88469D21461722E5D2B7</vt:lpwstr>
  </property>
</Properties>
</file>