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https://slb001-my.sharepoint.com/personal/mgonzalez160_slb_com/Documents/Work/doc/Mafe/EAN/Seminario Creacion empresas/Final/Anexos/"/>
    </mc:Choice>
  </mc:AlternateContent>
  <xr:revisionPtr revIDLastSave="445" documentId="13_ncr:1_{874D27AB-1AE4-4AD4-8A79-D7768FDBAC35}" xr6:coauthVersionLast="47" xr6:coauthVersionMax="47" xr10:uidLastSave="{7BDB3A39-A04A-4CC8-9A05-969B486C2E25}"/>
  <bookViews>
    <workbookView xWindow="-108" yWindow="-108" windowWidth="23256" windowHeight="12720" tabRatio="703" activeTab="6" xr2:uid="{00000000-000D-0000-FFFF-FFFF00000000}"/>
  </bookViews>
  <sheets>
    <sheet name="Menú" sheetId="7" r:id="rId1"/>
    <sheet name="1" sheetId="1" r:id="rId2"/>
    <sheet name="2" sheetId="4" r:id="rId3"/>
    <sheet name="3" sheetId="3" r:id="rId4"/>
    <sheet name="4" sheetId="5" r:id="rId5"/>
    <sheet name="5" sheetId="6" r:id="rId6"/>
    <sheet name="Indicadores Financieros" sheetId="8" r:id="rId7"/>
    <sheet name="Sheet1" sheetId="9" state="hidden" r:id="rId8"/>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 l="1"/>
  <c r="D17" i="1"/>
  <c r="F17" i="9"/>
  <c r="E17" i="9"/>
  <c r="D17" i="9"/>
  <c r="C17" i="9"/>
  <c r="B17" i="9"/>
  <c r="B9" i="9"/>
  <c r="C9" i="9"/>
  <c r="D9" i="9"/>
  <c r="E9" i="9"/>
  <c r="F9" i="9"/>
  <c r="F18" i="4"/>
  <c r="F21" i="4" l="1"/>
  <c r="F20" i="4"/>
  <c r="F19" i="4"/>
  <c r="H55" i="6"/>
  <c r="H54" i="6"/>
  <c r="B40" i="6" l="1"/>
  <c r="B41" i="6" s="1"/>
  <c r="B42" i="6" s="1"/>
  <c r="B43" i="6" s="1"/>
  <c r="B44" i="6" s="1"/>
  <c r="B45" i="6" s="1"/>
  <c r="B46" i="6" s="1"/>
  <c r="B47" i="6" s="1"/>
  <c r="B48" i="6" s="1"/>
  <c r="C40" i="6"/>
  <c r="C41" i="6"/>
  <c r="C42" i="6"/>
  <c r="C43" i="6"/>
  <c r="C44" i="6"/>
  <c r="C45" i="6"/>
  <c r="C46" i="6"/>
  <c r="C47" i="6"/>
  <c r="C48" i="6"/>
  <c r="F11" i="5" l="1"/>
  <c r="G11" i="5"/>
  <c r="E11" i="5" l="1"/>
  <c r="D11" i="5"/>
  <c r="C11" i="5"/>
  <c r="J16" i="6" l="1"/>
  <c r="J17" i="6"/>
  <c r="J18" i="6"/>
  <c r="J19" i="6"/>
  <c r="J20" i="6"/>
  <c r="J21" i="6"/>
  <c r="J22" i="6"/>
  <c r="J23" i="6"/>
  <c r="J24" i="6"/>
  <c r="H16" i="6"/>
  <c r="H17" i="6"/>
  <c r="H18" i="6"/>
  <c r="H19" i="6"/>
  <c r="H20" i="6"/>
  <c r="H21" i="6"/>
  <c r="H22" i="6"/>
  <c r="H23" i="6"/>
  <c r="H24" i="6"/>
  <c r="D33" i="6"/>
  <c r="G16" i="6"/>
  <c r="G17" i="6" s="1"/>
  <c r="G18" i="6" s="1"/>
  <c r="G19" i="6" s="1"/>
  <c r="G20" i="6" s="1"/>
  <c r="G21" i="6" s="1"/>
  <c r="G22" i="6" s="1"/>
  <c r="G23" i="6" s="1"/>
  <c r="G24" i="6" s="1"/>
  <c r="G25" i="6" s="1"/>
  <c r="C16" i="6"/>
  <c r="C17" i="6"/>
  <c r="C18" i="6"/>
  <c r="C19" i="6"/>
  <c r="C20" i="6"/>
  <c r="C21" i="6"/>
  <c r="C22" i="6"/>
  <c r="C23" i="6"/>
  <c r="C24"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A17" i="1"/>
  <c r="A4" i="1"/>
  <c r="A18" i="1" s="1"/>
  <c r="C5" i="5" l="1"/>
  <c r="C20" i="5" s="1"/>
  <c r="D7" i="6" s="1"/>
  <c r="E9" i="3"/>
  <c r="G9" i="5"/>
  <c r="H2" i="1"/>
  <c r="I2" i="1" s="1"/>
  <c r="B28" i="4"/>
  <c r="C34" i="6"/>
  <c r="C35" i="6" s="1"/>
  <c r="F33" i="6"/>
  <c r="W12" i="1"/>
  <c r="W11" i="1"/>
  <c r="W10" i="1"/>
  <c r="W7" i="1"/>
  <c r="W6" i="1"/>
  <c r="W5" i="1"/>
  <c r="B26" i="5"/>
  <c r="B48" i="5" s="1"/>
  <c r="B50" i="5" s="1"/>
  <c r="C24" i="5"/>
  <c r="E12" i="5"/>
  <c r="F12" i="5" s="1"/>
  <c r="D25" i="5"/>
  <c r="D49" i="5" s="1"/>
  <c r="C31" i="1"/>
  <c r="L2" i="1"/>
  <c r="L16" i="1" s="1"/>
  <c r="S25" i="1"/>
  <c r="S21" i="1"/>
  <c r="W21" i="1" s="1"/>
  <c r="V21" i="1"/>
  <c r="S19" i="1"/>
  <c r="V12" i="1"/>
  <c r="V10" i="1"/>
  <c r="V6"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L25" i="1"/>
  <c r="M25" i="1" s="1"/>
  <c r="U21" i="1"/>
  <c r="L26" i="1"/>
  <c r="M26" i="1" s="1"/>
  <c r="U6" i="1"/>
  <c r="L24" i="1"/>
  <c r="M24" i="1" s="1"/>
  <c r="N24" i="1" s="1"/>
  <c r="O24" i="1" s="1"/>
  <c r="L20" i="1"/>
  <c r="M20" i="1" s="1"/>
  <c r="Q24" i="1"/>
  <c r="R24" i="1" s="1"/>
  <c r="Q22" i="1"/>
  <c r="R22" i="1" s="1"/>
  <c r="S22" i="1" s="1"/>
  <c r="Q18" i="1"/>
  <c r="R18" i="1" s="1"/>
  <c r="T21" i="1"/>
  <c r="T9" i="1"/>
  <c r="U5" i="1"/>
  <c r="U10" i="1"/>
  <c r="T10" i="1"/>
  <c r="T6" i="1"/>
  <c r="U11" i="1"/>
  <c r="U7" i="1"/>
  <c r="T5" i="1"/>
  <c r="U12" i="1"/>
  <c r="T12" i="1"/>
  <c r="T8" i="1"/>
  <c r="T4" i="1"/>
  <c r="T11" i="1"/>
  <c r="M9" i="1"/>
  <c r="M8" i="1"/>
  <c r="T7" i="1"/>
  <c r="M4" i="1"/>
  <c r="D5" i="5" l="1"/>
  <c r="D20" i="5" s="1"/>
  <c r="E7" i="6" s="1"/>
  <c r="E10" i="3"/>
  <c r="C43" i="5"/>
  <c r="G12" i="5"/>
  <c r="F25" i="5"/>
  <c r="J2" i="1"/>
  <c r="B31" i="4" s="1"/>
  <c r="B30" i="4"/>
  <c r="M2" i="1"/>
  <c r="B29" i="4"/>
  <c r="A21" i="1"/>
  <c r="W23" i="1"/>
  <c r="W22" i="1"/>
  <c r="U26" i="1"/>
  <c r="N26" i="1"/>
  <c r="U25" i="1"/>
  <c r="N25" i="1"/>
  <c r="U9" i="1"/>
  <c r="N9" i="1"/>
  <c r="U8" i="1"/>
  <c r="N8" i="1"/>
  <c r="U20" i="1"/>
  <c r="N20" i="1"/>
  <c r="U19" i="1"/>
  <c r="N19" i="1"/>
  <c r="U4" i="1"/>
  <c r="N4" i="1"/>
  <c r="D24" i="5"/>
  <c r="C26" i="5"/>
  <c r="C48" i="5" s="1"/>
  <c r="C50" i="5" s="1"/>
  <c r="E25" i="5"/>
  <c r="E49" i="5" s="1"/>
  <c r="D31" i="1"/>
  <c r="V23" i="1"/>
  <c r="S18" i="1"/>
  <c r="W18" i="1" s="1"/>
  <c r="V18" i="1"/>
  <c r="V22" i="1"/>
  <c r="S24" i="1"/>
  <c r="W24" i="1" s="1"/>
  <c r="V24" i="1"/>
  <c r="T18" i="1"/>
  <c r="A24" i="1"/>
  <c r="A19" i="1"/>
  <c r="U23" i="1"/>
  <c r="U18" i="1"/>
  <c r="T25" i="1"/>
  <c r="U22" i="1"/>
  <c r="T22" i="1"/>
  <c r="A25" i="1"/>
  <c r="A22" i="1"/>
  <c r="T23" i="1"/>
  <c r="A23" i="1"/>
  <c r="A20" i="1"/>
  <c r="U24" i="1"/>
  <c r="T20" i="1"/>
  <c r="T26" i="1"/>
  <c r="T24" i="1"/>
  <c r="T19" i="1"/>
  <c r="D43" i="5" l="1"/>
  <c r="E5" i="5"/>
  <c r="E20" i="5" s="1"/>
  <c r="F7" i="6" s="1"/>
  <c r="E11" i="3"/>
  <c r="G25" i="5"/>
  <c r="M16" i="1"/>
  <c r="N2"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E43" i="5" l="1"/>
  <c r="F5" i="5"/>
  <c r="F20" i="5" s="1"/>
  <c r="G7" i="6" s="1"/>
  <c r="E12" i="3"/>
  <c r="G24" i="5"/>
  <c r="G26" i="5" s="1"/>
  <c r="F26" i="5"/>
  <c r="N16" i="1"/>
  <c r="O2" i="1"/>
  <c r="O16" i="1" s="1"/>
  <c r="E26" i="5"/>
  <c r="E48" i="5" s="1"/>
  <c r="E50" i="5" s="1"/>
  <c r="G49" i="5"/>
  <c r="F31" i="1"/>
  <c r="E13" i="3" s="1"/>
  <c r="F43" i="5" l="1"/>
  <c r="G48" i="5"/>
  <c r="G50" i="5" s="1"/>
  <c r="F48" i="5"/>
  <c r="F50" i="5" s="1"/>
  <c r="G5" i="5"/>
  <c r="G20" i="5" s="1"/>
  <c r="H7" i="6" s="1"/>
  <c r="G43" i="5" l="1"/>
  <c r="C39" i="6" l="1"/>
  <c r="Q3" i="1"/>
  <c r="R3" i="1" s="1"/>
  <c r="P3" i="1"/>
  <c r="T3" i="1" s="1"/>
  <c r="T13" i="1" s="1"/>
  <c r="C32" i="1" s="1"/>
  <c r="E13" i="1"/>
  <c r="F7" i="1" s="1"/>
  <c r="D19" i="6" s="1"/>
  <c r="E19" i="6" s="1"/>
  <c r="C15" i="6"/>
  <c r="J15" i="6"/>
  <c r="E3" i="1"/>
  <c r="H15" i="6"/>
  <c r="F8" i="1" l="1"/>
  <c r="D20" i="6" s="1"/>
  <c r="E20" i="6" s="1"/>
  <c r="F9" i="1"/>
  <c r="D21" i="6" s="1"/>
  <c r="E21" i="6" s="1"/>
  <c r="F12" i="1"/>
  <c r="D24" i="6" s="1"/>
  <c r="E24" i="6" s="1"/>
  <c r="F3" i="1"/>
  <c r="F10" i="1"/>
  <c r="D22" i="6" s="1"/>
  <c r="E22" i="6" s="1"/>
  <c r="U3" i="1"/>
  <c r="U13" i="1" s="1"/>
  <c r="D32" i="1" s="1"/>
  <c r="E6" i="5" s="1"/>
  <c r="V3" i="1"/>
  <c r="V13" i="1" s="1"/>
  <c r="E32" i="1" s="1"/>
  <c r="S3" i="1"/>
  <c r="W3" i="1" s="1"/>
  <c r="W13" i="1" s="1"/>
  <c r="F32" i="1" s="1"/>
  <c r="D6" i="5"/>
  <c r="D15" i="6"/>
  <c r="E15" i="6" s="1"/>
  <c r="F11" i="1"/>
  <c r="D23" i="6" s="1"/>
  <c r="E23" i="6" s="1"/>
  <c r="P17" i="1"/>
  <c r="F5" i="1"/>
  <c r="D17" i="6" s="1"/>
  <c r="E17" i="6" s="1"/>
  <c r="B32" i="1"/>
  <c r="E17" i="1"/>
  <c r="E27" i="1" s="1"/>
  <c r="F6" i="1"/>
  <c r="D18" i="6" s="1"/>
  <c r="E18" i="6" s="1"/>
  <c r="F4" i="1"/>
  <c r="D16" i="6" s="1"/>
  <c r="E16" i="6" s="1"/>
  <c r="E27" i="6" l="1"/>
  <c r="E28" i="6" s="1"/>
  <c r="F24" i="6" s="1"/>
  <c r="D48" i="6" s="1"/>
  <c r="E48" i="6" s="1"/>
  <c r="G6" i="5"/>
  <c r="Q17" i="1"/>
  <c r="T17" i="1"/>
  <c r="T27" i="1" s="1"/>
  <c r="C33" i="1" s="1"/>
  <c r="F6" i="5"/>
  <c r="F13" i="1"/>
  <c r="F17" i="1"/>
  <c r="F23" i="1"/>
  <c r="B33" i="1"/>
  <c r="F18" i="1"/>
  <c r="F25" i="1"/>
  <c r="F19" i="1"/>
  <c r="F24" i="1"/>
  <c r="F20" i="1"/>
  <c r="F22" i="1"/>
  <c r="F21" i="1"/>
  <c r="F26" i="1"/>
  <c r="C6" i="5"/>
  <c r="F18" i="6" l="1"/>
  <c r="D42" i="6" s="1"/>
  <c r="E42" i="6" s="1"/>
  <c r="F17" i="6"/>
  <c r="D41" i="6" s="1"/>
  <c r="E41" i="6" s="1"/>
  <c r="F19" i="6"/>
  <c r="D43" i="6" s="1"/>
  <c r="E43" i="6" s="1"/>
  <c r="F16" i="6"/>
  <c r="D40" i="6" s="1"/>
  <c r="E40" i="6" s="1"/>
  <c r="F23" i="6"/>
  <c r="D47" i="6" s="1"/>
  <c r="E47" i="6" s="1"/>
  <c r="F20" i="6"/>
  <c r="D44" i="6" s="1"/>
  <c r="E44" i="6" s="1"/>
  <c r="F22" i="6"/>
  <c r="D46" i="6" s="1"/>
  <c r="E46" i="6" s="1"/>
  <c r="F21" i="6"/>
  <c r="D45" i="6" s="1"/>
  <c r="E45" i="6" s="1"/>
  <c r="F15" i="6"/>
  <c r="C7" i="5"/>
  <c r="C8" i="5" s="1"/>
  <c r="D8" i="3"/>
  <c r="D12" i="3" s="1"/>
  <c r="D14" i="3" s="1"/>
  <c r="B34" i="1"/>
  <c r="D7" i="5"/>
  <c r="D8" i="5" s="1"/>
  <c r="C34" i="1"/>
  <c r="F27" i="1"/>
  <c r="R17" i="1"/>
  <c r="U17" i="1"/>
  <c r="U27" i="1" s="1"/>
  <c r="D33" i="1" s="1"/>
  <c r="F25" i="6" l="1"/>
  <c r="B34" i="6" s="1"/>
  <c r="B35" i="6" s="1"/>
  <c r="E34" i="6"/>
  <c r="F34" i="6" s="1"/>
  <c r="D34" i="6"/>
  <c r="C13" i="5"/>
  <c r="C7" i="8" s="1"/>
  <c r="C6" i="8"/>
  <c r="D13" i="5"/>
  <c r="D7" i="8" s="1"/>
  <c r="D6" i="8"/>
  <c r="D39" i="6"/>
  <c r="E39" i="6" s="1"/>
  <c r="E49" i="6" s="1"/>
  <c r="E29" i="6" s="1"/>
  <c r="I22" i="6"/>
  <c r="I19" i="6"/>
  <c r="I24" i="6"/>
  <c r="I15" i="6"/>
  <c r="I21" i="6"/>
  <c r="I23" i="6"/>
  <c r="I18" i="6"/>
  <c r="I16" i="6"/>
  <c r="I20" i="6"/>
  <c r="I17" i="6"/>
  <c r="E7" i="5"/>
  <c r="E8" i="5" s="1"/>
  <c r="D34" i="1"/>
  <c r="C8" i="6"/>
  <c r="D16" i="3"/>
  <c r="J8" i="3" s="1"/>
  <c r="S17" i="1"/>
  <c r="W17" i="1" s="1"/>
  <c r="W27" i="1" s="1"/>
  <c r="F33" i="1" s="1"/>
  <c r="V17" i="1"/>
  <c r="V27" i="1" s="1"/>
  <c r="E33" i="1" s="1"/>
  <c r="D55" i="5" l="1"/>
  <c r="C55" i="5"/>
  <c r="E13" i="5"/>
  <c r="E7" i="8" s="1"/>
  <c r="E6" i="8"/>
  <c r="G7" i="5"/>
  <c r="G8" i="5" s="1"/>
  <c r="F34" i="1"/>
  <c r="I9" i="3"/>
  <c r="B31" i="5"/>
  <c r="B32" i="5" s="1"/>
  <c r="F9" i="3"/>
  <c r="E35" i="6"/>
  <c r="F35" i="6" s="1"/>
  <c r="D35" i="6"/>
  <c r="C9" i="6"/>
  <c r="C56" i="5"/>
  <c r="C57" i="5" s="1"/>
  <c r="D56" i="5"/>
  <c r="D57" i="5" s="1"/>
  <c r="F7" i="5"/>
  <c r="F8" i="5" s="1"/>
  <c r="E34" i="1"/>
  <c r="E55" i="5" l="1"/>
  <c r="E56" i="5" s="1"/>
  <c r="E57" i="5" s="1"/>
  <c r="G13" i="5"/>
  <c r="G7" i="8" s="1"/>
  <c r="G6" i="8"/>
  <c r="F13" i="5"/>
  <c r="F7" i="8" s="1"/>
  <c r="F6" i="8"/>
  <c r="G9" i="3"/>
  <c r="C14" i="5" s="1"/>
  <c r="C15" i="5" s="1"/>
  <c r="B38" i="5"/>
  <c r="B22" i="5" s="1"/>
  <c r="F55" i="5" l="1"/>
  <c r="G55" i="5"/>
  <c r="G56" i="5" s="1"/>
  <c r="G57" i="5" s="1"/>
  <c r="B44" i="5"/>
  <c r="B46" i="5" s="1"/>
  <c r="B52" i="5" s="1"/>
  <c r="B27" i="5"/>
  <c r="F56" i="5"/>
  <c r="F57" i="5" s="1"/>
  <c r="H9" i="3"/>
  <c r="J9" i="3" s="1"/>
  <c r="C16" i="5"/>
  <c r="C29" i="5" s="1"/>
  <c r="I10" i="3" l="1"/>
  <c r="C31" i="5"/>
  <c r="F10" i="3"/>
  <c r="C17" i="5"/>
  <c r="B19" i="9" s="1"/>
  <c r="B39" i="5"/>
  <c r="H53" i="6"/>
  <c r="H52" i="6"/>
  <c r="C45" i="5"/>
  <c r="C30" i="5"/>
  <c r="C35" i="5" l="1"/>
  <c r="C36" i="5" s="1"/>
  <c r="C8" i="8"/>
  <c r="C32" i="5"/>
  <c r="G10" i="3"/>
  <c r="C38" i="5" l="1"/>
  <c r="C22" i="5" s="1"/>
  <c r="C44" i="5" s="1"/>
  <c r="C5" i="8"/>
  <c r="D14" i="5"/>
  <c r="D15" i="5" s="1"/>
  <c r="H10" i="3"/>
  <c r="J10" i="3" s="1"/>
  <c r="C27" i="5" l="1"/>
  <c r="C39" i="5" s="1"/>
  <c r="C4" i="8"/>
  <c r="C46" i="5"/>
  <c r="C52" i="5" s="1"/>
  <c r="C58" i="5" s="1"/>
  <c r="C59" i="5" s="1"/>
  <c r="D8" i="6" s="1"/>
  <c r="D9" i="6" s="1"/>
  <c r="C3" i="8"/>
  <c r="C2" i="8"/>
  <c r="I11" i="3"/>
  <c r="F11" i="3"/>
  <c r="D31" i="5"/>
  <c r="D16" i="5"/>
  <c r="D29" i="5" s="1"/>
  <c r="D30" i="5" l="1"/>
  <c r="D32" i="5" s="1"/>
  <c r="D45" i="5"/>
  <c r="G11" i="3"/>
  <c r="D17" i="5"/>
  <c r="C19" i="9" s="1"/>
  <c r="D5" i="8" l="1"/>
  <c r="D35" i="5"/>
  <c r="D36" i="5" s="1"/>
  <c r="D38" i="5" s="1"/>
  <c r="D22" i="5" s="1"/>
  <c r="D8" i="8"/>
  <c r="E14" i="5"/>
  <c r="E15" i="5" s="1"/>
  <c r="H11" i="3"/>
  <c r="J11" i="3" s="1"/>
  <c r="D44" i="5" l="1"/>
  <c r="D27" i="5"/>
  <c r="E31" i="5"/>
  <c r="F12" i="3"/>
  <c r="I12" i="3"/>
  <c r="E16" i="5"/>
  <c r="E29" i="5" s="1"/>
  <c r="D39" i="5" l="1"/>
  <c r="D4" i="8"/>
  <c r="D46" i="5"/>
  <c r="D52" i="5" s="1"/>
  <c r="D58" i="5" s="1"/>
  <c r="D59" i="5" s="1"/>
  <c r="E8" i="6" s="1"/>
  <c r="E9" i="6" s="1"/>
  <c r="D3" i="8"/>
  <c r="D2" i="8"/>
  <c r="G12" i="3"/>
  <c r="F14" i="5" s="1"/>
  <c r="F15" i="5" s="1"/>
  <c r="E45" i="5"/>
  <c r="E30" i="5"/>
  <c r="E32" i="5" s="1"/>
  <c r="E17" i="5"/>
  <c r="D19" i="9" s="1"/>
  <c r="E5" i="8" l="1"/>
  <c r="E35" i="5"/>
  <c r="E36" i="5" s="1"/>
  <c r="E38" i="5" s="1"/>
  <c r="E22" i="5" s="1"/>
  <c r="E8" i="8"/>
  <c r="F16" i="5"/>
  <c r="F29" i="5" s="1"/>
  <c r="H12" i="3"/>
  <c r="J12" i="3" s="1"/>
  <c r="I13" i="3" l="1"/>
  <c r="F31" i="5"/>
  <c r="F13" i="3"/>
  <c r="F30" i="5"/>
  <c r="F32" i="5" s="1"/>
  <c r="F45" i="5"/>
  <c r="F17" i="5"/>
  <c r="E19" i="9" s="1"/>
  <c r="E27" i="5"/>
  <c r="E44" i="5"/>
  <c r="F5" i="8" l="1"/>
  <c r="E39" i="5"/>
  <c r="E4" i="8"/>
  <c r="F35" i="5"/>
  <c r="F36" i="5" s="1"/>
  <c r="F38" i="5" s="1"/>
  <c r="F22" i="5" s="1"/>
  <c r="F8" i="8"/>
  <c r="E46" i="5"/>
  <c r="E52" i="5" s="1"/>
  <c r="E58" i="5" s="1"/>
  <c r="E59" i="5" s="1"/>
  <c r="F8" i="6" s="1"/>
  <c r="F9" i="6" s="1"/>
  <c r="E2" i="8"/>
  <c r="E3" i="8"/>
  <c r="G13" i="3"/>
  <c r="G14" i="5" l="1"/>
  <c r="G15" i="5" s="1"/>
  <c r="H13" i="3"/>
  <c r="J13" i="3" s="1"/>
  <c r="G31" i="5" s="1"/>
  <c r="F27" i="5"/>
  <c r="F44" i="5"/>
  <c r="F39" i="5" l="1"/>
  <c r="F4" i="8"/>
  <c r="F46" i="5"/>
  <c r="F52" i="5" s="1"/>
  <c r="F58" i="5" s="1"/>
  <c r="F59" i="5" s="1"/>
  <c r="G8" i="6" s="1"/>
  <c r="G9" i="6" s="1"/>
  <c r="F3" i="8"/>
  <c r="F2" i="8"/>
  <c r="G16" i="5"/>
  <c r="G29" i="5" s="1"/>
  <c r="G45" i="5" l="1"/>
  <c r="G30" i="5"/>
  <c r="G32" i="5" s="1"/>
  <c r="G17" i="5"/>
  <c r="F19" i="9" s="1"/>
  <c r="G5" i="8" l="1"/>
  <c r="G35" i="5"/>
  <c r="G36" i="5" s="1"/>
  <c r="G38" i="5" s="1"/>
  <c r="G22" i="5" s="1"/>
  <c r="G8" i="8"/>
  <c r="G27" i="5" l="1"/>
  <c r="G44" i="5"/>
  <c r="G46" i="5" l="1"/>
  <c r="G52" i="5" s="1"/>
  <c r="G58" i="5" s="1"/>
  <c r="G59" i="5" s="1"/>
  <c r="H8" i="6" s="1"/>
  <c r="H9" i="6" s="1"/>
  <c r="H11" i="6" s="1"/>
  <c r="G3" i="8"/>
  <c r="G2" i="8"/>
  <c r="G39" i="5"/>
  <c r="G4" i="8"/>
  <c r="D10"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B8F48593-2ECA-404C-A501-FAC63DB64C0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7DBFC29D-3AD9-4900-9EED-62F47D9E648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5C49F9F7-1115-4046-A8BB-56DF81699A3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8DA86B01-C4E7-446F-9CC5-C9A0E17C809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A15D2327-1F70-431A-ABFB-767C46362CC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C4A5849C-A2D1-4F86-8A64-77B59194FB1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5E49A5F6-AA18-4074-8151-0B28F81A606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8" authorId="0" shapeId="0" xr:uid="{30D0C1B2-720F-4ECE-96E9-2383964C8B7B}">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<sst xmlns="http://schemas.openxmlformats.org/spreadsheetml/2006/main" count="199" uniqueCount="181">
  <si>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</si>
  <si>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</si>
  <si>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</si>
  <si>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</si>
  <si>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</si>
  <si>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</si>
  <si>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</si>
  <si>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</si>
  <si>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</si>
  <si>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</si>
  <si>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</si>
  <si>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</si>
  <si>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</si>
  <si>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</si>
  <si>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</si>
  <si>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</si>
  <si>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</si>
  <si>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</si>
  <si>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</si>
  <si>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</si>
  <si>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</si>
  <si>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</si>
  <si>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</si>
  <si>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</si>
  <si>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</si>
  <si>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</si>
  <si>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</si>
  <si>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</si>
  <si>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</si>
  <si>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</si>
  <si>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</si>
  <si>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</si>
  <si>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</si>
  <si>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</si>
  <si>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</si>
  <si>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</si>
  <si>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</si>
  <si>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</si>
  <si>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</si>
  <si>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</si>
  <si>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</si>
  <si>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</si>
  <si>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</si>
  <si>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</si>
  <si>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</si>
  <si>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</si>
  <si>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</si>
  <si>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</si>
  <si>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</si>
  <si>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</si>
  <si>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</si>
  <si>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</si>
  <si>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</si>
  <si>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</si>
  <si>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</si>
  <si>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</si>
  <si>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</si>
  <si>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</si>
  <si>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</si>
  <si>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</si>
  <si>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</si>
  <si>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</si>
  <si>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</si>
  <si>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</si>
  <si>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</si>
  <si>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</si>
  <si>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</si>
  <si>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</si>
  <si>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</si>
  <si>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</si>
  <si>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</si>
  <si>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</si>
  <si>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</si>
  <si>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</si>
  <si>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</si>
  <si>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</si>
  <si>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</si>
  <si>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</si>
  <si>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</si>
  <si>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</si>
  <si>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</si>
  <si>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</si>
  <si>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</si>
  <si>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</si>
  <si>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</si>
  <si>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</si>
  <si>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</si>
  <si>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</si>
  <si>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</si>
  <si>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</si>
  <si>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</si>
  <si>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</si>
  <si>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</si>
  <si>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</si>
  <si>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</si>
  <si>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</si>
  <si>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</si>
  <si>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</si>
  <si>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</si>
  <si>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</si>
  <si>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</si>
  <si>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</si>
  <si>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</si>
  <si>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</si>
  <si>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</si>
  <si>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</si>
  <si>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</si>
  <si>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</si>
  <si>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</si>
  <si>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</si>
  <si>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</si>
  <si>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</si>
  <si>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</si>
  <si>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</si>
  <si>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</si>
  <si>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</si>
  <si>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</si>
  <si>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</si>
  <si>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</si>
  <si>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</si>
  <si>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</si>
  <si>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</si>
  <si>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</si>
  <si>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</si>
  <si>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</si>
  <si>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</si>
  <si>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</si>
  <si>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</si>
  <si>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</si>
  <si>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</si>
  <si>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</si>
  <si>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</si>
  <si>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</si>
  <si>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</si>
  <si>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</si>
  <si>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</si>
  <si>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</si>
  <si>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</si>
  <si>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</si>
  <si>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</si>
  <si>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</si>
  <si>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</si>
  <si>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</si>
  <si>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</si>
  <si>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</si>
  <si>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</si>
  <si>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</si>
  <si>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</si>
  <si>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</si>
  <si>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</si>
  <si>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</si>
  <si>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</si>
  <si>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</si>
  <si>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</si>
  <si>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</si>
  <si>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</si>
  <si>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</si>
  <si>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</si>
  <si>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</si>
  <si>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Servicio de compraventa con entrega de estudio técnico</t>
  </si>
  <si>
    <t>Promotor financiero de proyectos</t>
  </si>
  <si>
    <r>
      <t xml:space="preserve">COSTO UNITARIO DEL PDTO O </t>
    </r>
    <r>
      <rPr>
        <b/>
        <u/>
        <sz val="11"/>
        <color theme="1"/>
        <rFont val="Arial"/>
        <family val="2"/>
      </rPr>
      <t>SERVICIO</t>
    </r>
  </si>
  <si>
    <t xml:space="preserve">Capital De Trabajo </t>
  </si>
  <si>
    <t xml:space="preserve">Activo corriente - Pasivo Corriente </t>
  </si>
  <si>
    <t xml:space="preserve">Razón Corriente </t>
  </si>
  <si>
    <t xml:space="preserve">Activo corriente / Pasivo Corriente </t>
  </si>
  <si>
    <t xml:space="preserve">Endeudamiento </t>
  </si>
  <si>
    <t xml:space="preserve">Total Pasivo / Total Activo </t>
  </si>
  <si>
    <t>Concentración de Endeudamiento C.P</t>
  </si>
  <si>
    <t xml:space="preserve">Pasivo Corriente / Total Pasivo  </t>
  </si>
  <si>
    <t>Rentabilidad Bruta</t>
  </si>
  <si>
    <t>Utilidad Bruta / Ventas</t>
  </si>
  <si>
    <t xml:space="preserve">Rentabilidad Operacional </t>
  </si>
  <si>
    <t xml:space="preserve">Rentabilidad Neta </t>
  </si>
  <si>
    <t>Utilidad Operativa / Ventas</t>
  </si>
  <si>
    <t>Utilidad Neta / Ventas</t>
  </si>
  <si>
    <t xml:space="preserve">Indicador </t>
  </si>
  <si>
    <t>Calculo</t>
  </si>
  <si>
    <t>EBITDA</t>
  </si>
  <si>
    <t xml:space="preserve">Gastos </t>
  </si>
  <si>
    <t>Utilidad Neta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</si>
</sst>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quot;$&quot;#,##0.00;[Red]\-&quot;$&quot;#,##0.00"/>
    <numFmt numFmtId="165" formatCode="&quot;$&quot;\ #,##0.00_);[Red]\(&quot;$&quot;\ #,##0.00\)"/>
    <numFmt numFmtId="166" formatCode="_(&quot;$&quot;\ * #,##0.00_);_(&quot;$&quot;\ * \(#,##0.00\);_(&quot;$&quot;\ * &quot;-&quot;??_);_(@_)"/>
    <numFmt numFmtId="167" formatCode="_(&quot;$&quot;\ * #,##0_);_(&quot;$&quot;\ * \(#,##0\);_(&quot;$&quot;\ * &quot;-&quot;??_);_(@_)"/>
    <numFmt numFmtId="168" formatCode="0.0%"/>
    <numFmt numFmtId="169" formatCode="_([$$-240A]\ * #,##0.00_);_([$$-240A]\ * \(#,##0.00\);_([$$-240A]\ * &quot;-&quot;??_);_(@_)"/>
    <numFmt numFmtId="170" formatCode="_(&quot;$&quot;\ * #,##0.00000_);_(&quot;$&quot;\ * \(#,##0.00000\);_(&quot;$&quot;\ * &quot;-&quot;??_);_(@_)"/>
    <numFmt numFmtId="171" formatCode="_ &quot;$&quot;\ * #,##0_ ;_ &quot;$&quot;\ * \-#,##0_ ;_ &quot;$&quot;\ * &quot;-&quot;??_ ;_ @_ "/>
    <numFmt numFmtId="172" formatCode="_(* #,##0_);_(* \(#,##0\);_(* &quot;-&quot;??_);_(@_)"/>
    <numFmt numFmtId="173" formatCode="_ &quot;$&quot;\ * #,##0.0_ ;_ &quot;$&quot;\ * \-#,##0.0_ ;_ &quot;$&quot;\ * &quot;-&quot;??_ ;_ @_ "/>
    <numFmt numFmtId="174" formatCode="_(* #,##0.0_);_(* \(#,##0.0\);_(* &quot;-&quot;??_);_(@_)"/>
    <numFmt numFmtId="175" formatCode="_ * #,##0.00_ ;_ * \-#,##0.00_ ;_ * &quot;-&quot;??_ ;_ @_ "/>
    <numFmt numFmtId="176" formatCode="&quot;$&quot;#,##0.00"/>
    <numFmt numFmtId="177" formatCode="_-&quot;$&quot;* #,##0.0_-;\-&quot;$&quot;* #,##0.0_-;_-&quot;$&quot;* &quot;-&quot;??_-;_-@_-"/>
  </numFmts>
  <fonts count="1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color indexed="81"/>
      <name val="Tahoma"/>
      <family val="2"/>
    </font>
    <font>
      <b/>
      <sz val="9"/>
      <color indexed="81"/>
      <name val="Tahoma"/>
      <family val="2"/>
    </font>
    <font>
      <sz val="10"/>
      <name val="Arial"/>
      <family val="2"/>
    </font>
    <font>
      <sz val="11"/>
      <name val="Arial"/>
      <family val="2"/>
    </font>
    <font>
      <b/>
      <sz val="11"/>
      <name val="Arial"/>
      <family val="2"/>
    </font>
    <font>
      <sz val="11"/>
      <color theme="0"/>
      <name val="Arial"/>
      <family val="2"/>
    </font>
    <font>
      <u/>
      <sz val="11"/>
      <color theme="10"/>
      <name val="Calibri"/>
      <family val="2"/>
      <scheme val="minor"/>
    </font>
    <font>
      <u/>
      <sz val="16"/>
      <color rgb="FF0070C0"/>
      <name val="Arial"/>
      <family val="2"/>
    </font>
    <font>
      <b/>
      <u/>
      <sz val="11"/>
      <color theme="1"/>
      <name val="Arial"/>
      <family val="2"/>
    </font>
    <font>
      <sz val="11"/>
      <color rgb="FFFF0000"/>
      <name val="Arial"/>
      <family val="2"/>
    </font>
    <font>
      <b/>
      <sz val="11"/>
      <color theme="0"/>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8">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xf numFmtId="0" fontId="6" fillId="0" borderId="0"/>
  </cellStyleXfs>
  <cellXfs count="140">
    <xf numFmtId="0" fontId="0" fillId="0" borderId="0" xfId="0"/>
    <xf numFmtId="0" fontId="7" fillId="0" borderId="0" xfId="0" applyFont="1" applyProtection="1">
      <protection hidden="1"/>
    </xf>
    <xf numFmtId="0" fontId="8" fillId="0" borderId="0" xfId="0" applyFont="1" applyProtection="1">
      <protection hidden="1"/>
    </xf>
    <xf numFmtId="0" fontId="9" fillId="4" borderId="0" xfId="0" applyFont="1" applyFill="1" applyProtection="1">
      <protection locked="0"/>
    </xf>
    <xf numFmtId="166" fontId="9" fillId="4" borderId="0" xfId="1" applyFont="1" applyFill="1" applyProtection="1">
      <protection locked="0"/>
    </xf>
    <xf numFmtId="0" fontId="3" fillId="0" borderId="0" xfId="0" applyFont="1" applyAlignment="1" applyProtection="1">
      <alignment horizontal="center"/>
      <protection hidden="1"/>
    </xf>
    <xf numFmtId="167" fontId="2" fillId="0" borderId="0" xfId="1" applyNumberFormat="1" applyFont="1" applyProtection="1">
      <protection hidden="1"/>
    </xf>
    <xf numFmtId="167" fontId="3" fillId="5" borderId="0" xfId="0" applyNumberFormat="1" applyFont="1" applyFill="1" applyProtection="1">
      <protection hidden="1"/>
    </xf>
    <xf numFmtId="9" fontId="3" fillId="5" borderId="0" xfId="2" applyFont="1" applyFill="1" applyAlignment="1" applyProtection="1">
      <alignment horizontal="center"/>
      <protection hidden="1"/>
    </xf>
    <xf numFmtId="0" fontId="2" fillId="0" borderId="0" xfId="0" applyFont="1" applyProtection="1">
      <protection hidden="1"/>
    </xf>
    <xf numFmtId="0" fontId="2" fillId="0" borderId="0" xfId="0" applyFont="1" applyAlignment="1" applyProtection="1">
      <alignment horizontal="center"/>
      <protection hidden="1"/>
    </xf>
    <xf numFmtId="49" fontId="2" fillId="0" borderId="0" xfId="0" applyNumberFormat="1" applyFont="1" applyProtection="1">
      <protection hidden="1"/>
    </xf>
    <xf numFmtId="9" fontId="9" fillId="4" borderId="0" xfId="2" applyFont="1" applyFill="1" applyProtection="1">
      <protection locked="0"/>
    </xf>
    <xf numFmtId="43" fontId="9" fillId="4" borderId="0" xfId="4" applyFont="1" applyFill="1" applyProtection="1">
      <protection locked="0"/>
    </xf>
    <xf numFmtId="0" fontId="8" fillId="5" borderId="0" xfId="0" applyFont="1" applyFill="1" applyProtection="1">
      <protection hidden="1"/>
    </xf>
    <xf numFmtId="0" fontId="3" fillId="0" borderId="0" xfId="0" applyFont="1" applyProtection="1">
      <protection hidden="1"/>
    </xf>
    <xf numFmtId="166" fontId="2" fillId="0" borderId="0" xfId="0" applyNumberFormat="1" applyFont="1" applyProtection="1">
      <protection hidden="1"/>
    </xf>
    <xf numFmtId="9" fontId="2" fillId="0" borderId="0" xfId="0" applyNumberFormat="1" applyFont="1" applyProtection="1">
      <protection hidden="1"/>
    </xf>
    <xf numFmtId="43" fontId="2" fillId="0" borderId="0" xfId="0" applyNumberFormat="1" applyFont="1" applyProtection="1">
      <protection hidden="1"/>
    </xf>
    <xf numFmtId="0" fontId="2" fillId="0" borderId="0" xfId="0" applyFont="1" applyAlignment="1" applyProtection="1">
      <alignment horizontal="left"/>
      <protection hidden="1"/>
    </xf>
    <xf numFmtId="168" fontId="9" fillId="4" borderId="0" xfId="2" applyNumberFormat="1" applyFont="1" applyFill="1" applyProtection="1">
      <protection locked="0"/>
    </xf>
    <xf numFmtId="0" fontId="8" fillId="0" borderId="15" xfId="0" applyFont="1" applyBorder="1" applyAlignment="1">
      <alignment horizontal="center"/>
    </xf>
    <xf numFmtId="0" fontId="8" fillId="0" borderId="16" xfId="0" applyFont="1" applyBorder="1" applyAlignment="1">
      <alignment horizontal="center"/>
    </xf>
    <xf numFmtId="177" fontId="2" fillId="0" borderId="0" xfId="0" applyNumberFormat="1" applyFont="1"/>
    <xf numFmtId="177" fontId="2" fillId="0" borderId="14" xfId="0" applyNumberFormat="1" applyFont="1" applyBorder="1"/>
    <xf numFmtId="177" fontId="2" fillId="0" borderId="0" xfId="0" applyNumberFormat="1" applyFont="1" applyProtection="1">
      <protection hidden="1"/>
    </xf>
    <xf numFmtId="177" fontId="2" fillId="0" borderId="14" xfId="0" applyNumberFormat="1" applyFont="1" applyBorder="1" applyProtection="1">
      <protection hidden="1"/>
    </xf>
    <xf numFmtId="177" fontId="2" fillId="0" borderId="3" xfId="0" applyNumberFormat="1" applyFont="1" applyBorder="1" applyProtection="1">
      <protection hidden="1"/>
    </xf>
    <xf numFmtId="177" fontId="2" fillId="0" borderId="12" xfId="0" applyNumberFormat="1" applyFont="1" applyBorder="1" applyProtection="1">
      <protection hidden="1"/>
    </xf>
    <xf numFmtId="172" fontId="2" fillId="0" borderId="0" xfId="0" applyNumberFormat="1" applyFont="1" applyProtection="1">
      <protection hidden="1"/>
    </xf>
    <xf numFmtId="9" fontId="2" fillId="0" borderId="0" xfId="2" applyFont="1" applyAlignment="1" applyProtection="1">
      <alignment horizontal="center"/>
      <protection hidden="1"/>
    </xf>
    <xf numFmtId="166" fontId="2" fillId="0" borderId="0" xfId="1" applyFont="1" applyProtection="1">
      <protection hidden="1"/>
    </xf>
    <xf numFmtId="0" fontId="3"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166" fontId="3" fillId="0" borderId="0" xfId="0" applyNumberFormat="1" applyFont="1" applyProtection="1">
      <protection hidden="1"/>
    </xf>
    <xf numFmtId="167" fontId="2" fillId="0" borderId="0" xfId="0" applyNumberFormat="1" applyFont="1" applyProtection="1">
      <protection hidden="1"/>
    </xf>
    <xf numFmtId="169" fontId="2" fillId="0" borderId="0" xfId="0" applyNumberFormat="1" applyFont="1" applyProtection="1">
      <protection hidden="1"/>
    </xf>
    <xf numFmtId="0" fontId="3" fillId="0" borderId="0" xfId="0" applyFont="1" applyAlignment="1" applyProtection="1">
      <alignment horizontal="center" vertical="center"/>
      <protection hidden="1"/>
    </xf>
    <xf numFmtId="0" fontId="9" fillId="6" borderId="0" xfId="0" applyFont="1" applyFill="1" applyProtection="1">
      <protection hidden="1"/>
    </xf>
    <xf numFmtId="0" fontId="9" fillId="6" borderId="0" xfId="0" applyFont="1" applyFill="1" applyProtection="1">
      <protection locked="0"/>
    </xf>
    <xf numFmtId="0" fontId="3" fillId="0" borderId="0" xfId="0" applyFont="1" applyAlignment="1" applyProtection="1">
      <alignment wrapText="1"/>
      <protection hidden="1"/>
    </xf>
    <xf numFmtId="0" fontId="3" fillId="0" borderId="0" xfId="0" applyFont="1" applyAlignment="1" applyProtection="1">
      <alignment vertical="center" wrapText="1"/>
      <protection hidden="1"/>
    </xf>
    <xf numFmtId="0" fontId="3" fillId="0" borderId="0" xfId="0" applyFont="1" applyAlignment="1" applyProtection="1">
      <alignment horizontal="right"/>
      <protection hidden="1"/>
    </xf>
    <xf numFmtId="0" fontId="3" fillId="3" borderId="0" xfId="0" applyFont="1" applyFill="1" applyAlignment="1" applyProtection="1">
      <alignment wrapText="1"/>
      <protection hidden="1"/>
    </xf>
    <xf numFmtId="0" fontId="3" fillId="0" borderId="5" xfId="0" applyFont="1" applyBorder="1" applyAlignment="1" applyProtection="1">
      <alignment horizontal="center"/>
      <protection hidden="1"/>
    </xf>
    <xf numFmtId="0" fontId="3" fillId="0" borderId="6" xfId="0" applyFont="1" applyBorder="1" applyAlignment="1" applyProtection="1">
      <alignment horizontal="center"/>
      <protection hidden="1"/>
    </xf>
    <xf numFmtId="0" fontId="3" fillId="0" borderId="13" xfId="0" applyFont="1" applyBorder="1" applyAlignment="1" applyProtection="1">
      <alignment wrapText="1"/>
      <protection hidden="1"/>
    </xf>
    <xf numFmtId="168" fontId="9" fillId="6" borderId="0" xfId="2" applyNumberFormat="1" applyFont="1" applyFill="1" applyBorder="1" applyProtection="1">
      <protection locked="0"/>
    </xf>
    <xf numFmtId="0" fontId="3" fillId="0" borderId="11" xfId="0" applyFont="1" applyBorder="1" applyProtection="1">
      <protection hidden="1"/>
    </xf>
    <xf numFmtId="168" fontId="9" fillId="6" borderId="3" xfId="2" applyNumberFormat="1" applyFont="1" applyFill="1" applyBorder="1" applyProtection="1">
      <protection locked="0"/>
    </xf>
    <xf numFmtId="168" fontId="9" fillId="6" borderId="5" xfId="2" applyNumberFormat="1" applyFont="1" applyFill="1" applyBorder="1" applyProtection="1">
      <protection locked="0"/>
    </xf>
    <xf numFmtId="0" fontId="3" fillId="0" borderId="0" xfId="0" applyFont="1" applyAlignment="1" applyProtection="1">
      <alignment vertical="center"/>
      <protection hidden="1"/>
    </xf>
    <xf numFmtId="167" fontId="3" fillId="7" borderId="1" xfId="1" applyNumberFormat="1" applyFont="1" applyFill="1" applyBorder="1" applyProtection="1">
      <protection hidden="1"/>
    </xf>
    <xf numFmtId="0" fontId="3" fillId="0" borderId="1" xfId="0" applyFont="1" applyBorder="1" applyProtection="1">
      <protection hidden="1"/>
    </xf>
    <xf numFmtId="0" fontId="3" fillId="0" borderId="2" xfId="0" applyFont="1" applyBorder="1" applyProtection="1">
      <protection hidden="1"/>
    </xf>
    <xf numFmtId="0" fontId="2" fillId="5" borderId="0" xfId="0" applyFont="1" applyFill="1" applyProtection="1">
      <protection hidden="1"/>
    </xf>
    <xf numFmtId="166" fontId="2" fillId="5" borderId="0" xfId="0" applyNumberFormat="1" applyFont="1" applyFill="1" applyProtection="1">
      <protection hidden="1"/>
    </xf>
    <xf numFmtId="171" fontId="2" fillId="0" borderId="0" xfId="1" applyNumberFormat="1" applyFont="1" applyFill="1" applyProtection="1">
      <protection hidden="1"/>
    </xf>
    <xf numFmtId="171" fontId="2" fillId="0" borderId="7" xfId="1" applyNumberFormat="1" applyFont="1" applyFill="1" applyBorder="1" applyProtection="1">
      <protection hidden="1"/>
    </xf>
    <xf numFmtId="173" fontId="2" fillId="0" borderId="0" xfId="1" applyNumberFormat="1" applyFont="1" applyFill="1" applyProtection="1">
      <protection hidden="1"/>
    </xf>
    <xf numFmtId="173" fontId="2" fillId="0" borderId="7" xfId="1" applyNumberFormat="1" applyFont="1" applyFill="1" applyBorder="1" applyProtection="1">
      <protection hidden="1"/>
    </xf>
    <xf numFmtId="171" fontId="8" fillId="0" borderId="0" xfId="1" applyNumberFormat="1" applyFont="1" applyFill="1" applyProtection="1">
      <protection hidden="1"/>
    </xf>
    <xf numFmtId="171" fontId="8" fillId="0" borderId="1" xfId="1" applyNumberFormat="1" applyFont="1" applyFill="1" applyBorder="1" applyProtection="1">
      <protection hidden="1"/>
    </xf>
    <xf numFmtId="172" fontId="7" fillId="0" borderId="0" xfId="3" applyNumberFormat="1" applyFont="1" applyFill="1" applyProtection="1">
      <protection hidden="1"/>
    </xf>
    <xf numFmtId="171" fontId="8" fillId="5" borderId="1" xfId="1" applyNumberFormat="1" applyFont="1" applyFill="1" applyBorder="1" applyProtection="1">
      <protection hidden="1"/>
    </xf>
    <xf numFmtId="0" fontId="9" fillId="0" borderId="0" xfId="0" applyFont="1" applyProtection="1">
      <protection hidden="1"/>
    </xf>
    <xf numFmtId="166" fontId="9" fillId="0" borderId="0" xfId="0" applyNumberFormat="1" applyFont="1" applyProtection="1">
      <protection hidden="1"/>
    </xf>
    <xf numFmtId="0" fontId="3" fillId="0" borderId="0" xfId="0" applyFont="1" applyAlignment="1" applyProtection="1">
      <alignment horizontal="left" wrapText="1"/>
      <protection hidden="1"/>
    </xf>
    <xf numFmtId="170" fontId="2" fillId="0" borderId="0" xfId="1" applyNumberFormat="1" applyFont="1" applyProtection="1">
      <protection hidden="1"/>
    </xf>
    <xf numFmtId="0" fontId="3" fillId="0" borderId="0" xfId="0" applyFont="1" applyAlignment="1" applyProtection="1">
      <alignment wrapText="1"/>
      <protection locked="0"/>
    </xf>
    <xf numFmtId="0" fontId="9" fillId="4" borderId="0" xfId="0" applyFont="1" applyFill="1" applyProtection="1">
      <protection locked="0" hidden="1"/>
    </xf>
    <xf numFmtId="0" fontId="2" fillId="0" borderId="8" xfId="0" applyFont="1" applyBorder="1" applyProtection="1">
      <protection hidden="1"/>
    </xf>
    <xf numFmtId="0" fontId="3" fillId="0" borderId="13" xfId="0" applyFont="1" applyBorder="1" applyAlignment="1" applyProtection="1">
      <alignment horizontal="center"/>
      <protection hidden="1"/>
    </xf>
    <xf numFmtId="0" fontId="3" fillId="0" borderId="11" xfId="0" applyFont="1" applyBorder="1" applyAlignment="1" applyProtection="1">
      <alignment horizontal="center"/>
      <protection hidden="1"/>
    </xf>
    <xf numFmtId="166" fontId="3" fillId="5" borderId="0" xfId="0" applyNumberFormat="1" applyFont="1" applyFill="1" applyProtection="1">
      <protection hidden="1"/>
    </xf>
    <xf numFmtId="172" fontId="3" fillId="0" borderId="0" xfId="3" applyNumberFormat="1" applyFont="1" applyFill="1" applyBorder="1" applyProtection="1">
      <protection hidden="1"/>
    </xf>
    <xf numFmtId="164" fontId="2" fillId="0" borderId="0" xfId="0" applyNumberFormat="1" applyFont="1" applyProtection="1">
      <protection hidden="1"/>
    </xf>
    <xf numFmtId="0" fontId="2" fillId="0" borderId="11" xfId="0" applyFont="1" applyBorder="1" applyProtection="1">
      <protection hidden="1"/>
    </xf>
    <xf numFmtId="43" fontId="9" fillId="0" borderId="0" xfId="0" applyNumberFormat="1" applyFont="1" applyProtection="1">
      <protection hidden="1"/>
    </xf>
    <xf numFmtId="43" fontId="3" fillId="0" borderId="0" xfId="4" applyFont="1" applyProtection="1">
      <protection hidden="1"/>
    </xf>
    <xf numFmtId="0" fontId="13" fillId="0" borderId="0" xfId="0" applyFont="1" applyProtection="1">
      <protection hidden="1"/>
    </xf>
    <xf numFmtId="166" fontId="9" fillId="0" borderId="0" xfId="1" applyFont="1" applyProtection="1">
      <protection hidden="1"/>
    </xf>
    <xf numFmtId="0" fontId="9" fillId="0" borderId="0" xfId="0" applyFont="1" applyAlignment="1" applyProtection="1">
      <alignment horizontal="center"/>
      <protection hidden="1"/>
    </xf>
    <xf numFmtId="166" fontId="14" fillId="0" borderId="0" xfId="1" applyFont="1" applyProtection="1">
      <protection hidden="1"/>
    </xf>
    <xf numFmtId="9" fontId="9" fillId="0" borderId="0" xfId="2" applyFont="1" applyProtection="1">
      <protection hidden="1"/>
    </xf>
    <xf numFmtId="10" fontId="14" fillId="0" borderId="0" xfId="2" applyNumberFormat="1" applyFont="1" applyFill="1" applyAlignment="1" applyProtection="1">
      <alignment horizontal="center" vertical="center"/>
      <protection locked="0"/>
    </xf>
    <xf numFmtId="164" fontId="7" fillId="0" borderId="0" xfId="6" applyNumberFormat="1" applyFont="1"/>
    <xf numFmtId="0" fontId="3" fillId="0" borderId="8" xfId="0" applyFont="1" applyBorder="1" applyProtection="1">
      <protection hidden="1"/>
    </xf>
    <xf numFmtId="175" fontId="7" fillId="0" borderId="0" xfId="6" applyNumberFormat="1" applyFont="1"/>
    <xf numFmtId="176" fontId="2" fillId="0" borderId="3" xfId="0" applyNumberFormat="1" applyFont="1" applyBorder="1" applyProtection="1">
      <protection hidden="1"/>
    </xf>
    <xf numFmtId="176" fontId="2" fillId="0" borderId="12" xfId="0" applyNumberFormat="1" applyFont="1" applyBorder="1" applyProtection="1">
      <protection hidden="1"/>
    </xf>
    <xf numFmtId="165" fontId="3" fillId="5" borderId="6" xfId="0" applyNumberFormat="1" applyFont="1" applyFill="1" applyBorder="1" applyProtection="1">
      <protection hidden="1"/>
    </xf>
    <xf numFmtId="2" fontId="3" fillId="7" borderId="5" xfId="0" applyNumberFormat="1" applyFont="1" applyFill="1" applyBorder="1" applyProtection="1">
      <protection hidden="1"/>
    </xf>
    <xf numFmtId="0" fontId="3" fillId="0" borderId="6" xfId="0" applyFont="1" applyBorder="1" applyProtection="1">
      <protection hidden="1"/>
    </xf>
    <xf numFmtId="0" fontId="7" fillId="0" borderId="0" xfId="6" applyFont="1"/>
    <xf numFmtId="0" fontId="2" fillId="0" borderId="0" xfId="0" applyFont="1" applyAlignment="1" applyProtection="1">
      <alignment wrapText="1"/>
      <protection hidden="1"/>
    </xf>
    <xf numFmtId="166" fontId="3" fillId="0" borderId="0" xfId="1" applyFont="1" applyProtection="1">
      <protection hidden="1"/>
    </xf>
    <xf numFmtId="10" fontId="2" fillId="0" borderId="6" xfId="2" applyNumberFormat="1" applyFont="1" applyFill="1" applyBorder="1" applyAlignment="1" applyProtection="1">
      <alignment horizontal="center" vertical="center"/>
      <protection hidden="1"/>
    </xf>
    <xf numFmtId="167" fontId="2" fillId="0" borderId="1" xfId="0" applyNumberFormat="1" applyFont="1" applyBorder="1" applyProtection="1">
      <protection hidden="1"/>
    </xf>
    <xf numFmtId="167" fontId="3" fillId="0" borderId="2" xfId="0" applyNumberFormat="1" applyFont="1" applyBorder="1" applyProtection="1">
      <protection hidden="1"/>
    </xf>
    <xf numFmtId="172" fontId="2" fillId="0" borderId="0" xfId="4" applyNumberFormat="1" applyFont="1" applyProtection="1">
      <protection hidden="1"/>
    </xf>
    <xf numFmtId="172" fontId="3" fillId="0" borderId="1" xfId="4" applyNumberFormat="1" applyFont="1" applyBorder="1" applyProtection="1">
      <protection hidden="1"/>
    </xf>
    <xf numFmtId="0" fontId="3" fillId="0" borderId="9" xfId="0" applyFont="1" applyBorder="1" applyAlignment="1" applyProtection="1">
      <alignment horizontal="center" vertical="center"/>
      <protection hidden="1"/>
    </xf>
    <xf numFmtId="0" fontId="3" fillId="0" borderId="10" xfId="0" applyFont="1" applyBorder="1" applyAlignment="1" applyProtection="1">
      <alignment horizontal="center" vertical="center"/>
      <protection hidden="1"/>
    </xf>
    <xf numFmtId="0" fontId="2" fillId="0" borderId="0" xfId="0" applyFont="1"/>
    <xf numFmtId="0" fontId="3" fillId="0" borderId="0" xfId="0" applyFont="1"/>
    <xf numFmtId="0" fontId="3" fillId="0" borderId="17" xfId="0" applyFont="1" applyBorder="1"/>
    <xf numFmtId="0" fontId="2" fillId="0" borderId="17" xfId="0" applyFont="1" applyBorder="1"/>
    <xf numFmtId="172" fontId="2" fillId="0" borderId="17" xfId="4" applyNumberFormat="1" applyFont="1" applyBorder="1"/>
    <xf numFmtId="174" fontId="2" fillId="0" borderId="17" xfId="4" applyNumberFormat="1" applyFont="1" applyBorder="1"/>
    <xf numFmtId="43" fontId="2" fillId="0" borderId="17" xfId="4" applyFont="1" applyBorder="1"/>
    <xf numFmtId="0" fontId="3" fillId="0" borderId="17" xfId="0" applyFont="1" applyBorder="1" applyAlignment="1" applyProtection="1">
      <alignment horizontal="center" wrapText="1"/>
      <protection hidden="1"/>
    </xf>
    <xf numFmtId="9" fontId="2" fillId="0" borderId="17" xfId="2" applyFont="1" applyBorder="1"/>
    <xf numFmtId="172" fontId="2" fillId="0" borderId="0" xfId="4" applyNumberFormat="1" applyFont="1"/>
    <xf numFmtId="43" fontId="2" fillId="0" borderId="0" xfId="0" applyNumberFormat="1" applyFont="1"/>
    <xf numFmtId="172" fontId="2" fillId="0" borderId="0" xfId="0" applyNumberFormat="1" applyFont="1"/>
    <xf numFmtId="9" fontId="2" fillId="0" borderId="0" xfId="2" applyFont="1"/>
    <xf numFmtId="0" fontId="11" fillId="7" borderId="0" xfId="5" applyFont="1" applyFill="1" applyAlignment="1">
      <alignment horizontal="center"/>
    </xf>
    <xf numFmtId="0" fontId="3" fillId="0" borderId="0" xfId="0" applyFont="1" applyAlignment="1" applyProtection="1">
      <alignment horizontal="center"/>
      <protection hidden="1"/>
    </xf>
    <xf numFmtId="0" fontId="3" fillId="0" borderId="0" xfId="0" applyFont="1" applyAlignment="1" applyProtection="1">
      <alignment horizontal="center" vertical="center"/>
      <protection hidden="1"/>
    </xf>
    <xf numFmtId="0" fontId="3" fillId="0" borderId="0" xfId="0" applyFont="1" applyAlignment="1" applyProtection="1">
      <alignment horizontal="center" wrapText="1"/>
      <protection hidden="1"/>
    </xf>
    <xf numFmtId="0" fontId="3"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2" fillId="0" borderId="0" xfId="0" applyFont="1" applyAlignment="1" applyProtection="1">
      <alignment horizontal="center"/>
      <protection hidden="1"/>
    </xf>
    <xf numFmtId="10" fontId="9" fillId="4" borderId="0" xfId="2" applyNumberFormat="1" applyFont="1" applyFill="1" applyAlignment="1" applyProtection="1">
      <alignment horizontal="center"/>
      <protection locked="0"/>
    </xf>
    <xf numFmtId="0" fontId="3" fillId="5" borderId="0" xfId="0" applyFont="1" applyFill="1" applyAlignment="1" applyProtection="1">
      <alignment horizontal="center" vertical="center"/>
      <protection hidden="1"/>
    </xf>
    <xf numFmtId="172" fontId="3" fillId="0" borderId="0" xfId="4" applyNumberFormat="1" applyFont="1" applyAlignment="1" applyProtection="1">
      <alignment horizontal="center"/>
      <protection hidden="1"/>
    </xf>
    <xf numFmtId="0" fontId="3" fillId="0" borderId="0" xfId="0" applyFont="1" applyAlignment="1" applyProtection="1">
      <alignment wrapText="1"/>
      <protection hidden="1"/>
    </xf>
    <xf numFmtId="10" fontId="14" fillId="4" borderId="0" xfId="2" applyNumberFormat="1" applyFont="1" applyFill="1" applyAlignment="1" applyProtection="1">
      <alignment horizontal="center" vertical="center"/>
      <protection locked="0"/>
    </xf>
    <xf numFmtId="0" fontId="3" fillId="5" borderId="0" xfId="0" applyFont="1" applyFill="1" applyAlignment="1" applyProtection="1">
      <alignment horizontal="center"/>
      <protection hidden="1"/>
    </xf>
    <xf numFmtId="0" fontId="14" fillId="0" borderId="0" xfId="0" applyFont="1" applyAlignment="1" applyProtection="1">
      <alignment horizontal="left"/>
      <protection hidden="1"/>
    </xf>
    <xf numFmtId="0" fontId="3" fillId="0" borderId="0" xfId="0" applyFont="1" applyAlignment="1" applyProtection="1">
      <alignment horizontal="left"/>
      <protection hidden="1"/>
    </xf>
    <xf numFmtId="174" fontId="2" fillId="0" borderId="0" xfId="4" applyNumberFormat="1" applyFont="1" applyFill="1" applyAlignment="1" applyProtection="1">
      <alignment horizontal="center"/>
      <protection locked="0"/>
    </xf>
    <xf numFmtId="166" fontId="3" fillId="0" borderId="0" xfId="0" applyNumberFormat="1" applyFont="1" applyProtection="1">
      <protection locked="0" hidden="1"/>
    </xf>
  </cellXfs>
  <cellStyles count="7">
    <cellStyle name="Comma" xfId="4" builtinId="3"/>
    <cellStyle name="Currency" xfId="1" builtinId="4"/>
    <cellStyle name="Hyperlink" xfId="5" builtinId="8"/>
    <cellStyle name="Millares_Modelo Financiero ACME Final 2" xfId="3" xr:uid="{00000000-0005-0000-0000-000002000000}"/>
    <cellStyle name="Normal" xfId="0" builtinId="0"/>
    <cellStyle name="Normal 2" xfId="6" xr:uid="{00000000-0005-0000-0000-000005000000}"/>
    <cellStyle name="Percent"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89.073499729981819</c:v>
                </c:pt>
                <c:pt idx="2">
                  <c:v>178.14699945996364</c:v>
                </c:pt>
              </c:numCache>
            </c:numRef>
          </c:cat>
          <c:val>
            <c:numRef>
              <c:f>'5'!$C$33:$C$35</c:f>
              <c:numCache>
                <c:formatCode>_("$"\ * #,##0.00_);_("$"\ * \(#,##0.00\);_("$"\ * "-"??_);_(@_)</c:formatCode>
                <c:ptCount val="3"/>
                <c:pt idx="0">
                  <c:v>650300400</c:v>
                </c:pt>
                <c:pt idx="1">
                  <c:v>650300400</c:v>
                </c:pt>
                <c:pt idx="2">
                  <c:v>650300400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89.073499729981819</c:v>
                </c:pt>
                <c:pt idx="2">
                  <c:v>178.14699945996364</c:v>
                </c:pt>
              </c:numCache>
            </c:numRef>
          </c:cat>
          <c:val>
            <c:numRef>
              <c:f>'5'!$D$33:$D$35</c:f>
              <c:numCache>
                <c:formatCode>_("$"\ * #,##0.00_);_("$"\ * \(#,##0.00\);_("$"\ * "-"??_);_(@_)</c:formatCode>
                <c:ptCount val="3"/>
                <c:pt idx="0" formatCode="General">
                  <c:v>0</c:v>
                </c:pt>
                <c:pt idx="1">
                  <c:v>824328947.32191062</c:v>
                </c:pt>
                <c:pt idx="2">
                  <c:v>1648657894.6438212</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89.073499729981819</c:v>
                </c:pt>
                <c:pt idx="2">
                  <c:v>178.14699945996364</c:v>
                </c:pt>
              </c:numCache>
            </c:numRef>
          </c:cat>
          <c:val>
            <c:numRef>
              <c:f>'5'!$F$33:$F$35</c:f>
              <c:numCache>
                <c:formatCode>_("$"\ * #,##0.00_);_("$"\ * \(#,##0.00\);_("$"\ * "-"??_);_(@_)</c:formatCode>
                <c:ptCount val="3"/>
                <c:pt idx="0">
                  <c:v>650300400</c:v>
                </c:pt>
                <c:pt idx="1">
                  <c:v>824328947.32191074</c:v>
                </c:pt>
                <c:pt idx="2">
                  <c:v>998357494.64382148</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Sheet1!$A$14</c:f>
              <c:strCache>
                <c:ptCount val="1"/>
                <c:pt idx="0">
                  <c:v>VENTAS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iso"/>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Sheet1!$B$13:$F$13</c:f>
              <c:numCache>
                <c:formatCode>General</c:formatCode>
                <c:ptCount val="5"/>
                <c:pt idx="0">
                  <c:v>2024</c:v>
                </c:pt>
                <c:pt idx="1">
                  <c:v>2025</c:v>
                </c:pt>
                <c:pt idx="2">
                  <c:v>2026</c:v>
                </c:pt>
                <c:pt idx="3">
                  <c:v>2027</c:v>
                </c:pt>
                <c:pt idx="4">
                  <c:v>2028</c:v>
                </c:pt>
              </c:numCache>
            </c:numRef>
          </c:cat>
          <c:val>
            <c:numRef>
              <c:f>Sheet1!$B$14:$F$14</c:f>
              <c:numCache>
                <c:formatCode>_(* #,##0_);_(* \(#,##0\);_(* "-"??_);_(@_)</c:formatCode>
                <c:ptCount val="5"/>
                <c:pt idx="0">
                  <c:v>1116</c:v>
                </c:pt>
                <c:pt idx="1">
                  <c:v>1273.8247200000001</c:v>
                </c:pt>
                <c:pt idx="2">
                  <c:v>1503.7246054656002</c:v>
                </c:pt>
                <c:pt idx="3">
                  <c:v>2060.6365317228124</c:v>
                </c:pt>
                <c:pt idx="4">
                  <c:v>2823.8035744290141</c:v>
                </c:pt>
              </c:numCache>
            </c:numRef>
          </c:val>
          <c:extLst>
            <c:ext xmlns:c16="http://schemas.microsoft.com/office/drawing/2014/chart" uri="{C3380CC4-5D6E-409C-BE32-E72D297353CC}">
              <c16:uniqueId val="{00000000-F904-4588-B219-720A9A96FAC3}"/>
            </c:ext>
          </c:extLst>
        </c:ser>
        <c:ser>
          <c:idx val="1"/>
          <c:order val="1"/>
          <c:tx>
            <c:strRef>
              <c:f>Sheet1!$A$15</c:f>
              <c:strCache>
                <c:ptCount val="1"/>
                <c:pt idx="0">
                  <c:v>COSTO VENTAS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iso"/>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Sheet1!$B$13:$F$13</c:f>
              <c:numCache>
                <c:formatCode>General</c:formatCode>
                <c:ptCount val="5"/>
                <c:pt idx="0">
                  <c:v>2024</c:v>
                </c:pt>
                <c:pt idx="1">
                  <c:v>2025</c:v>
                </c:pt>
                <c:pt idx="2">
                  <c:v>2026</c:v>
                </c:pt>
                <c:pt idx="3">
                  <c:v>2027</c:v>
                </c:pt>
                <c:pt idx="4">
                  <c:v>2028</c:v>
                </c:pt>
              </c:numCache>
            </c:numRef>
          </c:cat>
          <c:val>
            <c:numRef>
              <c:f>Sheet1!$B$15:$F$15</c:f>
              <c:numCache>
                <c:formatCode>_(* #,##0_);_(* \(#,##0\);_(* "-"??_);_(@_)</c:formatCode>
                <c:ptCount val="5"/>
                <c:pt idx="0">
                  <c:v>390.6</c:v>
                </c:pt>
                <c:pt idx="1">
                  <c:v>434.00440944000002</c:v>
                </c:pt>
                <c:pt idx="2">
                  <c:v>498.73425748857449</c:v>
                </c:pt>
                <c:pt idx="3">
                  <c:v>665.30182404516302</c:v>
                </c:pt>
                <c:pt idx="4">
                  <c:v>887.49972642086095</c:v>
                </c:pt>
              </c:numCache>
            </c:numRef>
          </c:val>
          <c:extLst>
            <c:ext xmlns:c16="http://schemas.microsoft.com/office/drawing/2014/chart" uri="{C3380CC4-5D6E-409C-BE32-E72D297353CC}">
              <c16:uniqueId val="{00000001-F904-4588-B219-720A9A96FAC3}"/>
            </c:ext>
          </c:extLst>
        </c:ser>
        <c:ser>
          <c:idx val="2"/>
          <c:order val="2"/>
          <c:tx>
            <c:strRef>
              <c:f>Sheet1!$A$16</c:f>
              <c:strCache>
                <c:ptCount val="1"/>
                <c:pt idx="0">
                  <c:v>UTILIDAD BRUTA</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iso"/>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Sheet1!$B$13:$F$13</c:f>
              <c:numCache>
                <c:formatCode>General</c:formatCode>
                <c:ptCount val="5"/>
                <c:pt idx="0">
                  <c:v>2024</c:v>
                </c:pt>
                <c:pt idx="1">
                  <c:v>2025</c:v>
                </c:pt>
                <c:pt idx="2">
                  <c:v>2026</c:v>
                </c:pt>
                <c:pt idx="3">
                  <c:v>2027</c:v>
                </c:pt>
                <c:pt idx="4">
                  <c:v>2028</c:v>
                </c:pt>
              </c:numCache>
            </c:numRef>
          </c:cat>
          <c:val>
            <c:numRef>
              <c:f>Sheet1!$B$16:$F$16</c:f>
              <c:numCache>
                <c:formatCode>_(* #,##0_);_(* \(#,##0\);_(* "-"??_);_(@_)</c:formatCode>
                <c:ptCount val="5"/>
                <c:pt idx="0">
                  <c:v>725.4</c:v>
                </c:pt>
                <c:pt idx="1">
                  <c:v>839.82031055999994</c:v>
                </c:pt>
                <c:pt idx="2">
                  <c:v>1004.9903479770257</c:v>
                </c:pt>
                <c:pt idx="3">
                  <c:v>1395.334707677649</c:v>
                </c:pt>
                <c:pt idx="4">
                  <c:v>1936.3038480081532</c:v>
                </c:pt>
              </c:numCache>
            </c:numRef>
          </c:val>
          <c:extLst>
            <c:ext xmlns:c16="http://schemas.microsoft.com/office/drawing/2014/chart" uri="{C3380CC4-5D6E-409C-BE32-E72D297353CC}">
              <c16:uniqueId val="{00000002-F904-4588-B219-720A9A96FAC3}"/>
            </c:ext>
          </c:extLst>
        </c:ser>
        <c:ser>
          <c:idx val="3"/>
          <c:order val="3"/>
          <c:tx>
            <c:strRef>
              <c:f>Sheet1!$A$17</c:f>
              <c:strCache>
                <c:ptCount val="1"/>
                <c:pt idx="0">
                  <c:v>Gastos </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iso"/>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Sheet1!$B$13:$F$13</c:f>
              <c:numCache>
                <c:formatCode>General</c:formatCode>
                <c:ptCount val="5"/>
                <c:pt idx="0">
                  <c:v>2024</c:v>
                </c:pt>
                <c:pt idx="1">
                  <c:v>2025</c:v>
                </c:pt>
                <c:pt idx="2">
                  <c:v>2026</c:v>
                </c:pt>
                <c:pt idx="3">
                  <c:v>2027</c:v>
                </c:pt>
                <c:pt idx="4">
                  <c:v>2028</c:v>
                </c:pt>
              </c:numCache>
            </c:numRef>
          </c:cat>
          <c:val>
            <c:numRef>
              <c:f>Sheet1!$B$17:$F$17</c:f>
              <c:numCache>
                <c:formatCode>_(* #,##0_);_(* \(#,##0\);_(* "-"??_);_(@_)</c:formatCode>
                <c:ptCount val="5"/>
                <c:pt idx="0">
                  <c:v>650.30039999999997</c:v>
                </c:pt>
                <c:pt idx="1">
                  <c:v>712.72593400000005</c:v>
                </c:pt>
                <c:pt idx="2">
                  <c:v>773.77763838999999</c:v>
                </c:pt>
                <c:pt idx="3">
                  <c:v>859.84873765315001</c:v>
                </c:pt>
                <c:pt idx="4">
                  <c:v>929.36588035366776</c:v>
                </c:pt>
              </c:numCache>
            </c:numRef>
          </c:val>
          <c:extLst>
            <c:ext xmlns:c16="http://schemas.microsoft.com/office/drawing/2014/chart" uri="{C3380CC4-5D6E-409C-BE32-E72D297353CC}">
              <c16:uniqueId val="{00000003-F904-4588-B219-720A9A96FAC3}"/>
            </c:ext>
          </c:extLst>
        </c:ser>
        <c:ser>
          <c:idx val="4"/>
          <c:order val="4"/>
          <c:tx>
            <c:strRef>
              <c:f>Sheet1!$A$18</c:f>
              <c:strCache>
                <c:ptCount val="1"/>
                <c:pt idx="0">
                  <c:v>EBITDA</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iso"/>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Sheet1!$B$13:$F$13</c:f>
              <c:numCache>
                <c:formatCode>General</c:formatCode>
                <c:ptCount val="5"/>
                <c:pt idx="0">
                  <c:v>2024</c:v>
                </c:pt>
                <c:pt idx="1">
                  <c:v>2025</c:v>
                </c:pt>
                <c:pt idx="2">
                  <c:v>2026</c:v>
                </c:pt>
                <c:pt idx="3">
                  <c:v>2027</c:v>
                </c:pt>
                <c:pt idx="4">
                  <c:v>2028</c:v>
                </c:pt>
              </c:numCache>
            </c:numRef>
          </c:cat>
          <c:val>
            <c:numRef>
              <c:f>Sheet1!$B$18:$F$18</c:f>
              <c:numCache>
                <c:formatCode>_(* #,##0_);_(* \(#,##0\);_(* "-"??_);_(@_)</c:formatCode>
                <c:ptCount val="5"/>
                <c:pt idx="0">
                  <c:v>75.099600000000009</c:v>
                </c:pt>
                <c:pt idx="1">
                  <c:v>127.09437655999994</c:v>
                </c:pt>
                <c:pt idx="2">
                  <c:v>231.21270958702581</c:v>
                </c:pt>
                <c:pt idx="3">
                  <c:v>535.48597002449901</c:v>
                </c:pt>
                <c:pt idx="4">
                  <c:v>1006.9379676544854</c:v>
                </c:pt>
              </c:numCache>
            </c:numRef>
          </c:val>
          <c:extLst>
            <c:ext xmlns:c16="http://schemas.microsoft.com/office/drawing/2014/chart" uri="{C3380CC4-5D6E-409C-BE32-E72D297353CC}">
              <c16:uniqueId val="{00000004-F904-4588-B219-720A9A96FAC3}"/>
            </c:ext>
          </c:extLst>
        </c:ser>
        <c:dLbls>
          <c:showLegendKey val="0"/>
          <c:showVal val="0"/>
          <c:showCatName val="0"/>
          <c:showSerName val="0"/>
          <c:showPercent val="0"/>
          <c:showBubbleSize val="0"/>
        </c:dLbls>
        <c:gapWidth val="219"/>
        <c:overlap val="-27"/>
        <c:axId val="825880000"/>
        <c:axId val="825877480"/>
      </c:barChart>
      <c:lineChart>
        <c:grouping val="standard"/>
        <c:varyColors val="0"/>
        <c:ser>
          <c:idx val="5"/>
          <c:order val="5"/>
          <c:tx>
            <c:strRef>
              <c:f>Sheet1!$A$19</c:f>
              <c:strCache>
                <c:ptCount val="1"/>
                <c:pt idx="0">
                  <c:v>Utilidad Neta</c:v>
                </c:pt>
              </c:strCache>
            </c:strRef>
          </c:tx>
          <c:spPr>
            <a:ln w="28575" cap="rnd">
              <a:solidFill>
                <a:schemeClr val="accent6"/>
              </a:solidFill>
              <a:round/>
            </a:ln>
            <a:effectLst/>
          </c:spPr>
          <c:marker>
            <c:symbol val="none"/>
          </c:marker>
          <c:dLbls>
            <c:dLbl>
              <c:idx val="2"/>
              <c:layout>
                <c:manualLayout>
                  <c:x val="1.713796058269066E-2"/>
                  <c:y val="-0.101710587147480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04-4588-B219-720A9A96FAC3}"/>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iso"/>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Sheet1!$B$13:$F$13</c:f>
              <c:numCache>
                <c:formatCode>General</c:formatCode>
                <c:ptCount val="5"/>
                <c:pt idx="0">
                  <c:v>2024</c:v>
                </c:pt>
                <c:pt idx="1">
                  <c:v>2025</c:v>
                </c:pt>
                <c:pt idx="2">
                  <c:v>2026</c:v>
                </c:pt>
                <c:pt idx="3">
                  <c:v>2027</c:v>
                </c:pt>
                <c:pt idx="4">
                  <c:v>2028</c:v>
                </c:pt>
              </c:numCache>
            </c:numRef>
          </c:cat>
          <c:val>
            <c:numRef>
              <c:f>Sheet1!$B$19:$F$19</c:f>
              <c:numCache>
                <c:formatCode>0%</c:formatCode>
                <c:ptCount val="5"/>
                <c:pt idx="0">
                  <c:v>8.809947006272402E-2</c:v>
                </c:pt>
                <c:pt idx="1">
                  <c:v>0.11448411359336577</c:v>
                </c:pt>
                <c:pt idx="2">
                  <c:v>0.15496352109762271</c:v>
                </c:pt>
                <c:pt idx="3">
                  <c:v>0.23049521240444315</c:v>
                </c:pt>
                <c:pt idx="4">
                  <c:v>0.2975250254324418</c:v>
                </c:pt>
              </c:numCache>
            </c:numRef>
          </c:val>
          <c:smooth val="0"/>
          <c:extLst>
            <c:ext xmlns:c16="http://schemas.microsoft.com/office/drawing/2014/chart" uri="{C3380CC4-5D6E-409C-BE32-E72D297353CC}">
              <c16:uniqueId val="{00000006-F904-4588-B219-720A9A96FAC3}"/>
            </c:ext>
          </c:extLst>
        </c:ser>
        <c:dLbls>
          <c:showLegendKey val="0"/>
          <c:showVal val="0"/>
          <c:showCatName val="0"/>
          <c:showSerName val="0"/>
          <c:showPercent val="0"/>
          <c:showBubbleSize val="0"/>
        </c:dLbls>
        <c:marker val="1"/>
        <c:smooth val="0"/>
        <c:axId val="1007465256"/>
        <c:axId val="831330736"/>
      </c:lineChart>
      <c:catAx>
        <c:axId val="825880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iso"/>
                <a:ea typeface="+mn-ea"/>
                <a:cs typeface="+mn-cs"/>
              </a:defRPr>
            </a:pPr>
            <a:endParaRPr lang="en-US"/>
          </a:p>
        </c:txPr>
        <c:crossAx val="825877480"/>
        <c:crosses val="autoZero"/>
        <c:auto val="1"/>
        <c:lblAlgn val="ctr"/>
        <c:lblOffset val="100"/>
        <c:noMultiLvlLbl val="0"/>
      </c:catAx>
      <c:valAx>
        <c:axId val="82587748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iso"/>
                <a:ea typeface="+mn-ea"/>
                <a:cs typeface="+mn-cs"/>
              </a:defRPr>
            </a:pPr>
            <a:endParaRPr lang="en-US"/>
          </a:p>
        </c:txPr>
        <c:crossAx val="825880000"/>
        <c:crosses val="autoZero"/>
        <c:crossBetween val="between"/>
      </c:valAx>
      <c:valAx>
        <c:axId val="83133073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iso"/>
                <a:ea typeface="+mn-ea"/>
                <a:cs typeface="+mn-cs"/>
              </a:defRPr>
            </a:pPr>
            <a:endParaRPr lang="en-US"/>
          </a:p>
        </c:txPr>
        <c:crossAx val="1007465256"/>
        <c:crosses val="max"/>
        <c:crossBetween val="between"/>
      </c:valAx>
      <c:catAx>
        <c:axId val="1007465256"/>
        <c:scaling>
          <c:orientation val="minMax"/>
        </c:scaling>
        <c:delete val="1"/>
        <c:axPos val="b"/>
        <c:numFmt formatCode="General" sourceLinked="1"/>
        <c:majorTickMark val="out"/>
        <c:minorTickMark val="none"/>
        <c:tickLblPos val="nextTo"/>
        <c:crossAx val="83133073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iso"/>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latin typeface="Miso"/>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533400</xdr:colOff>
      <xdr:row>2</xdr:row>
      <xdr:rowOff>161925</xdr:rowOff>
    </xdr:from>
    <xdr:to>
      <xdr:col>24</xdr:col>
      <xdr:colOff>552450</xdr:colOff>
      <xdr:row>34</xdr:row>
      <xdr:rowOff>114300</xdr:rowOff>
    </xdr:to>
    <xdr:graphicFrame macro="">
      <xdr:nvGraphicFramePr>
        <xdr:cNvPr id="3" name="Chart 2">
          <a:extLst>
            <a:ext uri="{FF2B5EF4-FFF2-40B4-BE49-F238E27FC236}">
              <a16:creationId xmlns:a16="http://schemas.microsoft.com/office/drawing/2014/main" id="{C05A2259-27EF-130F-DF7A-8ED8D850CE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zoomScaleNormal="100" zoomScaleSheetLayoutView="100" workbookViewId="0">
      <selection activeCell="J10" sqref="J10"/>
    </sheetView>
  </sheetViews>
  <sheetFormatPr defaultColWidth="11.44140625" defaultRowHeight="14.4" x14ac:dyDescent="0.3"/>
  <sheetData>
    <row r="23" spans="7:8" ht="20.399999999999999" x14ac:dyDescent="0.35">
      <c r="G23" s="118" t="s">
        <v>135</v>
      </c>
      <c r="H23" s="118"/>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D19" sqref="D19"/>
    </sheetView>
  </sheetViews>
  <sheetFormatPr defaultColWidth="11.44140625" defaultRowHeight="13.8" x14ac:dyDescent="0.25"/>
  <cols>
    <col min="1" max="1" width="22.5546875" style="9" customWidth="1"/>
    <col min="2" max="2" width="53" style="9" bestFit="1" customWidth="1"/>
    <col min="3" max="3" width="19" style="9" customWidth="1"/>
    <col min="4" max="4" width="18.109375" style="9" customWidth="1"/>
    <col min="5" max="5" width="19.109375" style="9" customWidth="1"/>
    <col min="6" max="6" width="17.109375" style="9" bestFit="1" customWidth="1"/>
    <col min="7" max="10" width="9.44140625" style="9" bestFit="1" customWidth="1"/>
    <col min="11" max="11" width="4.33203125" style="9" customWidth="1"/>
    <col min="12" max="15" width="11.44140625" style="9" hidden="1" customWidth="1"/>
    <col min="16" max="19" width="12" style="9" hidden="1" customWidth="1"/>
    <col min="20" max="24" width="15.5546875" style="9" hidden="1" customWidth="1"/>
    <col min="25" max="25" width="22.109375" style="9" bestFit="1" customWidth="1"/>
    <col min="26" max="27" width="9.44140625" style="9" bestFit="1" customWidth="1"/>
    <col min="28" max="28" width="11.44140625" style="9" bestFit="1" customWidth="1"/>
    <col min="29" max="29" width="9.44140625" style="9" bestFit="1" customWidth="1"/>
    <col min="30" max="16384" width="11.44140625" style="9"/>
  </cols>
  <sheetData>
    <row r="1" spans="1:29" ht="30.75" customHeight="1" x14ac:dyDescent="0.25">
      <c r="A1" s="120" t="s">
        <v>5</v>
      </c>
      <c r="B1" s="120"/>
      <c r="C1" s="120"/>
      <c r="D1" s="120"/>
      <c r="E1" s="120"/>
      <c r="G1" s="121" t="s">
        <v>12</v>
      </c>
      <c r="H1" s="121"/>
      <c r="I1" s="121"/>
      <c r="J1" s="121"/>
      <c r="P1" s="9" t="s">
        <v>16</v>
      </c>
      <c r="Y1" s="39" t="s">
        <v>9</v>
      </c>
      <c r="Z1" s="40">
        <v>2024</v>
      </c>
    </row>
    <row r="2" spans="1:29" ht="32.25" customHeight="1" thickBot="1" x14ac:dyDescent="0.3">
      <c r="B2" s="41" t="s">
        <v>4</v>
      </c>
      <c r="C2" s="42" t="s">
        <v>0</v>
      </c>
      <c r="D2" s="41" t="s">
        <v>7</v>
      </c>
      <c r="E2" s="42" t="s">
        <v>1</v>
      </c>
      <c r="F2" s="43" t="s">
        <v>27</v>
      </c>
      <c r="G2" s="44">
        <f>'1'!Z1+1</f>
        <v>2025</v>
      </c>
      <c r="H2" s="44">
        <f>G2+1</f>
        <v>2026</v>
      </c>
      <c r="I2" s="44">
        <f t="shared" ref="I2:J2" si="0">H2+1</f>
        <v>2027</v>
      </c>
      <c r="J2" s="44">
        <f t="shared" si="0"/>
        <v>2028</v>
      </c>
      <c r="L2" s="9">
        <f>G2</f>
        <v>2025</v>
      </c>
      <c r="M2" s="9">
        <f>H2</f>
        <v>2026</v>
      </c>
      <c r="N2" s="9">
        <f>M2+1</f>
        <v>2027</v>
      </c>
      <c r="O2" s="9">
        <f>N2+1</f>
        <v>2028</v>
      </c>
      <c r="P2" s="9" t="s">
        <v>13</v>
      </c>
      <c r="Q2" s="9" t="s">
        <v>11</v>
      </c>
      <c r="R2" s="9" t="s">
        <v>23</v>
      </c>
      <c r="S2" s="9" t="s">
        <v>24</v>
      </c>
      <c r="T2" s="9" t="s">
        <v>17</v>
      </c>
      <c r="U2" s="9" t="s">
        <v>18</v>
      </c>
      <c r="V2" s="9" t="s">
        <v>25</v>
      </c>
      <c r="W2" s="9" t="s">
        <v>26</v>
      </c>
    </row>
    <row r="3" spans="1:29" ht="14.4" thickBot="1" x14ac:dyDescent="0.3">
      <c r="A3" s="5">
        <v>1</v>
      </c>
      <c r="B3" s="3" t="s">
        <v>159</v>
      </c>
      <c r="C3" s="13">
        <v>70</v>
      </c>
      <c r="D3" s="4">
        <v>10000000</v>
      </c>
      <c r="E3" s="6">
        <f>C3*D3</f>
        <v>700000000</v>
      </c>
      <c r="F3" s="30">
        <f>IF($E$13=0,0,E3/$E$13)</f>
        <v>0.62724014336917566</v>
      </c>
      <c r="G3" s="20">
        <v>5.1999999999999998E-2</v>
      </c>
      <c r="H3" s="20">
        <v>8.7999999999999995E-2</v>
      </c>
      <c r="I3" s="20">
        <v>0.26300000000000001</v>
      </c>
      <c r="J3" s="20">
        <v>0.26300000000000001</v>
      </c>
      <c r="K3" s="6"/>
      <c r="L3" s="9">
        <f t="shared" ref="L3:L12" si="1">C3*(1+G3)</f>
        <v>73.64</v>
      </c>
      <c r="M3" s="9">
        <f>L3*(1+H3)</f>
        <v>80.120320000000007</v>
      </c>
      <c r="N3" s="9">
        <f t="shared" ref="N3:O3" si="2">M3*(1+I3)</f>
        <v>101.19196416</v>
      </c>
      <c r="O3" s="9">
        <f t="shared" si="2"/>
        <v>127.80545073407998</v>
      </c>
      <c r="P3" s="31">
        <f>D3*(1+'1'!$Z$4)</f>
        <v>10850000</v>
      </c>
      <c r="Q3" s="31">
        <f>P3*(1+'1'!$AA$4)</f>
        <v>11772250</v>
      </c>
      <c r="R3" s="31">
        <f>Q3*(1+'1'!$AB$4)</f>
        <v>12772891.25</v>
      </c>
      <c r="S3" s="31">
        <f>R3*(1+'1'!$AC$4)</f>
        <v>13858587.00625</v>
      </c>
      <c r="T3" s="16">
        <f>L3*P3</f>
        <v>798994000</v>
      </c>
      <c r="U3" s="16">
        <f>M3*Q3</f>
        <v>943196437.12000012</v>
      </c>
      <c r="V3" s="16">
        <f>N3*R3</f>
        <v>1292513953.5895777</v>
      </c>
      <c r="W3" s="16">
        <f>O3*S3</f>
        <v>1771202958.8712454</v>
      </c>
      <c r="X3" s="16"/>
      <c r="Y3" s="32" t="s">
        <v>10</v>
      </c>
      <c r="Z3" s="45">
        <f>G2</f>
        <v>2025</v>
      </c>
      <c r="AA3" s="45">
        <f>Z3+1</f>
        <v>2026</v>
      </c>
      <c r="AB3" s="45">
        <f t="shared" ref="AB3:AC3" si="3">AA3+1</f>
        <v>2027</v>
      </c>
      <c r="AC3" s="46">
        <f t="shared" si="3"/>
        <v>2028</v>
      </c>
    </row>
    <row r="4" spans="1:29" x14ac:dyDescent="0.25">
      <c r="A4" s="5">
        <f>A3+1</f>
        <v>2</v>
      </c>
      <c r="B4" s="3" t="s">
        <v>160</v>
      </c>
      <c r="C4" s="13">
        <v>52</v>
      </c>
      <c r="D4" s="4">
        <v>8000000</v>
      </c>
      <c r="E4" s="6">
        <f t="shared" ref="E4:E12" si="4">C4*D4</f>
        <v>416000000</v>
      </c>
      <c r="F4" s="30">
        <f t="shared" ref="F4:F12" si="5">IF($E$13=0,0,E4/$E$13)</f>
        <v>0.37275985663082439</v>
      </c>
      <c r="G4" s="20">
        <v>5.1999999999999998E-2</v>
      </c>
      <c r="H4" s="20">
        <v>8.7999999999999995E-2</v>
      </c>
      <c r="I4" s="20">
        <v>0.26300000000000001</v>
      </c>
      <c r="J4" s="20">
        <v>0.26300000000000001</v>
      </c>
      <c r="K4" s="6"/>
      <c r="L4" s="9">
        <f t="shared" si="1"/>
        <v>54.704000000000001</v>
      </c>
      <c r="M4" s="9">
        <f t="shared" ref="M4:M12" si="6">L4*(1+H4)</f>
        <v>59.517952000000008</v>
      </c>
      <c r="N4" s="9">
        <f t="shared" ref="N4:N12" si="7">M4*(1+I4)</f>
        <v>75.171173375999999</v>
      </c>
      <c r="O4" s="9">
        <f t="shared" ref="O4:O12" si="8">N4*(1+J4)</f>
        <v>94.941191973887996</v>
      </c>
      <c r="P4" s="31">
        <f>D4*(1+'1'!$Z$4)</f>
        <v>8680000</v>
      </c>
      <c r="Q4" s="31">
        <f>P4*(1+'1'!$AA$4)</f>
        <v>9417800</v>
      </c>
      <c r="R4" s="31">
        <f>Q4*(1+'1'!$AB$4)</f>
        <v>10218313</v>
      </c>
      <c r="S4" s="31">
        <f>R4*(1+'1'!$AC$4)</f>
        <v>11086869.605</v>
      </c>
      <c r="T4" s="16">
        <f t="shared" ref="T4:T12" si="9">L4*P4</f>
        <v>474830720</v>
      </c>
      <c r="U4" s="16">
        <f t="shared" ref="U4:U12" si="10">M4*Q4</f>
        <v>560528168.34560013</v>
      </c>
      <c r="V4" s="16">
        <f t="shared" ref="V4:V12" si="11">N4*R4</f>
        <v>768122578.13323462</v>
      </c>
      <c r="W4" s="16">
        <f t="shared" ref="W4:W12" si="12">O4*S4</f>
        <v>1052600615.5577688</v>
      </c>
      <c r="X4" s="16"/>
      <c r="Y4" s="47" t="s">
        <v>14</v>
      </c>
      <c r="Z4" s="48">
        <v>8.5000000000000006E-2</v>
      </c>
      <c r="AA4" s="48">
        <v>8.5000000000000006E-2</v>
      </c>
      <c r="AB4" s="48">
        <v>8.5000000000000006E-2</v>
      </c>
      <c r="AC4" s="48">
        <v>8.5000000000000006E-2</v>
      </c>
    </row>
    <row r="5" spans="1:29" ht="14.4" thickBot="1" x14ac:dyDescent="0.3">
      <c r="A5" s="5">
        <f t="shared" ref="A5:A12" si="13">A4+1</f>
        <v>3</v>
      </c>
      <c r="B5" s="3"/>
      <c r="C5" s="13"/>
      <c r="D5" s="4">
        <v>0</v>
      </c>
      <c r="E5" s="6">
        <f t="shared" si="4"/>
        <v>0</v>
      </c>
      <c r="F5" s="30">
        <f t="shared" si="5"/>
        <v>0</v>
      </c>
      <c r="G5" s="12">
        <v>0</v>
      </c>
      <c r="H5" s="12">
        <v>0</v>
      </c>
      <c r="I5" s="12">
        <v>0</v>
      </c>
      <c r="J5" s="12">
        <v>0</v>
      </c>
      <c r="K5" s="6"/>
      <c r="L5" s="9">
        <f t="shared" si="1"/>
        <v>0</v>
      </c>
      <c r="M5" s="9">
        <f t="shared" si="6"/>
        <v>0</v>
      </c>
      <c r="N5" s="9">
        <f t="shared" si="7"/>
        <v>0</v>
      </c>
      <c r="O5" s="9">
        <f t="shared" si="8"/>
        <v>0</v>
      </c>
      <c r="P5" s="31">
        <f>D5*(1+'1'!$Z$4)</f>
        <v>0</v>
      </c>
      <c r="Q5" s="31">
        <f>P5*(1+'1'!$AA$4)</f>
        <v>0</v>
      </c>
      <c r="R5" s="31">
        <f>Q5*(1+'1'!$AB$4)</f>
        <v>0</v>
      </c>
      <c r="S5" s="31">
        <f>R5*(1+'1'!$AC$4)</f>
        <v>0</v>
      </c>
      <c r="T5" s="16">
        <f t="shared" si="9"/>
        <v>0</v>
      </c>
      <c r="U5" s="16">
        <f t="shared" si="10"/>
        <v>0</v>
      </c>
      <c r="V5" s="16">
        <f t="shared" si="11"/>
        <v>0</v>
      </c>
      <c r="W5" s="16">
        <f t="shared" si="12"/>
        <v>0</v>
      </c>
      <c r="X5" s="16"/>
      <c r="Y5" s="49" t="s">
        <v>15</v>
      </c>
      <c r="Z5" s="50">
        <v>5.62E-2</v>
      </c>
      <c r="AA5" s="50">
        <v>5.62E-2</v>
      </c>
      <c r="AB5" s="50">
        <v>5.62E-2</v>
      </c>
      <c r="AC5" s="50">
        <v>5.62E-2</v>
      </c>
    </row>
    <row r="6" spans="1:29" ht="14.4" thickBot="1" x14ac:dyDescent="0.3">
      <c r="A6" s="5">
        <f t="shared" si="13"/>
        <v>4</v>
      </c>
      <c r="B6" s="3"/>
      <c r="C6" s="13">
        <v>0</v>
      </c>
      <c r="D6" s="4">
        <v>0</v>
      </c>
      <c r="E6" s="6">
        <f t="shared" si="4"/>
        <v>0</v>
      </c>
      <c r="F6" s="30">
        <f t="shared" si="5"/>
        <v>0</v>
      </c>
      <c r="G6" s="12">
        <v>0</v>
      </c>
      <c r="H6" s="12">
        <v>0</v>
      </c>
      <c r="I6" s="12">
        <v>0</v>
      </c>
      <c r="J6" s="12">
        <v>0</v>
      </c>
      <c r="K6" s="6"/>
      <c r="L6" s="9">
        <f t="shared" si="1"/>
        <v>0</v>
      </c>
      <c r="M6" s="9">
        <f t="shared" si="6"/>
        <v>0</v>
      </c>
      <c r="N6" s="9">
        <f t="shared" si="7"/>
        <v>0</v>
      </c>
      <c r="O6" s="9">
        <f t="shared" si="8"/>
        <v>0</v>
      </c>
      <c r="P6" s="31">
        <f>D6*(1+'1'!$Z$4)</f>
        <v>0</v>
      </c>
      <c r="Q6" s="31">
        <f>P6*(1+'1'!$AA$4)</f>
        <v>0</v>
      </c>
      <c r="R6" s="31">
        <f>Q6*(1+'1'!$AB$4)</f>
        <v>0</v>
      </c>
      <c r="S6" s="31">
        <f>R6*(1+'1'!$AC$4)</f>
        <v>0</v>
      </c>
      <c r="T6" s="16">
        <f t="shared" si="9"/>
        <v>0</v>
      </c>
      <c r="U6" s="16">
        <f t="shared" si="10"/>
        <v>0</v>
      </c>
      <c r="V6" s="16">
        <f t="shared" si="11"/>
        <v>0</v>
      </c>
      <c r="W6" s="16">
        <f t="shared" si="12"/>
        <v>0</v>
      </c>
      <c r="X6" s="16"/>
    </row>
    <row r="7" spans="1:29" ht="14.4" thickBot="1" x14ac:dyDescent="0.3">
      <c r="A7" s="5">
        <f t="shared" si="13"/>
        <v>5</v>
      </c>
      <c r="B7" s="3"/>
      <c r="C7" s="13">
        <v>0</v>
      </c>
      <c r="D7" s="4">
        <v>0</v>
      </c>
      <c r="E7" s="6">
        <f t="shared" si="4"/>
        <v>0</v>
      </c>
      <c r="F7" s="30">
        <f t="shared" si="5"/>
        <v>0</v>
      </c>
      <c r="G7" s="12">
        <v>0</v>
      </c>
      <c r="H7" s="12">
        <v>0</v>
      </c>
      <c r="I7" s="12">
        <v>0</v>
      </c>
      <c r="J7" s="12">
        <v>0</v>
      </c>
      <c r="K7" s="6"/>
      <c r="L7" s="9">
        <f t="shared" si="1"/>
        <v>0</v>
      </c>
      <c r="M7" s="9">
        <f t="shared" si="6"/>
        <v>0</v>
      </c>
      <c r="N7" s="9">
        <f t="shared" si="7"/>
        <v>0</v>
      </c>
      <c r="O7" s="9">
        <f t="shared" si="8"/>
        <v>0</v>
      </c>
      <c r="P7" s="31">
        <f>D7*(1+'1'!$Z$4)</f>
        <v>0</v>
      </c>
      <c r="Q7" s="31">
        <f>P7*(1+'1'!$AA$4)</f>
        <v>0</v>
      </c>
      <c r="R7" s="31">
        <f>Q7*(1+'1'!$AB$4)</f>
        <v>0</v>
      </c>
      <c r="S7" s="31">
        <f>R7*(1+'1'!$AC$4)</f>
        <v>0</v>
      </c>
      <c r="T7" s="16">
        <f t="shared" si="9"/>
        <v>0</v>
      </c>
      <c r="U7" s="16">
        <f t="shared" si="10"/>
        <v>0</v>
      </c>
      <c r="V7" s="16">
        <f t="shared" si="11"/>
        <v>0</v>
      </c>
      <c r="W7" s="16">
        <f t="shared" si="12"/>
        <v>0</v>
      </c>
      <c r="X7" s="16"/>
      <c r="Y7" s="32" t="s">
        <v>91</v>
      </c>
      <c r="Z7" s="33"/>
      <c r="AA7" s="33"/>
      <c r="AB7" s="51">
        <v>0.34</v>
      </c>
      <c r="AC7" s="34"/>
    </row>
    <row r="8" spans="1:29" x14ac:dyDescent="0.25">
      <c r="A8" s="5">
        <f t="shared" si="13"/>
        <v>6</v>
      </c>
      <c r="B8" s="3"/>
      <c r="C8" s="13">
        <v>0</v>
      </c>
      <c r="D8" s="4">
        <v>0</v>
      </c>
      <c r="E8" s="6">
        <f t="shared" si="4"/>
        <v>0</v>
      </c>
      <c r="F8" s="30">
        <f t="shared" si="5"/>
        <v>0</v>
      </c>
      <c r="G8" s="12">
        <v>0</v>
      </c>
      <c r="H8" s="12">
        <v>0</v>
      </c>
      <c r="I8" s="12">
        <v>0</v>
      </c>
      <c r="J8" s="12">
        <v>0</v>
      </c>
      <c r="K8" s="6"/>
      <c r="L8" s="9">
        <f t="shared" si="1"/>
        <v>0</v>
      </c>
      <c r="M8" s="9">
        <f t="shared" si="6"/>
        <v>0</v>
      </c>
      <c r="N8" s="9">
        <f t="shared" si="7"/>
        <v>0</v>
      </c>
      <c r="O8" s="9">
        <f t="shared" si="8"/>
        <v>0</v>
      </c>
      <c r="P8" s="31">
        <f>D8*(1+'1'!$Z$4)</f>
        <v>0</v>
      </c>
      <c r="Q8" s="31">
        <f>P8*(1+'1'!$AA$4)</f>
        <v>0</v>
      </c>
      <c r="R8" s="31">
        <f>Q8*(1+'1'!$AB$4)</f>
        <v>0</v>
      </c>
      <c r="S8" s="31">
        <f>R8*(1+'1'!$AC$4)</f>
        <v>0</v>
      </c>
      <c r="T8" s="16">
        <f t="shared" si="9"/>
        <v>0</v>
      </c>
      <c r="U8" s="16">
        <f t="shared" si="10"/>
        <v>0</v>
      </c>
      <c r="V8" s="16">
        <f t="shared" si="11"/>
        <v>0</v>
      </c>
      <c r="W8" s="16">
        <f t="shared" si="12"/>
        <v>0</v>
      </c>
      <c r="X8" s="16"/>
    </row>
    <row r="9" spans="1:29" x14ac:dyDescent="0.25">
      <c r="A9" s="5">
        <f t="shared" si="13"/>
        <v>7</v>
      </c>
      <c r="B9" s="3"/>
      <c r="C9" s="13">
        <v>0</v>
      </c>
      <c r="D9" s="4">
        <v>0</v>
      </c>
      <c r="E9" s="6">
        <f t="shared" si="4"/>
        <v>0</v>
      </c>
      <c r="F9" s="30">
        <f t="shared" si="5"/>
        <v>0</v>
      </c>
      <c r="G9" s="12">
        <v>0</v>
      </c>
      <c r="H9" s="12">
        <v>0</v>
      </c>
      <c r="I9" s="12">
        <v>0</v>
      </c>
      <c r="J9" s="12">
        <v>0</v>
      </c>
      <c r="K9" s="6"/>
      <c r="L9" s="9">
        <f t="shared" si="1"/>
        <v>0</v>
      </c>
      <c r="M9" s="9">
        <f t="shared" si="6"/>
        <v>0</v>
      </c>
      <c r="N9" s="9">
        <f t="shared" si="7"/>
        <v>0</v>
      </c>
      <c r="O9" s="9">
        <f t="shared" si="8"/>
        <v>0</v>
      </c>
      <c r="P9" s="31">
        <f>D9*(1+'1'!$Z$4)</f>
        <v>0</v>
      </c>
      <c r="Q9" s="31">
        <f>P9*(1+'1'!$AA$4)</f>
        <v>0</v>
      </c>
      <c r="R9" s="31">
        <f>Q9*(1+'1'!$AB$4)</f>
        <v>0</v>
      </c>
      <c r="S9" s="31">
        <f>R9*(1+'1'!$AC$4)</f>
        <v>0</v>
      </c>
      <c r="T9" s="16">
        <f t="shared" si="9"/>
        <v>0</v>
      </c>
      <c r="U9" s="16">
        <f t="shared" si="10"/>
        <v>0</v>
      </c>
      <c r="V9" s="16">
        <f t="shared" si="11"/>
        <v>0</v>
      </c>
      <c r="W9" s="16">
        <f t="shared" si="12"/>
        <v>0</v>
      </c>
      <c r="X9" s="16"/>
    </row>
    <row r="10" spans="1:29" x14ac:dyDescent="0.25">
      <c r="A10" s="5">
        <f t="shared" si="13"/>
        <v>8</v>
      </c>
      <c r="B10" s="3"/>
      <c r="C10" s="13">
        <v>0</v>
      </c>
      <c r="D10" s="4">
        <v>0</v>
      </c>
      <c r="E10" s="6">
        <f t="shared" si="4"/>
        <v>0</v>
      </c>
      <c r="F10" s="30">
        <f t="shared" si="5"/>
        <v>0</v>
      </c>
      <c r="G10" s="12">
        <v>0</v>
      </c>
      <c r="H10" s="12">
        <v>0</v>
      </c>
      <c r="I10" s="12">
        <v>0</v>
      </c>
      <c r="J10" s="12">
        <v>0</v>
      </c>
      <c r="K10" s="6"/>
      <c r="L10" s="9">
        <f t="shared" si="1"/>
        <v>0</v>
      </c>
      <c r="M10" s="9">
        <f t="shared" si="6"/>
        <v>0</v>
      </c>
      <c r="N10" s="9">
        <f t="shared" si="7"/>
        <v>0</v>
      </c>
      <c r="O10" s="9">
        <f t="shared" si="8"/>
        <v>0</v>
      </c>
      <c r="P10" s="31">
        <f>D10*(1+'1'!$Z$4)</f>
        <v>0</v>
      </c>
      <c r="Q10" s="31">
        <f>P10*(1+'1'!$AA$4)</f>
        <v>0</v>
      </c>
      <c r="R10" s="31">
        <f>Q10*(1+'1'!$AB$4)</f>
        <v>0</v>
      </c>
      <c r="S10" s="31">
        <f>R10*(1+'1'!$AC$4)</f>
        <v>0</v>
      </c>
      <c r="T10" s="16">
        <f t="shared" si="9"/>
        <v>0</v>
      </c>
      <c r="U10" s="16">
        <f t="shared" si="10"/>
        <v>0</v>
      </c>
      <c r="V10" s="16">
        <f t="shared" si="11"/>
        <v>0</v>
      </c>
      <c r="W10" s="16">
        <f t="shared" si="12"/>
        <v>0</v>
      </c>
      <c r="X10" s="16"/>
    </row>
    <row r="11" spans="1:29" x14ac:dyDescent="0.25">
      <c r="A11" s="5">
        <f t="shared" si="13"/>
        <v>9</v>
      </c>
      <c r="B11" s="3"/>
      <c r="C11" s="13">
        <v>0</v>
      </c>
      <c r="D11" s="4">
        <v>0</v>
      </c>
      <c r="E11" s="6">
        <f t="shared" si="4"/>
        <v>0</v>
      </c>
      <c r="F11" s="30">
        <f t="shared" si="5"/>
        <v>0</v>
      </c>
      <c r="G11" s="12">
        <v>0</v>
      </c>
      <c r="H11" s="12">
        <v>0</v>
      </c>
      <c r="I11" s="12">
        <v>0</v>
      </c>
      <c r="J11" s="12">
        <v>0</v>
      </c>
      <c r="K11" s="6"/>
      <c r="L11" s="9">
        <f t="shared" si="1"/>
        <v>0</v>
      </c>
      <c r="M11" s="9">
        <f t="shared" si="6"/>
        <v>0</v>
      </c>
      <c r="N11" s="9">
        <f t="shared" si="7"/>
        <v>0</v>
      </c>
      <c r="O11" s="9">
        <f t="shared" si="8"/>
        <v>0</v>
      </c>
      <c r="P11" s="31">
        <f>D11*(1+'1'!$Z$4)</f>
        <v>0</v>
      </c>
      <c r="Q11" s="31">
        <f>P11*(1+'1'!$AA$4)</f>
        <v>0</v>
      </c>
      <c r="R11" s="31">
        <f>Q11*(1+'1'!$AB$4)</f>
        <v>0</v>
      </c>
      <c r="S11" s="31">
        <f>R11*(1+'1'!$AC$4)</f>
        <v>0</v>
      </c>
      <c r="T11" s="16">
        <f t="shared" si="9"/>
        <v>0</v>
      </c>
      <c r="U11" s="16">
        <f t="shared" si="10"/>
        <v>0</v>
      </c>
      <c r="V11" s="16">
        <f t="shared" si="11"/>
        <v>0</v>
      </c>
      <c r="W11" s="16">
        <f t="shared" si="12"/>
        <v>0</v>
      </c>
      <c r="X11" s="16"/>
    </row>
    <row r="12" spans="1:29" x14ac:dyDescent="0.25">
      <c r="A12" s="5">
        <f t="shared" si="13"/>
        <v>10</v>
      </c>
      <c r="B12" s="3"/>
      <c r="C12" s="13">
        <v>0</v>
      </c>
      <c r="D12" s="4">
        <v>0</v>
      </c>
      <c r="E12" s="6">
        <f t="shared" si="4"/>
        <v>0</v>
      </c>
      <c r="F12" s="30">
        <f t="shared" si="5"/>
        <v>0</v>
      </c>
      <c r="G12" s="12">
        <v>0</v>
      </c>
      <c r="H12" s="12">
        <v>0</v>
      </c>
      <c r="I12" s="12">
        <v>0</v>
      </c>
      <c r="J12" s="12">
        <v>0</v>
      </c>
      <c r="K12" s="6"/>
      <c r="L12" s="9">
        <f t="shared" si="1"/>
        <v>0</v>
      </c>
      <c r="M12" s="9">
        <f t="shared" si="6"/>
        <v>0</v>
      </c>
      <c r="N12" s="9">
        <f t="shared" si="7"/>
        <v>0</v>
      </c>
      <c r="O12" s="9">
        <f t="shared" si="8"/>
        <v>0</v>
      </c>
      <c r="P12" s="31">
        <f>D12*(1+'1'!$Z$4)</f>
        <v>0</v>
      </c>
      <c r="Q12" s="31">
        <f>P12*(1+'1'!$AA$4)</f>
        <v>0</v>
      </c>
      <c r="R12" s="31">
        <f>Q12*(1+'1'!$AB$4)</f>
        <v>0</v>
      </c>
      <c r="S12" s="31">
        <f>R12*(1+'1'!$AC$4)</f>
        <v>0</v>
      </c>
      <c r="T12" s="16">
        <f t="shared" si="9"/>
        <v>0</v>
      </c>
      <c r="U12" s="16">
        <f t="shared" si="10"/>
        <v>0</v>
      </c>
      <c r="V12" s="16">
        <f t="shared" si="11"/>
        <v>0</v>
      </c>
      <c r="W12" s="16">
        <f t="shared" si="12"/>
        <v>0</v>
      </c>
      <c r="X12" s="16"/>
    </row>
    <row r="13" spans="1:29" x14ac:dyDescent="0.25">
      <c r="D13" s="9" t="s">
        <v>8</v>
      </c>
      <c r="E13" s="7">
        <f>SUM(E3:E12)</f>
        <v>1116000000</v>
      </c>
      <c r="F13" s="8">
        <f>SUM(F3:F12)</f>
        <v>1</v>
      </c>
      <c r="T13" s="35">
        <f>SUM(T3:T12)</f>
        <v>1273824720</v>
      </c>
      <c r="U13" s="35">
        <f>SUM(U3:U12)</f>
        <v>1503724605.4656003</v>
      </c>
      <c r="V13" s="35">
        <f>SUM(V3:V12)</f>
        <v>2060636531.7228122</v>
      </c>
      <c r="W13" s="35">
        <f>SUM(W3:W12)</f>
        <v>2823803574.4290142</v>
      </c>
      <c r="X13" s="16"/>
    </row>
    <row r="15" spans="1:29" ht="23.25" customHeight="1" x14ac:dyDescent="0.25">
      <c r="A15" s="120" t="s">
        <v>6</v>
      </c>
      <c r="B15" s="120"/>
      <c r="C15" s="120"/>
      <c r="D15" s="120"/>
      <c r="E15" s="120"/>
      <c r="G15" s="36"/>
    </row>
    <row r="16" spans="1:29" ht="25.5" customHeight="1" x14ac:dyDescent="0.25">
      <c r="B16" s="41" t="s">
        <v>3</v>
      </c>
      <c r="C16" s="52" t="s">
        <v>0</v>
      </c>
      <c r="D16" s="41" t="s">
        <v>161</v>
      </c>
      <c r="E16" s="42" t="s">
        <v>2</v>
      </c>
      <c r="L16" s="9">
        <f>L2</f>
        <v>2025</v>
      </c>
      <c r="M16" s="9">
        <f t="shared" ref="M16:W16" si="14">M2</f>
        <v>2026</v>
      </c>
      <c r="N16" s="9">
        <f t="shared" si="14"/>
        <v>2027</v>
      </c>
      <c r="O16" s="9">
        <f t="shared" si="14"/>
        <v>2028</v>
      </c>
      <c r="P16" s="9" t="str">
        <f t="shared" si="14"/>
        <v>AÑO 2</v>
      </c>
      <c r="Q16" s="9" t="str">
        <f t="shared" si="14"/>
        <v>AÑO 3</v>
      </c>
      <c r="R16" s="9" t="str">
        <f t="shared" si="14"/>
        <v>AÑO 4</v>
      </c>
      <c r="S16" s="9" t="str">
        <f t="shared" si="14"/>
        <v>AÑO 5</v>
      </c>
      <c r="T16" s="9" t="str">
        <f t="shared" si="14"/>
        <v>año 2</v>
      </c>
      <c r="U16" s="9" t="str">
        <f t="shared" si="14"/>
        <v>año 3</v>
      </c>
      <c r="V16" s="9" t="str">
        <f t="shared" si="14"/>
        <v>año 4</v>
      </c>
      <c r="W16" s="9" t="str">
        <f t="shared" si="14"/>
        <v>año 5</v>
      </c>
    </row>
    <row r="17" spans="1:24" x14ac:dyDescent="0.25">
      <c r="A17" s="5">
        <f>A3</f>
        <v>1</v>
      </c>
      <c r="B17" s="19" t="str">
        <f>B3</f>
        <v>Servicio de compraventa con entrega de estudio técnico</v>
      </c>
      <c r="C17" s="10">
        <f>C3</f>
        <v>70</v>
      </c>
      <c r="D17" s="4">
        <f>+D3*5%</f>
        <v>500000</v>
      </c>
      <c r="E17" s="6">
        <f>C17*D17</f>
        <v>35000000</v>
      </c>
      <c r="F17" s="30">
        <f>IF($E$27=0,0,E17/$E$27)</f>
        <v>0.13267626990144049</v>
      </c>
      <c r="L17" s="9">
        <f t="shared" ref="L17:L26" si="15">C17*(1+G3)</f>
        <v>73.64</v>
      </c>
      <c r="M17" s="9">
        <f>L17*(1+H3)</f>
        <v>80.120320000000007</v>
      </c>
      <c r="N17" s="9">
        <f t="shared" ref="N17:O17" si="16">M17*(1+I3)</f>
        <v>101.19196416</v>
      </c>
      <c r="O17" s="9">
        <f t="shared" si="16"/>
        <v>127.80545073407998</v>
      </c>
      <c r="P17" s="37">
        <f>D17*(1+'1'!$Z$5)</f>
        <v>528100</v>
      </c>
      <c r="Q17" s="31">
        <f>P17*(1+'1'!$AA$5)</f>
        <v>557779.22</v>
      </c>
      <c r="R17" s="31">
        <f>Q17*(1+'1'!$AB$5)</f>
        <v>589126.41216399998</v>
      </c>
      <c r="S17" s="31">
        <f>R17*(1+'1'!$AC$5)</f>
        <v>622235.31652761681</v>
      </c>
      <c r="T17" s="37">
        <f t="shared" ref="T17:U19" si="17">L17*P17</f>
        <v>38889284</v>
      </c>
      <c r="U17" s="16">
        <f t="shared" si="17"/>
        <v>44689449.595750399</v>
      </c>
      <c r="V17" s="16">
        <f t="shared" ref="V17:W17" si="18">N17*R17</f>
        <v>59614858.785408869</v>
      </c>
      <c r="W17" s="16">
        <f t="shared" si="18"/>
        <v>79525065.091474995</v>
      </c>
      <c r="X17" s="16"/>
    </row>
    <row r="18" spans="1:24" x14ac:dyDescent="0.25">
      <c r="A18" s="5">
        <f t="shared" ref="A18:B25" si="19">A4</f>
        <v>2</v>
      </c>
      <c r="B18" s="11" t="str">
        <f t="shared" si="19"/>
        <v>Promotor financiero de proyectos</v>
      </c>
      <c r="C18" s="10">
        <f t="shared" ref="C18:C26" si="20">C4</f>
        <v>52</v>
      </c>
      <c r="D18" s="4">
        <f>+D4*55%</f>
        <v>4400000</v>
      </c>
      <c r="E18" s="6">
        <f t="shared" ref="E18:E26" si="21">C18*D18</f>
        <v>228800000</v>
      </c>
      <c r="F18" s="30">
        <f t="shared" ref="F18:F26" si="22">IF($E$27=0,0,E18/$E$27)</f>
        <v>0.86732373009855956</v>
      </c>
      <c r="L18" s="9">
        <f t="shared" si="15"/>
        <v>54.704000000000001</v>
      </c>
      <c r="M18" s="9">
        <f t="shared" ref="M18:M26" si="23">L18*(1+H4)</f>
        <v>59.517952000000008</v>
      </c>
      <c r="N18" s="9">
        <f t="shared" ref="N18:N26" si="24">M18*(1+I4)</f>
        <v>75.171173375999999</v>
      </c>
      <c r="O18" s="9">
        <f t="shared" ref="O18:O26" si="25">N18*(1+J4)</f>
        <v>94.941191973887996</v>
      </c>
      <c r="P18" s="37">
        <f>D18*(1+'1'!$Z$5)</f>
        <v>4647280</v>
      </c>
      <c r="Q18" s="31">
        <f>P18*(1+'1'!$AA$5)</f>
        <v>4908457.1359999999</v>
      </c>
      <c r="R18" s="31">
        <f>Q18*(1+'1'!$AB$5)</f>
        <v>5184312.4270432005</v>
      </c>
      <c r="S18" s="31">
        <f>R18*(1+'1'!$AC$5)</f>
        <v>5475670.7854430284</v>
      </c>
      <c r="T18" s="37">
        <f t="shared" si="17"/>
        <v>254224805.12</v>
      </c>
      <c r="U18" s="16">
        <f t="shared" si="17"/>
        <v>292141316.21450549</v>
      </c>
      <c r="V18" s="16">
        <f t="shared" ref="V18:V26" si="26">N18*R18</f>
        <v>389710848.28861576</v>
      </c>
      <c r="W18" s="16">
        <f t="shared" ref="W18:W26" si="27">O18*S18</f>
        <v>519866711.22655666</v>
      </c>
      <c r="X18" s="16"/>
    </row>
    <row r="19" spans="1:24" x14ac:dyDescent="0.25">
      <c r="A19" s="5">
        <f t="shared" si="19"/>
        <v>3</v>
      </c>
      <c r="B19" s="11">
        <f t="shared" si="19"/>
        <v>0</v>
      </c>
      <c r="C19" s="10">
        <f t="shared" si="20"/>
        <v>0</v>
      </c>
      <c r="D19" s="4">
        <v>0</v>
      </c>
      <c r="E19" s="6">
        <f t="shared" si="21"/>
        <v>0</v>
      </c>
      <c r="F19" s="30">
        <f t="shared" si="22"/>
        <v>0</v>
      </c>
      <c r="L19" s="9">
        <f t="shared" si="15"/>
        <v>0</v>
      </c>
      <c r="M19" s="9">
        <f t="shared" si="23"/>
        <v>0</v>
      </c>
      <c r="N19" s="9">
        <f t="shared" si="24"/>
        <v>0</v>
      </c>
      <c r="O19" s="9">
        <f t="shared" si="25"/>
        <v>0</v>
      </c>
      <c r="P19" s="37">
        <f>D19*(1+'1'!$Z$5)</f>
        <v>0</v>
      </c>
      <c r="Q19" s="31">
        <f>P19*(1+'1'!$AA$5)</f>
        <v>0</v>
      </c>
      <c r="R19" s="31">
        <f>Q19*(1+'1'!$AB$5)</f>
        <v>0</v>
      </c>
      <c r="S19" s="31">
        <f>R19*(1+'1'!$AC$5)</f>
        <v>0</v>
      </c>
      <c r="T19" s="37">
        <f t="shared" si="17"/>
        <v>0</v>
      </c>
      <c r="U19" s="16">
        <f t="shared" si="17"/>
        <v>0</v>
      </c>
      <c r="V19" s="16">
        <f t="shared" si="26"/>
        <v>0</v>
      </c>
      <c r="W19" s="16">
        <f t="shared" si="27"/>
        <v>0</v>
      </c>
      <c r="X19" s="16"/>
    </row>
    <row r="20" spans="1:24" x14ac:dyDescent="0.25">
      <c r="A20" s="5">
        <f t="shared" si="19"/>
        <v>4</v>
      </c>
      <c r="B20" s="11">
        <f t="shared" si="19"/>
        <v>0</v>
      </c>
      <c r="C20" s="10">
        <f t="shared" si="20"/>
        <v>0</v>
      </c>
      <c r="D20" s="4">
        <v>0</v>
      </c>
      <c r="E20" s="6">
        <f t="shared" si="21"/>
        <v>0</v>
      </c>
      <c r="F20" s="30">
        <f t="shared" si="22"/>
        <v>0</v>
      </c>
      <c r="L20" s="9">
        <f t="shared" si="15"/>
        <v>0</v>
      </c>
      <c r="M20" s="9">
        <f t="shared" si="23"/>
        <v>0</v>
      </c>
      <c r="N20" s="9">
        <f t="shared" si="24"/>
        <v>0</v>
      </c>
      <c r="O20" s="9">
        <f t="shared" si="25"/>
        <v>0</v>
      </c>
      <c r="P20" s="37">
        <f>D20*(1+'1'!$Z$5)</f>
        <v>0</v>
      </c>
      <c r="Q20" s="31">
        <f>P20*(1+'1'!$AA$5)</f>
        <v>0</v>
      </c>
      <c r="R20" s="31">
        <f>Q20*(1+'1'!$AB$5)</f>
        <v>0</v>
      </c>
      <c r="S20" s="31">
        <f>R20*(1+'1'!$AC$5)</f>
        <v>0</v>
      </c>
      <c r="T20" s="37">
        <f t="shared" ref="T20:T26" si="28">L20*P20</f>
        <v>0</v>
      </c>
      <c r="U20" s="16">
        <f t="shared" ref="U20:U26" si="29">M20*Q20</f>
        <v>0</v>
      </c>
      <c r="V20" s="16">
        <f t="shared" si="26"/>
        <v>0</v>
      </c>
      <c r="W20" s="16">
        <f t="shared" si="27"/>
        <v>0</v>
      </c>
      <c r="X20" s="16"/>
    </row>
    <row r="21" spans="1:24" x14ac:dyDescent="0.25">
      <c r="A21" s="5">
        <f t="shared" si="19"/>
        <v>5</v>
      </c>
      <c r="B21" s="11">
        <f t="shared" si="19"/>
        <v>0</v>
      </c>
      <c r="C21" s="10">
        <f t="shared" si="20"/>
        <v>0</v>
      </c>
      <c r="D21" s="4">
        <v>0</v>
      </c>
      <c r="E21" s="6">
        <f t="shared" si="21"/>
        <v>0</v>
      </c>
      <c r="F21" s="30">
        <f t="shared" si="22"/>
        <v>0</v>
      </c>
      <c r="L21" s="9">
        <f t="shared" si="15"/>
        <v>0</v>
      </c>
      <c r="M21" s="9">
        <f t="shared" si="23"/>
        <v>0</v>
      </c>
      <c r="N21" s="9">
        <f t="shared" si="24"/>
        <v>0</v>
      </c>
      <c r="O21" s="9">
        <f t="shared" si="25"/>
        <v>0</v>
      </c>
      <c r="P21" s="37">
        <f>D21*(1+'1'!$Z$5)</f>
        <v>0</v>
      </c>
      <c r="Q21" s="31">
        <f>P21*(1+'1'!$AA$5)</f>
        <v>0</v>
      </c>
      <c r="R21" s="31">
        <f>Q21*(1+'1'!$AB$5)</f>
        <v>0</v>
      </c>
      <c r="S21" s="31">
        <f>R21*(1+'1'!$AC$5)</f>
        <v>0</v>
      </c>
      <c r="T21" s="37">
        <f t="shared" si="28"/>
        <v>0</v>
      </c>
      <c r="U21" s="16">
        <f t="shared" si="29"/>
        <v>0</v>
      </c>
      <c r="V21" s="16">
        <f t="shared" si="26"/>
        <v>0</v>
      </c>
      <c r="W21" s="16">
        <f t="shared" si="27"/>
        <v>0</v>
      </c>
      <c r="X21" s="16"/>
    </row>
    <row r="22" spans="1:24" x14ac:dyDescent="0.25">
      <c r="A22" s="5">
        <f t="shared" si="19"/>
        <v>6</v>
      </c>
      <c r="B22" s="11">
        <f t="shared" si="19"/>
        <v>0</v>
      </c>
      <c r="C22" s="10">
        <f t="shared" si="20"/>
        <v>0</v>
      </c>
      <c r="D22" s="4">
        <v>0</v>
      </c>
      <c r="E22" s="6">
        <f t="shared" si="21"/>
        <v>0</v>
      </c>
      <c r="F22" s="30">
        <f t="shared" si="22"/>
        <v>0</v>
      </c>
      <c r="L22" s="9">
        <f t="shared" si="15"/>
        <v>0</v>
      </c>
      <c r="M22" s="9">
        <f t="shared" si="23"/>
        <v>0</v>
      </c>
      <c r="N22" s="9">
        <f t="shared" si="24"/>
        <v>0</v>
      </c>
      <c r="O22" s="9">
        <f t="shared" si="25"/>
        <v>0</v>
      </c>
      <c r="P22" s="37">
        <f>D22*(1+'1'!$Z$5)</f>
        <v>0</v>
      </c>
      <c r="Q22" s="31">
        <f>P22*(1+'1'!$AA$5)</f>
        <v>0</v>
      </c>
      <c r="R22" s="31">
        <f>Q22*(1+'1'!$AB$5)</f>
        <v>0</v>
      </c>
      <c r="S22" s="31">
        <f>R22*(1+'1'!$AC$5)</f>
        <v>0</v>
      </c>
      <c r="T22" s="37">
        <f t="shared" si="28"/>
        <v>0</v>
      </c>
      <c r="U22" s="16">
        <f t="shared" si="29"/>
        <v>0</v>
      </c>
      <c r="V22" s="16">
        <f t="shared" si="26"/>
        <v>0</v>
      </c>
      <c r="W22" s="16">
        <f t="shared" si="27"/>
        <v>0</v>
      </c>
      <c r="X22" s="16"/>
    </row>
    <row r="23" spans="1:24" x14ac:dyDescent="0.25">
      <c r="A23" s="5">
        <f t="shared" si="19"/>
        <v>7</v>
      </c>
      <c r="B23" s="11">
        <f t="shared" si="19"/>
        <v>0</v>
      </c>
      <c r="C23" s="10">
        <f t="shared" si="20"/>
        <v>0</v>
      </c>
      <c r="D23" s="4">
        <v>0</v>
      </c>
      <c r="E23" s="6">
        <f t="shared" si="21"/>
        <v>0</v>
      </c>
      <c r="F23" s="30">
        <f t="shared" si="22"/>
        <v>0</v>
      </c>
      <c r="L23" s="9">
        <f t="shared" si="15"/>
        <v>0</v>
      </c>
      <c r="M23" s="9">
        <f t="shared" si="23"/>
        <v>0</v>
      </c>
      <c r="N23" s="9">
        <f t="shared" si="24"/>
        <v>0</v>
      </c>
      <c r="O23" s="9">
        <f t="shared" si="25"/>
        <v>0</v>
      </c>
      <c r="P23" s="37">
        <f>D23*(1+'1'!$Z$5)</f>
        <v>0</v>
      </c>
      <c r="Q23" s="31">
        <f>P23*(1+'1'!$AA$5)</f>
        <v>0</v>
      </c>
      <c r="R23" s="31">
        <f>Q23*(1+'1'!$AB$5)</f>
        <v>0</v>
      </c>
      <c r="S23" s="31">
        <f>R23*(1+'1'!$AC$5)</f>
        <v>0</v>
      </c>
      <c r="T23" s="37">
        <f t="shared" si="28"/>
        <v>0</v>
      </c>
      <c r="U23" s="16">
        <f t="shared" si="29"/>
        <v>0</v>
      </c>
      <c r="V23" s="16">
        <f t="shared" si="26"/>
        <v>0</v>
      </c>
      <c r="W23" s="16">
        <f t="shared" si="27"/>
        <v>0</v>
      </c>
      <c r="X23" s="16"/>
    </row>
    <row r="24" spans="1:24" x14ac:dyDescent="0.25">
      <c r="A24" s="5">
        <f t="shared" si="19"/>
        <v>8</v>
      </c>
      <c r="B24" s="11">
        <f t="shared" si="19"/>
        <v>0</v>
      </c>
      <c r="C24" s="10">
        <f t="shared" si="20"/>
        <v>0</v>
      </c>
      <c r="D24" s="4">
        <v>0</v>
      </c>
      <c r="E24" s="6">
        <f t="shared" si="21"/>
        <v>0</v>
      </c>
      <c r="F24" s="30">
        <f t="shared" si="22"/>
        <v>0</v>
      </c>
      <c r="L24" s="9">
        <f t="shared" si="15"/>
        <v>0</v>
      </c>
      <c r="M24" s="9">
        <f t="shared" si="23"/>
        <v>0</v>
      </c>
      <c r="N24" s="9">
        <f t="shared" si="24"/>
        <v>0</v>
      </c>
      <c r="O24" s="9">
        <f t="shared" si="25"/>
        <v>0</v>
      </c>
      <c r="P24" s="37">
        <f>D24*(1+'1'!$Z$5)</f>
        <v>0</v>
      </c>
      <c r="Q24" s="31">
        <f>P24*(1+'1'!$AA$5)</f>
        <v>0</v>
      </c>
      <c r="R24" s="31">
        <f>Q24*(1+'1'!$AB$5)</f>
        <v>0</v>
      </c>
      <c r="S24" s="31">
        <f>R24*(1+'1'!$AC$5)</f>
        <v>0</v>
      </c>
      <c r="T24" s="37">
        <f t="shared" si="28"/>
        <v>0</v>
      </c>
      <c r="U24" s="16">
        <f t="shared" si="29"/>
        <v>0</v>
      </c>
      <c r="V24" s="16">
        <f t="shared" si="26"/>
        <v>0</v>
      </c>
      <c r="W24" s="16">
        <f t="shared" si="27"/>
        <v>0</v>
      </c>
      <c r="X24" s="16"/>
    </row>
    <row r="25" spans="1:24" x14ac:dyDescent="0.25">
      <c r="A25" s="5">
        <f t="shared" si="19"/>
        <v>9</v>
      </c>
      <c r="B25" s="11">
        <f t="shared" si="19"/>
        <v>0</v>
      </c>
      <c r="C25" s="10">
        <f t="shared" si="20"/>
        <v>0</v>
      </c>
      <c r="D25" s="4">
        <v>0</v>
      </c>
      <c r="E25" s="6">
        <f t="shared" si="21"/>
        <v>0</v>
      </c>
      <c r="F25" s="30">
        <f t="shared" si="22"/>
        <v>0</v>
      </c>
      <c r="L25" s="9">
        <f t="shared" si="15"/>
        <v>0</v>
      </c>
      <c r="M25" s="9">
        <f t="shared" si="23"/>
        <v>0</v>
      </c>
      <c r="N25" s="9">
        <f t="shared" si="24"/>
        <v>0</v>
      </c>
      <c r="O25" s="9">
        <f t="shared" si="25"/>
        <v>0</v>
      </c>
      <c r="P25" s="37">
        <f>D25*(1+'1'!$Z$5)</f>
        <v>0</v>
      </c>
      <c r="Q25" s="31">
        <f>P25*(1+'1'!$AA$5)</f>
        <v>0</v>
      </c>
      <c r="R25" s="31">
        <f>Q25*(1+'1'!$AB$5)</f>
        <v>0</v>
      </c>
      <c r="S25" s="31">
        <f>R25*(1+'1'!$AC$5)</f>
        <v>0</v>
      </c>
      <c r="T25" s="37">
        <f t="shared" si="28"/>
        <v>0</v>
      </c>
      <c r="U25" s="16">
        <f t="shared" si="29"/>
        <v>0</v>
      </c>
      <c r="V25" s="16">
        <f t="shared" si="26"/>
        <v>0</v>
      </c>
      <c r="W25" s="16">
        <f t="shared" si="27"/>
        <v>0</v>
      </c>
      <c r="X25" s="16"/>
    </row>
    <row r="26" spans="1:24" x14ac:dyDescent="0.25">
      <c r="A26" s="5">
        <f>A12</f>
        <v>10</v>
      </c>
      <c r="B26" s="11">
        <f t="shared" ref="B26" si="30">B12</f>
        <v>0</v>
      </c>
      <c r="C26" s="10">
        <f t="shared" si="20"/>
        <v>0</v>
      </c>
      <c r="D26" s="4">
        <v>0</v>
      </c>
      <c r="E26" s="6">
        <f t="shared" si="21"/>
        <v>0</v>
      </c>
      <c r="F26" s="30">
        <f t="shared" si="22"/>
        <v>0</v>
      </c>
      <c r="L26" s="9">
        <f t="shared" si="15"/>
        <v>0</v>
      </c>
      <c r="M26" s="9">
        <f t="shared" si="23"/>
        <v>0</v>
      </c>
      <c r="N26" s="9">
        <f t="shared" si="24"/>
        <v>0</v>
      </c>
      <c r="O26" s="9">
        <f t="shared" si="25"/>
        <v>0</v>
      </c>
      <c r="P26" s="37">
        <f>D26*(1+'1'!$Z$5)</f>
        <v>0</v>
      </c>
      <c r="Q26" s="31">
        <f>P26*(1+'1'!$AA$5)</f>
        <v>0</v>
      </c>
      <c r="R26" s="31">
        <f>Q26*(1+'1'!$AB$5)</f>
        <v>0</v>
      </c>
      <c r="S26" s="31">
        <f>R26*(1+'1'!$AC$5)</f>
        <v>0</v>
      </c>
      <c r="T26" s="37">
        <f t="shared" si="28"/>
        <v>0</v>
      </c>
      <c r="U26" s="16">
        <f t="shared" si="29"/>
        <v>0</v>
      </c>
      <c r="V26" s="16">
        <f t="shared" si="26"/>
        <v>0</v>
      </c>
      <c r="W26" s="16">
        <f t="shared" si="27"/>
        <v>0</v>
      </c>
      <c r="X26" s="16"/>
    </row>
    <row r="27" spans="1:24" x14ac:dyDescent="0.25">
      <c r="D27" s="9" t="str">
        <f>D13</f>
        <v>TOTAL</v>
      </c>
      <c r="E27" s="7">
        <f>SUM(E17:E26)</f>
        <v>263800000</v>
      </c>
      <c r="F27" s="8">
        <f>SUM(F17:F26)</f>
        <v>1</v>
      </c>
      <c r="T27" s="35">
        <f>SUM(T17:T26)</f>
        <v>293114089.12</v>
      </c>
      <c r="U27" s="35">
        <f>SUM(U17:U26)</f>
        <v>336830765.81025589</v>
      </c>
      <c r="V27" s="35">
        <f t="shared" ref="V27:W27" si="31">SUM(V17:V26)</f>
        <v>449325707.07402462</v>
      </c>
      <c r="W27" s="35">
        <f t="shared" si="31"/>
        <v>599391776.31803167</v>
      </c>
      <c r="X27" s="16"/>
    </row>
    <row r="30" spans="1:24" x14ac:dyDescent="0.25">
      <c r="A30" s="119" t="s">
        <v>19</v>
      </c>
      <c r="B30" s="119"/>
      <c r="C30" s="119"/>
      <c r="D30" s="119"/>
      <c r="E30" s="119"/>
      <c r="F30" s="119"/>
    </row>
    <row r="31" spans="1:24" x14ac:dyDescent="0.25">
      <c r="A31" s="15" t="s">
        <v>10</v>
      </c>
      <c r="B31" s="5">
        <f>'1'!Z1</f>
        <v>2024</v>
      </c>
      <c r="C31" s="5">
        <f>B31+1</f>
        <v>2025</v>
      </c>
      <c r="D31" s="5">
        <f>C31+1</f>
        <v>2026</v>
      </c>
      <c r="E31" s="5">
        <f>D31+1</f>
        <v>2027</v>
      </c>
      <c r="F31" s="5">
        <f>E31+1</f>
        <v>2028</v>
      </c>
    </row>
    <row r="32" spans="1:24" x14ac:dyDescent="0.25">
      <c r="A32" s="9" t="s">
        <v>20</v>
      </c>
      <c r="B32" s="6">
        <f>'1'!E13</f>
        <v>1116000000</v>
      </c>
      <c r="C32" s="36">
        <f>'1'!T13</f>
        <v>1273824720</v>
      </c>
      <c r="D32" s="36">
        <f>'1'!U13</f>
        <v>1503724605.4656003</v>
      </c>
      <c r="E32" s="36">
        <f>'1'!V13</f>
        <v>2060636531.7228122</v>
      </c>
      <c r="F32" s="36">
        <f>'1'!W13</f>
        <v>2823803574.4290142</v>
      </c>
    </row>
    <row r="33" spans="1:6" x14ac:dyDescent="0.25">
      <c r="A33" s="9" t="s">
        <v>21</v>
      </c>
      <c r="B33" s="6">
        <f>'1'!E27</f>
        <v>263800000</v>
      </c>
      <c r="C33" s="6">
        <f>'1'!T27</f>
        <v>293114089.12</v>
      </c>
      <c r="D33" s="6">
        <f>'1'!U27</f>
        <v>336830765.81025589</v>
      </c>
      <c r="E33" s="6">
        <f>'1'!V27</f>
        <v>449325707.07402462</v>
      </c>
      <c r="F33" s="6">
        <f>'1'!W27</f>
        <v>599391776.31803167</v>
      </c>
    </row>
    <row r="34" spans="1:6" ht="14.4" thickBot="1" x14ac:dyDescent="0.3">
      <c r="A34" s="15" t="s">
        <v>22</v>
      </c>
      <c r="B34" s="53">
        <f>B32-B33</f>
        <v>852200000</v>
      </c>
      <c r="C34" s="53">
        <f t="shared" ref="C34:D34" si="32">C32-C33</f>
        <v>980710630.88</v>
      </c>
      <c r="D34" s="53">
        <f t="shared" si="32"/>
        <v>1166893839.6553445</v>
      </c>
      <c r="E34" s="53">
        <f t="shared" ref="E34" si="33">E32-E33</f>
        <v>1611310824.6487875</v>
      </c>
      <c r="F34" s="53">
        <f t="shared" ref="F34" si="34">F32-F33</f>
        <v>2224411798.1109824</v>
      </c>
    </row>
    <row r="35" spans="1:6" ht="14.4"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90" zoomScaleNormal="90" workbookViewId="0">
      <pane ySplit="14" topLeftCell="A24" activePane="bottomLeft" state="frozenSplit"/>
      <selection activeCell="C29" sqref="C29"/>
      <selection pane="bottomLeft" activeCell="G23" sqref="G23"/>
    </sheetView>
  </sheetViews>
  <sheetFormatPr defaultColWidth="11.44140625" defaultRowHeight="13.8" x14ac:dyDescent="0.25"/>
  <cols>
    <col min="1" max="1" width="5.44140625" style="9" customWidth="1"/>
    <col min="2" max="2" width="42.77734375" style="9" bestFit="1" customWidth="1"/>
    <col min="3" max="3" width="20.33203125" style="9" customWidth="1"/>
    <col min="4" max="4" width="11.44140625" style="9"/>
    <col min="5" max="5" width="23.33203125" style="9" customWidth="1"/>
    <col min="6" max="6" width="18.88671875" style="9" bestFit="1" customWidth="1"/>
    <col min="7" max="7" width="16.88671875" style="9" bestFit="1" customWidth="1"/>
    <col min="8" max="16384" width="11.44140625" style="9"/>
  </cols>
  <sheetData>
    <row r="1" spans="2:8" x14ac:dyDescent="0.25">
      <c r="B1" s="122" t="s">
        <v>133</v>
      </c>
      <c r="C1" s="122"/>
      <c r="D1" s="122"/>
      <c r="E1" s="122"/>
      <c r="F1" s="122"/>
      <c r="G1" s="122"/>
      <c r="H1" s="122"/>
    </row>
    <row r="2" spans="2:8" ht="3.75" customHeight="1" x14ac:dyDescent="0.25">
      <c r="B2" s="122"/>
      <c r="C2" s="122"/>
      <c r="D2" s="122"/>
      <c r="E2" s="122"/>
      <c r="F2" s="122"/>
      <c r="G2" s="122"/>
      <c r="H2" s="122"/>
    </row>
    <row r="3" spans="2:8" x14ac:dyDescent="0.25">
      <c r="C3" s="5" t="s">
        <v>51</v>
      </c>
      <c r="F3" s="66" t="s">
        <v>92</v>
      </c>
      <c r="G3" s="66"/>
    </row>
    <row r="4" spans="2:8" x14ac:dyDescent="0.25">
      <c r="B4" s="9" t="s">
        <v>43</v>
      </c>
      <c r="C4" s="4">
        <v>0</v>
      </c>
      <c r="F4" s="66"/>
      <c r="G4" s="66"/>
    </row>
    <row r="5" spans="2:8" x14ac:dyDescent="0.25">
      <c r="B5" s="9" t="s">
        <v>46</v>
      </c>
      <c r="C5" s="4">
        <v>0</v>
      </c>
      <c r="F5" s="66">
        <v>10</v>
      </c>
      <c r="G5" s="67">
        <f t="shared" ref="G5:G11" si="0">C5/F5</f>
        <v>0</v>
      </c>
    </row>
    <row r="6" spans="2:8" x14ac:dyDescent="0.25">
      <c r="B6" s="9" t="s">
        <v>44</v>
      </c>
      <c r="C6" s="4">
        <v>10000000</v>
      </c>
      <c r="F6" s="66">
        <v>5</v>
      </c>
      <c r="G6" s="67">
        <f t="shared" si="0"/>
        <v>2000000</v>
      </c>
    </row>
    <row r="7" spans="2:8" x14ac:dyDescent="0.25">
      <c r="B7" s="9" t="s">
        <v>45</v>
      </c>
      <c r="C7" s="4">
        <v>8000000</v>
      </c>
      <c r="F7" s="66">
        <v>5</v>
      </c>
      <c r="G7" s="67">
        <f t="shared" si="0"/>
        <v>1600000</v>
      </c>
    </row>
    <row r="8" spans="2:8" x14ac:dyDescent="0.25">
      <c r="B8" s="9" t="s">
        <v>47</v>
      </c>
      <c r="C8" s="4">
        <v>0</v>
      </c>
      <c r="F8" s="66">
        <v>5</v>
      </c>
      <c r="G8" s="67">
        <f t="shared" si="0"/>
        <v>0</v>
      </c>
    </row>
    <row r="9" spans="2:8" x14ac:dyDescent="0.25">
      <c r="B9" s="9" t="s">
        <v>48</v>
      </c>
      <c r="C9" s="4">
        <v>0</v>
      </c>
      <c r="F9" s="66">
        <v>5</v>
      </c>
      <c r="G9" s="67">
        <f t="shared" si="0"/>
        <v>0</v>
      </c>
    </row>
    <row r="10" spans="2:8" x14ac:dyDescent="0.25">
      <c r="B10" s="9" t="s">
        <v>141</v>
      </c>
      <c r="C10" s="4">
        <v>0</v>
      </c>
      <c r="F10" s="66">
        <v>5</v>
      </c>
      <c r="G10" s="67">
        <f t="shared" si="0"/>
        <v>0</v>
      </c>
    </row>
    <row r="11" spans="2:8" x14ac:dyDescent="0.25">
      <c r="B11" s="9" t="s">
        <v>49</v>
      </c>
      <c r="C11" s="4">
        <v>35000000</v>
      </c>
      <c r="F11" s="66">
        <v>5</v>
      </c>
      <c r="G11" s="67">
        <f t="shared" si="0"/>
        <v>7000000</v>
      </c>
    </row>
    <row r="12" spans="2:8" ht="14.4" thickBot="1" x14ac:dyDescent="0.3">
      <c r="B12" s="15" t="s">
        <v>50</v>
      </c>
      <c r="C12" s="35">
        <f>SUM(C4:C11)</f>
        <v>53000000</v>
      </c>
      <c r="F12" s="66"/>
      <c r="G12" s="67">
        <f>SUM(G5:G11)</f>
        <v>10600000</v>
      </c>
    </row>
    <row r="13" spans="2:8" x14ac:dyDescent="0.25">
      <c r="B13" s="123" t="s">
        <v>42</v>
      </c>
      <c r="C13" s="124"/>
      <c r="D13" s="124"/>
      <c r="E13" s="124"/>
      <c r="F13" s="124"/>
      <c r="G13" s="124"/>
      <c r="H13" s="125"/>
    </row>
    <row r="14" spans="2:8" ht="14.4" thickBot="1" x14ac:dyDescent="0.3">
      <c r="B14" s="126"/>
      <c r="C14" s="127"/>
      <c r="D14" s="127"/>
      <c r="E14" s="127"/>
      <c r="F14" s="127"/>
      <c r="G14" s="127"/>
      <c r="H14" s="128"/>
    </row>
    <row r="15" spans="2:8" x14ac:dyDescent="0.25">
      <c r="B15" s="68"/>
      <c r="C15" s="68"/>
      <c r="D15" s="68"/>
      <c r="E15" s="68"/>
      <c r="F15" s="68"/>
      <c r="G15" s="68"/>
      <c r="H15" s="68"/>
    </row>
    <row r="16" spans="2:8" x14ac:dyDescent="0.25">
      <c r="B16" s="15" t="s">
        <v>28</v>
      </c>
      <c r="E16" s="15" t="s">
        <v>34</v>
      </c>
    </row>
    <row r="17" spans="2:6" x14ac:dyDescent="0.25">
      <c r="C17" s="15" t="s">
        <v>30</v>
      </c>
      <c r="F17" s="15" t="str">
        <f>C17</f>
        <v>VALOR AÑO 1</v>
      </c>
    </row>
    <row r="18" spans="2:6" x14ac:dyDescent="0.25">
      <c r="B18" s="15" t="s">
        <v>29</v>
      </c>
      <c r="C18" s="4">
        <v>97110000</v>
      </c>
      <c r="E18" s="41" t="s">
        <v>138</v>
      </c>
      <c r="F18" s="4">
        <f>(4000000)*12</f>
        <v>48000000</v>
      </c>
    </row>
    <row r="19" spans="2:6" ht="27.6" x14ac:dyDescent="0.25">
      <c r="C19" s="69"/>
      <c r="E19" s="41" t="s">
        <v>35</v>
      </c>
      <c r="F19" s="4">
        <f>500000*12</f>
        <v>6000000</v>
      </c>
    </row>
    <row r="20" spans="2:6" ht="27.6" x14ac:dyDescent="0.25">
      <c r="B20" s="15" t="s">
        <v>32</v>
      </c>
      <c r="C20" s="4">
        <v>110594400</v>
      </c>
      <c r="E20" s="41" t="s">
        <v>36</v>
      </c>
      <c r="F20" s="4">
        <f>500000*12</f>
        <v>6000000</v>
      </c>
    </row>
    <row r="21" spans="2:6" x14ac:dyDescent="0.25">
      <c r="C21" s="69"/>
      <c r="E21" s="41" t="s">
        <v>37</v>
      </c>
      <c r="F21" s="4">
        <f>500000*12</f>
        <v>6000000</v>
      </c>
    </row>
    <row r="22" spans="2:6" x14ac:dyDescent="0.25">
      <c r="B22" s="15" t="s">
        <v>137</v>
      </c>
      <c r="C22" s="4">
        <v>349596000</v>
      </c>
      <c r="E22" s="41" t="s">
        <v>38</v>
      </c>
      <c r="F22" s="4">
        <v>1000000</v>
      </c>
    </row>
    <row r="23" spans="2:6" ht="27.6" x14ac:dyDescent="0.25">
      <c r="B23" s="9" t="s">
        <v>56</v>
      </c>
      <c r="C23" s="35">
        <f>C18+C20+C22</f>
        <v>557300400</v>
      </c>
      <c r="E23" s="41" t="s">
        <v>39</v>
      </c>
      <c r="F23" s="4">
        <v>0</v>
      </c>
    </row>
    <row r="24" spans="2:6" x14ac:dyDescent="0.25">
      <c r="E24" s="41" t="s">
        <v>40</v>
      </c>
      <c r="F24" s="4">
        <v>0</v>
      </c>
    </row>
    <row r="25" spans="2:6" ht="27.6" x14ac:dyDescent="0.25">
      <c r="B25" s="41" t="s">
        <v>142</v>
      </c>
      <c r="C25" s="4">
        <v>10000000</v>
      </c>
      <c r="E25" s="70" t="s">
        <v>139</v>
      </c>
      <c r="F25" s="4">
        <v>6000000</v>
      </c>
    </row>
    <row r="26" spans="2:6" x14ac:dyDescent="0.25">
      <c r="E26" s="70" t="s">
        <v>140</v>
      </c>
      <c r="F26" s="4">
        <v>10000000</v>
      </c>
    </row>
    <row r="27" spans="2:6" x14ac:dyDescent="0.25">
      <c r="B27" s="15" t="s">
        <v>143</v>
      </c>
      <c r="C27" s="15"/>
      <c r="E27" s="70"/>
      <c r="F27" s="4">
        <v>0</v>
      </c>
    </row>
    <row r="28" spans="2:6" x14ac:dyDescent="0.25">
      <c r="B28" s="5">
        <f>'1'!G2</f>
        <v>2025</v>
      </c>
      <c r="C28" s="4">
        <v>18000000</v>
      </c>
      <c r="E28" s="70"/>
      <c r="F28" s="4">
        <v>0</v>
      </c>
    </row>
    <row r="29" spans="2:6" x14ac:dyDescent="0.25">
      <c r="B29" s="5">
        <f>'1'!H2</f>
        <v>2026</v>
      </c>
      <c r="C29" s="4">
        <v>20000000</v>
      </c>
      <c r="E29" s="70"/>
      <c r="F29" s="4">
        <v>0</v>
      </c>
    </row>
    <row r="30" spans="2:6" x14ac:dyDescent="0.25">
      <c r="B30" s="5">
        <f>'1'!I2</f>
        <v>2027</v>
      </c>
      <c r="C30" s="4">
        <v>42000000</v>
      </c>
      <c r="E30" s="70"/>
      <c r="F30" s="4">
        <v>0</v>
      </c>
    </row>
    <row r="31" spans="2:6" x14ac:dyDescent="0.25">
      <c r="B31" s="5">
        <f>'1'!J2</f>
        <v>2028</v>
      </c>
      <c r="C31" s="4">
        <v>42000000</v>
      </c>
      <c r="E31" s="41" t="s">
        <v>41</v>
      </c>
      <c r="F31" s="35">
        <f>SUM(F18:F30)</f>
        <v>83000000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7"/>
  <sheetViews>
    <sheetView showGridLines="0" workbookViewId="0">
      <selection activeCell="B7" sqref="B7:D16"/>
    </sheetView>
  </sheetViews>
  <sheetFormatPr defaultColWidth="11.44140625" defaultRowHeight="13.8" x14ac:dyDescent="0.25"/>
  <cols>
    <col min="1" max="1" width="11.44140625" style="9"/>
    <col min="2" max="2" width="39" style="9" bestFit="1" customWidth="1"/>
    <col min="3" max="3" width="18.88671875" style="9" bestFit="1" customWidth="1"/>
    <col min="4" max="4" width="20.5546875" style="9" bestFit="1" customWidth="1"/>
    <col min="5" max="5" width="12.88671875" style="9" customWidth="1"/>
    <col min="6" max="6" width="17" style="9" bestFit="1" customWidth="1"/>
    <col min="7" max="8" width="15.6640625" style="9" bestFit="1" customWidth="1"/>
    <col min="9" max="9" width="19.6640625" style="9" bestFit="1" customWidth="1"/>
    <col min="10" max="10" width="17" style="9" bestFit="1" customWidth="1"/>
    <col min="11" max="11" width="11.44140625" style="9"/>
    <col min="12" max="12" width="11.5546875" style="9" bestFit="1" customWidth="1"/>
    <col min="13" max="16384" width="11.44140625" style="9"/>
  </cols>
  <sheetData>
    <row r="2" spans="2:12" ht="29.25" customHeight="1" x14ac:dyDescent="0.25">
      <c r="B2" s="120" t="s">
        <v>115</v>
      </c>
      <c r="C2" s="120"/>
      <c r="D2" s="120"/>
      <c r="E2" s="120"/>
      <c r="F2" s="120"/>
      <c r="G2" s="120"/>
      <c r="H2" s="120"/>
      <c r="I2" s="120"/>
      <c r="J2" s="120"/>
    </row>
    <row r="3" spans="2:12" x14ac:dyDescent="0.25">
      <c r="F3" s="129" t="s">
        <v>62</v>
      </c>
      <c r="G3" s="129"/>
    </row>
    <row r="4" spans="2:12" x14ac:dyDescent="0.25">
      <c r="B4" s="9" t="s">
        <v>50</v>
      </c>
      <c r="C4" s="35">
        <f>'2'!C12</f>
        <v>53000000</v>
      </c>
      <c r="F4" s="130">
        <v>0.18099999999999999</v>
      </c>
      <c r="G4" s="130"/>
      <c r="I4" s="9" t="s">
        <v>149</v>
      </c>
      <c r="J4" s="71">
        <v>5</v>
      </c>
      <c r="L4" s="66">
        <v>1</v>
      </c>
    </row>
    <row r="5" spans="2:12" x14ac:dyDescent="0.25">
      <c r="L5" s="66">
        <v>2</v>
      </c>
    </row>
    <row r="6" spans="2:12" ht="14.4" thickBot="1" x14ac:dyDescent="0.3">
      <c r="B6" s="9" t="s">
        <v>52</v>
      </c>
      <c r="F6" s="129" t="s">
        <v>116</v>
      </c>
      <c r="G6" s="129"/>
      <c r="H6" s="129"/>
      <c r="I6" s="129"/>
      <c r="J6" s="129"/>
      <c r="L6" s="66">
        <v>3</v>
      </c>
    </row>
    <row r="7" spans="2:12" x14ac:dyDescent="0.25">
      <c r="C7" s="10" t="s">
        <v>54</v>
      </c>
      <c r="D7" s="10" t="s">
        <v>55</v>
      </c>
      <c r="E7" s="72"/>
      <c r="F7" s="21" t="s">
        <v>144</v>
      </c>
      <c r="G7" s="21" t="s">
        <v>145</v>
      </c>
      <c r="H7" s="21" t="s">
        <v>146</v>
      </c>
      <c r="I7" s="21" t="s">
        <v>147</v>
      </c>
      <c r="J7" s="22" t="s">
        <v>148</v>
      </c>
      <c r="L7" s="66">
        <v>4</v>
      </c>
    </row>
    <row r="8" spans="2:12" x14ac:dyDescent="0.25">
      <c r="B8" s="9" t="s">
        <v>53</v>
      </c>
      <c r="C8" s="138">
        <v>5</v>
      </c>
      <c r="D8" s="31">
        <f>('1'!B33/12)*C8</f>
        <v>109916666.66666666</v>
      </c>
      <c r="E8" s="73" t="s">
        <v>84</v>
      </c>
      <c r="F8" s="23"/>
      <c r="G8" s="23"/>
      <c r="H8" s="23"/>
      <c r="I8" s="23"/>
      <c r="J8" s="24">
        <f>D16</f>
        <v>233875166.66666663</v>
      </c>
      <c r="L8" s="66">
        <v>5</v>
      </c>
    </row>
    <row r="9" spans="2:12" x14ac:dyDescent="0.25">
      <c r="B9" s="9" t="s">
        <v>57</v>
      </c>
      <c r="C9" s="138">
        <v>5</v>
      </c>
      <c r="D9" s="31">
        <f>('2'!C23/12)*C9</f>
        <v>232208500</v>
      </c>
      <c r="E9" s="73">
        <f>'1'!B31</f>
        <v>2024</v>
      </c>
      <c r="F9" s="25">
        <f t="shared" ref="F9:F13" si="0">IF(J8&gt;0,J8,0)</f>
        <v>233875166.66666663</v>
      </c>
      <c r="G9" s="25">
        <f>F9*$F$4</f>
        <v>42331405.166666657</v>
      </c>
      <c r="H9" s="25">
        <f>IF(J8&lt;1,0,(I9-G9))</f>
        <v>32626162.830381304</v>
      </c>
      <c r="I9" s="25">
        <f>PMT(F4,J4,J8)*-1</f>
        <v>74957567.997047961</v>
      </c>
      <c r="J9" s="26">
        <f>F9-H9</f>
        <v>201249003.83628532</v>
      </c>
    </row>
    <row r="10" spans="2:12" x14ac:dyDescent="0.25">
      <c r="B10" s="9" t="s">
        <v>58</v>
      </c>
      <c r="C10" s="138">
        <v>5</v>
      </c>
      <c r="D10" s="31">
        <f>('2'!C25/12)*C10</f>
        <v>4166666.666666667</v>
      </c>
      <c r="E10" s="73">
        <f>'1'!C31</f>
        <v>2025</v>
      </c>
      <c r="F10" s="25">
        <f t="shared" si="0"/>
        <v>201249003.83628532</v>
      </c>
      <c r="G10" s="25">
        <f t="shared" ref="G10:G13" si="1">F10*$F$4</f>
        <v>36426069.69436764</v>
      </c>
      <c r="H10" s="25">
        <f t="shared" ref="H10:H13" si="2">IF(J9&lt;1,0,(I10-G10))</f>
        <v>38531498.302680321</v>
      </c>
      <c r="I10" s="25">
        <f>IF(J9&lt;1,0,(I9*(1+$K$7)))</f>
        <v>74957567.997047961</v>
      </c>
      <c r="J10" s="26">
        <f t="shared" ref="J10:J13" si="3">F10-H10</f>
        <v>162717505.53360501</v>
      </c>
    </row>
    <row r="11" spans="2:12" x14ac:dyDescent="0.25">
      <c r="B11" s="9" t="s">
        <v>33</v>
      </c>
      <c r="C11" s="138">
        <v>5</v>
      </c>
      <c r="D11" s="31">
        <f>('2'!F31/12)*C11</f>
        <v>34583333.333333336</v>
      </c>
      <c r="E11" s="73">
        <f>'1'!D31</f>
        <v>2026</v>
      </c>
      <c r="F11" s="25">
        <f t="shared" si="0"/>
        <v>162717505.53360501</v>
      </c>
      <c r="G11" s="25">
        <f t="shared" si="1"/>
        <v>29451868.501582507</v>
      </c>
      <c r="H11" s="25">
        <f t="shared" si="2"/>
        <v>45505699.495465457</v>
      </c>
      <c r="I11" s="25">
        <f t="shared" ref="I11:I13" si="4">IF(J10&lt;1,0,(I10*(1+$K$7)))</f>
        <v>74957567.997047961</v>
      </c>
      <c r="J11" s="26">
        <f t="shared" si="3"/>
        <v>117211806.03813955</v>
      </c>
    </row>
    <row r="12" spans="2:12" x14ac:dyDescent="0.25">
      <c r="B12" s="56" t="s">
        <v>8</v>
      </c>
      <c r="C12" s="56"/>
      <c r="D12" s="75">
        <f>SUM(D8:D11)</f>
        <v>380875166.66666663</v>
      </c>
      <c r="E12" s="73">
        <f>'1'!E31</f>
        <v>2027</v>
      </c>
      <c r="F12" s="25">
        <f t="shared" si="0"/>
        <v>117211806.03813955</v>
      </c>
      <c r="G12" s="25">
        <f t="shared" si="1"/>
        <v>21215336.892903257</v>
      </c>
      <c r="H12" s="25">
        <f t="shared" si="2"/>
        <v>53742231.104144707</v>
      </c>
      <c r="I12" s="25">
        <f t="shared" si="4"/>
        <v>74957567.997047961</v>
      </c>
      <c r="J12" s="26">
        <f t="shared" si="3"/>
        <v>63469574.933994845</v>
      </c>
    </row>
    <row r="13" spans="2:12" ht="14.4" thickBot="1" x14ac:dyDescent="0.3">
      <c r="E13" s="74">
        <f>'1'!F31</f>
        <v>2028</v>
      </c>
      <c r="F13" s="27">
        <f t="shared" si="0"/>
        <v>63469574.933994845</v>
      </c>
      <c r="G13" s="27">
        <f t="shared" si="1"/>
        <v>11487993.063053066</v>
      </c>
      <c r="H13" s="27">
        <f t="shared" si="2"/>
        <v>63469574.933994897</v>
      </c>
      <c r="I13" s="27">
        <f t="shared" si="4"/>
        <v>74957567.997047961</v>
      </c>
      <c r="J13" s="28">
        <f t="shared" si="3"/>
        <v>0</v>
      </c>
    </row>
    <row r="14" spans="2:12" x14ac:dyDescent="0.25">
      <c r="B14" s="9" t="s">
        <v>59</v>
      </c>
      <c r="D14" s="35">
        <f>C4+D12</f>
        <v>433875166.66666663</v>
      </c>
    </row>
    <row r="15" spans="2:12" x14ac:dyDescent="0.25">
      <c r="B15" s="9" t="s">
        <v>60</v>
      </c>
      <c r="D15" s="139">
        <v>200000000</v>
      </c>
    </row>
    <row r="16" spans="2:12" x14ac:dyDescent="0.25">
      <c r="B16" s="9" t="s">
        <v>61</v>
      </c>
      <c r="D16" s="35">
        <f>D14-D15</f>
        <v>233875166.66666663</v>
      </c>
    </row>
    <row r="17" spans="4:4" x14ac:dyDescent="0.25">
      <c r="D17" s="35"/>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37" activePane="bottomRight" state="frozenSplit"/>
      <selection activeCell="C29" sqref="C29"/>
      <selection pane="topRight" activeCell="C29" sqref="C29"/>
      <selection pane="bottomLeft" activeCell="C29" sqref="C29"/>
      <selection pane="bottomRight" activeCell="A41" sqref="A41:G52"/>
    </sheetView>
  </sheetViews>
  <sheetFormatPr defaultColWidth="11.44140625" defaultRowHeight="13.8" x14ac:dyDescent="0.25"/>
  <cols>
    <col min="1" max="1" width="29.109375" style="9" customWidth="1"/>
    <col min="2" max="2" width="30.44140625" style="9" bestFit="1" customWidth="1"/>
    <col min="3" max="3" width="17.44140625" style="9" bestFit="1" customWidth="1"/>
    <col min="4" max="4" width="17.44140625" style="9" customWidth="1"/>
    <col min="5" max="5" width="17.44140625" style="9" bestFit="1" customWidth="1"/>
    <col min="6" max="7" width="17.88671875" style="9" bestFit="1" customWidth="1"/>
    <col min="8" max="16384" width="11.44140625" style="9"/>
  </cols>
  <sheetData>
    <row r="1" spans="1:7" ht="34.5" customHeight="1" x14ac:dyDescent="0.25">
      <c r="A1" s="120" t="s">
        <v>117</v>
      </c>
      <c r="B1" s="120"/>
      <c r="C1" s="120"/>
      <c r="D1" s="120"/>
      <c r="E1" s="120"/>
      <c r="F1" s="120"/>
      <c r="G1" s="120"/>
    </row>
    <row r="2" spans="1:7" x14ac:dyDescent="0.25">
      <c r="A2" s="131" t="s">
        <v>132</v>
      </c>
      <c r="B2" s="131"/>
      <c r="C2" s="131"/>
      <c r="D2" s="131"/>
      <c r="E2" s="131"/>
      <c r="F2" s="131"/>
      <c r="G2" s="131"/>
    </row>
    <row r="3" spans="1:7" ht="8.25" customHeight="1" x14ac:dyDescent="0.25">
      <c r="A3" s="38"/>
      <c r="B3" s="38"/>
      <c r="C3" s="38"/>
      <c r="D3" s="38"/>
      <c r="E3" s="38"/>
      <c r="F3" s="38"/>
      <c r="G3" s="38"/>
    </row>
    <row r="4" spans="1:7" x14ac:dyDescent="0.25">
      <c r="A4" s="119" t="s">
        <v>89</v>
      </c>
      <c r="B4" s="119"/>
      <c r="C4" s="119"/>
      <c r="D4" s="119"/>
      <c r="E4" s="119"/>
      <c r="F4" s="119"/>
      <c r="G4" s="119"/>
    </row>
    <row r="5" spans="1:7" s="15" customFormat="1" x14ac:dyDescent="0.25">
      <c r="C5" s="38">
        <f>'1'!B31</f>
        <v>2024</v>
      </c>
      <c r="D5" s="38">
        <f>'1'!C31</f>
        <v>2025</v>
      </c>
      <c r="E5" s="38">
        <f>'1'!D31</f>
        <v>2026</v>
      </c>
      <c r="F5" s="38">
        <f>'1'!E31</f>
        <v>2027</v>
      </c>
      <c r="G5" s="38">
        <f>'1'!F31</f>
        <v>2028</v>
      </c>
    </row>
    <row r="6" spans="1:7" x14ac:dyDescent="0.25">
      <c r="B6" s="9" t="s">
        <v>31</v>
      </c>
      <c r="C6" s="6">
        <f>'1'!B32</f>
        <v>1116000000</v>
      </c>
      <c r="D6" s="6">
        <f>'1'!C32</f>
        <v>1273824720</v>
      </c>
      <c r="E6" s="6">
        <f>'1'!D32</f>
        <v>1503724605.4656003</v>
      </c>
      <c r="F6" s="6">
        <f>'1'!E32</f>
        <v>2060636531.7228122</v>
      </c>
      <c r="G6" s="6">
        <f>'1'!F32</f>
        <v>2823803574.4290142</v>
      </c>
    </row>
    <row r="7" spans="1:7" x14ac:dyDescent="0.25">
      <c r="B7" s="9" t="s">
        <v>66</v>
      </c>
      <c r="C7" s="6">
        <f>'1'!B33</f>
        <v>263800000</v>
      </c>
      <c r="D7" s="6">
        <f>'1'!C33</f>
        <v>293114089.12</v>
      </c>
      <c r="E7" s="6">
        <f>'1'!D33</f>
        <v>336830765.81025589</v>
      </c>
      <c r="F7" s="6">
        <f>'1'!E33</f>
        <v>449325707.07402462</v>
      </c>
      <c r="G7" s="6">
        <f>'1'!F33</f>
        <v>599391776.31803167</v>
      </c>
    </row>
    <row r="8" spans="1:7" ht="14.4" thickBot="1" x14ac:dyDescent="0.3">
      <c r="B8" s="54" t="s">
        <v>67</v>
      </c>
      <c r="C8" s="99">
        <f>C6-C7</f>
        <v>852200000</v>
      </c>
      <c r="D8" s="99">
        <f t="shared" ref="D8:G8" si="0">D6-D7</f>
        <v>980710630.88</v>
      </c>
      <c r="E8" s="99">
        <f t="shared" si="0"/>
        <v>1166893839.6553445</v>
      </c>
      <c r="F8" s="99">
        <f t="shared" si="0"/>
        <v>1611310824.6487875</v>
      </c>
      <c r="G8" s="99">
        <f t="shared" si="0"/>
        <v>2224411798.1109824</v>
      </c>
    </row>
    <row r="9" spans="1:7" ht="14.4" thickTop="1" x14ac:dyDescent="0.25">
      <c r="B9" s="9" t="s">
        <v>68</v>
      </c>
      <c r="C9" s="6">
        <f>'2'!C23</f>
        <v>557300400</v>
      </c>
      <c r="D9" s="6">
        <f>C9*(1+'1'!Z4)</f>
        <v>604670934</v>
      </c>
      <c r="E9" s="6">
        <f>D9*(1+'1'!AA4)</f>
        <v>656067963.38999999</v>
      </c>
      <c r="F9" s="6">
        <f>E9*(1+'1'!AB4)</f>
        <v>711833740.27814996</v>
      </c>
      <c r="G9" s="6">
        <f>F9*(1+'1'!AC4)</f>
        <v>772339608.20179272</v>
      </c>
    </row>
    <row r="10" spans="1:7" x14ac:dyDescent="0.25">
      <c r="B10" s="9" t="s">
        <v>134</v>
      </c>
      <c r="C10" s="6">
        <f>'2'!F31</f>
        <v>83000000</v>
      </c>
      <c r="D10" s="6">
        <f>C10*(1+'1'!Z4)</f>
        <v>90055000</v>
      </c>
      <c r="E10" s="6">
        <f>D10*(1+'1'!AA4)</f>
        <v>97709675</v>
      </c>
      <c r="F10" s="6">
        <f>E10*(1+'1'!AB4)</f>
        <v>106014997.375</v>
      </c>
      <c r="G10" s="6">
        <f>F10*(1+'1'!AC4)</f>
        <v>115026272.15187499</v>
      </c>
    </row>
    <row r="11" spans="1:7" x14ac:dyDescent="0.25">
      <c r="B11" s="9" t="s">
        <v>69</v>
      </c>
      <c r="C11" s="6">
        <f>'2'!C25</f>
        <v>10000000</v>
      </c>
      <c r="D11" s="6">
        <f>'2'!C28</f>
        <v>18000000</v>
      </c>
      <c r="E11" s="6">
        <f>'2'!C29</f>
        <v>20000000</v>
      </c>
      <c r="F11" s="6">
        <f>'2'!C30</f>
        <v>42000000</v>
      </c>
      <c r="G11" s="6">
        <f>'2'!C31</f>
        <v>42000000</v>
      </c>
    </row>
    <row r="12" spans="1:7" x14ac:dyDescent="0.25">
      <c r="B12" s="9" t="s">
        <v>86</v>
      </c>
      <c r="C12" s="6">
        <f>'2'!G12</f>
        <v>10600000</v>
      </c>
      <c r="D12" s="6">
        <f>C12</f>
        <v>10600000</v>
      </c>
      <c r="E12" s="6">
        <f t="shared" ref="E12:G12" si="1">D12</f>
        <v>10600000</v>
      </c>
      <c r="F12" s="6">
        <f t="shared" si="1"/>
        <v>10600000</v>
      </c>
      <c r="G12" s="6">
        <f t="shared" si="1"/>
        <v>10600000</v>
      </c>
    </row>
    <row r="13" spans="1:7" ht="14.4" thickBot="1" x14ac:dyDescent="0.3">
      <c r="B13" s="54" t="s">
        <v>70</v>
      </c>
      <c r="C13" s="99">
        <f>C8-C9-C10-C11-C12</f>
        <v>191299600</v>
      </c>
      <c r="D13" s="99">
        <f t="shared" ref="D13:G13" si="2">D8-D9-D10-D11-D12</f>
        <v>257384696.88</v>
      </c>
      <c r="E13" s="99">
        <f t="shared" si="2"/>
        <v>382516201.2653445</v>
      </c>
      <c r="F13" s="99">
        <f t="shared" si="2"/>
        <v>740862086.99563754</v>
      </c>
      <c r="G13" s="99">
        <f t="shared" si="2"/>
        <v>1284445917.7573147</v>
      </c>
    </row>
    <row r="14" spans="1:7" ht="14.4" thickTop="1" x14ac:dyDescent="0.25">
      <c r="B14" s="9" t="s">
        <v>71</v>
      </c>
      <c r="C14" s="6">
        <f>'3'!G9</f>
        <v>42331405.166666657</v>
      </c>
      <c r="D14" s="6">
        <f>'3'!G10</f>
        <v>36426069.69436764</v>
      </c>
      <c r="E14" s="6">
        <f>'3'!G11</f>
        <v>29451868.501582507</v>
      </c>
      <c r="F14" s="6">
        <f>'3'!G12</f>
        <v>21215336.892903257</v>
      </c>
      <c r="G14" s="6">
        <f>'3'!G13</f>
        <v>11487993.063053066</v>
      </c>
    </row>
    <row r="15" spans="1:7" ht="14.4" thickBot="1" x14ac:dyDescent="0.3">
      <c r="B15" s="54" t="s">
        <v>72</v>
      </c>
      <c r="C15" s="99">
        <f>C13-C14</f>
        <v>148968194.83333334</v>
      </c>
      <c r="D15" s="99">
        <f t="shared" ref="D15:G15" si="3">D13-D14</f>
        <v>220958627.18563235</v>
      </c>
      <c r="E15" s="99">
        <f t="shared" si="3"/>
        <v>353064332.763762</v>
      </c>
      <c r="F15" s="99">
        <f t="shared" si="3"/>
        <v>719646750.10273433</v>
      </c>
      <c r="G15" s="99">
        <f t="shared" si="3"/>
        <v>1272957924.6942616</v>
      </c>
    </row>
    <row r="16" spans="1:7" ht="14.4" thickTop="1" x14ac:dyDescent="0.25">
      <c r="B16" s="9" t="s">
        <v>73</v>
      </c>
      <c r="C16" s="36">
        <f>IF(C15*'1'!$AB$7&lt;0,0,C15*'1'!$AB$7)</f>
        <v>50649186.24333334</v>
      </c>
      <c r="D16" s="36">
        <f>IF(D15*'1'!$AB$7&lt;0,0,D15*'1'!$AB$7)</f>
        <v>75125933.243115008</v>
      </c>
      <c r="E16" s="36">
        <f>IF(E15*'1'!$AB$7&lt;0,0,E15*'1'!$AB$7)</f>
        <v>120041873.13967909</v>
      </c>
      <c r="F16" s="36">
        <f>IF(F15*'1'!$AB$7&lt;0,0,F15*'1'!$AB$7)</f>
        <v>244679895.03492969</v>
      </c>
      <c r="G16" s="36">
        <f>IF(G15*'1'!$AB$7&lt;0,0,G15*'1'!$AB$7)</f>
        <v>432805694.39604896</v>
      </c>
    </row>
    <row r="17" spans="1:8" ht="14.4" thickBot="1" x14ac:dyDescent="0.3">
      <c r="B17" s="55" t="s">
        <v>74</v>
      </c>
      <c r="C17" s="100">
        <f>C15-C16</f>
        <v>98319008.590000004</v>
      </c>
      <c r="D17" s="100">
        <f t="shared" ref="D17:G17" si="4">D15-D16</f>
        <v>145832693.94251734</v>
      </c>
      <c r="E17" s="100">
        <f t="shared" si="4"/>
        <v>233022459.62408292</v>
      </c>
      <c r="F17" s="100">
        <f t="shared" si="4"/>
        <v>474966855.06780463</v>
      </c>
      <c r="G17" s="100">
        <f t="shared" si="4"/>
        <v>840152230.29821253</v>
      </c>
    </row>
    <row r="19" spans="1:8" x14ac:dyDescent="0.25">
      <c r="A19" s="119" t="s">
        <v>64</v>
      </c>
      <c r="B19" s="119"/>
      <c r="C19" s="119"/>
      <c r="D19" s="119"/>
      <c r="E19" s="119"/>
      <c r="F19" s="119"/>
      <c r="G19" s="119"/>
    </row>
    <row r="20" spans="1:8" s="15" customFormat="1" x14ac:dyDescent="0.25">
      <c r="B20" s="38" t="s">
        <v>84</v>
      </c>
      <c r="C20" s="38">
        <f>C5</f>
        <v>2024</v>
      </c>
      <c r="D20" s="38">
        <f>D5</f>
        <v>2025</v>
      </c>
      <c r="E20" s="38">
        <f>E5</f>
        <v>2026</v>
      </c>
      <c r="F20" s="38">
        <f>F5</f>
        <v>2027</v>
      </c>
      <c r="G20" s="38">
        <f>G5</f>
        <v>2028</v>
      </c>
    </row>
    <row r="21" spans="1:8" x14ac:dyDescent="0.25">
      <c r="A21" s="119" t="s">
        <v>65</v>
      </c>
      <c r="B21" s="119"/>
      <c r="C21" s="119"/>
      <c r="D21" s="119"/>
      <c r="E21" s="119"/>
      <c r="F21" s="119"/>
      <c r="G21" s="119"/>
    </row>
    <row r="22" spans="1:8" x14ac:dyDescent="0.25">
      <c r="A22" s="101" t="s">
        <v>95</v>
      </c>
      <c r="B22" s="101">
        <f>B38-B26</f>
        <v>380875166.66666663</v>
      </c>
      <c r="C22" s="101">
        <f t="shared" ref="C22:G22" si="5">C38-C26</f>
        <v>507817198.66961873</v>
      </c>
      <c r="D22" s="101">
        <f t="shared" si="5"/>
        <v>551876132.71923733</v>
      </c>
      <c r="E22" s="101">
        <f t="shared" si="5"/>
        <v>649076138.80190158</v>
      </c>
      <c r="F22" s="101">
        <f t="shared" si="5"/>
        <v>972516325.0367291</v>
      </c>
      <c r="G22" s="101">
        <f t="shared" si="5"/>
        <v>1472957924.6942616</v>
      </c>
    </row>
    <row r="23" spans="1:8" x14ac:dyDescent="0.25">
      <c r="A23" s="101" t="s">
        <v>93</v>
      </c>
      <c r="B23" s="101">
        <f>'2'!C4</f>
        <v>0</v>
      </c>
      <c r="C23" s="101">
        <f>B23</f>
        <v>0</v>
      </c>
      <c r="D23" s="101">
        <f t="shared" ref="D23:G23" si="6">C23</f>
        <v>0</v>
      </c>
      <c r="E23" s="101">
        <f t="shared" si="6"/>
        <v>0</v>
      </c>
      <c r="F23" s="101">
        <f t="shared" si="6"/>
        <v>0</v>
      </c>
      <c r="G23" s="101">
        <f t="shared" si="6"/>
        <v>0</v>
      </c>
      <c r="H23" s="16"/>
    </row>
    <row r="24" spans="1:8" x14ac:dyDescent="0.25">
      <c r="A24" s="101" t="s">
        <v>94</v>
      </c>
      <c r="B24" s="101">
        <f>'2'!C12-'2'!C4</f>
        <v>53000000</v>
      </c>
      <c r="C24" s="101">
        <f>B24</f>
        <v>53000000</v>
      </c>
      <c r="D24" s="101">
        <f t="shared" ref="D24:G24" si="7">C24</f>
        <v>53000000</v>
      </c>
      <c r="E24" s="101">
        <f t="shared" si="7"/>
        <v>53000000</v>
      </c>
      <c r="F24" s="101">
        <f t="shared" si="7"/>
        <v>53000000</v>
      </c>
      <c r="G24" s="101">
        <f t="shared" si="7"/>
        <v>53000000</v>
      </c>
      <c r="H24" s="16"/>
    </row>
    <row r="25" spans="1:8" x14ac:dyDescent="0.25">
      <c r="A25" s="101" t="s">
        <v>87</v>
      </c>
      <c r="B25" s="101">
        <v>0</v>
      </c>
      <c r="C25" s="101">
        <f>C12</f>
        <v>10600000</v>
      </c>
      <c r="D25" s="101">
        <f>D12+C12</f>
        <v>21200000</v>
      </c>
      <c r="E25" s="101">
        <f>E12+D12+C12</f>
        <v>31800000</v>
      </c>
      <c r="F25" s="101">
        <f>F12+E12+D12+C12</f>
        <v>42400000</v>
      </c>
      <c r="G25" s="101">
        <f>F25+G12</f>
        <v>53000000</v>
      </c>
      <c r="H25" s="16"/>
    </row>
    <row r="26" spans="1:8" x14ac:dyDescent="0.25">
      <c r="A26" s="101" t="s">
        <v>88</v>
      </c>
      <c r="B26" s="101">
        <f>B23+(B24-B25)</f>
        <v>53000000</v>
      </c>
      <c r="C26" s="101">
        <f>C23+(C24-C25)</f>
        <v>42400000</v>
      </c>
      <c r="D26" s="101">
        <f t="shared" ref="D26:G26" si="8">D23+(D24-D25)</f>
        <v>31800000</v>
      </c>
      <c r="E26" s="101">
        <f t="shared" si="8"/>
        <v>21200000</v>
      </c>
      <c r="F26" s="101">
        <f t="shared" si="8"/>
        <v>10600000</v>
      </c>
      <c r="G26" s="101">
        <f t="shared" si="8"/>
        <v>0</v>
      </c>
      <c r="H26" s="16"/>
    </row>
    <row r="27" spans="1:8" ht="14.4" thickBot="1" x14ac:dyDescent="0.3">
      <c r="A27" s="102" t="s">
        <v>85</v>
      </c>
      <c r="B27" s="102">
        <f>B22+B26</f>
        <v>433875166.66666663</v>
      </c>
      <c r="C27" s="102">
        <f t="shared" ref="C27:G27" si="9">C22+C26</f>
        <v>550217198.66961873</v>
      </c>
      <c r="D27" s="102">
        <f t="shared" si="9"/>
        <v>583676132.71923733</v>
      </c>
      <c r="E27" s="102">
        <f t="shared" si="9"/>
        <v>670276138.80190158</v>
      </c>
      <c r="F27" s="102">
        <f t="shared" si="9"/>
        <v>983116325.0367291</v>
      </c>
      <c r="G27" s="102">
        <f t="shared" si="9"/>
        <v>1472957924.6942616</v>
      </c>
      <c r="H27" s="16"/>
    </row>
    <row r="28" spans="1:8" ht="14.4" thickTop="1" x14ac:dyDescent="0.25">
      <c r="A28" s="132" t="s">
        <v>75</v>
      </c>
      <c r="B28" s="132"/>
      <c r="C28" s="132"/>
      <c r="D28" s="132"/>
      <c r="E28" s="132"/>
      <c r="F28" s="132"/>
      <c r="G28" s="132"/>
    </row>
    <row r="29" spans="1:8" x14ac:dyDescent="0.25">
      <c r="A29" s="101" t="s">
        <v>76</v>
      </c>
      <c r="B29" s="101">
        <v>0</v>
      </c>
      <c r="C29" s="101">
        <f>C16</f>
        <v>50649186.24333334</v>
      </c>
      <c r="D29" s="101">
        <f>D16</f>
        <v>75125933.243115008</v>
      </c>
      <c r="E29" s="101">
        <f>E16</f>
        <v>120041873.13967909</v>
      </c>
      <c r="F29" s="101">
        <f>F16</f>
        <v>244679895.03492969</v>
      </c>
      <c r="G29" s="101">
        <f>G16</f>
        <v>432805694.39604896</v>
      </c>
    </row>
    <row r="30" spans="1:8" x14ac:dyDescent="0.25">
      <c r="A30" s="101" t="s">
        <v>77</v>
      </c>
      <c r="B30" s="101">
        <f>B29</f>
        <v>0</v>
      </c>
      <c r="C30" s="101">
        <f t="shared" ref="C30:G30" si="10">C29</f>
        <v>50649186.24333334</v>
      </c>
      <c r="D30" s="101">
        <f t="shared" si="10"/>
        <v>75125933.243115008</v>
      </c>
      <c r="E30" s="101">
        <f t="shared" si="10"/>
        <v>120041873.13967909</v>
      </c>
      <c r="F30" s="101">
        <f t="shared" si="10"/>
        <v>244679895.03492969</v>
      </c>
      <c r="G30" s="101">
        <f t="shared" si="10"/>
        <v>432805694.39604896</v>
      </c>
    </row>
    <row r="31" spans="1:8" x14ac:dyDescent="0.25">
      <c r="A31" s="101" t="s">
        <v>78</v>
      </c>
      <c r="B31" s="101">
        <f>'3'!J8</f>
        <v>233875166.66666663</v>
      </c>
      <c r="C31" s="101">
        <f>'3'!J9</f>
        <v>201249003.83628532</v>
      </c>
      <c r="D31" s="101">
        <f>'3'!J10</f>
        <v>162717505.53360501</v>
      </c>
      <c r="E31" s="101">
        <f>'3'!J11</f>
        <v>117211806.03813955</v>
      </c>
      <c r="F31" s="101">
        <f>'3'!J12</f>
        <v>63469574.933994845</v>
      </c>
      <c r="G31" s="101">
        <f>'3'!J13</f>
        <v>0</v>
      </c>
    </row>
    <row r="32" spans="1:8" ht="14.4" thickBot="1" x14ac:dyDescent="0.3">
      <c r="A32" s="102" t="s">
        <v>75</v>
      </c>
      <c r="B32" s="102">
        <f>B30+B31</f>
        <v>233875166.66666663</v>
      </c>
      <c r="C32" s="102">
        <f t="shared" ref="C32:G32" si="11">C30+C31</f>
        <v>251898190.07961866</v>
      </c>
      <c r="D32" s="102">
        <f t="shared" si="11"/>
        <v>237843438.77672002</v>
      </c>
      <c r="E32" s="102">
        <f t="shared" si="11"/>
        <v>237253679.17781866</v>
      </c>
      <c r="F32" s="102">
        <f t="shared" si="11"/>
        <v>308149469.96892452</v>
      </c>
      <c r="G32" s="102">
        <f t="shared" si="11"/>
        <v>432805694.39604896</v>
      </c>
    </row>
    <row r="33" spans="1:7" ht="14.4" thickTop="1" x14ac:dyDescent="0.25">
      <c r="A33" s="132" t="s">
        <v>79</v>
      </c>
      <c r="B33" s="132"/>
      <c r="C33" s="132"/>
      <c r="D33" s="132"/>
      <c r="E33" s="132"/>
      <c r="F33" s="132"/>
      <c r="G33" s="132"/>
    </row>
    <row r="34" spans="1:7" x14ac:dyDescent="0.25">
      <c r="A34" s="101" t="s">
        <v>80</v>
      </c>
      <c r="B34" s="101">
        <f>'3'!D15</f>
        <v>200000000</v>
      </c>
      <c r="C34" s="101">
        <f>B34</f>
        <v>200000000</v>
      </c>
      <c r="D34" s="101">
        <f t="shared" ref="D34:G34" si="12">C34</f>
        <v>200000000</v>
      </c>
      <c r="E34" s="101">
        <f t="shared" si="12"/>
        <v>200000000</v>
      </c>
      <c r="F34" s="101">
        <f t="shared" si="12"/>
        <v>200000000</v>
      </c>
      <c r="G34" s="101">
        <f t="shared" si="12"/>
        <v>200000000</v>
      </c>
    </row>
    <row r="35" spans="1:7" x14ac:dyDescent="0.25">
      <c r="A35" s="101" t="s">
        <v>81</v>
      </c>
      <c r="B35" s="101">
        <v>0</v>
      </c>
      <c r="C35" s="101">
        <f>C17</f>
        <v>98319008.590000004</v>
      </c>
      <c r="D35" s="101">
        <f>D17</f>
        <v>145832693.94251734</v>
      </c>
      <c r="E35" s="101">
        <f>E17</f>
        <v>233022459.62408292</v>
      </c>
      <c r="F35" s="101">
        <f>F17</f>
        <v>474966855.06780463</v>
      </c>
      <c r="G35" s="101">
        <f>G17</f>
        <v>840152230.29821253</v>
      </c>
    </row>
    <row r="36" spans="1:7" ht="14.4" thickBot="1" x14ac:dyDescent="0.3">
      <c r="A36" s="102" t="s">
        <v>82</v>
      </c>
      <c r="B36" s="102">
        <f>B34+B35</f>
        <v>200000000</v>
      </c>
      <c r="C36" s="102">
        <f t="shared" ref="C36:G36" si="13">C34+C35</f>
        <v>298319008.59000003</v>
      </c>
      <c r="D36" s="102">
        <f t="shared" si="13"/>
        <v>345832693.94251734</v>
      </c>
      <c r="E36" s="102">
        <f t="shared" si="13"/>
        <v>433022459.62408292</v>
      </c>
      <c r="F36" s="102">
        <f t="shared" si="13"/>
        <v>674966855.06780457</v>
      </c>
      <c r="G36" s="102">
        <f t="shared" si="13"/>
        <v>1040152230.2982125</v>
      </c>
    </row>
    <row r="37" spans="1:7" ht="14.4" thickTop="1" x14ac:dyDescent="0.25">
      <c r="A37" s="101"/>
      <c r="B37" s="101"/>
      <c r="C37" s="101"/>
      <c r="D37" s="101"/>
      <c r="E37" s="101"/>
      <c r="F37" s="101"/>
      <c r="G37" s="101"/>
    </row>
    <row r="38" spans="1:7" ht="14.4" thickBot="1" x14ac:dyDescent="0.3">
      <c r="A38" s="102" t="s">
        <v>83</v>
      </c>
      <c r="B38" s="102">
        <f>B32+B36</f>
        <v>433875166.66666663</v>
      </c>
      <c r="C38" s="102">
        <f t="shared" ref="C38:G38" si="14">C32+C36</f>
        <v>550217198.66961873</v>
      </c>
      <c r="D38" s="102">
        <f t="shared" si="14"/>
        <v>583676132.71923733</v>
      </c>
      <c r="E38" s="102">
        <f t="shared" si="14"/>
        <v>670276138.80190158</v>
      </c>
      <c r="F38" s="102">
        <f t="shared" si="14"/>
        <v>983116325.0367291</v>
      </c>
      <c r="G38" s="102">
        <f t="shared" si="14"/>
        <v>1472957924.6942616</v>
      </c>
    </row>
    <row r="39" spans="1:7" ht="14.4" thickTop="1" x14ac:dyDescent="0.25">
      <c r="A39" s="56" t="s">
        <v>90</v>
      </c>
      <c r="B39" s="57">
        <f>B27-B38</f>
        <v>0</v>
      </c>
      <c r="C39" s="57">
        <f t="shared" ref="C39:G39" si="15">C27-C38</f>
        <v>0</v>
      </c>
      <c r="D39" s="57">
        <f t="shared" si="15"/>
        <v>0</v>
      </c>
      <c r="E39" s="57">
        <f t="shared" si="15"/>
        <v>0</v>
      </c>
      <c r="F39" s="57">
        <f t="shared" si="15"/>
        <v>0</v>
      </c>
      <c r="G39" s="57">
        <f t="shared" si="15"/>
        <v>0</v>
      </c>
    </row>
    <row r="41" spans="1:7" x14ac:dyDescent="0.25">
      <c r="A41" s="119" t="s">
        <v>96</v>
      </c>
      <c r="B41" s="119"/>
      <c r="C41" s="119"/>
      <c r="D41" s="119"/>
      <c r="E41" s="119"/>
      <c r="F41" s="119"/>
      <c r="G41" s="119"/>
    </row>
    <row r="42" spans="1:7" x14ac:dyDescent="0.25">
      <c r="A42" s="119" t="s">
        <v>97</v>
      </c>
      <c r="B42" s="119"/>
      <c r="C42" s="119"/>
      <c r="D42" s="119"/>
      <c r="E42" s="119"/>
      <c r="F42" s="119"/>
      <c r="G42" s="119"/>
    </row>
    <row r="43" spans="1:7" s="15" customFormat="1" x14ac:dyDescent="0.25">
      <c r="A43" s="76"/>
      <c r="B43" s="38" t="s">
        <v>84</v>
      </c>
      <c r="C43" s="38">
        <f>C20</f>
        <v>2024</v>
      </c>
      <c r="D43" s="38">
        <f t="shared" ref="D43:G43" si="16">D20</f>
        <v>2025</v>
      </c>
      <c r="E43" s="38">
        <f t="shared" si="16"/>
        <v>2026</v>
      </c>
      <c r="F43" s="38">
        <f t="shared" si="16"/>
        <v>2027</v>
      </c>
      <c r="G43" s="38">
        <f t="shared" si="16"/>
        <v>2028</v>
      </c>
    </row>
    <row r="44" spans="1:7" x14ac:dyDescent="0.25">
      <c r="A44" s="1" t="s">
        <v>98</v>
      </c>
      <c r="B44" s="58">
        <f>B22</f>
        <v>380875166.66666663</v>
      </c>
      <c r="C44" s="58">
        <f t="shared" ref="C44:G44" si="17">C22</f>
        <v>507817198.66961873</v>
      </c>
      <c r="D44" s="58">
        <f t="shared" si="17"/>
        <v>551876132.71923733</v>
      </c>
      <c r="E44" s="58">
        <f t="shared" si="17"/>
        <v>649076138.80190158</v>
      </c>
      <c r="F44" s="58">
        <f t="shared" si="17"/>
        <v>972516325.0367291</v>
      </c>
      <c r="G44" s="58">
        <f t="shared" si="17"/>
        <v>1472957924.6942616</v>
      </c>
    </row>
    <row r="45" spans="1:7" ht="14.4" thickBot="1" x14ac:dyDescent="0.3">
      <c r="A45" s="1" t="s">
        <v>99</v>
      </c>
      <c r="B45" s="59">
        <f>B29</f>
        <v>0</v>
      </c>
      <c r="C45" s="59">
        <f t="shared" ref="C45:G45" si="18">C29</f>
        <v>50649186.24333334</v>
      </c>
      <c r="D45" s="59">
        <f t="shared" si="18"/>
        <v>75125933.243115008</v>
      </c>
      <c r="E45" s="59">
        <f t="shared" si="18"/>
        <v>120041873.13967909</v>
      </c>
      <c r="F45" s="59">
        <f t="shared" si="18"/>
        <v>244679895.03492969</v>
      </c>
      <c r="G45" s="59">
        <f t="shared" si="18"/>
        <v>432805694.39604896</v>
      </c>
    </row>
    <row r="46" spans="1:7" ht="14.4" thickTop="1" x14ac:dyDescent="0.25">
      <c r="A46" s="2" t="s">
        <v>100</v>
      </c>
      <c r="B46" s="62">
        <f t="shared" ref="B46:G46" si="19">B44-B45</f>
        <v>380875166.66666663</v>
      </c>
      <c r="C46" s="62">
        <f t="shared" si="19"/>
        <v>457168012.42628539</v>
      </c>
      <c r="D46" s="62">
        <f t="shared" si="19"/>
        <v>476750199.47612232</v>
      </c>
      <c r="E46" s="62">
        <f t="shared" si="19"/>
        <v>529034265.6622225</v>
      </c>
      <c r="F46" s="62">
        <f t="shared" si="19"/>
        <v>727836430.00179935</v>
      </c>
      <c r="G46" s="62">
        <f t="shared" si="19"/>
        <v>1040152230.2982125</v>
      </c>
    </row>
    <row r="47" spans="1:7" x14ac:dyDescent="0.25">
      <c r="A47" s="1"/>
      <c r="B47" s="58"/>
      <c r="C47" s="58"/>
      <c r="D47" s="58"/>
      <c r="E47" s="58"/>
      <c r="F47" s="58"/>
      <c r="G47" s="58"/>
    </row>
    <row r="48" spans="1:7" x14ac:dyDescent="0.25">
      <c r="A48" s="2" t="s">
        <v>101</v>
      </c>
      <c r="B48" s="58">
        <f>B26</f>
        <v>53000000</v>
      </c>
      <c r="C48" s="58">
        <f t="shared" ref="C48:G48" si="20">C26</f>
        <v>42400000</v>
      </c>
      <c r="D48" s="58">
        <f t="shared" si="20"/>
        <v>31800000</v>
      </c>
      <c r="E48" s="58">
        <f t="shared" si="20"/>
        <v>21200000</v>
      </c>
      <c r="F48" s="58">
        <f t="shared" si="20"/>
        <v>10600000</v>
      </c>
      <c r="G48" s="58">
        <f t="shared" si="20"/>
        <v>0</v>
      </c>
    </row>
    <row r="49" spans="1:7" ht="14.4" thickBot="1" x14ac:dyDescent="0.3">
      <c r="A49" s="1" t="s">
        <v>102</v>
      </c>
      <c r="B49" s="59">
        <f>B25</f>
        <v>0</v>
      </c>
      <c r="C49" s="59">
        <f t="shared" ref="C49:G49" si="21">C25</f>
        <v>10600000</v>
      </c>
      <c r="D49" s="59">
        <f t="shared" si="21"/>
        <v>21200000</v>
      </c>
      <c r="E49" s="59">
        <f t="shared" si="21"/>
        <v>31800000</v>
      </c>
      <c r="F49" s="59">
        <f t="shared" si="21"/>
        <v>42400000</v>
      </c>
      <c r="G49" s="59">
        <f t="shared" si="21"/>
        <v>53000000</v>
      </c>
    </row>
    <row r="50" spans="1:7" ht="14.4" thickTop="1" x14ac:dyDescent="0.25">
      <c r="A50" s="2" t="s">
        <v>103</v>
      </c>
      <c r="B50" s="62">
        <f t="shared" ref="B50:G50" si="22">B48+B49</f>
        <v>53000000</v>
      </c>
      <c r="C50" s="62">
        <f t="shared" si="22"/>
        <v>53000000</v>
      </c>
      <c r="D50" s="62">
        <f t="shared" si="22"/>
        <v>53000000</v>
      </c>
      <c r="E50" s="62">
        <f t="shared" si="22"/>
        <v>53000000</v>
      </c>
      <c r="F50" s="62">
        <f t="shared" si="22"/>
        <v>53000000</v>
      </c>
      <c r="G50" s="62">
        <f t="shared" si="22"/>
        <v>53000000</v>
      </c>
    </row>
    <row r="51" spans="1:7" x14ac:dyDescent="0.25">
      <c r="A51" s="1"/>
      <c r="B51" s="58"/>
      <c r="C51" s="58"/>
      <c r="D51" s="58"/>
      <c r="E51" s="58"/>
      <c r="F51" s="58"/>
      <c r="G51" s="58"/>
    </row>
    <row r="52" spans="1:7" ht="14.4" thickBot="1" x14ac:dyDescent="0.3">
      <c r="A52" s="2" t="s">
        <v>104</v>
      </c>
      <c r="B52" s="63">
        <f t="shared" ref="B52:G52" si="23">B46+B48</f>
        <v>433875166.66666663</v>
      </c>
      <c r="C52" s="63">
        <f t="shared" si="23"/>
        <v>499568012.42628539</v>
      </c>
      <c r="D52" s="63">
        <f t="shared" si="23"/>
        <v>508550199.47612232</v>
      </c>
      <c r="E52" s="63">
        <f t="shared" si="23"/>
        <v>550234265.6622225</v>
      </c>
      <c r="F52" s="63">
        <f t="shared" si="23"/>
        <v>738436430.00179935</v>
      </c>
      <c r="G52" s="63">
        <f t="shared" si="23"/>
        <v>1040152230.2982125</v>
      </c>
    </row>
    <row r="53" spans="1:7" ht="14.4" thickTop="1" x14ac:dyDescent="0.25">
      <c r="A53" s="64"/>
      <c r="B53" s="58"/>
      <c r="C53" s="58"/>
      <c r="D53" s="58"/>
      <c r="E53" s="58"/>
      <c r="F53" s="58"/>
      <c r="G53" s="58"/>
    </row>
    <row r="54" spans="1:7" x14ac:dyDescent="0.25">
      <c r="A54" s="119" t="s">
        <v>105</v>
      </c>
      <c r="B54" s="119"/>
      <c r="C54" s="119"/>
      <c r="D54" s="119"/>
      <c r="E54" s="119"/>
      <c r="F54" s="119"/>
      <c r="G54" s="119"/>
    </row>
    <row r="55" spans="1:7" x14ac:dyDescent="0.25">
      <c r="A55" s="1" t="s">
        <v>106</v>
      </c>
      <c r="C55" s="60">
        <f>C13</f>
        <v>191299600</v>
      </c>
      <c r="D55" s="60">
        <f t="shared" ref="D55:G55" si="24">D13</f>
        <v>257384696.88</v>
      </c>
      <c r="E55" s="60">
        <f t="shared" si="24"/>
        <v>382516201.2653445</v>
      </c>
      <c r="F55" s="60">
        <f t="shared" si="24"/>
        <v>740862086.99563754</v>
      </c>
      <c r="G55" s="60">
        <f t="shared" si="24"/>
        <v>1284445917.7573147</v>
      </c>
    </row>
    <row r="56" spans="1:7" ht="14.4" thickBot="1" x14ac:dyDescent="0.3">
      <c r="A56" s="1" t="s">
        <v>107</v>
      </c>
      <c r="C56" s="61">
        <f>C55*'1'!$AB$7</f>
        <v>65041864.000000007</v>
      </c>
      <c r="D56" s="61">
        <f>D55*'1'!$AB$7</f>
        <v>87510796.939199999</v>
      </c>
      <c r="E56" s="61">
        <f>E55*'1'!$AB$7</f>
        <v>130055508.43021715</v>
      </c>
      <c r="F56" s="61">
        <f>F55*'1'!$AB$7</f>
        <v>251893109.57851678</v>
      </c>
      <c r="G56" s="61">
        <f>G55*'1'!$AB$7</f>
        <v>436711612.03748703</v>
      </c>
    </row>
    <row r="57" spans="1:7" ht="14.4" thickTop="1" x14ac:dyDescent="0.25">
      <c r="A57" s="2" t="s">
        <v>108</v>
      </c>
      <c r="C57" s="60">
        <f>C55-C56</f>
        <v>126257736</v>
      </c>
      <c r="D57" s="60">
        <f>D55-D56</f>
        <v>169873899.94080001</v>
      </c>
      <c r="E57" s="60">
        <f>E55-E56</f>
        <v>252460692.83512735</v>
      </c>
      <c r="F57" s="60">
        <f>F55-F56</f>
        <v>488968977.41712075</v>
      </c>
      <c r="G57" s="60">
        <f>G55-G56</f>
        <v>847734305.71982765</v>
      </c>
    </row>
    <row r="58" spans="1:7" ht="14.4" thickBot="1" x14ac:dyDescent="0.3">
      <c r="A58" s="1" t="s">
        <v>109</v>
      </c>
      <c r="C58" s="61">
        <f>-(C52-B52)</f>
        <v>-65692845.759618759</v>
      </c>
      <c r="D58" s="61">
        <f t="shared" ref="D58:G58" si="25">-(D52-C52)</f>
        <v>-8982187.0498369336</v>
      </c>
      <c r="E58" s="61">
        <f t="shared" si="25"/>
        <v>-41684066.186100185</v>
      </c>
      <c r="F58" s="61">
        <f t="shared" si="25"/>
        <v>-188202164.33957684</v>
      </c>
      <c r="G58" s="61">
        <f t="shared" si="25"/>
        <v>-301715800.29641318</v>
      </c>
    </row>
    <row r="59" spans="1:7" ht="15" thickTop="1" thickBot="1" x14ac:dyDescent="0.3">
      <c r="A59" s="14" t="s">
        <v>110</v>
      </c>
      <c r="B59" s="56"/>
      <c r="C59" s="65">
        <f>SUM(C57:C58)</f>
        <v>60564890.240381241</v>
      </c>
      <c r="D59" s="65">
        <f t="shared" ref="D59:G59" si="26">SUM(D57:D58)</f>
        <v>160891712.89096308</v>
      </c>
      <c r="E59" s="65">
        <f t="shared" si="26"/>
        <v>210776626.64902717</v>
      </c>
      <c r="F59" s="65">
        <f t="shared" si="26"/>
        <v>300766813.07754391</v>
      </c>
      <c r="G59" s="65">
        <f t="shared" si="26"/>
        <v>546018505.42341447</v>
      </c>
    </row>
    <row r="60" spans="1:7" ht="14.4"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A7" zoomScale="80" zoomScaleNormal="80" workbookViewId="0">
      <selection activeCell="E29" sqref="E29"/>
    </sheetView>
  </sheetViews>
  <sheetFormatPr defaultColWidth="11.44140625" defaultRowHeight="13.8" x14ac:dyDescent="0.25"/>
  <cols>
    <col min="1" max="1" width="11.44140625" style="9"/>
    <col min="2" max="2" width="32.5546875" style="9" customWidth="1"/>
    <col min="3" max="3" width="21.5546875" style="9" customWidth="1"/>
    <col min="4" max="4" width="36.44140625" style="9" bestFit="1" customWidth="1"/>
    <col min="5" max="5" width="34.33203125" style="9" bestFit="1" customWidth="1"/>
    <col min="6" max="6" width="26" style="9" customWidth="1"/>
    <col min="7" max="8" width="22.109375" style="9" bestFit="1" customWidth="1"/>
    <col min="9" max="9" width="11.5546875" style="9" bestFit="1" customWidth="1"/>
    <col min="10" max="10" width="15.6640625" style="9" bestFit="1" customWidth="1"/>
    <col min="11" max="14" width="11.44140625" style="9"/>
    <col min="15" max="15" width="15.33203125" style="9" bestFit="1" customWidth="1"/>
    <col min="16" max="16" width="21.5546875" style="9" bestFit="1" customWidth="1"/>
    <col min="17" max="16384" width="11.44140625" style="9"/>
  </cols>
  <sheetData>
    <row r="2" spans="2:16" ht="38.25" customHeight="1" x14ac:dyDescent="0.25">
      <c r="B2" s="120" t="s">
        <v>131</v>
      </c>
      <c r="C2" s="120"/>
      <c r="D2" s="120"/>
      <c r="E2" s="120"/>
      <c r="F2" s="120"/>
      <c r="G2" s="120"/>
      <c r="H2" s="120"/>
    </row>
    <row r="3" spans="2:16" ht="15.75" customHeight="1" x14ac:dyDescent="0.25">
      <c r="B3" s="133" t="s">
        <v>158</v>
      </c>
      <c r="C3" s="133"/>
      <c r="D3" s="133"/>
      <c r="E3" s="134">
        <v>0.16</v>
      </c>
      <c r="F3" s="134"/>
    </row>
    <row r="4" spans="2:16" ht="16.5" customHeight="1" x14ac:dyDescent="0.25">
      <c r="B4" s="133"/>
      <c r="C4" s="133"/>
      <c r="D4" s="133"/>
      <c r="E4" s="134"/>
      <c r="F4" s="134"/>
      <c r="O4" s="77"/>
    </row>
    <row r="5" spans="2:16" ht="16.5" customHeight="1" x14ac:dyDescent="0.25">
      <c r="B5" s="122"/>
      <c r="C5" s="122"/>
      <c r="D5" s="122"/>
      <c r="E5" s="86"/>
      <c r="F5" s="86"/>
      <c r="O5" s="77"/>
    </row>
    <row r="6" spans="2:16" ht="14.4" thickBot="1" x14ac:dyDescent="0.3">
      <c r="O6" s="77"/>
      <c r="P6" s="87"/>
    </row>
    <row r="7" spans="2:16" x14ac:dyDescent="0.25">
      <c r="B7" s="88" t="s">
        <v>111</v>
      </c>
      <c r="C7" s="103" t="s">
        <v>112</v>
      </c>
      <c r="D7" s="103">
        <f>'4'!C20</f>
        <v>2024</v>
      </c>
      <c r="E7" s="103">
        <f>'4'!D20</f>
        <v>2025</v>
      </c>
      <c r="F7" s="103">
        <f>'4'!E20</f>
        <v>2026</v>
      </c>
      <c r="G7" s="103">
        <f>'4'!F20</f>
        <v>2027</v>
      </c>
      <c r="H7" s="104">
        <f>'4'!G20</f>
        <v>2028</v>
      </c>
      <c r="O7" s="77"/>
      <c r="P7" s="89"/>
    </row>
    <row r="8" spans="2:16" ht="14.4" thickBot="1" x14ac:dyDescent="0.3">
      <c r="B8" s="78"/>
      <c r="C8" s="90">
        <f>-'3'!D14</f>
        <v>-433875166.66666663</v>
      </c>
      <c r="D8" s="90">
        <f>'4'!C59</f>
        <v>60564890.240381241</v>
      </c>
      <c r="E8" s="90">
        <f>'4'!D59</f>
        <v>160891712.89096308</v>
      </c>
      <c r="F8" s="90">
        <f>'4'!E59</f>
        <v>210776626.64902717</v>
      </c>
      <c r="G8" s="90">
        <f>'4'!F59</f>
        <v>300766813.07754391</v>
      </c>
      <c r="H8" s="91">
        <f>'4'!G59</f>
        <v>546018505.42341447</v>
      </c>
      <c r="O8" s="77"/>
      <c r="P8" s="89"/>
    </row>
    <row r="9" spans="2:16" ht="14.4" thickBot="1" x14ac:dyDescent="0.3">
      <c r="C9" s="66">
        <f>C8/(1+$E$3)^0</f>
        <v>-433875166.66666663</v>
      </c>
      <c r="D9" s="66">
        <f>D8/(1+$E$3)^1</f>
        <v>52211112.276190728</v>
      </c>
      <c r="E9" s="66">
        <f>E8/(1+$E$3)^2</f>
        <v>119568752.14845651</v>
      </c>
      <c r="F9" s="66">
        <f>F8/(1+$E$3)^3</f>
        <v>135035663.2658596</v>
      </c>
      <c r="G9" s="66">
        <f>G8/(1+$E$3)^4</f>
        <v>166110833.40060827</v>
      </c>
      <c r="H9" s="66">
        <f>H8/(1+$E$3)^5</f>
        <v>259966517.08909789</v>
      </c>
      <c r="O9" s="77"/>
      <c r="P9" s="89"/>
    </row>
    <row r="10" spans="2:16" ht="14.4" thickBot="1" x14ac:dyDescent="0.3">
      <c r="B10" s="32" t="s">
        <v>113</v>
      </c>
      <c r="C10" s="33"/>
      <c r="D10" s="92">
        <f>NPV(E3,D8:H8)+$C$8</f>
        <v>299017711.51354635</v>
      </c>
      <c r="O10" s="77"/>
      <c r="P10" s="89"/>
    </row>
    <row r="11" spans="2:16" ht="14.4" thickBot="1" x14ac:dyDescent="0.3">
      <c r="B11" s="32" t="s">
        <v>114</v>
      </c>
      <c r="C11" s="33"/>
      <c r="D11" s="98">
        <f>IF(ISERROR(IRR(C8:H8)),"NO_APLICA",(IRR(C8:H8)))</f>
        <v>0.34745781134591569</v>
      </c>
      <c r="F11" s="32" t="s">
        <v>136</v>
      </c>
      <c r="G11" s="33"/>
      <c r="H11" s="93">
        <f>IF(ISERROR(-C9/AVERAGE(D9:H9)),"NO_APLICA",(-C9/AVERAGE(D9:H9)))</f>
        <v>2.9600176204739972</v>
      </c>
      <c r="I11" s="94" t="s">
        <v>63</v>
      </c>
      <c r="P11" s="95"/>
    </row>
    <row r="13" spans="2:16" x14ac:dyDescent="0.25">
      <c r="B13" s="135" t="s">
        <v>118</v>
      </c>
      <c r="C13" s="135"/>
      <c r="D13" s="135"/>
      <c r="E13" s="135"/>
      <c r="F13" s="135"/>
      <c r="G13" s="135"/>
      <c r="H13" s="135"/>
    </row>
    <row r="14" spans="2:16" ht="41.4" x14ac:dyDescent="0.25">
      <c r="B14" s="96" t="str">
        <f>'1'!B2</f>
        <v>NOMBRE DEL PRODUCTO O SERVICIO</v>
      </c>
      <c r="C14" s="96" t="s">
        <v>119</v>
      </c>
      <c r="D14" s="96" t="s">
        <v>120</v>
      </c>
      <c r="E14" s="96" t="s">
        <v>121</v>
      </c>
      <c r="F14" s="96" t="s">
        <v>123</v>
      </c>
      <c r="H14" s="66"/>
      <c r="I14" s="66"/>
      <c r="J14" s="66" t="s">
        <v>127</v>
      </c>
    </row>
    <row r="15" spans="2:16" x14ac:dyDescent="0.25">
      <c r="B15" s="9" t="str">
        <f>'1'!B3</f>
        <v>Servicio de compraventa con entrega de estudio técnico</v>
      </c>
      <c r="C15" s="16">
        <f>'1'!D3-'1'!D17</f>
        <v>9500000</v>
      </c>
      <c r="D15" s="17">
        <f>'1'!F3</f>
        <v>0.62724014336917566</v>
      </c>
      <c r="E15" s="16">
        <f>C15*D15</f>
        <v>5958781.3620071691</v>
      </c>
      <c r="F15" s="29">
        <f t="shared" ref="F15:F24" si="0">$E$28*D15</f>
        <v>55.870474741028026</v>
      </c>
      <c r="G15" s="9" t="s">
        <v>122</v>
      </c>
      <c r="H15" s="67">
        <f>'1'!D3</f>
        <v>10000000</v>
      </c>
      <c r="I15" s="79">
        <f t="shared" ref="I15:I24" si="1">$B$35*D15</f>
        <v>111.74094948205605</v>
      </c>
      <c r="J15" s="67">
        <f>'1'!D17</f>
        <v>500000</v>
      </c>
    </row>
    <row r="16" spans="2:16" x14ac:dyDescent="0.25">
      <c r="B16" s="19" t="str">
        <f>'1'!B4</f>
        <v>Promotor financiero de proyectos</v>
      </c>
      <c r="C16" s="16">
        <f>'1'!D4-'1'!D18</f>
        <v>3600000</v>
      </c>
      <c r="D16" s="17">
        <f>'1'!F4</f>
        <v>0.37275985663082439</v>
      </c>
      <c r="E16" s="16">
        <f t="shared" ref="E16:E24" si="2">C16*D16</f>
        <v>1341935.4838709678</v>
      </c>
      <c r="F16" s="29">
        <f t="shared" si="0"/>
        <v>33.2030249889538</v>
      </c>
      <c r="G16" s="9" t="str">
        <f>G15</f>
        <v>UNIDADES</v>
      </c>
      <c r="H16" s="67">
        <f>'1'!D4</f>
        <v>8000000</v>
      </c>
      <c r="I16" s="79">
        <f t="shared" si="1"/>
        <v>66.4060499779076</v>
      </c>
      <c r="J16" s="67">
        <f>'1'!D18</f>
        <v>4400000</v>
      </c>
    </row>
    <row r="17" spans="2:10" x14ac:dyDescent="0.25">
      <c r="B17" s="19">
        <f>'1'!B5</f>
        <v>0</v>
      </c>
      <c r="C17" s="16">
        <f>'1'!D5-'1'!D19</f>
        <v>0</v>
      </c>
      <c r="D17" s="17">
        <f>'1'!F5</f>
        <v>0</v>
      </c>
      <c r="E17" s="16">
        <f t="shared" si="2"/>
        <v>0</v>
      </c>
      <c r="F17" s="29">
        <f t="shared" si="0"/>
        <v>0</v>
      </c>
      <c r="G17" s="9" t="str">
        <f t="shared" ref="G17:G24" si="3">G16</f>
        <v>UNIDADES</v>
      </c>
      <c r="H17" s="67">
        <f>'1'!D5</f>
        <v>0</v>
      </c>
      <c r="I17" s="79">
        <f t="shared" si="1"/>
        <v>0</v>
      </c>
      <c r="J17" s="67">
        <f>'1'!D19</f>
        <v>0</v>
      </c>
    </row>
    <row r="18" spans="2:10" x14ac:dyDescent="0.25">
      <c r="B18" s="19">
        <f>'1'!B6</f>
        <v>0</v>
      </c>
      <c r="C18" s="16">
        <f>'1'!D6-'1'!D20</f>
        <v>0</v>
      </c>
      <c r="D18" s="17">
        <f>'1'!F6</f>
        <v>0</v>
      </c>
      <c r="E18" s="16">
        <f t="shared" si="2"/>
        <v>0</v>
      </c>
      <c r="F18" s="18">
        <f t="shared" si="0"/>
        <v>0</v>
      </c>
      <c r="G18" s="9" t="str">
        <f t="shared" si="3"/>
        <v>UNIDADES</v>
      </c>
      <c r="H18" s="67">
        <f>'1'!D6</f>
        <v>0</v>
      </c>
      <c r="I18" s="79">
        <f t="shared" si="1"/>
        <v>0</v>
      </c>
      <c r="J18" s="67">
        <f>'1'!D20</f>
        <v>0</v>
      </c>
    </row>
    <row r="19" spans="2:10" x14ac:dyDescent="0.25">
      <c r="B19" s="19">
        <f>'1'!B7</f>
        <v>0</v>
      </c>
      <c r="C19" s="16">
        <f>'1'!D7-'1'!D21</f>
        <v>0</v>
      </c>
      <c r="D19" s="17">
        <f>'1'!F7</f>
        <v>0</v>
      </c>
      <c r="E19" s="16">
        <f t="shared" si="2"/>
        <v>0</v>
      </c>
      <c r="F19" s="18">
        <f t="shared" si="0"/>
        <v>0</v>
      </c>
      <c r="G19" s="9" t="str">
        <f t="shared" si="3"/>
        <v>UNIDADES</v>
      </c>
      <c r="H19" s="67">
        <f>'1'!D7</f>
        <v>0</v>
      </c>
      <c r="I19" s="79">
        <f t="shared" si="1"/>
        <v>0</v>
      </c>
      <c r="J19" s="67">
        <f>'1'!D21</f>
        <v>0</v>
      </c>
    </row>
    <row r="20" spans="2:10" x14ac:dyDescent="0.25">
      <c r="B20" s="19">
        <f>'1'!B8</f>
        <v>0</v>
      </c>
      <c r="C20" s="16">
        <f>'1'!D8-'1'!D22</f>
        <v>0</v>
      </c>
      <c r="D20" s="17">
        <f>'1'!F8</f>
        <v>0</v>
      </c>
      <c r="E20" s="16">
        <f t="shared" si="2"/>
        <v>0</v>
      </c>
      <c r="F20" s="18">
        <f t="shared" si="0"/>
        <v>0</v>
      </c>
      <c r="G20" s="9" t="str">
        <f t="shared" si="3"/>
        <v>UNIDADES</v>
      </c>
      <c r="H20" s="67">
        <f>'1'!D8</f>
        <v>0</v>
      </c>
      <c r="I20" s="79">
        <f t="shared" si="1"/>
        <v>0</v>
      </c>
      <c r="J20" s="67">
        <f>'1'!D22</f>
        <v>0</v>
      </c>
    </row>
    <row r="21" spans="2:10" x14ac:dyDescent="0.25">
      <c r="B21" s="19">
        <f>'1'!B9</f>
        <v>0</v>
      </c>
      <c r="C21" s="16">
        <f>'1'!D9-'1'!D23</f>
        <v>0</v>
      </c>
      <c r="D21" s="17">
        <f>'1'!F9</f>
        <v>0</v>
      </c>
      <c r="E21" s="16">
        <f t="shared" si="2"/>
        <v>0</v>
      </c>
      <c r="F21" s="18">
        <f t="shared" si="0"/>
        <v>0</v>
      </c>
      <c r="G21" s="9" t="str">
        <f t="shared" si="3"/>
        <v>UNIDADES</v>
      </c>
      <c r="H21" s="67">
        <f>'1'!D9</f>
        <v>0</v>
      </c>
      <c r="I21" s="79">
        <f t="shared" si="1"/>
        <v>0</v>
      </c>
      <c r="J21" s="67">
        <f>'1'!D23</f>
        <v>0</v>
      </c>
    </row>
    <row r="22" spans="2:10" x14ac:dyDescent="0.25">
      <c r="B22" s="19">
        <f>'1'!B10</f>
        <v>0</v>
      </c>
      <c r="C22" s="16">
        <f>'1'!D10-'1'!D24</f>
        <v>0</v>
      </c>
      <c r="D22" s="17">
        <f>'1'!F10</f>
        <v>0</v>
      </c>
      <c r="E22" s="16">
        <f t="shared" si="2"/>
        <v>0</v>
      </c>
      <c r="F22" s="18">
        <f t="shared" si="0"/>
        <v>0</v>
      </c>
      <c r="G22" s="9" t="str">
        <f t="shared" si="3"/>
        <v>UNIDADES</v>
      </c>
      <c r="H22" s="67">
        <f>'1'!D10</f>
        <v>0</v>
      </c>
      <c r="I22" s="79">
        <f t="shared" si="1"/>
        <v>0</v>
      </c>
      <c r="J22" s="67">
        <f>'1'!D24</f>
        <v>0</v>
      </c>
    </row>
    <row r="23" spans="2:10" x14ac:dyDescent="0.25">
      <c r="B23" s="19">
        <f>'1'!B11</f>
        <v>0</v>
      </c>
      <c r="C23" s="16">
        <f>'1'!D11-'1'!D25</f>
        <v>0</v>
      </c>
      <c r="D23" s="17">
        <f>'1'!F11</f>
        <v>0</v>
      </c>
      <c r="E23" s="16">
        <f t="shared" si="2"/>
        <v>0</v>
      </c>
      <c r="F23" s="18">
        <f t="shared" si="0"/>
        <v>0</v>
      </c>
      <c r="G23" s="9" t="str">
        <f t="shared" si="3"/>
        <v>UNIDADES</v>
      </c>
      <c r="H23" s="67">
        <f>'1'!D11</f>
        <v>0</v>
      </c>
      <c r="I23" s="79">
        <f t="shared" si="1"/>
        <v>0</v>
      </c>
      <c r="J23" s="67">
        <f>'1'!D25</f>
        <v>0</v>
      </c>
    </row>
    <row r="24" spans="2:10" x14ac:dyDescent="0.25">
      <c r="B24" s="9">
        <f>'1'!B12</f>
        <v>0</v>
      </c>
      <c r="C24" s="16">
        <f>'1'!D12-'1'!D26</f>
        <v>0</v>
      </c>
      <c r="D24" s="17">
        <f>'1'!F12</f>
        <v>0</v>
      </c>
      <c r="E24" s="16">
        <f t="shared" si="2"/>
        <v>0</v>
      </c>
      <c r="F24" s="18">
        <f t="shared" si="0"/>
        <v>0</v>
      </c>
      <c r="G24" s="9" t="str">
        <f t="shared" si="3"/>
        <v>UNIDADES</v>
      </c>
      <c r="H24" s="67">
        <f>'1'!D12</f>
        <v>0</v>
      </c>
      <c r="I24" s="79">
        <f t="shared" si="1"/>
        <v>0</v>
      </c>
      <c r="J24" s="67">
        <f>'1'!D26</f>
        <v>0</v>
      </c>
    </row>
    <row r="25" spans="2:10" x14ac:dyDescent="0.25">
      <c r="C25" s="16"/>
      <c r="D25" s="17"/>
      <c r="E25" s="16"/>
      <c r="F25" s="80">
        <f>SUM(F15:F24)</f>
        <v>89.073499729981819</v>
      </c>
      <c r="G25" s="9" t="str">
        <f>G24</f>
        <v>UNIDADES</v>
      </c>
      <c r="H25" s="67"/>
      <c r="I25" s="79"/>
      <c r="J25" s="67"/>
    </row>
    <row r="26" spans="2:10" ht="12.75" customHeight="1" x14ac:dyDescent="0.25">
      <c r="C26" s="16"/>
      <c r="D26" s="17"/>
      <c r="E26" s="16"/>
      <c r="F26" s="80"/>
      <c r="H26" s="67"/>
      <c r="I26" s="79"/>
      <c r="J26" s="67"/>
    </row>
    <row r="27" spans="2:10" ht="21" customHeight="1" x14ac:dyDescent="0.25">
      <c r="B27" s="137" t="s">
        <v>130</v>
      </c>
      <c r="C27" s="137"/>
      <c r="D27" s="137"/>
      <c r="E27" s="97">
        <f>SUM(E15:E24)</f>
        <v>7300716.8458781373</v>
      </c>
      <c r="H27" s="66"/>
      <c r="I27" s="66"/>
      <c r="J27" s="66"/>
    </row>
    <row r="28" spans="2:10" ht="19.5" customHeight="1" x14ac:dyDescent="0.25">
      <c r="B28" s="137" t="s">
        <v>129</v>
      </c>
      <c r="C28" s="137"/>
      <c r="D28" s="137"/>
      <c r="E28" s="80">
        <f>IF(E27=0,0,('2'!C23+'2'!F31+'2'!C25)/'5'!E27)</f>
        <v>89.073499729981819</v>
      </c>
      <c r="F28" s="15" t="s">
        <v>122</v>
      </c>
      <c r="H28" s="80"/>
    </row>
    <row r="29" spans="2:10" x14ac:dyDescent="0.25">
      <c r="B29" s="137" t="s">
        <v>152</v>
      </c>
      <c r="C29" s="137"/>
      <c r="D29" s="137"/>
      <c r="E29" s="97">
        <f>E49</f>
        <v>824328947.32191062</v>
      </c>
    </row>
    <row r="30" spans="2:10" x14ac:dyDescent="0.25">
      <c r="B30" s="81"/>
      <c r="C30" s="81"/>
      <c r="D30" s="81"/>
      <c r="E30" s="81"/>
      <c r="F30" s="81"/>
      <c r="G30" s="81"/>
    </row>
    <row r="31" spans="2:10" s="66" customFormat="1" x14ac:dyDescent="0.25"/>
    <row r="32" spans="2:10" s="66" customFormat="1" x14ac:dyDescent="0.25">
      <c r="C32" s="66" t="s">
        <v>124</v>
      </c>
      <c r="D32" s="66" t="s">
        <v>125</v>
      </c>
      <c r="E32" s="66" t="s">
        <v>128</v>
      </c>
      <c r="F32" s="66" t="s">
        <v>126</v>
      </c>
    </row>
    <row r="33" spans="2:6" s="66" customFormat="1" x14ac:dyDescent="0.25">
      <c r="B33" s="66">
        <v>0</v>
      </c>
      <c r="C33" s="67">
        <f>'2'!C25+'2'!F31+'2'!C23</f>
        <v>650300400</v>
      </c>
      <c r="D33" s="66">
        <f>0</f>
        <v>0</v>
      </c>
      <c r="E33" s="66">
        <v>0</v>
      </c>
      <c r="F33" s="67">
        <f>C33+E33</f>
        <v>650300400</v>
      </c>
    </row>
    <row r="34" spans="2:6" s="66" customFormat="1" x14ac:dyDescent="0.25">
      <c r="B34" s="79">
        <f>F25</f>
        <v>89.073499729981819</v>
      </c>
      <c r="C34" s="67">
        <f>C33</f>
        <v>650300400</v>
      </c>
      <c r="D34" s="82">
        <f>SUMPRODUCT(F15:F24,H15:H24)</f>
        <v>824328947.32191062</v>
      </c>
      <c r="E34" s="82">
        <f>SUMPRODUCT(F15:F24,J15:J24)</f>
        <v>174028547.32191074</v>
      </c>
      <c r="F34" s="67">
        <f t="shared" ref="F34:F35" si="4">C34+E34</f>
        <v>824328947.32191074</v>
      </c>
    </row>
    <row r="35" spans="2:6" s="66" customFormat="1" x14ac:dyDescent="0.25">
      <c r="B35" s="79">
        <f>B34*2</f>
        <v>178.14699945996364</v>
      </c>
      <c r="C35" s="67">
        <f>C34</f>
        <v>650300400</v>
      </c>
      <c r="D35" s="82">
        <f>SUMPRODUCT(H15:H24,I15:I24)</f>
        <v>1648657894.6438212</v>
      </c>
      <c r="E35" s="82">
        <f>SUMPRODUCT(I15:I24,J15:J24)</f>
        <v>348057094.64382148</v>
      </c>
      <c r="F35" s="67">
        <f t="shared" si="4"/>
        <v>998357494.64382148</v>
      </c>
    </row>
    <row r="36" spans="2:6" s="66" customFormat="1" x14ac:dyDescent="0.25">
      <c r="C36" s="67"/>
    </row>
    <row r="37" spans="2:6" s="66" customFormat="1" x14ac:dyDescent="0.25">
      <c r="C37" s="67"/>
    </row>
    <row r="38" spans="2:6" s="66" customFormat="1" x14ac:dyDescent="0.25">
      <c r="C38" s="83" t="s">
        <v>150</v>
      </c>
      <c r="D38" s="66" t="s">
        <v>122</v>
      </c>
      <c r="E38" s="66" t="s">
        <v>151</v>
      </c>
    </row>
    <row r="39" spans="2:6" s="66" customFormat="1" x14ac:dyDescent="0.25">
      <c r="B39" s="66">
        <v>1</v>
      </c>
      <c r="C39" s="67">
        <f>'1'!D3</f>
        <v>10000000</v>
      </c>
      <c r="D39" s="79">
        <f>F15</f>
        <v>55.870474741028026</v>
      </c>
      <c r="E39" s="66">
        <f>C39*D39</f>
        <v>558704747.41028023</v>
      </c>
    </row>
    <row r="40" spans="2:6" s="66" customFormat="1" x14ac:dyDescent="0.25">
      <c r="B40" s="66">
        <f>B39+1</f>
        <v>2</v>
      </c>
      <c r="C40" s="67">
        <f>'1'!D4</f>
        <v>8000000</v>
      </c>
      <c r="D40" s="79">
        <f t="shared" ref="D40:D48" si="5">F16</f>
        <v>33.2030249889538</v>
      </c>
      <c r="E40" s="66">
        <f t="shared" ref="E40:E48" si="6">C40*D40</f>
        <v>265624199.91163039</v>
      </c>
    </row>
    <row r="41" spans="2:6" s="66" customFormat="1" x14ac:dyDescent="0.25">
      <c r="B41" s="66">
        <f t="shared" ref="B41:B48" si="7">B40+1</f>
        <v>3</v>
      </c>
      <c r="C41" s="67">
        <f>'1'!D5</f>
        <v>0</v>
      </c>
      <c r="D41" s="79">
        <f t="shared" si="5"/>
        <v>0</v>
      </c>
      <c r="E41" s="66">
        <f t="shared" si="6"/>
        <v>0</v>
      </c>
    </row>
    <row r="42" spans="2:6" s="66" customFormat="1" x14ac:dyDescent="0.25">
      <c r="B42" s="66">
        <f t="shared" si="7"/>
        <v>4</v>
      </c>
      <c r="C42" s="67">
        <f>'1'!D6</f>
        <v>0</v>
      </c>
      <c r="D42" s="79">
        <f t="shared" si="5"/>
        <v>0</v>
      </c>
      <c r="E42" s="66">
        <f t="shared" si="6"/>
        <v>0</v>
      </c>
    </row>
    <row r="43" spans="2:6" s="66" customFormat="1" x14ac:dyDescent="0.25">
      <c r="B43" s="66">
        <f t="shared" si="7"/>
        <v>5</v>
      </c>
      <c r="C43" s="67">
        <f>'1'!D7</f>
        <v>0</v>
      </c>
      <c r="D43" s="79">
        <f t="shared" si="5"/>
        <v>0</v>
      </c>
      <c r="E43" s="66">
        <f t="shared" si="6"/>
        <v>0</v>
      </c>
    </row>
    <row r="44" spans="2:6" s="66" customFormat="1" x14ac:dyDescent="0.25">
      <c r="B44" s="66">
        <f t="shared" si="7"/>
        <v>6</v>
      </c>
      <c r="C44" s="67">
        <f>'1'!D8</f>
        <v>0</v>
      </c>
      <c r="D44" s="79">
        <f t="shared" si="5"/>
        <v>0</v>
      </c>
      <c r="E44" s="66">
        <f t="shared" si="6"/>
        <v>0</v>
      </c>
    </row>
    <row r="45" spans="2:6" s="66" customFormat="1" x14ac:dyDescent="0.25">
      <c r="B45" s="66">
        <f t="shared" si="7"/>
        <v>7</v>
      </c>
      <c r="C45" s="67">
        <f>'1'!D9</f>
        <v>0</v>
      </c>
      <c r="D45" s="79">
        <f t="shared" si="5"/>
        <v>0</v>
      </c>
      <c r="E45" s="66">
        <f t="shared" si="6"/>
        <v>0</v>
      </c>
    </row>
    <row r="46" spans="2:6" s="66" customFormat="1" x14ac:dyDescent="0.25">
      <c r="B46" s="66">
        <f t="shared" si="7"/>
        <v>8</v>
      </c>
      <c r="C46" s="67">
        <f>'1'!D10</f>
        <v>0</v>
      </c>
      <c r="D46" s="79">
        <f t="shared" si="5"/>
        <v>0</v>
      </c>
      <c r="E46" s="66">
        <f t="shared" si="6"/>
        <v>0</v>
      </c>
    </row>
    <row r="47" spans="2:6" s="66" customFormat="1" x14ac:dyDescent="0.25">
      <c r="B47" s="66">
        <f t="shared" si="7"/>
        <v>9</v>
      </c>
      <c r="C47" s="67">
        <f>'1'!D11</f>
        <v>0</v>
      </c>
      <c r="D47" s="79">
        <f t="shared" si="5"/>
        <v>0</v>
      </c>
      <c r="E47" s="66">
        <f t="shared" si="6"/>
        <v>0</v>
      </c>
    </row>
    <row r="48" spans="2:6" s="66" customFormat="1" x14ac:dyDescent="0.25">
      <c r="B48" s="66">
        <f t="shared" si="7"/>
        <v>10</v>
      </c>
      <c r="C48" s="67">
        <f>'1'!D12</f>
        <v>0</v>
      </c>
      <c r="D48" s="79">
        <f t="shared" si="5"/>
        <v>0</v>
      </c>
      <c r="E48" s="66">
        <f t="shared" si="6"/>
        <v>0</v>
      </c>
    </row>
    <row r="49" spans="2:8" s="66" customFormat="1" x14ac:dyDescent="0.25">
      <c r="C49" s="67"/>
      <c r="E49" s="84">
        <f>SUM(E39:E48)</f>
        <v>824328947.32191062</v>
      </c>
    </row>
    <row r="50" spans="2:8" s="66" customFormat="1" x14ac:dyDescent="0.25"/>
    <row r="51" spans="2:8" s="66" customFormat="1" x14ac:dyDescent="0.25">
      <c r="C51" s="67"/>
    </row>
    <row r="52" spans="2:8" s="66" customFormat="1" x14ac:dyDescent="0.25">
      <c r="B52" s="136"/>
      <c r="C52" s="136"/>
      <c r="D52" s="136"/>
      <c r="G52" s="66" t="s">
        <v>153</v>
      </c>
      <c r="H52" s="85">
        <f>'4'!B32/'4'!B27</f>
        <v>0.5390379183567009</v>
      </c>
    </row>
    <row r="53" spans="2:8" s="66" customFormat="1" x14ac:dyDescent="0.25">
      <c r="C53" s="67"/>
      <c r="G53" s="66" t="s">
        <v>154</v>
      </c>
      <c r="H53" s="85">
        <f>'4'!B36/'4'!B27</f>
        <v>0.46096208164329916</v>
      </c>
    </row>
    <row r="54" spans="2:8" s="66" customFormat="1" x14ac:dyDescent="0.25">
      <c r="G54" s="66" t="s">
        <v>155</v>
      </c>
      <c r="H54" s="66">
        <f>'1'!AB7</f>
        <v>0.34</v>
      </c>
    </row>
    <row r="55" spans="2:8" s="66" customFormat="1" x14ac:dyDescent="0.25">
      <c r="G55" s="66" t="s">
        <v>156</v>
      </c>
      <c r="H55" s="85">
        <f>'3'!F4</f>
        <v>0.18099999999999999</v>
      </c>
    </row>
    <row r="56" spans="2:8" s="66" customFormat="1" x14ac:dyDescent="0.25">
      <c r="G56" s="66" t="s">
        <v>157</v>
      </c>
    </row>
    <row r="57" spans="2:8" s="66" customFormat="1" x14ac:dyDescent="0.25"/>
    <row r="58" spans="2:8" s="66" customFormat="1" x14ac:dyDescent="0.25"/>
    <row r="59" spans="2:8" s="66" customFormat="1" x14ac:dyDescent="0.25"/>
    <row r="60" spans="2:8" s="66" customFormat="1" x14ac:dyDescent="0.25"/>
    <row r="61" spans="2:8" s="66" customFormat="1" x14ac:dyDescent="0.25"/>
    <row r="62" spans="2:8" x14ac:dyDescent="0.25">
      <c r="B62" s="81"/>
      <c r="C62" s="81"/>
      <c r="D62" s="81"/>
      <c r="E62" s="81"/>
      <c r="F62" s="81"/>
      <c r="G62" s="81"/>
    </row>
    <row r="63" spans="2:8" x14ac:dyDescent="0.25">
      <c r="B63" s="81"/>
      <c r="C63" s="81"/>
      <c r="D63" s="81"/>
      <c r="E63" s="81"/>
      <c r="F63" s="81"/>
      <c r="G63" s="81"/>
    </row>
    <row r="64" spans="2:8" x14ac:dyDescent="0.25">
      <c r="B64" s="81"/>
      <c r="C64" s="81"/>
      <c r="D64" s="81"/>
      <c r="E64" s="81"/>
      <c r="F64" s="81"/>
      <c r="G64" s="81"/>
    </row>
    <row r="65" spans="2:7" x14ac:dyDescent="0.25">
      <c r="B65" s="81"/>
      <c r="C65" s="81"/>
      <c r="D65" s="81"/>
      <c r="E65" s="81"/>
      <c r="F65" s="81"/>
      <c r="G65" s="81"/>
    </row>
    <row r="66" spans="2:7" x14ac:dyDescent="0.25">
      <c r="B66" s="81"/>
      <c r="C66" s="81"/>
      <c r="D66" s="81"/>
      <c r="E66" s="81"/>
      <c r="F66" s="81"/>
      <c r="G66" s="81"/>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53DD-E520-43E6-ADC8-CFFE9748FDAE}">
  <dimension ref="A1:G8"/>
  <sheetViews>
    <sheetView showGridLines="0" tabSelected="1" zoomScale="120" zoomScaleNormal="120" workbookViewId="0">
      <selection activeCell="F16" sqref="F16"/>
    </sheetView>
  </sheetViews>
  <sheetFormatPr defaultColWidth="8.77734375" defaultRowHeight="13.8" x14ac:dyDescent="0.25"/>
  <cols>
    <col min="1" max="1" width="35.5546875" style="106" customWidth="1"/>
    <col min="2" max="2" width="31.21875" style="105" hidden="1" customWidth="1"/>
    <col min="3" max="6" width="13.5546875" style="105" bestFit="1" customWidth="1"/>
    <col min="7" max="7" width="15.21875" style="105" bestFit="1" customWidth="1"/>
    <col min="8" max="16384" width="8.77734375" style="105"/>
  </cols>
  <sheetData>
    <row r="1" spans="1:7" x14ac:dyDescent="0.25">
      <c r="A1" s="107" t="s">
        <v>176</v>
      </c>
      <c r="B1" s="107" t="s">
        <v>177</v>
      </c>
      <c r="C1" s="112">
        <v>2024</v>
      </c>
      <c r="D1" s="112">
        <v>2025</v>
      </c>
      <c r="E1" s="112">
        <v>2026</v>
      </c>
      <c r="F1" s="112">
        <v>2027</v>
      </c>
      <c r="G1" s="112">
        <v>2028</v>
      </c>
    </row>
    <row r="2" spans="1:7" x14ac:dyDescent="0.25">
      <c r="A2" s="108" t="s">
        <v>162</v>
      </c>
      <c r="B2" s="108" t="s">
        <v>163</v>
      </c>
      <c r="C2" s="109">
        <f>+'4'!C44-'4'!C45</f>
        <v>457168012.42628539</v>
      </c>
      <c r="D2" s="109">
        <f>+'4'!D44-'4'!D45</f>
        <v>476750199.47612232</v>
      </c>
      <c r="E2" s="109">
        <f>+'4'!E44-'4'!E45</f>
        <v>529034265.6622225</v>
      </c>
      <c r="F2" s="109">
        <f>+'4'!F44-'4'!F45</f>
        <v>727836430.00179935</v>
      </c>
      <c r="G2" s="109">
        <f>+'4'!G44-'4'!G45</f>
        <v>1040152230.2982125</v>
      </c>
    </row>
    <row r="3" spans="1:7" x14ac:dyDescent="0.25">
      <c r="A3" s="108" t="s">
        <v>164</v>
      </c>
      <c r="B3" s="108" t="s">
        <v>165</v>
      </c>
      <c r="C3" s="110">
        <f>+'4'!C44/'4'!C45</f>
        <v>10.02616697985863</v>
      </c>
      <c r="D3" s="110">
        <f>+'4'!D44/'4'!D45</f>
        <v>7.3460136719142133</v>
      </c>
      <c r="E3" s="110">
        <f>+'4'!E44/'4'!E45</f>
        <v>5.4070810611780891</v>
      </c>
      <c r="F3" s="110">
        <f>+'4'!F44/'4'!F45</f>
        <v>3.9746474670421774</v>
      </c>
      <c r="G3" s="110">
        <f>+'4'!G44/'4'!G45</f>
        <v>3.4032775995465463</v>
      </c>
    </row>
    <row r="4" spans="1:7" x14ac:dyDescent="0.25">
      <c r="A4" s="108" t="s">
        <v>166</v>
      </c>
      <c r="B4" s="108" t="s">
        <v>167</v>
      </c>
      <c r="C4" s="110">
        <f>+'4'!C32/'4'!C27</f>
        <v>0.4578159146764012</v>
      </c>
      <c r="D4" s="110">
        <f>+'4'!D32/'4'!D27</f>
        <v>0.40749214409136819</v>
      </c>
      <c r="E4" s="110">
        <f>+'4'!E32/'4'!E27</f>
        <v>0.35396408352220693</v>
      </c>
      <c r="F4" s="110">
        <f>+'4'!F32/'4'!F27</f>
        <v>0.3134415146217942</v>
      </c>
      <c r="G4" s="110">
        <f>+'4'!G32/'4'!G27</f>
        <v>0.29383439074533335</v>
      </c>
    </row>
    <row r="5" spans="1:7" x14ac:dyDescent="0.25">
      <c r="A5" s="108" t="s">
        <v>168</v>
      </c>
      <c r="B5" s="108" t="s">
        <v>169</v>
      </c>
      <c r="C5" s="111">
        <f>+'4'!C45/'4'!C32</f>
        <v>0.20107006813873657</v>
      </c>
      <c r="D5" s="111">
        <f>+'4'!D45/'4'!D32</f>
        <v>0.31586296275190034</v>
      </c>
      <c r="E5" s="111">
        <f>+'4'!E45/'4'!E32</f>
        <v>0.50596422173798705</v>
      </c>
      <c r="F5" s="111">
        <f>+'4'!F45/'4'!F32</f>
        <v>0.79402990717330957</v>
      </c>
      <c r="G5" s="111">
        <f>+'4'!G45/'4'!G32</f>
        <v>1</v>
      </c>
    </row>
    <row r="6" spans="1:7" x14ac:dyDescent="0.25">
      <c r="A6" s="108" t="s">
        <v>170</v>
      </c>
      <c r="B6" s="108" t="s">
        <v>171</v>
      </c>
      <c r="C6" s="113">
        <f>+'4'!C8/'4'!C6</f>
        <v>0.76362007168458779</v>
      </c>
      <c r="D6" s="113">
        <f>+'4'!D8/'4'!D6</f>
        <v>0.76989448821498774</v>
      </c>
      <c r="E6" s="113">
        <f>+'4'!E8/'4'!E6</f>
        <v>0.77600235802089412</v>
      </c>
      <c r="F6" s="113">
        <f>+'4'!F8/'4'!F6</f>
        <v>0.78194810188172181</v>
      </c>
      <c r="G6" s="113">
        <f>+'4'!G8/'4'!G6</f>
        <v>0.78773602323269543</v>
      </c>
    </row>
    <row r="7" spans="1:7" x14ac:dyDescent="0.25">
      <c r="A7" s="108" t="s">
        <v>172</v>
      </c>
      <c r="B7" s="108" t="s">
        <v>174</v>
      </c>
      <c r="C7" s="113">
        <f>+'4'!C13/'4'!C6</f>
        <v>0.17141541218637993</v>
      </c>
      <c r="D7" s="113">
        <f>+'4'!D13/'4'!D6</f>
        <v>0.20205660389445104</v>
      </c>
      <c r="E7" s="113">
        <f>+'4'!E13/'4'!E6</f>
        <v>0.25437915950501155</v>
      </c>
      <c r="F7" s="113">
        <f>+'4'!F13/'4'!F6</f>
        <v>0.35953069626317535</v>
      </c>
      <c r="G7" s="113">
        <f>+'4'!G13/'4'!G6</f>
        <v>0.4548637622632925</v>
      </c>
    </row>
    <row r="8" spans="1:7" x14ac:dyDescent="0.25">
      <c r="A8" s="108" t="s">
        <v>173</v>
      </c>
      <c r="B8" s="108" t="s">
        <v>175</v>
      </c>
      <c r="C8" s="113">
        <f>+'4'!C17/'4'!C6</f>
        <v>8.809947006272402E-2</v>
      </c>
      <c r="D8" s="113">
        <f>+'4'!D17/'4'!D6</f>
        <v>0.11448411359336577</v>
      </c>
      <c r="E8" s="113">
        <f>+'4'!E17/'4'!E6</f>
        <v>0.15496352109762271</v>
      </c>
      <c r="F8" s="113">
        <f>+'4'!F17/'4'!F6</f>
        <v>0.23049521240444315</v>
      </c>
      <c r="G8" s="113">
        <f>+'4'!G17/'4'!G6</f>
        <v>0.2975250254324418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EB9C8-4991-41DF-9722-BFC2336483B6}">
  <dimension ref="A1:G19"/>
  <sheetViews>
    <sheetView zoomScale="80" zoomScaleNormal="80" workbookViewId="0">
      <selection activeCell="E22" sqref="E22"/>
    </sheetView>
  </sheetViews>
  <sheetFormatPr defaultRowHeight="13.8" x14ac:dyDescent="0.25"/>
  <cols>
    <col min="1" max="1" width="24.5546875" style="105" bestFit="1" customWidth="1"/>
    <col min="2" max="6" width="18.109375" style="105" bestFit="1" customWidth="1"/>
    <col min="7" max="7" width="12.88671875" style="105" bestFit="1" customWidth="1"/>
    <col min="8" max="16384" width="8.88671875" style="105"/>
  </cols>
  <sheetData>
    <row r="1" spans="1:7" x14ac:dyDescent="0.25">
      <c r="A1" s="15"/>
      <c r="B1" s="5">
        <v>2024</v>
      </c>
      <c r="C1" s="5">
        <v>2025</v>
      </c>
      <c r="D1" s="5">
        <v>2026</v>
      </c>
      <c r="E1" s="5">
        <v>2027</v>
      </c>
      <c r="F1" s="5">
        <v>2028</v>
      </c>
    </row>
    <row r="2" spans="1:7" x14ac:dyDescent="0.25">
      <c r="A2" s="9" t="s">
        <v>31</v>
      </c>
      <c r="B2" s="114">
        <v>1116</v>
      </c>
      <c r="C2" s="114">
        <v>1273.8247200000001</v>
      </c>
      <c r="D2" s="114">
        <v>1503.7246054656002</v>
      </c>
      <c r="E2" s="114">
        <v>2060.6365317228124</v>
      </c>
      <c r="F2" s="114">
        <v>2823.8035744290141</v>
      </c>
      <c r="G2" s="36"/>
    </row>
    <row r="4" spans="1:7" x14ac:dyDescent="0.25">
      <c r="A4" s="15" t="s">
        <v>67</v>
      </c>
      <c r="B4" s="114">
        <v>725.4</v>
      </c>
      <c r="C4" s="114">
        <v>839.82031055999994</v>
      </c>
      <c r="D4" s="114">
        <v>1004.9903479770257</v>
      </c>
      <c r="E4" s="114">
        <v>1395.334707677649</v>
      </c>
      <c r="F4" s="114">
        <v>1936.3038480081532</v>
      </c>
    </row>
    <row r="5" spans="1:7" x14ac:dyDescent="0.25">
      <c r="A5" s="105" t="s">
        <v>68</v>
      </c>
      <c r="B5" s="114">
        <v>557.30039999999997</v>
      </c>
      <c r="C5" s="114">
        <v>604.67093399999999</v>
      </c>
      <c r="D5" s="114">
        <v>656.06796338999993</v>
      </c>
      <c r="E5" s="114">
        <v>711.83374027815</v>
      </c>
      <c r="F5" s="114">
        <v>772.33960820179277</v>
      </c>
    </row>
    <row r="6" spans="1:7" x14ac:dyDescent="0.25">
      <c r="A6" s="105" t="s">
        <v>134</v>
      </c>
      <c r="B6" s="114">
        <v>83</v>
      </c>
      <c r="C6" s="114">
        <v>90.055000000000007</v>
      </c>
      <c r="D6" s="114">
        <v>97.709675000000004</v>
      </c>
      <c r="E6" s="114">
        <v>106.01499737499999</v>
      </c>
      <c r="F6" s="114">
        <v>115.02627215187499</v>
      </c>
      <c r="G6" s="114">
        <v>1000000</v>
      </c>
    </row>
    <row r="7" spans="1:7" x14ac:dyDescent="0.25">
      <c r="A7" s="105" t="s">
        <v>69</v>
      </c>
      <c r="B7" s="114">
        <v>10</v>
      </c>
      <c r="C7" s="114">
        <v>18</v>
      </c>
      <c r="D7" s="114">
        <v>20</v>
      </c>
      <c r="E7" s="114">
        <v>42</v>
      </c>
      <c r="F7" s="114">
        <v>42</v>
      </c>
    </row>
    <row r="8" spans="1:7" x14ac:dyDescent="0.25">
      <c r="A8" s="105" t="s">
        <v>178</v>
      </c>
      <c r="B8" s="114">
        <v>75.099600000000009</v>
      </c>
      <c r="C8" s="114">
        <v>127.09437655999994</v>
      </c>
      <c r="D8" s="114">
        <v>231.21270958702581</v>
      </c>
      <c r="E8" s="114">
        <v>535.48597002449901</v>
      </c>
      <c r="F8" s="114">
        <v>1006.9379676544854</v>
      </c>
    </row>
    <row r="9" spans="1:7" x14ac:dyDescent="0.25">
      <c r="B9" s="115">
        <f>+B15/B2</f>
        <v>0.35000000000000003</v>
      </c>
      <c r="C9" s="115">
        <f>+C15/C2</f>
        <v>0.34070967741935482</v>
      </c>
      <c r="D9" s="115">
        <f>+D15/D2</f>
        <v>0.33166595510628805</v>
      </c>
      <c r="E9" s="115">
        <f>+E15/E2</f>
        <v>0.32286228735784467</v>
      </c>
      <c r="F9" s="115">
        <f>+F15/F2</f>
        <v>0.31429230221876087</v>
      </c>
    </row>
    <row r="10" spans="1:7" x14ac:dyDescent="0.25">
      <c r="B10" s="115"/>
      <c r="C10" s="115"/>
      <c r="D10" s="115"/>
      <c r="E10" s="115"/>
      <c r="F10" s="115"/>
    </row>
    <row r="13" spans="1:7" x14ac:dyDescent="0.25">
      <c r="A13" s="15"/>
      <c r="B13" s="5">
        <v>2024</v>
      </c>
      <c r="C13" s="5">
        <v>2025</v>
      </c>
      <c r="D13" s="5">
        <v>2026</v>
      </c>
      <c r="E13" s="5">
        <v>2027</v>
      </c>
      <c r="F13" s="5">
        <v>2028</v>
      </c>
    </row>
    <row r="14" spans="1:7" x14ac:dyDescent="0.25">
      <c r="A14" s="9" t="s">
        <v>31</v>
      </c>
      <c r="B14" s="114">
        <v>1116</v>
      </c>
      <c r="C14" s="114">
        <v>1273.8247200000001</v>
      </c>
      <c r="D14" s="114">
        <v>1503.7246054656002</v>
      </c>
      <c r="E14" s="114">
        <v>2060.6365317228124</v>
      </c>
      <c r="F14" s="114">
        <v>2823.8035744290141</v>
      </c>
    </row>
    <row r="15" spans="1:7" x14ac:dyDescent="0.25">
      <c r="A15" s="9" t="s">
        <v>66</v>
      </c>
      <c r="B15" s="114">
        <v>390.6</v>
      </c>
      <c r="C15" s="114">
        <v>434.00440944000002</v>
      </c>
      <c r="D15" s="114">
        <v>498.73425748857449</v>
      </c>
      <c r="E15" s="114">
        <v>665.30182404516302</v>
      </c>
      <c r="F15" s="114">
        <v>887.49972642086095</v>
      </c>
    </row>
    <row r="16" spans="1:7" x14ac:dyDescent="0.25">
      <c r="A16" s="15" t="s">
        <v>67</v>
      </c>
      <c r="B16" s="114">
        <v>725.4</v>
      </c>
      <c r="C16" s="114">
        <v>839.82031055999994</v>
      </c>
      <c r="D16" s="114">
        <v>1004.9903479770257</v>
      </c>
      <c r="E16" s="114">
        <v>1395.334707677649</v>
      </c>
      <c r="F16" s="114">
        <v>1936.3038480081532</v>
      </c>
    </row>
    <row r="17" spans="1:6" x14ac:dyDescent="0.25">
      <c r="A17" s="105" t="s">
        <v>179</v>
      </c>
      <c r="B17" s="116">
        <f>+B5+B6+B7</f>
        <v>650.30039999999997</v>
      </c>
      <c r="C17" s="116">
        <f t="shared" ref="C17:F17" si="0">+C5+C6+C7</f>
        <v>712.72593400000005</v>
      </c>
      <c r="D17" s="116">
        <f t="shared" si="0"/>
        <v>773.77763838999999</v>
      </c>
      <c r="E17" s="116">
        <f t="shared" si="0"/>
        <v>859.84873765315001</v>
      </c>
      <c r="F17" s="116">
        <f t="shared" si="0"/>
        <v>929.36588035366776</v>
      </c>
    </row>
    <row r="18" spans="1:6" x14ac:dyDescent="0.25">
      <c r="A18" s="105" t="s">
        <v>178</v>
      </c>
      <c r="B18" s="114">
        <v>75.099600000000009</v>
      </c>
      <c r="C18" s="114">
        <v>127.09437655999994</v>
      </c>
      <c r="D18" s="114">
        <v>231.21270958702581</v>
      </c>
      <c r="E18" s="114">
        <v>535.48597002449901</v>
      </c>
      <c r="F18" s="114">
        <v>1006.9379676544854</v>
      </c>
    </row>
    <row r="19" spans="1:6" x14ac:dyDescent="0.25">
      <c r="A19" s="105" t="s">
        <v>180</v>
      </c>
      <c r="B19" s="117">
        <f>+'4'!C17/'4'!C6</f>
        <v>8.809947006272402E-2</v>
      </c>
      <c r="C19" s="117">
        <f>+'4'!D17/'4'!D6</f>
        <v>0.11448411359336577</v>
      </c>
      <c r="D19" s="117">
        <f>+'4'!E17/'4'!E6</f>
        <v>0.15496352109762271</v>
      </c>
      <c r="E19" s="117">
        <f>+'4'!F17/'4'!F6</f>
        <v>0.23049521240444315</v>
      </c>
      <c r="F19" s="117">
        <f>+'4'!G17/'4'!G6</f>
        <v>0.2975250254324418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703e2fe1-4846-4393-8cf2-1bc71a04fd88}" enabled="1" method="Privileged" siteId="{41ff26dc-250f-4b13-8981-739be8610c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Menú</vt:lpstr>
      <vt:lpstr>1</vt:lpstr>
      <vt:lpstr>2</vt:lpstr>
      <vt:lpstr>3</vt:lpstr>
      <vt:lpstr>4</vt:lpstr>
      <vt:lpstr>5</vt:lpstr>
      <vt:lpstr>Indicadores Financieros</vt:lpstr>
      <vt:lpstr>Sheet1</vt:lpstr>
      <vt:lpstr>Menú!Print_Area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Maria Fernanda Gonzalez Gonzalez</cp:lastModifiedBy>
  <dcterms:created xsi:type="dcterms:W3CDTF">2013-07-30T17:19:59Z</dcterms:created>
  <dcterms:modified xsi:type="dcterms:W3CDTF">2024-02-03T02:30:20Z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