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defaultThemeVersion="166925"/>
  <mc:AlternateContent xmlns:mc="http://schemas.openxmlformats.org/markup-compatibility/2006">
    <mc:Choice Requires="x15">
      <x15ac:absPath xmlns:x15ac="http://schemas.microsoft.com/office/spreadsheetml/2010/11/ac" url="C:\Users\ACOVA\Downloads\"/>
    </mc:Choice>
  </mc:AlternateContent>
  <xr:revisionPtr revIDLastSave="19" documentId="13_ncr:1_{6DA0DC59-26C4-4024-BD9A-33207900BE28}" xr6:coauthVersionLast="47" xr6:coauthVersionMax="47" xr10:uidLastSave="{AC639C09-1047-4C9C-BDD4-2A6DAD07D09C}"/>
  <bookViews>
    <workbookView xWindow="-120" yWindow="-120" windowWidth="29040" windowHeight="15840" activeTab="1" xr2:uid="{B8146DC8-D89A-4D00-90DE-3B4C1F3AE81E}"/>
  </bookViews>
  <sheets>
    <sheet name="Mecanismo TDG" sheetId="3" r:id="rId1"/>
    <sheet name="Plantilla Mecanismo"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4" l="1"/>
  <c r="R29" i="4"/>
  <c r="T29" i="4" s="1"/>
  <c r="S28" i="4"/>
  <c r="R28" i="4"/>
  <c r="T28" i="4" s="1"/>
  <c r="R27" i="4"/>
  <c r="T27" i="4" s="1"/>
  <c r="U27" i="4" s="1"/>
  <c r="R26" i="4"/>
  <c r="S25" i="4"/>
  <c r="T25" i="4" s="1"/>
  <c r="S24" i="4"/>
  <c r="R24" i="4"/>
  <c r="S23" i="4"/>
  <c r="R23" i="4"/>
  <c r="S22" i="4"/>
  <c r="R22" i="4"/>
  <c r="S21" i="4"/>
  <c r="R21" i="4"/>
  <c r="S20" i="4"/>
  <c r="T20" i="4" s="1"/>
  <c r="S19" i="4"/>
  <c r="T19" i="4" s="1"/>
  <c r="S18" i="4"/>
  <c r="T18" i="4" s="1"/>
  <c r="U18" i="4" s="1"/>
  <c r="R17" i="4"/>
  <c r="T17" i="4" s="1"/>
  <c r="R16" i="4"/>
  <c r="T16" i="4" s="1"/>
  <c r="S15" i="4"/>
  <c r="R15" i="4"/>
  <c r="R14" i="4"/>
  <c r="R13" i="4"/>
  <c r="S12" i="4"/>
  <c r="R12" i="4"/>
  <c r="R11" i="4"/>
  <c r="R10" i="4"/>
  <c r="S9" i="4"/>
  <c r="R9" i="4"/>
  <c r="S8" i="4"/>
  <c r="R8" i="4"/>
  <c r="T8" i="4" s="1"/>
  <c r="S7" i="4"/>
  <c r="R7" i="4"/>
  <c r="T7" i="4" s="1"/>
  <c r="S6" i="4"/>
  <c r="R6" i="4"/>
  <c r="P17" i="3"/>
  <c r="R17" i="3"/>
  <c r="T17" i="3" s="1"/>
  <c r="R16" i="3"/>
  <c r="T16" i="3" s="1"/>
  <c r="S15" i="3"/>
  <c r="R15" i="3"/>
  <c r="F15" i="3"/>
  <c r="R14" i="3"/>
  <c r="R13" i="3"/>
  <c r="S12" i="3"/>
  <c r="R12" i="3"/>
  <c r="R11" i="3"/>
  <c r="R10" i="3"/>
  <c r="S9" i="3"/>
  <c r="S10" i="3" s="1"/>
  <c r="S11" i="3" s="1"/>
  <c r="R9" i="3"/>
  <c r="R21" i="3"/>
  <c r="O22" i="3"/>
  <c r="S21" i="3"/>
  <c r="S7" i="3"/>
  <c r="S8" i="3"/>
  <c r="R6" i="3"/>
  <c r="S6" i="3"/>
  <c r="R8" i="3"/>
  <c r="R7" i="3"/>
  <c r="F21" i="3"/>
  <c r="F9" i="3"/>
  <c r="F6" i="3"/>
  <c r="T6" i="4" l="1"/>
  <c r="U6" i="4" s="1"/>
  <c r="S10" i="4"/>
  <c r="S11" i="4" s="1"/>
  <c r="T9" i="4"/>
  <c r="T10" i="4"/>
  <c r="T11" i="4"/>
  <c r="S13" i="4"/>
  <c r="S14" i="4" s="1"/>
  <c r="T12" i="4"/>
  <c r="T13" i="4"/>
  <c r="T14" i="4"/>
  <c r="T15" i="4"/>
  <c r="U15" i="4" s="1"/>
  <c r="T21" i="4"/>
  <c r="T22" i="4"/>
  <c r="T23" i="4"/>
  <c r="S26" i="4"/>
  <c r="T24" i="4"/>
  <c r="T26" i="4"/>
  <c r="T15" i="3"/>
  <c r="U15" i="3"/>
  <c r="T12" i="3"/>
  <c r="S13" i="3"/>
  <c r="S14" i="3" s="1"/>
  <c r="T14" i="3" s="1"/>
  <c r="T10" i="3"/>
  <c r="T6" i="3"/>
  <c r="T11" i="3"/>
  <c r="T9" i="3"/>
  <c r="T21" i="3"/>
  <c r="T8" i="3"/>
  <c r="T7" i="3"/>
  <c r="U24" i="4" l="1"/>
  <c r="U21" i="4"/>
  <c r="U12" i="4"/>
  <c r="U9" i="4"/>
  <c r="U9" i="3"/>
  <c r="T13" i="3"/>
  <c r="U12" i="3"/>
  <c r="U6" i="3"/>
  <c r="S22" i="3"/>
  <c r="S18" i="3"/>
  <c r="T18" i="3" s="1"/>
  <c r="S20" i="3"/>
  <c r="T20" i="3" s="1"/>
  <c r="S19" i="3"/>
  <c r="T19" i="3" s="1"/>
  <c r="R23" i="3"/>
  <c r="R22" i="3"/>
  <c r="S23" i="3"/>
  <c r="T22" i="3" l="1"/>
  <c r="U18" i="3"/>
  <c r="T23" i="3"/>
  <c r="U21" i="3" l="1"/>
  <c r="F18" i="3" l="1"/>
  <c r="F12" i="3"/>
  <c r="S29" i="3"/>
  <c r="R29" i="3"/>
  <c r="S28" i="3"/>
  <c r="S25" i="3"/>
  <c r="R28" i="3"/>
  <c r="R27" i="3"/>
  <c r="T27" i="3" s="1"/>
  <c r="T28" i="3" l="1"/>
  <c r="T29" i="3"/>
  <c r="S24" i="3"/>
  <c r="O24" i="3"/>
  <c r="R24" i="3" s="1"/>
  <c r="R26" i="3"/>
  <c r="U27" i="3" l="1"/>
  <c r="S26" i="3"/>
  <c r="T26" i="3" s="1"/>
  <c r="T24" i="3"/>
  <c r="T25" i="3"/>
  <c r="U24" i="3" l="1"/>
</calcChain>
</file>

<file path=xl/sharedStrings.xml><?xml version="1.0" encoding="utf-8"?>
<sst xmlns="http://schemas.openxmlformats.org/spreadsheetml/2006/main" count="186" uniqueCount="141">
  <si>
    <t>Mecanismo de intervención para la madurez Organizacional, TICSA Colombia, 2023.</t>
  </si>
  <si>
    <t>Resultado Diagnóstico</t>
  </si>
  <si>
    <t>Meta a Tres Años</t>
  </si>
  <si>
    <t>Meta en Madurez</t>
  </si>
  <si>
    <t>Oportunidad de Mejora</t>
  </si>
  <si>
    <t>SMART</t>
  </si>
  <si>
    <t>Actividad</t>
  </si>
  <si>
    <t>Responsable</t>
  </si>
  <si>
    <t>Indicador</t>
  </si>
  <si>
    <t>Duración (día)</t>
  </si>
  <si>
    <t>Recurso</t>
  </si>
  <si>
    <t>Inversión</t>
  </si>
  <si>
    <t>Item</t>
  </si>
  <si>
    <t>Facilitador Organizacional/ Proceso de Control</t>
  </si>
  <si>
    <t>Hallazgo</t>
  </si>
  <si>
    <t>Diagnóstico de Madurez</t>
  </si>
  <si>
    <t>Oportunidad</t>
  </si>
  <si>
    <t>Analisis</t>
  </si>
  <si>
    <t>Citación</t>
  </si>
  <si>
    <t>Objetivo</t>
  </si>
  <si>
    <t>Acción</t>
  </si>
  <si>
    <t>Personas</t>
  </si>
  <si>
    <t>Tiempo Total (días)</t>
  </si>
  <si>
    <t>Valor Promedio Día</t>
  </si>
  <si>
    <t>Costo</t>
  </si>
  <si>
    <t>Total Inversión</t>
  </si>
  <si>
    <t>Cultura</t>
  </si>
  <si>
    <t>Intermedia-Alta</t>
  </si>
  <si>
    <t>Mejorar los procesos de planificación y ejecución de proyectos mediante la alineación estrategica garantizará que los proyectos contribuyan directamente con los objetivos estratégicos de la organización, de manera que se realice una asignación eficaz de recursos, una mejor toma de decisiones y un mayor éxito general del proyecto (Smith, 2022).</t>
  </si>
  <si>
    <t>Cuando se integra las metas estratégicas con los objetivos del proyecto, se garantiza que los proyectos estén directamente alineados con la dirección estratégica general de la organización, lo cual contribuye para lograr alcanzar metas y objetivos a largo plazo de la empresa, permitiendo mejorar la competitividad de Ticsa.
La inclusión de metas estratégicas en los objetivos del proyecto permite una correcta asignación y utilización de recursos, permitirá priorizar los proyectos que contribuyan directamente con los objetivos estratégicos, permitirá evitar el desperdicio de recursos en proyectos que no se alinean con las prioridades estratégicas de la organización.</t>
  </si>
  <si>
    <t>Smith, A. (2022). Mejorando las Prácticas de Gestión de Proyectos a través de la Integración de Objetivos Estratégicos: Un Estudio de Caso de la Empresa Ticsa. Revista de Gestión de Proyectos, 10(2), 45-59.</t>
  </si>
  <si>
    <t xml:space="preserve"> Lograr que un 70% del 100%  de las actividades que se planifiquen y que se desarrollen en Tocsa esten alineadas con los objetivos estrategicos en un periodo de 24 meses </t>
  </si>
  <si>
    <t xml:space="preserve">
Evaluar la alineación y coherencia de los proyectos</t>
  </si>
  <si>
    <t xml:space="preserve">   # total de proyectos / # total de proyectos evaluados X 100</t>
  </si>
  <si>
    <t>Alta Gerencia y Jefe QHSE</t>
  </si>
  <si>
    <t xml:space="preserve">Realizar matriz de priorización de Proyectos
</t>
  </si>
  <si>
    <t xml:space="preserve"># de matrices ejecutadas / # de proyectos analizados X100 </t>
  </si>
  <si>
    <t>Jefes de Area y Departamento de Compras</t>
  </si>
  <si>
    <t>Escoger proyectos cuyo alcance tenga al menos un 70% de los objetivos estrategicos</t>
  </si>
  <si>
    <t xml:space="preserve"> # Total de proyectos  / # total de proyectos priorizados X 100       </t>
  </si>
  <si>
    <t>Directores de Proyecto + Area de Proyectos</t>
  </si>
  <si>
    <t>Estrutura</t>
  </si>
  <si>
    <t>Establecer una PMO que genere coherencia, soporte, orientación e implente la gobernanza para las actividades de gestión de proyectos. Esta PMO estará para mejorar las prácticas de gestión de proyectos, facilitar la coordinación y garantizar la alineación con los objetivos de la estrategicos.</t>
  </si>
  <si>
    <t>El establecer una PMO da soporte y permite la centralización de las actividades de gestión de proyectos, permitirá aumentar la experiencia, mejores prácticas y procesos estandarizados, lo cual permitira ser más eficientes y eficacez. 
Ticsa seguramente mejorará la coordinación y colaboración entre los equipos de proyecto y las partes interesadas pues es un facilitador de intercambio de conocimientos , reduciendo el desperdicio de recursos.
Una PMO crea mecanismos para garantizar que los proyectos se ejecuten de manera  controlada, estableciendo  metodologías de gestión de proyectos adecuadas, igualmente permite revisar  el progreso del proyecto e identifica y mitiga riesgos. Fomentando la transparencia  y la rendicion adecuada de cuentas.</t>
  </si>
  <si>
    <t>Project Management Institute. (2013). The Standard for Portfolio Management (3rd ed.). Newtown Square, PA: Project Management Institute.
Müller, R., &amp; Sankaran, S. (2011). A Systematic Framework for Considering the Effects of PMOs. International Journal of Project Management, 29(4), 399-411. doi:10.1016/j.ijproman.2010.04.007</t>
  </si>
  <si>
    <t>Generar 3 proyectos anualmente que estén alineados con los objetivos estratégicos de la organización</t>
  </si>
  <si>
    <t>Crear la Oficina de dirección de proyectos para la sucursal Colombia</t>
  </si>
  <si>
    <t>Gerencia Colombia</t>
  </si>
  <si>
    <t>Establecer la PMO en un plazo de un año</t>
  </si>
  <si>
    <t>Gerencia Sucursal Colombia</t>
  </si>
  <si>
    <t xml:space="preserve">Definir los roles, las responsabilidades y los procesos para la Oficina de Apoyo a la Gestión de Proyectos (PMO).
</t>
  </si>
  <si>
    <t>Desarrollar el organigrama de la PMO</t>
  </si>
  <si>
    <t>Gerente Oficina de Proyectos</t>
  </si>
  <si>
    <t>Identificar  las brechas respecto a habilidades dentro de cada uno de los equipos de proyectos.</t>
  </si>
  <si>
    <t>Realizar metricas de desempeño dos veces/año</t>
  </si>
  <si>
    <t>Gerente Oficina de Proyectos y jefes de Area</t>
  </si>
  <si>
    <t>Recursos humanos</t>
  </si>
  <si>
    <t>Intermedia Baja</t>
  </si>
  <si>
    <t>Mejorar el perfil de los gerentes de proyectos incrementando sus competencias en torno a la estanadarización y gestión de proyectos</t>
  </si>
  <si>
    <t>Dentro de las buenas prácticas de gestión de recursos humanos se encuentran aquellas que permiten el aprendizaje, la adaptación y la innovación constante proveniente de los colaboradores, esto con el finde generar un cumplimiento oportuno y a cabalidad de los objetivos estratégicos, así las cosas, cada proyecto dentro de cada organización requiere de unas competencias claves y especificas que faciliten la ejecución del mismo y obtener los resultados adecuados, para conseguir esto la dirección organizacional debe identificar necesidades de formación y capacitación a través de las evaluaciones de desempeño de cada gerente y las necesidades de cada proyecto, llegando a un foco especifico e identificando métodos de capacitación adecuados, con una periodicidad apropiada, mejorando conocimientos del recurso humano y sus habilidades que faciliten la completitud de los productos finales.
De esta forma Ticsa llegará a mejores resultados  e incluso la motivación de los gerentes dentro de los proyectos aumentará.</t>
  </si>
  <si>
    <t>Rueda , C., Snchez, Y., &amp; Jimenez, K. (2015). Percepciones del impacto de la capacitación,compensación y selección de personal en la gerencia de proyectos . AD minister , 2256- 4322.</t>
  </si>
  <si>
    <t xml:space="preserve"> Mejorar el perfil profesional de los gerentes de proyectos en un 30% , enfocado en el dominio de herramientas de gestión de proyectos y liderazgo en un pazo de 36 meses.</t>
  </si>
  <si>
    <t xml:space="preserve"> Capacitaciones enfocadas al dominio de herramientas de gestión de proyectos </t>
  </si>
  <si>
    <t>Dirección de proyectos e Ingeniería</t>
  </si>
  <si>
    <t>(# capacitaciones programadas/ #capacitaciones asistidas x 100)</t>
  </si>
  <si>
    <t xml:space="preserve">Capacitaciones en habilidades blandas relacionadas. </t>
  </si>
  <si>
    <t># total de capacitaciones / # total de capacitaciones asistidas x 100</t>
  </si>
  <si>
    <t xml:space="preserve"> Divulgación de incentivos para que los gerentes de proyecto se ahieran a la formación académica</t>
  </si>
  <si>
    <t># de colaboradores vinculados a los programas academicos antes de los incentivos /# de colaboradores vinculados a los programas academicos despues  de los incentivos</t>
  </si>
  <si>
    <t>Tecnología</t>
  </si>
  <si>
    <t>Intermedia-Baja</t>
  </si>
  <si>
    <t>Implementar un programa integral que permita establecer  un marco metodológico sólido, la promoción de un lenguaje común, la personalización de la metodología de gestión de proyectos, el desarrollo de plantillas de gestión y la implementación de un programa de capacitación. Buscará fortalecer las habilidades, mejorar la comunicación y proporcionar las herramientas necesarias para elevar la madurez de la gestión de proyectos tecnológicos en TICSA</t>
  </si>
  <si>
    <t>Para abordar esta oportunidad, sera necesario desarrollar  un programa integral de mejora que incluya  el establecimiento de un marco metodológico sólido, igualmente se requiere un lenguaje comun, tambien la adaptación de la tecnologia a la organizacion, el desarrollo de plantillas de gestión y la implementación de un programa de capacitación.
Los objetivos estratégicos se centran en abordar los desafíos que fueron identificados dentro  del programa tecnológico existente y buscan mejorar el conocimiento, la operación, la accesibilidad y la colaboración en su uso para elevar la madurez en la gestión de proyectos tecnológicos en TICSA</t>
  </si>
  <si>
    <t>Project Management Institute (PMI):
Project Management Institute. (n.d.). Retrieved from http://www.pmi.org
International Organization for Standardization (ISO):
International Organization for Standardization. (Year). ISO 21500: Title of the standard. Retrieved from http://www.iso.org</t>
  </si>
  <si>
    <t xml:space="preserve"> Garantizar que el 100% de los colaboradores de Ticsa asistan a las capacitaciones del programa integral de mejora en un plazo de seis meses  </t>
  </si>
  <si>
    <t>Desarrollar capacitaciones interactivas y prácticas.(virtuales y presenciales)</t>
  </si>
  <si>
    <t xml:space="preserve"> # de capacitaciones desarrolladas/ # de colaboradores que asistieron X 100</t>
  </si>
  <si>
    <t xml:space="preserve">Todos </t>
  </si>
  <si>
    <t xml:space="preserve">Realizar mejoras en la interfaz y experiencia de usuario del software de formación. </t>
  </si>
  <si>
    <t xml:space="preserve"> # de Softwares de capacitación / # de actualizaciones realizadas x 100</t>
  </si>
  <si>
    <t>Departamenteo de Sistemas</t>
  </si>
  <si>
    <t xml:space="preserve">Generar reuniones  para  fomentar el intercambio de conocimientos entre los colaboradores. </t>
  </si>
  <si>
    <t xml:space="preserve"> # de reuniones hechas/ # de colaboradores que asistieron X 100</t>
  </si>
  <si>
    <t>Estandarizar</t>
  </si>
  <si>
    <t>Intermedia Alta</t>
  </si>
  <si>
    <t>Establecer pautas para los diferentes procedimientos que permitan optimizar tiempo y costos en cada uno de los proyectos de Ticsa</t>
  </si>
  <si>
    <t xml:space="preserve">Lograr  la estandarización de los procesos dentro del plan de gestión es de suma importancia dado que esto traduce una ventaja competitiva puesto que permite conocer en detalle cada proceso y facilita el establecimiento de indicadores que sirven como guía para desarrollar cada una de las actividades, lo anterior será de gran provecho para Tica en cuanto se puedan reducir los sobrecostos minimizando riesgos y aumentara la productividad de forma exponencial. . </t>
  </si>
  <si>
    <t>Montaño , L. (2023). Modelo de estandarización de procesos en el área de producción a la empresa Monolito estudio. Universidad Jesuita de Guadalajara .</t>
  </si>
  <si>
    <t xml:space="preserve"> Reducir la incetidumbre de los riesgos asociados a los proyectos en un 20% </t>
  </si>
  <si>
    <t xml:space="preserve">Identificar riesgos en cada proyecto ejecutado </t>
  </si>
  <si>
    <t xml:space="preserve">Identidicar al mes 30 riesgos potenciales </t>
  </si>
  <si>
    <t>8 jefes de proyecto  y 3 expertos.</t>
  </si>
  <si>
    <t>Priorizar riesgos en cada proyecto ejecutado</t>
  </si>
  <si>
    <t xml:space="preserve">el  80% de los riesgos priorizados deben estar en rango alto y medio. </t>
  </si>
  <si>
    <t xml:space="preserve">8 jefes de proyecto </t>
  </si>
  <si>
    <t xml:space="preserve">Costear riesgos </t>
  </si>
  <si>
    <t># total de riesgos ievaludados economicamente / total riesgos identificados  X100</t>
  </si>
  <si>
    <t>Dirección de Proyectos e Ingeneiría</t>
  </si>
  <si>
    <t>Medir</t>
  </si>
  <si>
    <t>Mejorar el proceso de medición de TICSA en los proyectos en un 10% para los próximos 3 años, con el fin de pasar del nivel de madurez intermedia alta a alta.</t>
  </si>
  <si>
    <t>Con base en las preguntas aplicadas se encontró que aquellas asociadas con el Cierre de proyecto o fase, obtuvieron una calificación que ubica a la organización en un nivel de madurez intermedio-Alto. Se proponen acciones que permitan, en un plazo razonable, llevar la calificación de madurez de un 57% hasta un 67% ubicando a la organización Ticsa en un nivel de madurez Alto.
Al mejorar el proceso de Cierre de Proyecto o Fase se logrará que Ticsa invierta menos recursos en la atención de garantías, o gastos administrativos por mayor permancencia de su personal en los proyectos por dedicaciones excesivas a las actividades de cierre.</t>
  </si>
  <si>
    <t>La guía para la Gestión de Proyectos PM2, en su apartado de Cierre de proyecto propone las siguinetes actividades como parte del Cierre de proyecto o fase:
1. Finalizar todas las actividades con el objetivo de dar cierre formal.
2.  Discutir la experiencia general del proyecto y las lecciones aprendidas con el equipo del proyecto.
3.Documentar las lecciones aprendidas y las mejores prácticas para proyectos futuros.
4. Dar cierre adminsitrativo al proyecto y archivar todos los documentos del proyecto.
Union Europea. (2018).</t>
  </si>
  <si>
    <t xml:space="preserve"> Mejorar anualmente 3,3% el proceso de medición del 100% de los proyectos gestionados por TICSA</t>
  </si>
  <si>
    <t>1. Recopilar la documentación requerida para cada proyecto.</t>
  </si>
  <si>
    <t xml:space="preserve">Mejoramiento de la recopilación de documentación en un 0,83% trimestral.   </t>
  </si>
  <si>
    <t>1 Profesional tematico (50%)
1 Gestor de Calidad (50%
1 Auxiliar Admin</t>
  </si>
  <si>
    <t xml:space="preserve"> 2. Publicar los hallazgos establecidos trimestralmente</t>
  </si>
  <si>
    <t xml:space="preserve">Incremento de la Publicación de la información recopilada en un 0,83% trimestral.   </t>
  </si>
  <si>
    <t>1 Profesional Auxiliar
1 Contrato de digramación</t>
  </si>
  <si>
    <t xml:space="preserve"> 3. Difundir los planes de mejora implementados para la eliminación de los hallazgos.</t>
  </si>
  <si>
    <t>Jornadas de difución ejecutadas/Jornadas de difución programadas</t>
  </si>
  <si>
    <t xml:space="preserve">20 profesionales temáticos.
4 Coordinadores
4 gerentes de proyecto
2 Dirección de proyectos </t>
  </si>
  <si>
    <t>Controlar</t>
  </si>
  <si>
    <t xml:space="preserve">Intermedia-Alta
</t>
  </si>
  <si>
    <t>Alta (67%)</t>
  </si>
  <si>
    <t>El mejoramiento a los procesos de control asociados con el desarrollo del plan para la ejecución de proyecto permitirán a la oranización conocer el estado real de los proyectos por medio de indicadores cuantitativos que aporten elementos de juicio para la toma de decisiones.</t>
  </si>
  <si>
    <t>Al implementar el seguimiento a las actividades asociadas al Plan para la ejecución del proyecto, las directivas podrán detectar desviaciones de forma temprana e implementar las medidas correctivas necesarias que mitiguen o eliminen las desviaciones identificadas.</t>
  </si>
  <si>
    <t>The Project Management Institute (PMI) propone la implementación de la Gestión del Valor ganado EVM, con el fin de hacer un seguimiento cercano al desempeño de las actividades de ejecución en los proyectos. PMI (PMBOK7-2021)</t>
  </si>
  <si>
    <t xml:space="preserve"> Mejorar los procesos de control  en un 30% a través de una herramienta power BI </t>
  </si>
  <si>
    <t>Desarrollar un aplicativo de gestión del Valor Ganado por medio de un aplicativo desarrollado en Power BI</t>
  </si>
  <si>
    <t>Aplicativo desarrollado</t>
  </si>
  <si>
    <t>1 desarrollador 
1 Director de Proyectos e Ingeniería (15%)
1 Licencia de Power BI</t>
  </si>
  <si>
    <t>Instalar licencias de Power BI en la suite de Office 365 de los colaboradores encargados de la gestión del control de obra, presupuestos y dirección.</t>
  </si>
  <si>
    <t>Licencias requeridas/Licencias Instaladas</t>
  </si>
  <si>
    <t>3 Profesionales Planer
3 coordinadores de obra</t>
  </si>
  <si>
    <t>Capacitar al personal en uso y gestión del aplicativo.</t>
  </si>
  <si>
    <t xml:space="preserve"> # de capacitaciones programadas / # de capacitaciones asistidas x 100</t>
  </si>
  <si>
    <t>Mejorar</t>
  </si>
  <si>
    <t>Generar una cultura de cohesión organizacional por medio de la publicación, difusión y apropiación de las metas estratégicas organizacionales a nivel de los proyectos de construcción.</t>
  </si>
  <si>
    <t>Como resultado del instrumento de encuesta aplicado y de la entrevista realizada, se identificó que en los niveles intermedios y bajos de las estructura jerárquica de la organización existe un desconocimiento generalizado de las metas estratégicas de la organización. Promover una cultura que trabaje con enfoque en estas permitirá que los colaboradores alinien sus actividades con los objetivos estratégicos.</t>
  </si>
  <si>
    <t>"Otra de las tendencias que se manifiesta en las investigaciones concernientes a gerencia
de proyectos y cultura organizacional está reflejada en la necesidad de alineación entre las metas
estratégicas de la organización y las metas específicas de los proyectos, es decir, tácitamente se expresa
un descontento con la concepción táctica de los proyectos y la gerencia de proyectos solicitando que se
escale hasta el factor estratégico." (Centeno &amp; Serafín, 2006)</t>
  </si>
  <si>
    <t xml:space="preserve"> Mejorar la cultura organizacional de Ticsa en un 70% en comparación con los resultadosde las encuestas durante el año pasado.  </t>
  </si>
  <si>
    <t xml:space="preserve"> Divulgar objetivos estrategicos de la organizaciónl.  </t>
  </si>
  <si>
    <t xml:space="preserve">  # total de empleados / # total de empleados informados X 100 </t>
  </si>
  <si>
    <t>Alta Gerencia</t>
  </si>
  <si>
    <t xml:space="preserve">Hacer una capacitación trimestral enfocada al trabajo en equipo. </t>
  </si>
  <si>
    <t xml:space="preserve"># de capacitaciones programadas / # de capacitaciones asistidas x 100. </t>
  </si>
  <si>
    <t>Gerencia Sucursal</t>
  </si>
  <si>
    <t xml:space="preserve"> Hacer reuniones con los lideres de área que promuevan un liderazgo basado en la comunicación asertiva </t>
  </si>
  <si>
    <t xml:space="preserve"> # de reuniones programadas / # de reuniones asistidas x 100</t>
  </si>
  <si>
    <t>Plantilla Mecanismo de intervención para la madurez Organizacional, TICSA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</si>
</sst>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4">
    <font>
      <sz val="11"/>
      <color theme="1"/>
      <name val="Calibri"/>
      <family val="2"/>
      <scheme val="minor"/>
    </font>
    <font>
      <sz val="11"/>
      <color theme="1"/>
      <name val="Calibri"/>
      <family val="2"/>
      <scheme val="minor"/>
    </font>
    <font>
      <sz val="10"/>
      <color rgb="FF000000"/>
      <name val="Times New Roman"/>
      <family val="1"/>
    </font>
    <font>
      <sz val="20"/>
      <color rgb="FF000000"/>
      <name val="Calibri"/>
      <family val="2"/>
      <scheme val="minor"/>
    </font>
    <font>
      <b/>
      <sz val="20"/>
      <color rgb="FF000000"/>
      <name val="Calibri"/>
      <family val="2"/>
      <scheme val="minor"/>
    </font>
    <font>
      <sz val="20"/>
      <color rgb="FF000000"/>
      <name val="Calibri Light"/>
      <family val="2"/>
      <scheme val="major"/>
    </font>
    <font>
      <sz val="20"/>
      <color rgb="FF000000"/>
      <name val="Calibri Light"/>
      <family val="2"/>
    </font>
    <font>
      <b/>
      <sz val="20"/>
      <color rgb="FF000000"/>
      <name val="Calibri Light"/>
      <family val="2"/>
      <scheme val="major"/>
    </font>
    <font>
      <b/>
      <sz val="24"/>
      <color rgb="FF000000"/>
      <name val="Calibri"/>
      <family val="2"/>
      <scheme val="minor"/>
    </font>
    <font>
      <b/>
      <sz val="36"/>
      <color theme="1"/>
      <name val="Calibri"/>
      <family val="2"/>
      <scheme val="minor"/>
    </font>
    <font>
      <b/>
      <sz val="24"/>
      <color theme="1"/>
      <name val="Calibri"/>
      <family val="2"/>
      <scheme val="minor"/>
    </font>
    <font>
      <sz val="20"/>
      <color theme="1"/>
      <name val="Calibri Light"/>
      <family val="2"/>
      <scheme val="major"/>
    </font>
    <font>
      <sz val="20"/>
      <name val="Calibri"/>
      <family val="2"/>
      <scheme val="minor"/>
    </font>
    <font>
      <sz val="20"/>
      <name val="Calibri Light"/>
      <family val="2"/>
      <scheme val="major"/>
    </font>
  </fonts>
  <fills count="3">
    <fill>
      <patternFill patternType="none"/>
    </fill>
    <fill>
      <patternFill patternType="gray125"/>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96">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vertical="center" wrapText="1"/>
    </xf>
    <xf numFmtId="0" fontId="5" fillId="0" borderId="1" xfId="0" applyFont="1" applyBorder="1" applyAlignment="1">
      <alignment vertical="center" wrapText="1"/>
    </xf>
    <xf numFmtId="44" fontId="5" fillId="0" borderId="1" xfId="1" applyFont="1" applyFill="1" applyBorder="1" applyAlignment="1">
      <alignment vertical="center" wrapText="1"/>
    </xf>
    <xf numFmtId="0" fontId="7" fillId="0" borderId="1" xfId="0" applyFont="1" applyBorder="1" applyAlignment="1">
      <alignment horizontal="center" vertical="center" wrapText="1"/>
    </xf>
    <xf numFmtId="44" fontId="5"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7" fillId="0" borderId="6"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44" fontId="7" fillId="0" borderId="1" xfId="1" applyFont="1" applyFill="1" applyBorder="1" applyAlignment="1">
      <alignment horizontal="center" vertical="center" textRotation="90" wrapText="1"/>
    </xf>
    <xf numFmtId="164" fontId="7" fillId="0" borderId="1" xfId="1" applyNumberFormat="1" applyFont="1" applyFill="1" applyBorder="1" applyAlignment="1">
      <alignment horizontal="center" vertical="center" textRotation="90"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8" xfId="0" applyFont="1" applyBorder="1" applyAlignment="1">
      <alignment horizontal="center" vertical="center" wrapText="1"/>
    </xf>
    <xf numFmtId="0" fontId="6" fillId="0" borderId="8" xfId="0" applyFont="1" applyBorder="1" applyAlignment="1">
      <alignment vertical="center" wrapText="1"/>
    </xf>
    <xf numFmtId="0" fontId="5" fillId="0" borderId="6" xfId="0" applyFont="1" applyBorder="1" applyAlignment="1">
      <alignment vertical="center" wrapText="1"/>
    </xf>
    <xf numFmtId="0" fontId="6" fillId="0" borderId="6" xfId="0" applyFont="1" applyBorder="1" applyAlignment="1">
      <alignment vertical="center" wrapText="1"/>
    </xf>
    <xf numFmtId="0" fontId="3"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1" fillId="0" borderId="1" xfId="0" applyFont="1" applyBorder="1" applyAlignment="1">
      <alignment horizontal="center" vertical="center" wrapText="1"/>
    </xf>
    <xf numFmtId="44" fontId="11" fillId="0" borderId="1" xfId="1" applyFont="1" applyFill="1" applyBorder="1" applyAlignment="1">
      <alignment vertical="center" wrapText="1"/>
    </xf>
    <xf numFmtId="164" fontId="11" fillId="0" borderId="1" xfId="1" applyNumberFormat="1"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center" wrapText="1"/>
    </xf>
    <xf numFmtId="0" fontId="5" fillId="0" borderId="8" xfId="0" applyFont="1" applyBorder="1" applyAlignment="1">
      <alignment vertical="center" wrapText="1"/>
    </xf>
    <xf numFmtId="44" fontId="7" fillId="0" borderId="8" xfId="1" applyFont="1" applyFill="1" applyBorder="1" applyAlignment="1">
      <alignment horizontal="center" vertical="center" textRotation="90" wrapText="1"/>
    </xf>
    <xf numFmtId="164" fontId="7" fillId="0" borderId="8" xfId="1" applyNumberFormat="1" applyFont="1" applyFill="1" applyBorder="1" applyAlignment="1">
      <alignment horizontal="center" vertical="center" textRotation="90" wrapText="1"/>
    </xf>
    <xf numFmtId="44" fontId="7" fillId="0" borderId="6" xfId="1" applyFont="1" applyFill="1" applyBorder="1" applyAlignment="1">
      <alignment horizontal="center" vertical="center" textRotation="90" wrapText="1"/>
    </xf>
    <xf numFmtId="164" fontId="7" fillId="0" borderId="6" xfId="1" applyNumberFormat="1" applyFont="1" applyFill="1" applyBorder="1" applyAlignment="1">
      <alignment horizontal="center" vertical="center" textRotation="90" wrapText="1"/>
    </xf>
    <xf numFmtId="0" fontId="13" fillId="0" borderId="1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9" fontId="10" fillId="0" borderId="6" xfId="3" applyFont="1" applyBorder="1" applyAlignment="1">
      <alignment horizontal="center" vertical="center" textRotation="90" wrapText="1"/>
    </xf>
    <xf numFmtId="9" fontId="10" fillId="0" borderId="7" xfId="3" applyFont="1" applyBorder="1" applyAlignment="1">
      <alignment horizontal="center" vertical="center" textRotation="90" wrapText="1"/>
    </xf>
    <xf numFmtId="9" fontId="10" fillId="0" borderId="4" xfId="3" applyFont="1" applyBorder="1" applyAlignment="1">
      <alignment horizontal="center" vertical="center" textRotation="90" wrapText="1"/>
    </xf>
    <xf numFmtId="0" fontId="8" fillId="0" borderId="0" xfId="0" applyFont="1" applyAlignment="1">
      <alignment horizontal="left" vertical="center" wrapText="1"/>
    </xf>
    <xf numFmtId="4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4" fontId="5" fillId="0" borderId="6" xfId="0" applyNumberFormat="1" applyFont="1" applyBorder="1" applyAlignment="1">
      <alignment horizontal="center" vertical="center" wrapText="1"/>
    </xf>
    <xf numFmtId="44" fontId="5" fillId="0" borderId="7" xfId="0" applyNumberFormat="1" applyFont="1" applyBorder="1" applyAlignment="1">
      <alignment horizontal="center" vertical="center" wrapText="1"/>
    </xf>
    <xf numFmtId="44" fontId="5" fillId="0" borderId="4"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textRotation="90" wrapText="1"/>
    </xf>
    <xf numFmtId="9" fontId="4" fillId="0" borderId="1" xfId="3" applyFont="1" applyFill="1" applyBorder="1" applyAlignment="1">
      <alignment horizontal="center" vertical="center" textRotation="90" wrapText="1"/>
    </xf>
    <xf numFmtId="0" fontId="6"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3"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6" xfId="0" applyFont="1" applyBorder="1" applyAlignment="1">
      <alignment horizontal="center" vertical="center" textRotation="90" wrapText="1"/>
    </xf>
    <xf numFmtId="9" fontId="4" fillId="0" borderId="6" xfId="3" applyFont="1" applyFill="1" applyBorder="1" applyAlignment="1">
      <alignment horizontal="center" vertical="center" textRotation="90"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textRotation="90" wrapText="1"/>
    </xf>
    <xf numFmtId="9" fontId="4" fillId="0" borderId="8" xfId="3" applyFont="1" applyFill="1" applyBorder="1" applyAlignment="1">
      <alignment horizontal="center" vertical="center" textRotation="90" wrapText="1"/>
    </xf>
    <xf numFmtId="44"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4" fillId="0" borderId="7" xfId="0" applyFont="1" applyBorder="1" applyAlignment="1">
      <alignment horizontal="center" vertical="center" textRotation="90" wrapText="1"/>
    </xf>
    <xf numFmtId="9" fontId="4" fillId="0" borderId="7" xfId="3" applyFont="1" applyFill="1" applyBorder="1" applyAlignment="1">
      <alignment horizontal="center" vertical="center" textRotation="90" wrapText="1"/>
    </xf>
    <xf numFmtId="0" fontId="9" fillId="0" borderId="13" xfId="0" applyFont="1" applyBorder="1" applyAlignment="1">
      <alignment horizontal="center" vertical="center" textRotation="90" wrapText="1"/>
    </xf>
    <xf numFmtId="0" fontId="9" fillId="0" borderId="14" xfId="0" applyFont="1" applyBorder="1" applyAlignment="1">
      <alignment horizontal="center" vertical="center" textRotation="90" wrapText="1"/>
    </xf>
    <xf numFmtId="0" fontId="9" fillId="0" borderId="15"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4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cellXfs>
  <cellStyles count="4">
    <cellStyle name="Moneda" xfId="1" builtinId="4"/>
    <cellStyle name="Normal" xfId="0" builtinId="0"/>
    <cellStyle name="Normal 2" xfId="2" xr:uid="{F29617B0-E6BC-4FCA-B7BB-68F271E16F59}"/>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971BF-8FD7-4795-844C-3EF800E1AC82}">
  <dimension ref="B2:U32"/>
  <sheetViews>
    <sheetView topLeftCell="A5" zoomScale="60" zoomScaleNormal="60" workbookViewId="0">
      <selection activeCell="M6" sqref="M6"/>
    </sheetView>
  </sheetViews>
  <sheetFormatPr defaultColWidth="11.42578125" defaultRowHeight="26.25"/>
  <cols>
    <col min="1" max="1" width="6.140625" style="1" customWidth="1"/>
    <col min="2" max="2" width="12.140625" style="1" customWidth="1"/>
    <col min="3" max="3" width="28.28515625" style="1" customWidth="1"/>
    <col min="4" max="4" width="15.28515625" style="1" customWidth="1"/>
    <col min="5" max="5" width="22.42578125" style="1" bestFit="1" customWidth="1"/>
    <col min="6" max="6" width="22.42578125" style="1" customWidth="1"/>
    <col min="7" max="8" width="32" style="1" customWidth="1"/>
    <col min="9" max="9" width="63.28515625" style="1" customWidth="1"/>
    <col min="10" max="10" width="38.140625" style="1" customWidth="1"/>
    <col min="11" max="11" width="58.42578125" style="1" customWidth="1"/>
    <col min="12" max="12" width="30.140625" style="1" customWidth="1"/>
    <col min="13" max="13" width="23.28515625" style="1" customWidth="1"/>
    <col min="14" max="14" width="27.140625" style="1" customWidth="1"/>
    <col min="15" max="15" width="16.28515625" style="1" customWidth="1"/>
    <col min="16" max="16" width="19.28515625" style="1" customWidth="1"/>
    <col min="17" max="17" width="11.85546875" style="1" customWidth="1"/>
    <col min="18" max="18" width="14" style="2" customWidth="1"/>
    <col min="19" max="19" width="26.5703125" style="1" customWidth="1"/>
    <col min="20" max="20" width="32" style="1" customWidth="1"/>
    <col min="21" max="21" width="33.42578125" style="1" customWidth="1"/>
    <col min="22" max="16384" width="11.42578125" style="1"/>
  </cols>
  <sheetData>
    <row r="2" spans="2:21" ht="26.25" customHeight="1">
      <c r="B2" s="50" t="s">
        <v>0</v>
      </c>
      <c r="C2" s="50"/>
      <c r="D2" s="50"/>
      <c r="E2" s="50"/>
      <c r="F2" s="50"/>
      <c r="G2" s="50"/>
      <c r="H2" s="50"/>
      <c r="I2" s="50"/>
      <c r="J2" s="50"/>
      <c r="K2" s="50"/>
      <c r="L2" s="50"/>
      <c r="M2" s="50"/>
      <c r="N2" s="50"/>
      <c r="O2" s="50"/>
      <c r="P2" s="50"/>
      <c r="Q2" s="50"/>
      <c r="R2" s="50"/>
      <c r="S2" s="50"/>
      <c r="T2" s="50"/>
      <c r="U2" s="50"/>
    </row>
    <row r="3" spans="2:21" ht="37.5" customHeight="1"/>
    <row r="4" spans="2:21" ht="41.25" customHeight="1">
      <c r="B4" s="22"/>
      <c r="C4" s="76" t="s">
        <v>1</v>
      </c>
      <c r="D4" s="76"/>
      <c r="E4" s="76"/>
      <c r="F4" s="65" t="s">
        <v>2</v>
      </c>
      <c r="G4" s="76" t="s">
        <v>3</v>
      </c>
      <c r="H4" s="76" t="s">
        <v>4</v>
      </c>
      <c r="I4" s="76"/>
      <c r="J4" s="76"/>
      <c r="K4" s="23" t="s">
        <v>5</v>
      </c>
      <c r="L4" s="23" t="s">
        <v>6</v>
      </c>
      <c r="M4" s="65" t="s">
        <v>7</v>
      </c>
      <c r="N4" s="65" t="s">
        <v>8</v>
      </c>
      <c r="O4" s="65" t="s">
        <v>9</v>
      </c>
      <c r="P4" s="73" t="s">
        <v>10</v>
      </c>
      <c r="Q4" s="74"/>
      <c r="R4" s="75"/>
      <c r="S4" s="73" t="s">
        <v>11</v>
      </c>
      <c r="T4" s="74"/>
      <c r="U4" s="75"/>
    </row>
    <row r="5" spans="2:21" ht="114" customHeight="1">
      <c r="B5" s="23" t="s">
        <v>12</v>
      </c>
      <c r="C5" s="24" t="s">
        <v>13</v>
      </c>
      <c r="D5" s="24" t="s">
        <v>14</v>
      </c>
      <c r="E5" s="24" t="s">
        <v>15</v>
      </c>
      <c r="F5" s="66"/>
      <c r="G5" s="76"/>
      <c r="H5" s="23" t="s">
        <v>16</v>
      </c>
      <c r="I5" s="23" t="s">
        <v>17</v>
      </c>
      <c r="J5" s="23" t="s">
        <v>18</v>
      </c>
      <c r="K5" s="23" t="s">
        <v>19</v>
      </c>
      <c r="L5" s="23" t="s">
        <v>20</v>
      </c>
      <c r="M5" s="66"/>
      <c r="N5" s="66"/>
      <c r="O5" s="66"/>
      <c r="P5" s="23" t="s">
        <v>7</v>
      </c>
      <c r="Q5" s="23" t="s">
        <v>21</v>
      </c>
      <c r="R5" s="23" t="s">
        <v>22</v>
      </c>
      <c r="S5" s="23" t="s">
        <v>23</v>
      </c>
      <c r="T5" s="23" t="s">
        <v>24</v>
      </c>
      <c r="U5" s="23" t="s">
        <v>25</v>
      </c>
    </row>
    <row r="6" spans="2:21" ht="266.25" customHeight="1">
      <c r="B6" s="56">
        <v>1</v>
      </c>
      <c r="C6" s="77" t="s">
        <v>26</v>
      </c>
      <c r="D6" s="78">
        <v>0.56999999999999995</v>
      </c>
      <c r="E6" s="77" t="s">
        <v>27</v>
      </c>
      <c r="F6" s="78">
        <f>+G6-D6</f>
        <v>0.10000000000000009</v>
      </c>
      <c r="G6" s="78">
        <v>0.67</v>
      </c>
      <c r="H6" s="71" t="s">
        <v>28</v>
      </c>
      <c r="I6" s="71" t="s">
        <v>29</v>
      </c>
      <c r="J6" s="71" t="s">
        <v>30</v>
      </c>
      <c r="K6" s="85" t="s">
        <v>31</v>
      </c>
      <c r="L6" s="3" t="s">
        <v>32</v>
      </c>
      <c r="M6" s="4"/>
      <c r="N6" s="5" t="s">
        <v>33</v>
      </c>
      <c r="O6" s="4">
        <v>1</v>
      </c>
      <c r="P6" s="6" t="s">
        <v>34</v>
      </c>
      <c r="Q6" s="4">
        <v>3</v>
      </c>
      <c r="R6" s="4">
        <f>+O6*Q6</f>
        <v>3</v>
      </c>
      <c r="S6" s="7">
        <f>12000000*1.68/30</f>
        <v>672000</v>
      </c>
      <c r="T6" s="7">
        <f>+S6*R6</f>
        <v>2016000</v>
      </c>
      <c r="U6" s="53">
        <f>SUM(T6:T8)</f>
        <v>31584000</v>
      </c>
    </row>
    <row r="7" spans="2:21" ht="266.25" customHeight="1">
      <c r="B7" s="57"/>
      <c r="C7" s="86"/>
      <c r="D7" s="87"/>
      <c r="E7" s="86"/>
      <c r="F7" s="87"/>
      <c r="G7" s="87"/>
      <c r="H7" s="72"/>
      <c r="I7" s="72"/>
      <c r="J7" s="72"/>
      <c r="K7" s="72"/>
      <c r="L7" s="8" t="s">
        <v>35</v>
      </c>
      <c r="M7" s="4"/>
      <c r="N7" s="6" t="s">
        <v>36</v>
      </c>
      <c r="O7" s="4">
        <v>2</v>
      </c>
      <c r="P7" s="6" t="s">
        <v>37</v>
      </c>
      <c r="Q7" s="4">
        <v>12</v>
      </c>
      <c r="R7" s="4">
        <f t="shared" ref="R7:R8" si="0">+O7*Q7</f>
        <v>24</v>
      </c>
      <c r="S7" s="7">
        <f>12000000*1.68/30</f>
        <v>672000</v>
      </c>
      <c r="T7" s="9">
        <f>+R7*S7</f>
        <v>16128000</v>
      </c>
      <c r="U7" s="54"/>
    </row>
    <row r="8" spans="2:21" ht="266.25" customHeight="1">
      <c r="B8" s="58"/>
      <c r="C8" s="86"/>
      <c r="D8" s="87"/>
      <c r="E8" s="86"/>
      <c r="F8" s="87"/>
      <c r="G8" s="87"/>
      <c r="H8" s="72"/>
      <c r="I8" s="72"/>
      <c r="J8" s="72"/>
      <c r="K8" s="72"/>
      <c r="L8" s="8" t="s">
        <v>38</v>
      </c>
      <c r="M8" s="4"/>
      <c r="N8" s="5" t="s">
        <v>39</v>
      </c>
      <c r="O8" s="4">
        <v>2</v>
      </c>
      <c r="P8" s="6" t="s">
        <v>40</v>
      </c>
      <c r="Q8" s="4">
        <v>25</v>
      </c>
      <c r="R8" s="4">
        <f t="shared" si="0"/>
        <v>50</v>
      </c>
      <c r="S8" s="7">
        <f>4800000*1.68/30</f>
        <v>268800</v>
      </c>
      <c r="T8" s="9">
        <f>+R8*S8</f>
        <v>13440000</v>
      </c>
      <c r="U8" s="55"/>
    </row>
    <row r="9" spans="2:21" ht="271.5" customHeight="1">
      <c r="B9" s="56">
        <v>2</v>
      </c>
      <c r="C9" s="59" t="s">
        <v>41</v>
      </c>
      <c r="D9" s="60">
        <v>0.51</v>
      </c>
      <c r="E9" s="59" t="s">
        <v>27</v>
      </c>
      <c r="F9" s="60">
        <f>+G9-D9</f>
        <v>0.16000000000000003</v>
      </c>
      <c r="G9" s="60">
        <v>0.67</v>
      </c>
      <c r="H9" s="70" t="s">
        <v>42</v>
      </c>
      <c r="I9" s="70" t="s">
        <v>43</v>
      </c>
      <c r="J9" s="70" t="s">
        <v>44</v>
      </c>
      <c r="K9" s="70" t="s">
        <v>45</v>
      </c>
      <c r="L9" s="10" t="s">
        <v>46</v>
      </c>
      <c r="M9" s="10" t="s">
        <v>47</v>
      </c>
      <c r="N9" s="10" t="s">
        <v>48</v>
      </c>
      <c r="O9" s="10">
        <v>3</v>
      </c>
      <c r="P9" s="10" t="s">
        <v>49</v>
      </c>
      <c r="Q9" s="4">
        <v>1</v>
      </c>
      <c r="R9" s="4">
        <f t="shared" ref="R9:R11" si="1">+O9*Q9</f>
        <v>3</v>
      </c>
      <c r="S9" s="7">
        <f>12000000*1.68/30</f>
        <v>672000</v>
      </c>
      <c r="T9" s="7">
        <f>+S9*R9</f>
        <v>2016000</v>
      </c>
      <c r="U9" s="53">
        <f>SUM(T9:T11)</f>
        <v>15456000</v>
      </c>
    </row>
    <row r="10" spans="2:21" ht="342.75" customHeight="1">
      <c r="B10" s="57"/>
      <c r="C10" s="59"/>
      <c r="D10" s="60"/>
      <c r="E10" s="59"/>
      <c r="F10" s="60"/>
      <c r="G10" s="60"/>
      <c r="H10" s="70"/>
      <c r="I10" s="70"/>
      <c r="J10" s="70"/>
      <c r="K10" s="70"/>
      <c r="L10" s="10" t="s">
        <v>50</v>
      </c>
      <c r="M10" s="10" t="s">
        <v>47</v>
      </c>
      <c r="N10" s="10" t="s">
        <v>51</v>
      </c>
      <c r="O10" s="10">
        <v>1</v>
      </c>
      <c r="P10" s="10" t="s">
        <v>52</v>
      </c>
      <c r="Q10" s="4">
        <v>10</v>
      </c>
      <c r="R10" s="4">
        <f t="shared" si="1"/>
        <v>10</v>
      </c>
      <c r="S10" s="7">
        <f>+S9</f>
        <v>672000</v>
      </c>
      <c r="T10" s="9">
        <f>+R10*S10</f>
        <v>6720000</v>
      </c>
      <c r="U10" s="54"/>
    </row>
    <row r="11" spans="2:21" ht="195" customHeight="1">
      <c r="B11" s="58"/>
      <c r="C11" s="59"/>
      <c r="D11" s="60"/>
      <c r="E11" s="59"/>
      <c r="F11" s="60"/>
      <c r="G11" s="60"/>
      <c r="H11" s="70"/>
      <c r="I11" s="70"/>
      <c r="J11" s="70"/>
      <c r="K11" s="70"/>
      <c r="L11" s="10" t="s">
        <v>53</v>
      </c>
      <c r="M11" s="10"/>
      <c r="N11" s="10" t="s">
        <v>54</v>
      </c>
      <c r="O11" s="10">
        <v>1</v>
      </c>
      <c r="P11" s="10" t="s">
        <v>55</v>
      </c>
      <c r="Q11" s="4">
        <v>10</v>
      </c>
      <c r="R11" s="4">
        <f t="shared" si="1"/>
        <v>10</v>
      </c>
      <c r="S11" s="7">
        <f>+S10</f>
        <v>672000</v>
      </c>
      <c r="T11" s="9">
        <f>+R11*S11</f>
        <v>6720000</v>
      </c>
      <c r="U11" s="55"/>
    </row>
    <row r="12" spans="2:21" ht="302.25" customHeight="1">
      <c r="B12" s="56">
        <v>3</v>
      </c>
      <c r="C12" s="59" t="s">
        <v>56</v>
      </c>
      <c r="D12" s="60">
        <v>0.48</v>
      </c>
      <c r="E12" s="59" t="s">
        <v>57</v>
      </c>
      <c r="F12" s="60">
        <f>+G12-D12</f>
        <v>0.19000000000000006</v>
      </c>
      <c r="G12" s="60">
        <v>0.67</v>
      </c>
      <c r="H12" s="52" t="s">
        <v>58</v>
      </c>
      <c r="I12" s="52" t="s">
        <v>59</v>
      </c>
      <c r="J12" s="52" t="s">
        <v>60</v>
      </c>
      <c r="K12" s="52" t="s">
        <v>61</v>
      </c>
      <c r="L12" s="6" t="s">
        <v>62</v>
      </c>
      <c r="M12" s="67" t="s">
        <v>63</v>
      </c>
      <c r="N12" s="8" t="s">
        <v>64</v>
      </c>
      <c r="O12" s="10">
        <v>3</v>
      </c>
      <c r="P12" s="10" t="s">
        <v>49</v>
      </c>
      <c r="Q12" s="4">
        <v>1</v>
      </c>
      <c r="R12" s="4">
        <f t="shared" ref="R12:R14" si="2">+O12*Q12</f>
        <v>3</v>
      </c>
      <c r="S12" s="7">
        <f>12000000*1.68/30</f>
        <v>672000</v>
      </c>
      <c r="T12" s="7">
        <f>+S12*R12</f>
        <v>2016000</v>
      </c>
      <c r="U12" s="53">
        <f>SUM(T12:T14)</f>
        <v>15456000</v>
      </c>
    </row>
    <row r="13" spans="2:21" ht="302.25" customHeight="1">
      <c r="B13" s="57"/>
      <c r="C13" s="59"/>
      <c r="D13" s="60"/>
      <c r="E13" s="59"/>
      <c r="F13" s="60"/>
      <c r="G13" s="60"/>
      <c r="H13" s="52"/>
      <c r="I13" s="52"/>
      <c r="J13" s="52"/>
      <c r="K13" s="52"/>
      <c r="L13" s="12" t="s">
        <v>65</v>
      </c>
      <c r="M13" s="68"/>
      <c r="N13" s="8" t="s">
        <v>66</v>
      </c>
      <c r="O13" s="10">
        <v>1</v>
      </c>
      <c r="P13" s="10" t="s">
        <v>52</v>
      </c>
      <c r="Q13" s="4">
        <v>10</v>
      </c>
      <c r="R13" s="4">
        <f t="shared" si="2"/>
        <v>10</v>
      </c>
      <c r="S13" s="7">
        <f>+S12</f>
        <v>672000</v>
      </c>
      <c r="T13" s="9">
        <f>+R13*S13</f>
        <v>6720000</v>
      </c>
      <c r="U13" s="54"/>
    </row>
    <row r="14" spans="2:21" ht="302.25" customHeight="1">
      <c r="B14" s="57"/>
      <c r="C14" s="59"/>
      <c r="D14" s="60"/>
      <c r="E14" s="59"/>
      <c r="F14" s="60"/>
      <c r="G14" s="60"/>
      <c r="H14" s="52"/>
      <c r="I14" s="52"/>
      <c r="J14" s="52"/>
      <c r="K14" s="52"/>
      <c r="L14" s="4" t="s">
        <v>67</v>
      </c>
      <c r="M14" s="69"/>
      <c r="N14" s="8" t="s">
        <v>68</v>
      </c>
      <c r="O14" s="10">
        <v>1</v>
      </c>
      <c r="P14" s="10" t="s">
        <v>55</v>
      </c>
      <c r="Q14" s="4">
        <v>10</v>
      </c>
      <c r="R14" s="4">
        <f t="shared" si="2"/>
        <v>10</v>
      </c>
      <c r="S14" s="7">
        <f>+S13</f>
        <v>672000</v>
      </c>
      <c r="T14" s="9">
        <f>+R14*S14</f>
        <v>6720000</v>
      </c>
      <c r="U14" s="55"/>
    </row>
    <row r="15" spans="2:21" ht="302.25" customHeight="1">
      <c r="B15" s="62">
        <v>4</v>
      </c>
      <c r="C15" s="88" t="s">
        <v>69</v>
      </c>
      <c r="D15" s="47">
        <v>0.49</v>
      </c>
      <c r="E15" s="91" t="s">
        <v>70</v>
      </c>
      <c r="F15" s="47">
        <f>+G15-D15</f>
        <v>0.18000000000000005</v>
      </c>
      <c r="G15" s="47">
        <v>0.67</v>
      </c>
      <c r="H15" s="44" t="s">
        <v>71</v>
      </c>
      <c r="I15" s="44" t="s">
        <v>72</v>
      </c>
      <c r="J15" s="44" t="s">
        <v>73</v>
      </c>
      <c r="K15" s="41" t="s">
        <v>74</v>
      </c>
      <c r="L15" s="33" t="s">
        <v>75</v>
      </c>
      <c r="M15" s="31"/>
      <c r="N15" s="30" t="s">
        <v>76</v>
      </c>
      <c r="O15" s="32">
        <v>1</v>
      </c>
      <c r="P15" s="32" t="s">
        <v>77</v>
      </c>
      <c r="Q15" s="27">
        <v>30</v>
      </c>
      <c r="R15" s="27">
        <f>+Q15*O15</f>
        <v>30</v>
      </c>
      <c r="S15" s="28">
        <f>6000000*1.68/30</f>
        <v>336000</v>
      </c>
      <c r="T15" s="29">
        <f>+S15*R15</f>
        <v>10080000</v>
      </c>
      <c r="U15" s="94">
        <f>SUM(T15:T17)</f>
        <v>38304000</v>
      </c>
    </row>
    <row r="16" spans="2:21" ht="302.25" customHeight="1">
      <c r="B16" s="63"/>
      <c r="C16" s="89"/>
      <c r="D16" s="48"/>
      <c r="E16" s="92"/>
      <c r="F16" s="48"/>
      <c r="G16" s="48"/>
      <c r="H16" s="45"/>
      <c r="I16" s="45"/>
      <c r="J16" s="45"/>
      <c r="K16" s="42"/>
      <c r="L16" s="34" t="s">
        <v>78</v>
      </c>
      <c r="M16" s="31"/>
      <c r="N16" s="31" t="s">
        <v>79</v>
      </c>
      <c r="O16" s="32">
        <v>15</v>
      </c>
      <c r="P16" s="32" t="s">
        <v>80</v>
      </c>
      <c r="Q16" s="27">
        <v>2</v>
      </c>
      <c r="R16" s="27">
        <f>+Q16*O16</f>
        <v>30</v>
      </c>
      <c r="S16" s="28">
        <v>268800</v>
      </c>
      <c r="T16" s="29">
        <f t="shared" ref="T16:T17" si="3">+S16*R16</f>
        <v>8064000</v>
      </c>
      <c r="U16" s="95"/>
    </row>
    <row r="17" spans="2:21" ht="302.25" customHeight="1">
      <c r="B17" s="64"/>
      <c r="C17" s="90"/>
      <c r="D17" s="49"/>
      <c r="E17" s="93"/>
      <c r="F17" s="49"/>
      <c r="G17" s="49"/>
      <c r="H17" s="46"/>
      <c r="I17" s="46"/>
      <c r="J17" s="46"/>
      <c r="K17" s="43"/>
      <c r="L17" s="35" t="s">
        <v>81</v>
      </c>
      <c r="M17" s="31"/>
      <c r="N17" s="31" t="s">
        <v>82</v>
      </c>
      <c r="O17" s="32">
        <v>2</v>
      </c>
      <c r="P17" s="32" t="str">
        <f>+P15</f>
        <v xml:space="preserve">Todos </v>
      </c>
      <c r="Q17" s="27">
        <v>30</v>
      </c>
      <c r="R17" s="27">
        <f t="shared" ref="R17" si="4">+O17*Q17</f>
        <v>60</v>
      </c>
      <c r="S17" s="28">
        <v>336000</v>
      </c>
      <c r="T17" s="29">
        <f t="shared" si="3"/>
        <v>20160000</v>
      </c>
      <c r="U17" s="95"/>
    </row>
    <row r="18" spans="2:21" ht="266.25" customHeight="1">
      <c r="B18" s="57">
        <v>5</v>
      </c>
      <c r="C18" s="59" t="s">
        <v>83</v>
      </c>
      <c r="D18" s="60">
        <v>0.52</v>
      </c>
      <c r="E18" s="59" t="s">
        <v>84</v>
      </c>
      <c r="F18" s="60">
        <f>+G18-D18</f>
        <v>0.15000000000000002</v>
      </c>
      <c r="G18" s="60">
        <v>0.67</v>
      </c>
      <c r="H18" s="52" t="s">
        <v>85</v>
      </c>
      <c r="I18" s="52" t="s">
        <v>86</v>
      </c>
      <c r="J18" s="52" t="s">
        <v>87</v>
      </c>
      <c r="K18" s="61" t="s">
        <v>88</v>
      </c>
      <c r="L18" s="3" t="s">
        <v>89</v>
      </c>
      <c r="M18" s="8"/>
      <c r="N18" s="13" t="s">
        <v>90</v>
      </c>
      <c r="O18" s="8"/>
      <c r="P18" s="6" t="s">
        <v>91</v>
      </c>
      <c r="Q18" s="4">
        <v>3</v>
      </c>
      <c r="R18" s="4">
        <v>7</v>
      </c>
      <c r="S18" s="14">
        <f>(6000000/2+4500000/2+2800000)*1.68/30</f>
        <v>450800</v>
      </c>
      <c r="T18" s="15">
        <f>+S18*R18</f>
        <v>3155600</v>
      </c>
      <c r="U18" s="51">
        <f>+T18+T19+T20</f>
        <v>4386533.333333334</v>
      </c>
    </row>
    <row r="19" spans="2:21" ht="266.25" customHeight="1">
      <c r="B19" s="57"/>
      <c r="C19" s="59"/>
      <c r="D19" s="60"/>
      <c r="E19" s="59"/>
      <c r="F19" s="60"/>
      <c r="G19" s="60"/>
      <c r="H19" s="52"/>
      <c r="I19" s="52"/>
      <c r="J19" s="52"/>
      <c r="K19" s="52"/>
      <c r="L19" s="16" t="s">
        <v>92</v>
      </c>
      <c r="M19" s="8"/>
      <c r="N19" s="6" t="s">
        <v>93</v>
      </c>
      <c r="O19" s="8"/>
      <c r="P19" s="6" t="s">
        <v>94</v>
      </c>
      <c r="Q19" s="4">
        <v>1</v>
      </c>
      <c r="R19" s="4">
        <v>2</v>
      </c>
      <c r="S19" s="14">
        <f>3800000*1.68/30+2000000/30</f>
        <v>279466.66666666669</v>
      </c>
      <c r="T19" s="15">
        <f t="shared" ref="T19:T20" si="5">+S19*R19</f>
        <v>558933.33333333337</v>
      </c>
      <c r="U19" s="52"/>
    </row>
    <row r="20" spans="2:21" ht="266.25" customHeight="1">
      <c r="B20" s="58"/>
      <c r="C20" s="59"/>
      <c r="D20" s="60"/>
      <c r="E20" s="59"/>
      <c r="F20" s="60"/>
      <c r="G20" s="60"/>
      <c r="H20" s="52"/>
      <c r="I20" s="52"/>
      <c r="J20" s="52"/>
      <c r="K20" s="52"/>
      <c r="L20" s="16" t="s">
        <v>95</v>
      </c>
      <c r="M20" s="8"/>
      <c r="N20" s="6" t="s">
        <v>96</v>
      </c>
      <c r="O20" s="8"/>
      <c r="P20" s="6" t="s">
        <v>97</v>
      </c>
      <c r="Q20" s="4">
        <v>30</v>
      </c>
      <c r="R20" s="4">
        <v>2</v>
      </c>
      <c r="S20" s="14">
        <f t="shared" ref="S20" si="6">6000000*1.68/30</f>
        <v>336000</v>
      </c>
      <c r="T20" s="15">
        <f t="shared" si="5"/>
        <v>672000</v>
      </c>
      <c r="U20" s="52"/>
    </row>
    <row r="21" spans="2:21" ht="266.25" customHeight="1">
      <c r="B21" s="56">
        <v>6</v>
      </c>
      <c r="C21" s="59" t="s">
        <v>98</v>
      </c>
      <c r="D21" s="60">
        <v>0.56999999999999995</v>
      </c>
      <c r="E21" s="59" t="s">
        <v>84</v>
      </c>
      <c r="F21" s="60">
        <f>+G21-D21</f>
        <v>0.10000000000000009</v>
      </c>
      <c r="G21" s="60">
        <v>0.67</v>
      </c>
      <c r="H21" s="52" t="s">
        <v>99</v>
      </c>
      <c r="I21" s="52" t="s">
        <v>100</v>
      </c>
      <c r="J21" s="52" t="s">
        <v>101</v>
      </c>
      <c r="K21" s="52" t="s">
        <v>102</v>
      </c>
      <c r="L21" s="6" t="s">
        <v>103</v>
      </c>
      <c r="M21" s="6"/>
      <c r="N21" s="6" t="s">
        <v>104</v>
      </c>
      <c r="O21" s="8">
        <v>365</v>
      </c>
      <c r="P21" s="6" t="s">
        <v>105</v>
      </c>
      <c r="Q21" s="4">
        <v>3</v>
      </c>
      <c r="R21" s="4">
        <f>+Q21*O21</f>
        <v>1095</v>
      </c>
      <c r="S21" s="14">
        <f>(6000000/2+4500000/2+2800000)*1.68/30</f>
        <v>450800</v>
      </c>
      <c r="T21" s="15">
        <f>+S21*R21</f>
        <v>493626000</v>
      </c>
      <c r="U21" s="51">
        <f>+T21+T22+T23</f>
        <v>554708666.66666663</v>
      </c>
    </row>
    <row r="22" spans="2:21" ht="266.25" customHeight="1">
      <c r="B22" s="57"/>
      <c r="C22" s="59"/>
      <c r="D22" s="60"/>
      <c r="E22" s="59"/>
      <c r="F22" s="60"/>
      <c r="G22" s="60"/>
      <c r="H22" s="52"/>
      <c r="I22" s="52"/>
      <c r="J22" s="52"/>
      <c r="K22" s="52"/>
      <c r="L22" s="6" t="s">
        <v>106</v>
      </c>
      <c r="M22" s="6"/>
      <c r="N22" s="6" t="s">
        <v>107</v>
      </c>
      <c r="O22" s="8">
        <f>365/2</f>
        <v>182.5</v>
      </c>
      <c r="P22" s="6" t="s">
        <v>108</v>
      </c>
      <c r="Q22" s="4">
        <v>1</v>
      </c>
      <c r="R22" s="4">
        <f>+Q22*O22</f>
        <v>182.5</v>
      </c>
      <c r="S22" s="14">
        <f>3800000*1.68/30+2000000/30</f>
        <v>279466.66666666669</v>
      </c>
      <c r="T22" s="15">
        <f>+S22*R22</f>
        <v>51002666.666666672</v>
      </c>
      <c r="U22" s="52"/>
    </row>
    <row r="23" spans="2:21" ht="266.25" customHeight="1">
      <c r="B23" s="58"/>
      <c r="C23" s="59"/>
      <c r="D23" s="60"/>
      <c r="E23" s="59"/>
      <c r="F23" s="60"/>
      <c r="G23" s="60"/>
      <c r="H23" s="52"/>
      <c r="I23" s="52"/>
      <c r="J23" s="52"/>
      <c r="K23" s="52"/>
      <c r="L23" s="6" t="s">
        <v>109</v>
      </c>
      <c r="M23" s="6"/>
      <c r="N23" s="6" t="s">
        <v>110</v>
      </c>
      <c r="O23" s="8">
        <v>1</v>
      </c>
      <c r="P23" s="6" t="s">
        <v>111</v>
      </c>
      <c r="Q23" s="4">
        <v>30</v>
      </c>
      <c r="R23" s="4">
        <f>+Q23*O23</f>
        <v>30</v>
      </c>
      <c r="S23" s="14">
        <f t="shared" ref="S23" si="7">6000000*1.68/30</f>
        <v>336000</v>
      </c>
      <c r="T23" s="15">
        <f t="shared" ref="T23" si="8">+S23*R23</f>
        <v>10080000</v>
      </c>
      <c r="U23" s="52"/>
    </row>
    <row r="24" spans="2:21" ht="266.25" customHeight="1">
      <c r="B24" s="56">
        <v>7</v>
      </c>
      <c r="C24" s="59" t="s">
        <v>112</v>
      </c>
      <c r="D24" s="60">
        <v>0.53</v>
      </c>
      <c r="E24" s="59" t="s">
        <v>113</v>
      </c>
      <c r="F24" s="60">
        <v>0.14000000000000001</v>
      </c>
      <c r="G24" s="60" t="s">
        <v>114</v>
      </c>
      <c r="H24" s="52" t="s">
        <v>115</v>
      </c>
      <c r="I24" s="52" t="s">
        <v>116</v>
      </c>
      <c r="J24" s="52" t="s">
        <v>117</v>
      </c>
      <c r="K24" s="61" t="s">
        <v>118</v>
      </c>
      <c r="L24" s="6" t="s">
        <v>119</v>
      </c>
      <c r="M24" s="8"/>
      <c r="N24" s="6" t="s">
        <v>120</v>
      </c>
      <c r="O24" s="8">
        <f>365/2</f>
        <v>182.5</v>
      </c>
      <c r="P24" s="6" t="s">
        <v>121</v>
      </c>
      <c r="Q24" s="4">
        <v>1.25</v>
      </c>
      <c r="R24" s="4">
        <f>+O24*Q24</f>
        <v>228.125</v>
      </c>
      <c r="S24" s="14">
        <f>(5000000+12000000*0.15)*1.68/30</f>
        <v>380800</v>
      </c>
      <c r="T24" s="15">
        <f t="shared" ref="T24:T25" si="9">+S24*R24</f>
        <v>86870000</v>
      </c>
      <c r="U24" s="51">
        <f>SUM(T24:T26)</f>
        <v>102884000</v>
      </c>
    </row>
    <row r="25" spans="2:21" ht="266.25" customHeight="1">
      <c r="B25" s="57"/>
      <c r="C25" s="59"/>
      <c r="D25" s="60"/>
      <c r="E25" s="59"/>
      <c r="F25" s="60"/>
      <c r="G25" s="60"/>
      <c r="H25" s="52"/>
      <c r="I25" s="52"/>
      <c r="J25" s="52"/>
      <c r="K25" s="52"/>
      <c r="L25" s="6" t="s">
        <v>122</v>
      </c>
      <c r="M25" s="8"/>
      <c r="N25" s="6" t="s">
        <v>123</v>
      </c>
      <c r="O25" s="8">
        <v>182.5</v>
      </c>
      <c r="P25" s="6" t="s">
        <v>124</v>
      </c>
      <c r="Q25" s="4">
        <v>6</v>
      </c>
      <c r="R25" s="4">
        <v>1</v>
      </c>
      <c r="S25" s="14">
        <f>170*4500*Q25</f>
        <v>4590000</v>
      </c>
      <c r="T25" s="15">
        <f t="shared" si="9"/>
        <v>4590000</v>
      </c>
      <c r="U25" s="52"/>
    </row>
    <row r="26" spans="2:21" ht="266.25" customHeight="1">
      <c r="B26" s="57"/>
      <c r="C26" s="77"/>
      <c r="D26" s="78"/>
      <c r="E26" s="77"/>
      <c r="F26" s="78"/>
      <c r="G26" s="78"/>
      <c r="H26" s="71"/>
      <c r="I26" s="71"/>
      <c r="J26" s="71"/>
      <c r="K26" s="71"/>
      <c r="L26" s="20" t="s">
        <v>125</v>
      </c>
      <c r="M26" s="11"/>
      <c r="N26" s="21" t="s">
        <v>126</v>
      </c>
      <c r="O26" s="11">
        <v>5</v>
      </c>
      <c r="P26" s="20" t="s">
        <v>124</v>
      </c>
      <c r="Q26" s="25">
        <v>6</v>
      </c>
      <c r="R26" s="25">
        <f>+O26*Q26</f>
        <v>30</v>
      </c>
      <c r="S26" s="39">
        <f>+S24</f>
        <v>380800</v>
      </c>
      <c r="T26" s="40">
        <f>+R26*S26</f>
        <v>11424000</v>
      </c>
      <c r="U26" s="71"/>
    </row>
    <row r="27" spans="2:21" ht="266.25" customHeight="1">
      <c r="B27" s="79">
        <v>8</v>
      </c>
      <c r="C27" s="80" t="s">
        <v>127</v>
      </c>
      <c r="D27" s="81">
        <v>0.55000000000000004</v>
      </c>
      <c r="E27" s="80" t="s">
        <v>113</v>
      </c>
      <c r="F27" s="81">
        <v>0.12</v>
      </c>
      <c r="G27" s="81" t="s">
        <v>114</v>
      </c>
      <c r="H27" s="83" t="s">
        <v>128</v>
      </c>
      <c r="I27" s="83" t="s">
        <v>129</v>
      </c>
      <c r="J27" s="83" t="s">
        <v>130</v>
      </c>
      <c r="K27" s="84" t="s">
        <v>131</v>
      </c>
      <c r="L27" s="17" t="s">
        <v>132</v>
      </c>
      <c r="M27" s="18"/>
      <c r="N27" s="19" t="s">
        <v>133</v>
      </c>
      <c r="O27" s="18">
        <v>1</v>
      </c>
      <c r="P27" s="36" t="s">
        <v>134</v>
      </c>
      <c r="Q27" s="26">
        <v>4</v>
      </c>
      <c r="R27" s="26">
        <f>+O27*Q27</f>
        <v>4</v>
      </c>
      <c r="S27" s="37">
        <v>2500000</v>
      </c>
      <c r="T27" s="38">
        <f>+R27*S27</f>
        <v>10000000</v>
      </c>
      <c r="U27" s="82">
        <f>+T27+T28+T29</f>
        <v>16854400</v>
      </c>
    </row>
    <row r="28" spans="2:21" ht="266.25" customHeight="1">
      <c r="B28" s="79"/>
      <c r="C28" s="80"/>
      <c r="D28" s="81"/>
      <c r="E28" s="80"/>
      <c r="F28" s="81"/>
      <c r="G28" s="81"/>
      <c r="H28" s="83"/>
      <c r="I28" s="83"/>
      <c r="J28" s="83"/>
      <c r="K28" s="83"/>
      <c r="L28" s="17" t="s">
        <v>135</v>
      </c>
      <c r="M28" s="18"/>
      <c r="N28" s="17" t="s">
        <v>136</v>
      </c>
      <c r="O28" s="18">
        <v>4</v>
      </c>
      <c r="P28" s="36" t="s">
        <v>137</v>
      </c>
      <c r="Q28" s="26">
        <v>4</v>
      </c>
      <c r="R28" s="26">
        <f>+O28*Q28</f>
        <v>16</v>
      </c>
      <c r="S28" s="37">
        <f>(5000000+12000000*0.15)*1.68/30</f>
        <v>380800</v>
      </c>
      <c r="T28" s="38">
        <f>+R28*S28</f>
        <v>6092800</v>
      </c>
      <c r="U28" s="83"/>
    </row>
    <row r="29" spans="2:21" ht="266.25" customHeight="1">
      <c r="B29" s="79"/>
      <c r="C29" s="80"/>
      <c r="D29" s="81"/>
      <c r="E29" s="80"/>
      <c r="F29" s="81"/>
      <c r="G29" s="81"/>
      <c r="H29" s="83"/>
      <c r="I29" s="83"/>
      <c r="J29" s="83"/>
      <c r="K29" s="83"/>
      <c r="L29" s="17" t="s">
        <v>138</v>
      </c>
      <c r="M29" s="18"/>
      <c r="N29" s="17" t="s">
        <v>139</v>
      </c>
      <c r="O29" s="18">
        <v>2</v>
      </c>
      <c r="P29" s="36" t="s">
        <v>137</v>
      </c>
      <c r="Q29" s="26">
        <v>1</v>
      </c>
      <c r="R29" s="26">
        <f>+O29*Q29</f>
        <v>2</v>
      </c>
      <c r="S29" s="37">
        <f>(5000000+12000000*0.15)*1.68/30</f>
        <v>380800</v>
      </c>
      <c r="T29" s="38">
        <f>+R29*S29</f>
        <v>761600</v>
      </c>
      <c r="U29" s="83"/>
    </row>
    <row r="30" spans="2:21" ht="306.75" customHeight="1">
      <c r="R30" s="1"/>
    </row>
    <row r="31" spans="2:21" ht="157.5" customHeight="1">
      <c r="R31" s="1"/>
    </row>
    <row r="32" spans="2:21">
      <c r="R32" s="1"/>
    </row>
  </sheetData>
  <mergeCells count="99">
    <mergeCell ref="U15:U17"/>
    <mergeCell ref="K6:K8"/>
    <mergeCell ref="I9:I11"/>
    <mergeCell ref="J9:J11"/>
    <mergeCell ref="K9:K11"/>
    <mergeCell ref="C6:C8"/>
    <mergeCell ref="D6:D8"/>
    <mergeCell ref="E6:E8"/>
    <mergeCell ref="F6:F8"/>
    <mergeCell ref="G6:G8"/>
    <mergeCell ref="J6:J8"/>
    <mergeCell ref="U27:U29"/>
    <mergeCell ref="G27:G29"/>
    <mergeCell ref="H27:H29"/>
    <mergeCell ref="I27:I29"/>
    <mergeCell ref="J27:J29"/>
    <mergeCell ref="K27:K29"/>
    <mergeCell ref="B27:B29"/>
    <mergeCell ref="C27:C29"/>
    <mergeCell ref="D27:D29"/>
    <mergeCell ref="E27:E29"/>
    <mergeCell ref="F27:F29"/>
    <mergeCell ref="B24:B26"/>
    <mergeCell ref="H24:H26"/>
    <mergeCell ref="I24:I26"/>
    <mergeCell ref="J24:J26"/>
    <mergeCell ref="U24:U26"/>
    <mergeCell ref="K24:K26"/>
    <mergeCell ref="E24:E26"/>
    <mergeCell ref="D24:D26"/>
    <mergeCell ref="C24:C26"/>
    <mergeCell ref="G24:G26"/>
    <mergeCell ref="F24:F26"/>
    <mergeCell ref="B6:B8"/>
    <mergeCell ref="F18:F20"/>
    <mergeCell ref="G18:G20"/>
    <mergeCell ref="S4:U4"/>
    <mergeCell ref="C4:E4"/>
    <mergeCell ref="N4:N5"/>
    <mergeCell ref="O4:O5"/>
    <mergeCell ref="P4:R4"/>
    <mergeCell ref="F4:F5"/>
    <mergeCell ref="G4:G5"/>
    <mergeCell ref="H4:J4"/>
    <mergeCell ref="U6:U8"/>
    <mergeCell ref="B9:B11"/>
    <mergeCell ref="C9:C11"/>
    <mergeCell ref="U9:U11"/>
    <mergeCell ref="D9:D11"/>
    <mergeCell ref="M4:M5"/>
    <mergeCell ref="K12:K14"/>
    <mergeCell ref="J12:J14"/>
    <mergeCell ref="I12:I14"/>
    <mergeCell ref="D12:D14"/>
    <mergeCell ref="E12:E14"/>
    <mergeCell ref="F12:F14"/>
    <mergeCell ref="G12:G14"/>
    <mergeCell ref="H12:H14"/>
    <mergeCell ref="M12:M14"/>
    <mergeCell ref="E9:E11"/>
    <mergeCell ref="F9:F11"/>
    <mergeCell ref="G9:G11"/>
    <mergeCell ref="H9:H11"/>
    <mergeCell ref="H6:H8"/>
    <mergeCell ref="I6:I8"/>
    <mergeCell ref="K18:K20"/>
    <mergeCell ref="B12:B14"/>
    <mergeCell ref="B18:B20"/>
    <mergeCell ref="C18:C20"/>
    <mergeCell ref="D18:D20"/>
    <mergeCell ref="B15:B17"/>
    <mergeCell ref="C15:C17"/>
    <mergeCell ref="D15:D17"/>
    <mergeCell ref="E15:E17"/>
    <mergeCell ref="F15:F17"/>
    <mergeCell ref="I18:I20"/>
    <mergeCell ref="C12:C14"/>
    <mergeCell ref="J18:J20"/>
    <mergeCell ref="B2:U2"/>
    <mergeCell ref="U18:U20"/>
    <mergeCell ref="U12:U14"/>
    <mergeCell ref="B21:B23"/>
    <mergeCell ref="C21:C23"/>
    <mergeCell ref="D21:D23"/>
    <mergeCell ref="E21:E23"/>
    <mergeCell ref="F21:F23"/>
    <mergeCell ref="G21:G23"/>
    <mergeCell ref="H21:H23"/>
    <mergeCell ref="I21:I23"/>
    <mergeCell ref="J21:J23"/>
    <mergeCell ref="K21:K23"/>
    <mergeCell ref="U21:U23"/>
    <mergeCell ref="E18:E20"/>
    <mergeCell ref="H18:H20"/>
    <mergeCell ref="K15:K17"/>
    <mergeCell ref="J15:J17"/>
    <mergeCell ref="I15:I17"/>
    <mergeCell ref="H15:H17"/>
    <mergeCell ref="G15:G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05F9-9C4D-4A7C-A26E-B71FEB9A4D8D}">
  <dimension ref="B2:U32"/>
  <sheetViews>
    <sheetView tabSelected="1" zoomScale="60" zoomScaleNormal="60" workbookViewId="0">
      <selection activeCell="AC7" sqref="AC7"/>
    </sheetView>
  </sheetViews>
  <sheetFormatPr defaultColWidth="11.42578125" defaultRowHeight="26.25"/>
  <cols>
    <col min="1" max="1" width="6.140625" style="1" customWidth="1"/>
    <col min="2" max="2" width="12.140625" style="1" customWidth="1"/>
    <col min="3" max="3" width="28.28515625" style="1" customWidth="1"/>
    <col min="4" max="4" width="15.28515625" style="1" customWidth="1"/>
    <col min="5" max="5" width="22.42578125" style="1" bestFit="1" customWidth="1"/>
    <col min="6" max="6" width="22.42578125" style="1" customWidth="1"/>
    <col min="7" max="8" width="32" style="1" customWidth="1"/>
    <col min="9" max="9" width="63.28515625" style="1" customWidth="1"/>
    <col min="10" max="10" width="38.140625" style="1" customWidth="1"/>
    <col min="11" max="11" width="58.42578125" style="1" customWidth="1"/>
    <col min="12" max="12" width="30.140625" style="1" customWidth="1"/>
    <col min="13" max="13" width="23.28515625" style="1" customWidth="1"/>
    <col min="14" max="14" width="27.140625" style="1" customWidth="1"/>
    <col min="15" max="15" width="16.28515625" style="1" customWidth="1"/>
    <col min="16" max="16" width="19.28515625" style="1" customWidth="1"/>
    <col min="17" max="17" width="11.85546875" style="1" customWidth="1"/>
    <col min="18" max="18" width="14" style="2" customWidth="1"/>
    <col min="19" max="19" width="26.5703125" style="1" customWidth="1"/>
    <col min="20" max="20" width="32" style="1" customWidth="1"/>
    <col min="21" max="21" width="33.42578125" style="1" customWidth="1"/>
    <col min="22" max="16384" width="11.42578125" style="1"/>
  </cols>
  <sheetData>
    <row r="2" spans="2:21" ht="26.25" customHeight="1">
      <c r="B2" s="50" t="s">
        <v>140</v>
      </c>
      <c r="C2" s="50"/>
      <c r="D2" s="50"/>
      <c r="E2" s="50"/>
      <c r="F2" s="50"/>
      <c r="G2" s="50"/>
      <c r="H2" s="50"/>
      <c r="I2" s="50"/>
      <c r="J2" s="50"/>
      <c r="K2" s="50"/>
      <c r="L2" s="50"/>
      <c r="M2" s="50"/>
      <c r="N2" s="50"/>
      <c r="O2" s="50"/>
      <c r="P2" s="50"/>
      <c r="Q2" s="50"/>
      <c r="R2" s="50"/>
      <c r="S2" s="50"/>
      <c r="T2" s="50"/>
      <c r="U2" s="50"/>
    </row>
    <row r="3" spans="2:21" ht="37.5" customHeight="1"/>
    <row r="4" spans="2:21" ht="41.25" customHeight="1">
      <c r="B4" s="22"/>
      <c r="C4" s="76" t="s">
        <v>1</v>
      </c>
      <c r="D4" s="76"/>
      <c r="E4" s="76"/>
      <c r="F4" s="65" t="s">
        <v>2</v>
      </c>
      <c r="G4" s="76" t="s">
        <v>3</v>
      </c>
      <c r="H4" s="76" t="s">
        <v>4</v>
      </c>
      <c r="I4" s="76"/>
      <c r="J4" s="76"/>
      <c r="K4" s="23" t="s">
        <v>5</v>
      </c>
      <c r="L4" s="23" t="s">
        <v>6</v>
      </c>
      <c r="M4" s="65" t="s">
        <v>7</v>
      </c>
      <c r="N4" s="65" t="s">
        <v>8</v>
      </c>
      <c r="O4" s="65" t="s">
        <v>9</v>
      </c>
      <c r="P4" s="73" t="s">
        <v>10</v>
      </c>
      <c r="Q4" s="74"/>
      <c r="R4" s="75"/>
      <c r="S4" s="73" t="s">
        <v>11</v>
      </c>
      <c r="T4" s="74"/>
      <c r="U4" s="75"/>
    </row>
    <row r="5" spans="2:21" ht="114" customHeight="1">
      <c r="B5" s="23" t="s">
        <v>12</v>
      </c>
      <c r="C5" s="24" t="s">
        <v>13</v>
      </c>
      <c r="D5" s="24" t="s">
        <v>14</v>
      </c>
      <c r="E5" s="24" t="s">
        <v>15</v>
      </c>
      <c r="F5" s="66"/>
      <c r="G5" s="76"/>
      <c r="H5" s="23" t="s">
        <v>16</v>
      </c>
      <c r="I5" s="23" t="s">
        <v>17</v>
      </c>
      <c r="J5" s="23" t="s">
        <v>18</v>
      </c>
      <c r="K5" s="23" t="s">
        <v>19</v>
      </c>
      <c r="L5" s="23" t="s">
        <v>20</v>
      </c>
      <c r="M5" s="66"/>
      <c r="N5" s="66"/>
      <c r="O5" s="66"/>
      <c r="P5" s="23" t="s">
        <v>7</v>
      </c>
      <c r="Q5" s="23" t="s">
        <v>21</v>
      </c>
      <c r="R5" s="23" t="s">
        <v>22</v>
      </c>
      <c r="S5" s="23" t="s">
        <v>23</v>
      </c>
      <c r="T5" s="23" t="s">
        <v>24</v>
      </c>
      <c r="U5" s="23" t="s">
        <v>25</v>
      </c>
    </row>
    <row r="6" spans="2:21" ht="266.25" customHeight="1">
      <c r="B6" s="56">
        <v>1</v>
      </c>
      <c r="C6" s="77" t="s">
        <v>26</v>
      </c>
      <c r="D6" s="78"/>
      <c r="E6" s="77"/>
      <c r="F6" s="78"/>
      <c r="G6" s="78"/>
      <c r="H6" s="71"/>
      <c r="I6" s="71"/>
      <c r="J6" s="71"/>
      <c r="K6" s="85"/>
      <c r="L6" s="3"/>
      <c r="M6" s="4"/>
      <c r="N6" s="5"/>
      <c r="O6" s="4"/>
      <c r="P6" s="6"/>
      <c r="Q6" s="4">
        <v>3</v>
      </c>
      <c r="R6" s="4">
        <f>+O6*Q6</f>
        <v>0</v>
      </c>
      <c r="S6" s="7">
        <f>12000000*1.68/30</f>
        <v>672000</v>
      </c>
      <c r="T6" s="7">
        <f>+S6*R6</f>
        <v>0</v>
      </c>
      <c r="U6" s="53">
        <f>SUM(T6:T8)</f>
        <v>0</v>
      </c>
    </row>
    <row r="7" spans="2:21" ht="266.25" customHeight="1">
      <c r="B7" s="57"/>
      <c r="C7" s="86"/>
      <c r="D7" s="87"/>
      <c r="E7" s="86"/>
      <c r="F7" s="87"/>
      <c r="G7" s="87"/>
      <c r="H7" s="72"/>
      <c r="I7" s="72"/>
      <c r="J7" s="72"/>
      <c r="K7" s="72"/>
      <c r="L7" s="8"/>
      <c r="M7" s="4"/>
      <c r="N7" s="6"/>
      <c r="O7" s="4"/>
      <c r="P7" s="6"/>
      <c r="Q7" s="4">
        <v>12</v>
      </c>
      <c r="R7" s="4">
        <f t="shared" ref="R7:R14" si="0">+O7*Q7</f>
        <v>0</v>
      </c>
      <c r="S7" s="7">
        <f>12000000*1.68/30</f>
        <v>672000</v>
      </c>
      <c r="T7" s="9">
        <f>+R7*S7</f>
        <v>0</v>
      </c>
      <c r="U7" s="54"/>
    </row>
    <row r="8" spans="2:21" ht="266.25" customHeight="1">
      <c r="B8" s="58"/>
      <c r="C8" s="86"/>
      <c r="D8" s="87"/>
      <c r="E8" s="86"/>
      <c r="F8" s="87"/>
      <c r="G8" s="87"/>
      <c r="H8" s="72"/>
      <c r="I8" s="72"/>
      <c r="J8" s="72"/>
      <c r="K8" s="72"/>
      <c r="L8" s="8"/>
      <c r="M8" s="4"/>
      <c r="N8" s="5"/>
      <c r="O8" s="4"/>
      <c r="P8" s="6"/>
      <c r="Q8" s="4">
        <v>25</v>
      </c>
      <c r="R8" s="4">
        <f t="shared" si="0"/>
        <v>0</v>
      </c>
      <c r="S8" s="7">
        <f>4800000*1.68/30</f>
        <v>268800</v>
      </c>
      <c r="T8" s="9">
        <f>+R8*S8</f>
        <v>0</v>
      </c>
      <c r="U8" s="55"/>
    </row>
    <row r="9" spans="2:21" ht="271.5" customHeight="1">
      <c r="B9" s="56">
        <v>2</v>
      </c>
      <c r="C9" s="59" t="s">
        <v>41</v>
      </c>
      <c r="D9" s="60"/>
      <c r="E9" s="59"/>
      <c r="F9" s="60"/>
      <c r="G9" s="60"/>
      <c r="H9" s="70"/>
      <c r="I9" s="70"/>
      <c r="J9" s="70"/>
      <c r="K9" s="70"/>
      <c r="L9" s="10"/>
      <c r="M9" s="10"/>
      <c r="N9" s="10"/>
      <c r="O9" s="10"/>
      <c r="P9" s="10"/>
      <c r="Q9" s="4">
        <v>1</v>
      </c>
      <c r="R9" s="4">
        <f t="shared" si="0"/>
        <v>0</v>
      </c>
      <c r="S9" s="7">
        <f>12000000*1.68/30</f>
        <v>672000</v>
      </c>
      <c r="T9" s="7">
        <f>+S9*R9</f>
        <v>0</v>
      </c>
      <c r="U9" s="53">
        <f>SUM(T9:T11)</f>
        <v>0</v>
      </c>
    </row>
    <row r="10" spans="2:21" ht="342.75" customHeight="1">
      <c r="B10" s="57"/>
      <c r="C10" s="59"/>
      <c r="D10" s="60"/>
      <c r="E10" s="59"/>
      <c r="F10" s="60"/>
      <c r="G10" s="60"/>
      <c r="H10" s="70"/>
      <c r="I10" s="70"/>
      <c r="J10" s="70"/>
      <c r="K10" s="70"/>
      <c r="L10" s="10"/>
      <c r="M10" s="10"/>
      <c r="N10" s="10"/>
      <c r="O10" s="10"/>
      <c r="P10" s="10"/>
      <c r="Q10" s="4">
        <v>10</v>
      </c>
      <c r="R10" s="4">
        <f t="shared" si="0"/>
        <v>0</v>
      </c>
      <c r="S10" s="7">
        <f>+S9</f>
        <v>672000</v>
      </c>
      <c r="T10" s="9">
        <f>+R10*S10</f>
        <v>0</v>
      </c>
      <c r="U10" s="54"/>
    </row>
    <row r="11" spans="2:21" ht="195" customHeight="1">
      <c r="B11" s="58"/>
      <c r="C11" s="59"/>
      <c r="D11" s="60"/>
      <c r="E11" s="59"/>
      <c r="F11" s="60"/>
      <c r="G11" s="60"/>
      <c r="H11" s="70"/>
      <c r="I11" s="70"/>
      <c r="J11" s="70"/>
      <c r="K11" s="70"/>
      <c r="L11" s="10"/>
      <c r="M11" s="10"/>
      <c r="N11" s="10"/>
      <c r="O11" s="10"/>
      <c r="P11" s="10"/>
      <c r="Q11" s="4">
        <v>10</v>
      </c>
      <c r="R11" s="4">
        <f t="shared" si="0"/>
        <v>0</v>
      </c>
      <c r="S11" s="7">
        <f>+S10</f>
        <v>672000</v>
      </c>
      <c r="T11" s="9">
        <f>+R11*S11</f>
        <v>0</v>
      </c>
      <c r="U11" s="55"/>
    </row>
    <row r="12" spans="2:21" ht="302.25" customHeight="1">
      <c r="B12" s="56">
        <v>3</v>
      </c>
      <c r="C12" s="59" t="s">
        <v>56</v>
      </c>
      <c r="D12" s="60"/>
      <c r="E12" s="59"/>
      <c r="F12" s="60"/>
      <c r="G12" s="60"/>
      <c r="H12" s="52"/>
      <c r="I12" s="52"/>
      <c r="J12" s="52"/>
      <c r="K12" s="52"/>
      <c r="L12" s="6"/>
      <c r="M12" s="67"/>
      <c r="N12" s="8"/>
      <c r="O12" s="10"/>
      <c r="P12" s="10"/>
      <c r="Q12" s="4">
        <v>1</v>
      </c>
      <c r="R12" s="4">
        <f t="shared" si="0"/>
        <v>0</v>
      </c>
      <c r="S12" s="7">
        <f>12000000*1.68/30</f>
        <v>672000</v>
      </c>
      <c r="T12" s="7">
        <f>+S12*R12</f>
        <v>0</v>
      </c>
      <c r="U12" s="53">
        <f>SUM(T12:T14)</f>
        <v>0</v>
      </c>
    </row>
    <row r="13" spans="2:21" ht="302.25" customHeight="1">
      <c r="B13" s="57"/>
      <c r="C13" s="59"/>
      <c r="D13" s="60"/>
      <c r="E13" s="59"/>
      <c r="F13" s="60"/>
      <c r="G13" s="60"/>
      <c r="H13" s="52"/>
      <c r="I13" s="52"/>
      <c r="J13" s="52"/>
      <c r="K13" s="52"/>
      <c r="L13" s="12"/>
      <c r="M13" s="68"/>
      <c r="N13" s="8"/>
      <c r="O13" s="10"/>
      <c r="P13" s="10"/>
      <c r="Q13" s="4">
        <v>10</v>
      </c>
      <c r="R13" s="4">
        <f t="shared" si="0"/>
        <v>0</v>
      </c>
      <c r="S13" s="7">
        <f>+S12</f>
        <v>672000</v>
      </c>
      <c r="T13" s="9">
        <f>+R13*S13</f>
        <v>0</v>
      </c>
      <c r="U13" s="54"/>
    </row>
    <row r="14" spans="2:21" ht="302.25" customHeight="1">
      <c r="B14" s="57"/>
      <c r="C14" s="59"/>
      <c r="D14" s="60"/>
      <c r="E14" s="59"/>
      <c r="F14" s="60"/>
      <c r="G14" s="60"/>
      <c r="H14" s="52"/>
      <c r="I14" s="52"/>
      <c r="J14" s="52"/>
      <c r="K14" s="52"/>
      <c r="L14" s="4"/>
      <c r="M14" s="69"/>
      <c r="N14" s="8"/>
      <c r="O14" s="10"/>
      <c r="P14" s="10"/>
      <c r="Q14" s="4">
        <v>10</v>
      </c>
      <c r="R14" s="4">
        <f t="shared" si="0"/>
        <v>0</v>
      </c>
      <c r="S14" s="7">
        <f>+S13</f>
        <v>672000</v>
      </c>
      <c r="T14" s="9">
        <f>+R14*S14</f>
        <v>0</v>
      </c>
      <c r="U14" s="55"/>
    </row>
    <row r="15" spans="2:21" ht="302.25" customHeight="1">
      <c r="B15" s="62">
        <v>4</v>
      </c>
      <c r="C15" s="88" t="s">
        <v>69</v>
      </c>
      <c r="D15" s="47"/>
      <c r="E15" s="91"/>
      <c r="F15" s="47"/>
      <c r="G15" s="47"/>
      <c r="H15" s="44"/>
      <c r="I15" s="44"/>
      <c r="J15" s="44"/>
      <c r="K15" s="41"/>
      <c r="L15" s="33"/>
      <c r="M15" s="31"/>
      <c r="N15" s="30"/>
      <c r="O15" s="32"/>
      <c r="P15" s="32"/>
      <c r="Q15" s="27">
        <v>30</v>
      </c>
      <c r="R15" s="27">
        <f>+Q15*O15</f>
        <v>0</v>
      </c>
      <c r="S15" s="28">
        <f>6000000*1.68/30</f>
        <v>336000</v>
      </c>
      <c r="T15" s="29">
        <f>+S15*R15</f>
        <v>0</v>
      </c>
      <c r="U15" s="94">
        <f>SUM(T15:T17)</f>
        <v>0</v>
      </c>
    </row>
    <row r="16" spans="2:21" ht="302.25" customHeight="1">
      <c r="B16" s="63"/>
      <c r="C16" s="89"/>
      <c r="D16" s="48"/>
      <c r="E16" s="92"/>
      <c r="F16" s="48"/>
      <c r="G16" s="48"/>
      <c r="H16" s="45"/>
      <c r="I16" s="45"/>
      <c r="J16" s="45"/>
      <c r="K16" s="42"/>
      <c r="L16" s="34"/>
      <c r="M16" s="31"/>
      <c r="N16" s="31"/>
      <c r="O16" s="32"/>
      <c r="P16" s="32"/>
      <c r="Q16" s="27">
        <v>2</v>
      </c>
      <c r="R16" s="27">
        <f>+Q16*O16</f>
        <v>0</v>
      </c>
      <c r="S16" s="28">
        <v>268800</v>
      </c>
      <c r="T16" s="29">
        <f t="shared" ref="T16:T17" si="1">+S16*R16</f>
        <v>0</v>
      </c>
      <c r="U16" s="95"/>
    </row>
    <row r="17" spans="2:21" ht="302.25" customHeight="1">
      <c r="B17" s="64"/>
      <c r="C17" s="90"/>
      <c r="D17" s="49"/>
      <c r="E17" s="93"/>
      <c r="F17" s="49"/>
      <c r="G17" s="49"/>
      <c r="H17" s="46"/>
      <c r="I17" s="46"/>
      <c r="J17" s="46"/>
      <c r="K17" s="43"/>
      <c r="L17" s="35"/>
      <c r="M17" s="31"/>
      <c r="N17" s="31"/>
      <c r="O17" s="32"/>
      <c r="P17" s="32"/>
      <c r="Q17" s="27">
        <v>30</v>
      </c>
      <c r="R17" s="27">
        <f t="shared" ref="R17" si="2">+O17*Q17</f>
        <v>0</v>
      </c>
      <c r="S17" s="28">
        <v>336000</v>
      </c>
      <c r="T17" s="29">
        <f t="shared" si="1"/>
        <v>0</v>
      </c>
      <c r="U17" s="95"/>
    </row>
    <row r="18" spans="2:21" ht="266.25" customHeight="1">
      <c r="B18" s="57">
        <v>5</v>
      </c>
      <c r="C18" s="59" t="s">
        <v>83</v>
      </c>
      <c r="D18" s="60"/>
      <c r="E18" s="59"/>
      <c r="F18" s="60"/>
      <c r="G18" s="60"/>
      <c r="H18" s="52"/>
      <c r="I18" s="52"/>
      <c r="J18" s="52"/>
      <c r="K18" s="61"/>
      <c r="L18" s="3"/>
      <c r="M18" s="8"/>
      <c r="N18" s="13"/>
      <c r="O18" s="8"/>
      <c r="P18" s="6"/>
      <c r="Q18" s="4">
        <v>3</v>
      </c>
      <c r="R18" s="4">
        <v>7</v>
      </c>
      <c r="S18" s="14">
        <f>(6000000/2+4500000/2+2800000)*1.68/30</f>
        <v>450800</v>
      </c>
      <c r="T18" s="15">
        <f>+S18*R18</f>
        <v>3155600</v>
      </c>
      <c r="U18" s="51">
        <f>+T18+T19+T20</f>
        <v>4386533.333333334</v>
      </c>
    </row>
    <row r="19" spans="2:21" ht="266.25" customHeight="1">
      <c r="B19" s="57"/>
      <c r="C19" s="59"/>
      <c r="D19" s="60"/>
      <c r="E19" s="59"/>
      <c r="F19" s="60"/>
      <c r="G19" s="60"/>
      <c r="H19" s="52"/>
      <c r="I19" s="52"/>
      <c r="J19" s="52"/>
      <c r="K19" s="52"/>
      <c r="L19" s="16"/>
      <c r="M19" s="8"/>
      <c r="N19" s="6"/>
      <c r="O19" s="8"/>
      <c r="P19" s="6"/>
      <c r="Q19" s="4">
        <v>1</v>
      </c>
      <c r="R19" s="4">
        <v>2</v>
      </c>
      <c r="S19" s="14">
        <f>3800000*1.68/30+2000000/30</f>
        <v>279466.66666666669</v>
      </c>
      <c r="T19" s="15">
        <f t="shared" ref="T19:T20" si="3">+S19*R19</f>
        <v>558933.33333333337</v>
      </c>
      <c r="U19" s="52"/>
    </row>
    <row r="20" spans="2:21" ht="266.25" customHeight="1">
      <c r="B20" s="58"/>
      <c r="C20" s="59"/>
      <c r="D20" s="60"/>
      <c r="E20" s="59"/>
      <c r="F20" s="60"/>
      <c r="G20" s="60"/>
      <c r="H20" s="52"/>
      <c r="I20" s="52"/>
      <c r="J20" s="52"/>
      <c r="K20" s="52"/>
      <c r="L20" s="16"/>
      <c r="M20" s="8"/>
      <c r="N20" s="6"/>
      <c r="O20" s="8"/>
      <c r="P20" s="6"/>
      <c r="Q20" s="4">
        <v>30</v>
      </c>
      <c r="R20" s="4">
        <v>2</v>
      </c>
      <c r="S20" s="14">
        <f t="shared" ref="S20" si="4">6000000*1.68/30</f>
        <v>336000</v>
      </c>
      <c r="T20" s="15">
        <f t="shared" si="3"/>
        <v>672000</v>
      </c>
      <c r="U20" s="52"/>
    </row>
    <row r="21" spans="2:21" ht="266.25" customHeight="1">
      <c r="B21" s="56">
        <v>6</v>
      </c>
      <c r="C21" s="59" t="s">
        <v>98</v>
      </c>
      <c r="D21" s="60"/>
      <c r="E21" s="59"/>
      <c r="F21" s="60"/>
      <c r="G21" s="60"/>
      <c r="H21" s="52"/>
      <c r="I21" s="52"/>
      <c r="J21" s="52"/>
      <c r="K21" s="52"/>
      <c r="L21" s="6"/>
      <c r="M21" s="6"/>
      <c r="N21" s="6"/>
      <c r="O21" s="8"/>
      <c r="P21" s="6"/>
      <c r="Q21" s="4">
        <v>3</v>
      </c>
      <c r="R21" s="4">
        <f>+Q21*O21</f>
        <v>0</v>
      </c>
      <c r="S21" s="14">
        <f>(6000000/2+4500000/2+2800000)*1.68/30</f>
        <v>450800</v>
      </c>
      <c r="T21" s="15">
        <f>+S21*R21</f>
        <v>0</v>
      </c>
      <c r="U21" s="51">
        <f>+T21+T22+T23</f>
        <v>0</v>
      </c>
    </row>
    <row r="22" spans="2:21" ht="266.25" customHeight="1">
      <c r="B22" s="57"/>
      <c r="C22" s="59"/>
      <c r="D22" s="60"/>
      <c r="E22" s="59"/>
      <c r="F22" s="60"/>
      <c r="G22" s="60"/>
      <c r="H22" s="52"/>
      <c r="I22" s="52"/>
      <c r="J22" s="52"/>
      <c r="K22" s="52"/>
      <c r="L22" s="6"/>
      <c r="M22" s="6"/>
      <c r="N22" s="6"/>
      <c r="O22" s="8"/>
      <c r="P22" s="6"/>
      <c r="Q22" s="4">
        <v>1</v>
      </c>
      <c r="R22" s="4">
        <f>+Q22*O22</f>
        <v>0</v>
      </c>
      <c r="S22" s="14">
        <f>3800000*1.68/30+2000000/30</f>
        <v>279466.66666666669</v>
      </c>
      <c r="T22" s="15">
        <f>+S22*R22</f>
        <v>0</v>
      </c>
      <c r="U22" s="52"/>
    </row>
    <row r="23" spans="2:21" ht="266.25" customHeight="1">
      <c r="B23" s="58"/>
      <c r="C23" s="59"/>
      <c r="D23" s="60"/>
      <c r="E23" s="59"/>
      <c r="F23" s="60"/>
      <c r="G23" s="60"/>
      <c r="H23" s="52"/>
      <c r="I23" s="52"/>
      <c r="J23" s="52"/>
      <c r="K23" s="52"/>
      <c r="L23" s="6"/>
      <c r="M23" s="6"/>
      <c r="N23" s="6"/>
      <c r="O23" s="8"/>
      <c r="P23" s="6"/>
      <c r="Q23" s="4">
        <v>30</v>
      </c>
      <c r="R23" s="4">
        <f>+Q23*O23</f>
        <v>0</v>
      </c>
      <c r="S23" s="14">
        <f t="shared" ref="S23" si="5">6000000*1.68/30</f>
        <v>336000</v>
      </c>
      <c r="T23" s="15">
        <f t="shared" ref="T23:T25" si="6">+S23*R23</f>
        <v>0</v>
      </c>
      <c r="U23" s="52"/>
    </row>
    <row r="24" spans="2:21" ht="266.25" customHeight="1">
      <c r="B24" s="56">
        <v>7</v>
      </c>
      <c r="C24" s="59" t="s">
        <v>112</v>
      </c>
      <c r="D24" s="60"/>
      <c r="E24" s="59"/>
      <c r="F24" s="60"/>
      <c r="G24" s="60"/>
      <c r="H24" s="52"/>
      <c r="I24" s="52"/>
      <c r="J24" s="52"/>
      <c r="K24" s="61"/>
      <c r="L24" s="6"/>
      <c r="M24" s="8"/>
      <c r="N24" s="6"/>
      <c r="O24" s="8"/>
      <c r="P24" s="6"/>
      <c r="Q24" s="4">
        <v>1.25</v>
      </c>
      <c r="R24" s="4">
        <f>+O24*Q24</f>
        <v>0</v>
      </c>
      <c r="S24" s="14">
        <f>(5000000+12000000*0.15)*1.68/30</f>
        <v>380800</v>
      </c>
      <c r="T24" s="15">
        <f t="shared" si="6"/>
        <v>0</v>
      </c>
      <c r="U24" s="51">
        <f>SUM(T24:T26)</f>
        <v>4590000</v>
      </c>
    </row>
    <row r="25" spans="2:21" ht="266.25" customHeight="1">
      <c r="B25" s="57"/>
      <c r="C25" s="59"/>
      <c r="D25" s="60"/>
      <c r="E25" s="59"/>
      <c r="F25" s="60"/>
      <c r="G25" s="60"/>
      <c r="H25" s="52"/>
      <c r="I25" s="52"/>
      <c r="J25" s="52"/>
      <c r="K25" s="52"/>
      <c r="L25" s="6"/>
      <c r="M25" s="8"/>
      <c r="N25" s="6"/>
      <c r="O25" s="8"/>
      <c r="P25" s="6"/>
      <c r="Q25" s="4">
        <v>6</v>
      </c>
      <c r="R25" s="4">
        <v>1</v>
      </c>
      <c r="S25" s="14">
        <f>170*4500*Q25</f>
        <v>4590000</v>
      </c>
      <c r="T25" s="15">
        <f t="shared" si="6"/>
        <v>4590000</v>
      </c>
      <c r="U25" s="52"/>
    </row>
    <row r="26" spans="2:21" ht="266.25" customHeight="1">
      <c r="B26" s="57"/>
      <c r="C26" s="77"/>
      <c r="D26" s="78"/>
      <c r="E26" s="77"/>
      <c r="F26" s="78"/>
      <c r="G26" s="78"/>
      <c r="H26" s="71"/>
      <c r="I26" s="71"/>
      <c r="J26" s="71"/>
      <c r="K26" s="71"/>
      <c r="L26" s="20"/>
      <c r="M26" s="11"/>
      <c r="N26" s="21"/>
      <c r="O26" s="11"/>
      <c r="P26" s="20"/>
      <c r="Q26" s="25">
        <v>6</v>
      </c>
      <c r="R26" s="25">
        <f>+O26*Q26</f>
        <v>0</v>
      </c>
      <c r="S26" s="39">
        <f>+S24</f>
        <v>380800</v>
      </c>
      <c r="T26" s="40">
        <f>+R26*S26</f>
        <v>0</v>
      </c>
      <c r="U26" s="71"/>
    </row>
    <row r="27" spans="2:21" ht="266.25" customHeight="1">
      <c r="B27" s="79">
        <v>8</v>
      </c>
      <c r="C27" s="80" t="s">
        <v>127</v>
      </c>
      <c r="D27" s="81"/>
      <c r="E27" s="80"/>
      <c r="F27" s="81"/>
      <c r="G27" s="81"/>
      <c r="H27" s="83"/>
      <c r="I27" s="83"/>
      <c r="J27" s="83"/>
      <c r="K27" s="84"/>
      <c r="L27" s="17"/>
      <c r="M27" s="18"/>
      <c r="N27" s="19"/>
      <c r="O27" s="18"/>
      <c r="P27" s="36"/>
      <c r="Q27" s="26">
        <v>4</v>
      </c>
      <c r="R27" s="26">
        <f>+O27*Q27</f>
        <v>0</v>
      </c>
      <c r="S27" s="37">
        <v>2500000</v>
      </c>
      <c r="T27" s="38">
        <f>+R27*S27</f>
        <v>0</v>
      </c>
      <c r="U27" s="82">
        <f>+T27+T28+T29</f>
        <v>0</v>
      </c>
    </row>
    <row r="28" spans="2:21" ht="266.25" customHeight="1">
      <c r="B28" s="79"/>
      <c r="C28" s="80"/>
      <c r="D28" s="81"/>
      <c r="E28" s="80"/>
      <c r="F28" s="81"/>
      <c r="G28" s="81"/>
      <c r="H28" s="83"/>
      <c r="I28" s="83"/>
      <c r="J28" s="83"/>
      <c r="K28" s="83"/>
      <c r="L28" s="17"/>
      <c r="M28" s="18"/>
      <c r="N28" s="17"/>
      <c r="O28" s="18"/>
      <c r="P28" s="36"/>
      <c r="Q28" s="26">
        <v>4</v>
      </c>
      <c r="R28" s="26">
        <f>+O28*Q28</f>
        <v>0</v>
      </c>
      <c r="S28" s="37">
        <f>(5000000+12000000*0.15)*1.68/30</f>
        <v>380800</v>
      </c>
      <c r="T28" s="38">
        <f>+R28*S28</f>
        <v>0</v>
      </c>
      <c r="U28" s="83"/>
    </row>
    <row r="29" spans="2:21" ht="266.25" customHeight="1">
      <c r="B29" s="79"/>
      <c r="C29" s="80"/>
      <c r="D29" s="81"/>
      <c r="E29" s="80"/>
      <c r="F29" s="81"/>
      <c r="G29" s="81"/>
      <c r="H29" s="83"/>
      <c r="I29" s="83"/>
      <c r="J29" s="83"/>
      <c r="K29" s="83"/>
      <c r="L29" s="17"/>
      <c r="M29" s="18"/>
      <c r="N29" s="17"/>
      <c r="O29" s="18"/>
      <c r="P29" s="36"/>
      <c r="Q29" s="26">
        <v>1</v>
      </c>
      <c r="R29" s="26">
        <f>+O29*Q29</f>
        <v>0</v>
      </c>
      <c r="S29" s="37">
        <f>(5000000+12000000*0.15)*1.68/30</f>
        <v>380800</v>
      </c>
      <c r="T29" s="38">
        <f>+R29*S29</f>
        <v>0</v>
      </c>
      <c r="U29" s="83"/>
    </row>
    <row r="30" spans="2:21" ht="306.75" customHeight="1">
      <c r="R30" s="1"/>
    </row>
    <row r="31" spans="2:21" ht="157.5" customHeight="1">
      <c r="R31" s="1"/>
    </row>
    <row r="32" spans="2:21">
      <c r="R32" s="1"/>
    </row>
  </sheetData>
  <mergeCells count="99">
    <mergeCell ref="H27:H29"/>
    <mergeCell ref="I27:I29"/>
    <mergeCell ref="J27:J29"/>
    <mergeCell ref="K27:K29"/>
    <mergeCell ref="U27:U29"/>
    <mergeCell ref="B27:B29"/>
    <mergeCell ref="C27:C29"/>
    <mergeCell ref="D27:D29"/>
    <mergeCell ref="E27:E29"/>
    <mergeCell ref="F27:F29"/>
    <mergeCell ref="G27:G29"/>
    <mergeCell ref="G24:G26"/>
    <mergeCell ref="H24:H26"/>
    <mergeCell ref="I24:I26"/>
    <mergeCell ref="J24:J26"/>
    <mergeCell ref="K24:K26"/>
    <mergeCell ref="U24:U26"/>
    <mergeCell ref="H21:H23"/>
    <mergeCell ref="I21:I23"/>
    <mergeCell ref="J21:J23"/>
    <mergeCell ref="K21:K23"/>
    <mergeCell ref="U21:U23"/>
    <mergeCell ref="B24:B26"/>
    <mergeCell ref="C24:C26"/>
    <mergeCell ref="D24:D26"/>
    <mergeCell ref="E24:E26"/>
    <mergeCell ref="F24:F26"/>
    <mergeCell ref="B21:B23"/>
    <mergeCell ref="C21:C23"/>
    <mergeCell ref="D21:D23"/>
    <mergeCell ref="E21:E23"/>
    <mergeCell ref="F21:F23"/>
    <mergeCell ref="G21:G23"/>
    <mergeCell ref="G18:G20"/>
    <mergeCell ref="H18:H20"/>
    <mergeCell ref="I18:I20"/>
    <mergeCell ref="J18:J20"/>
    <mergeCell ref="K18:K20"/>
    <mergeCell ref="U18:U20"/>
    <mergeCell ref="H15:H17"/>
    <mergeCell ref="I15:I17"/>
    <mergeCell ref="J15:J17"/>
    <mergeCell ref="K15:K17"/>
    <mergeCell ref="U15:U17"/>
    <mergeCell ref="B18:B20"/>
    <mergeCell ref="C18:C20"/>
    <mergeCell ref="D18:D20"/>
    <mergeCell ref="E18:E20"/>
    <mergeCell ref="F18:F20"/>
    <mergeCell ref="B15:B17"/>
    <mergeCell ref="C15:C17"/>
    <mergeCell ref="D15:D17"/>
    <mergeCell ref="E15:E17"/>
    <mergeCell ref="F15:F17"/>
    <mergeCell ref="G15:G17"/>
    <mergeCell ref="H12:H14"/>
    <mergeCell ref="I12:I14"/>
    <mergeCell ref="J12:J14"/>
    <mergeCell ref="K12:K14"/>
    <mergeCell ref="M12:M14"/>
    <mergeCell ref="U12:U14"/>
    <mergeCell ref="B12:B14"/>
    <mergeCell ref="C12:C14"/>
    <mergeCell ref="D12:D14"/>
    <mergeCell ref="E12:E14"/>
    <mergeCell ref="F12:F14"/>
    <mergeCell ref="G12:G14"/>
    <mergeCell ref="G9:G11"/>
    <mergeCell ref="H9:H11"/>
    <mergeCell ref="I9:I11"/>
    <mergeCell ref="J9:J11"/>
    <mergeCell ref="K9:K11"/>
    <mergeCell ref="U9:U11"/>
    <mergeCell ref="H6:H8"/>
    <mergeCell ref="I6:I8"/>
    <mergeCell ref="J6:J8"/>
    <mergeCell ref="K6:K8"/>
    <mergeCell ref="U6:U8"/>
    <mergeCell ref="B9:B11"/>
    <mergeCell ref="C9:C11"/>
    <mergeCell ref="D9:D11"/>
    <mergeCell ref="E9:E11"/>
    <mergeCell ref="F9:F11"/>
    <mergeCell ref="B6:B8"/>
    <mergeCell ref="C6:C8"/>
    <mergeCell ref="D6:D8"/>
    <mergeCell ref="E6:E8"/>
    <mergeCell ref="F6:F8"/>
    <mergeCell ref="G6:G8"/>
    <mergeCell ref="B2:U2"/>
    <mergeCell ref="C4:E4"/>
    <mergeCell ref="F4:F5"/>
    <mergeCell ref="G4:G5"/>
    <mergeCell ref="H4:J4"/>
    <mergeCell ref="M4:M5"/>
    <mergeCell ref="N4:N5"/>
    <mergeCell ref="O4:O5"/>
    <mergeCell ref="P4:R4"/>
    <mergeCell ref="S4:U4"/>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401880-d17f-4d05-8e46-210b944fd776">
      <Terms xmlns="http://schemas.microsoft.com/office/infopath/2007/PartnerControls"/>
    </lcf76f155ced4ddcb4097134ff3c332f>
    <TaxCatchAll xmlns="5d17b3f5-9a5f-40ba-8d31-66b548f643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C1E8EE2B813504D96523E43E9871D35" ma:contentTypeVersion="13" ma:contentTypeDescription="Crear nuevo documento." ma:contentTypeScope="" ma:versionID="ccb3e13f9ca98e628f9964a67574f25c">
  <xsd:schema xmlns:xsd="http://www.w3.org/2001/XMLSchema" xmlns:xs="http://www.w3.org/2001/XMLSchema" xmlns:p="http://schemas.microsoft.com/office/2006/metadata/properties" xmlns:ns2="eb401880-d17f-4d05-8e46-210b944fd776" xmlns:ns3="5d17b3f5-9a5f-40ba-8d31-66b548f64306" targetNamespace="http://schemas.microsoft.com/office/2006/metadata/properties" ma:root="true" ma:fieldsID="d6013e0c5e3062546e97a7a3c8156c65" ns2:_="" ns3:_="">
    <xsd:import namespace="eb401880-d17f-4d05-8e46-210b944fd776"/>
    <xsd:import namespace="5d17b3f5-9a5f-40ba-8d31-66b548f6430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01880-d17f-4d05-8e46-210b944fd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17b3f5-9a5f-40ba-8d31-66b548f6430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ac5fd7c-e090-4b42-ba43-0e4c12724031}" ma:internalName="TaxCatchAll" ma:showField="CatchAllData" ma:web="5d17b3f5-9a5f-40ba-8d31-66b548f6430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DCA31-DFEE-483C-8B05-4A4C2E7B7B52}"/>
</file>

<file path=customXml/itemProps2.xml><?xml version="1.0" encoding="utf-8"?>
<ds:datastoreItem xmlns:ds="http://schemas.openxmlformats.org/officeDocument/2006/customXml" ds:itemID="{5323B713-6C24-494C-96C9-944926B5497E}"/>
</file>

<file path=customXml/itemProps3.xml><?xml version="1.0" encoding="utf-8"?>
<ds:datastoreItem xmlns:ds="http://schemas.openxmlformats.org/officeDocument/2006/customXml" ds:itemID="{5DC07014-B60A-4280-969C-AC6E7C33BD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Piedad Gallego</dc:creator>
  <cp:keywords/>
  <dc:description/>
  <cp:lastModifiedBy>JUAN FERNANDO BERRIO HERRERA</cp:lastModifiedBy>
  <cp:revision/>
  <dcterms:created xsi:type="dcterms:W3CDTF">2023-06-25T20:40:54Z</dcterms:created>
  <dcterms:modified xsi:type="dcterms:W3CDTF">2023-08-08T05:02:21Z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0x0101007C1E8EE2B813504D96523E43E9871D35</vt:lpwstr>
  </property>
  <property fmtid="{D5CDD505-2E9C-101B-9397-08002B2CF9AE}" pid="3" name="MediaServiceImageTags">
    <vt:lpwstr/>
  </property>
</Properties>
</file>