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C:\Users\sonia.quintero\OneDrive - Thermo Fisher Scientific\Documents\MBA\tesis\"/>
    </mc:Choice>
  </mc:AlternateContent>
  <xr:revisionPtr revIDLastSave="0" documentId="13_ncr:1_{121E5642-FECE-4E59-AB22-12D72429ADF6}" xr6:coauthVersionLast="47" xr6:coauthVersionMax="47" xr10:uidLastSave="{00000000-0000-0000-0000-000000000000}"/>
  <bookViews>
    <workbookView xWindow="-110" yWindow="-110" windowWidth="19420" windowHeight="10420" tabRatio="703" activeTab="5"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4" l="1"/>
  <c r="H55" i="6"/>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I2"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H52" i="6" s="1"/>
  <c r="C17" i="5"/>
  <c r="C35" i="5" s="1"/>
  <c r="C36" i="5" s="1"/>
  <c r="H9" i="3"/>
  <c r="J9" i="3" s="1"/>
  <c r="I10" i="3" s="1"/>
  <c r="E35" i="6"/>
  <c r="F35" i="6" s="1"/>
  <c r="D35" i="6"/>
  <c r="C30" i="5"/>
  <c r="C45" i="5"/>
  <c r="H53" i="6" l="1"/>
  <c r="B39" i="5"/>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I12" i="3" s="1"/>
  <c r="D44" i="5"/>
  <c r="E45" i="5"/>
  <c r="E17" i="5"/>
  <c r="E35" i="5" s="1"/>
  <c r="E36" i="5" s="1"/>
  <c r="E31" i="5" l="1"/>
  <c r="E32" i="5" s="1"/>
  <c r="E38" i="5" s="1"/>
  <c r="E22" i="5" s="1"/>
  <c r="E27" i="5" s="1"/>
  <c r="E39" i="5" s="1"/>
  <c r="F12" i="3"/>
  <c r="G12" i="3" s="1"/>
  <c r="F14" i="5" s="1"/>
  <c r="F15" i="5" s="1"/>
  <c r="F16" i="5" s="1"/>
  <c r="F17" i="5" s="1"/>
  <c r="F35" i="5" s="1"/>
  <c r="F36" i="5" s="1"/>
  <c r="D46" i="5"/>
  <c r="D52" i="5" s="1"/>
  <c r="D58" i="5" s="1"/>
  <c r="D59" i="5" s="1"/>
  <c r="E8" i="6" s="1"/>
  <c r="H12" i="3" l="1"/>
  <c r="J12" i="3" s="1"/>
  <c r="F13" i="3" s="1"/>
  <c r="G13" i="3" s="1"/>
  <c r="G14" i="5" s="1"/>
  <c r="G15" i="5" s="1"/>
  <c r="G16" i="5" s="1"/>
  <c r="G17" i="5" s="1"/>
  <c r="F29" i="5"/>
  <c r="F45" i="5" s="1"/>
  <c r="E44" i="5"/>
  <c r="F31" i="5" l="1"/>
  <c r="I13" i="3"/>
  <c r="H13" i="3" s="1"/>
  <c r="J13" i="3" s="1"/>
  <c r="G31" i="5" s="1"/>
  <c r="G29" i="5"/>
  <c r="G45" i="5" s="1"/>
  <c r="F30" i="5"/>
  <c r="E46" i="5"/>
  <c r="E52" i="5" s="1"/>
  <c r="E58" i="5" s="1"/>
  <c r="E59" i="5" s="1"/>
  <c r="F8" i="6" s="1"/>
  <c r="G35" i="5"/>
  <c r="G36" i="5" s="1"/>
  <c r="F32" i="5" l="1"/>
  <c r="F38" i="5" s="1"/>
  <c r="F22" i="5" s="1"/>
  <c r="F44" i="5" s="1"/>
  <c r="F46" i="5" s="1"/>
  <c r="F52" i="5" s="1"/>
  <c r="F58" i="5" s="1"/>
  <c r="F59" i="5" s="1"/>
  <c r="G8" i="6" s="1"/>
  <c r="G30" i="5"/>
  <c r="G32" i="5" s="1"/>
  <c r="G38" i="5" s="1"/>
  <c r="G22" i="5" s="1"/>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<sst xmlns="http://schemas.openxmlformats.org/spreadsheetml/2006/main" count="179" uniqueCount="170">
  <si>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</si>
  <si>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</si>
  <si>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</si>
  <si>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</si>
  <si>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</si>
  <si>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</si>
  <si>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</si>
  <si>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</si>
  <si>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</si>
  <si>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</si>
  <si>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</si>
  <si>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</si>
  <si>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</si>
  <si>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</si>
  <si>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</si>
  <si>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</si>
  <si>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</si>
  <si>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</si>
  <si>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AÑO</t>
  </si>
  <si>
    <t>INFLACIÓN</t>
  </si>
  <si>
    <t>IPP</t>
  </si>
  <si>
    <t>TASA IMPTO RENTA</t>
  </si>
  <si>
    <t>TOTAL</t>
  </si>
  <si>
    <t>COSTOS DE CADA PRODUCTO O SERVICIO</t>
  </si>
  <si>
    <t>NOMBRE DEL PRODUCTO SERVICIO</t>
  </si>
  <si>
    <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</si>
  <si>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</si>
  <si>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</si>
  <si>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</si>
  <si>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</si>
  <si>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</si>
  <si>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</si>
  <si>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</si>
  <si>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</si>
  <si>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</si>
  <si>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</si>
  <si>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</si>
  <si>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</si>
  <si>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</si>
  <si>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</si>
  <si>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</si>
  <si>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</si>
  <si>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</si>
  <si>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</si>
  <si>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</si>
  <si>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</si>
  <si>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</si>
  <si>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</si>
  <si>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</si>
  <si>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</si>
  <si>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</si>
  <si>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</si>
  <si>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</si>
  <si>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</si>
  <si>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</si>
  <si>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</si>
  <si>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</si>
  <si>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</si>
  <si>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</si>
  <si>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polizas de seguro</t>
  </si>
  <si>
    <t>GASTO PUBLICITARIO AÑOS SIGUIENTES</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</si>
  <si>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</si>
  <si>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</si>
  <si>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</si>
  <si>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</si>
  <si>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</si>
  <si>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</si>
  <si>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</si>
  <si>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</si>
  <si>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</si>
  <si>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</si>
  <si>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</si>
  <si>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</si>
  <si>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</si>
  <si>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</si>
  <si>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</si>
  <si>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</si>
  <si>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</si>
  <si>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</si>
  <si>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</si>
  <si>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</si>
  <si>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</si>
  <si>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</si>
  <si>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</si>
  <si>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</si>
  <si>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</si>
  <si>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</si>
  <si>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</si>
  <si>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</si>
  <si>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</si>
  <si>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</si>
  <si>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</si>
  <si>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</si>
  <si>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</si>
  <si>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</si>
  <si>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</si>
  <si>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</si>
  <si>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</si>
  <si>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</si>
  <si>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</si>
  <si>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</si>
  <si>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</si>
  <si>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</si>
  <si>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</si>
  <si>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</si>
  <si>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</si>
  <si>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</si>
  <si>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</si>
  <si>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</si>
  <si>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</si>
  <si>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</si>
  <si>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</si>
  <si>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</si>
  <si>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</si>
  <si>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</si>
  <si>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</si>
  <si>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</si>
  <si>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</si>
  <si>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</si>
  <si>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</si>
  <si>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</si>
  <si>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</si>
  <si>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</si>
  <si>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</si>
  <si>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</si>
  <si>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</si>
  <si>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</si>
  <si>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</si>
  <si>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</si>
  <si>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</si>
  <si>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</si>
  <si>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</si>
  <si>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</si>
  <si>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</si>
  <si>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</si>
  <si>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</si>
  <si>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</si>
  <si>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</si>
  <si>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</si>
  <si>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</si>
  <si>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</si>
  <si>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</si>
  <si>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</si>
  <si>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</si>
  <si>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</si>
  <si>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</si>
  <si>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</si>
  <si>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</si>
  <si>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</si>
  <si>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</si>
  <si>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</si>
  <si>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</si>
  <si>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</si>
  <si>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</si>
  <si>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</si>
  <si>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</si>
  <si>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</si>
  <si>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</si>
  <si>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</si>
  <si>
    <t>Outsourcing abogados</t>
  </si>
  <si>
    <t xml:space="preserve">soportes de amortiguación Voquetes A25g, A60H, A45GFS, A45G, A35G, A30G, A40G </t>
  </si>
  <si>
    <t>Soportes de Motor - Otras Miniexcavadoras y Excavadoras</t>
  </si>
  <si>
    <t>Soportes de Motor - Caterpillar 320D series</t>
  </si>
  <si>
    <t xml:space="preserve">Buje chasis Caterpillar A25g, A60H, A45GFS, A45G, A35G, A30G, A40G </t>
  </si>
  <si>
    <t>Soporte de amortiguación Terex 33-19</t>
  </si>
  <si>
    <t>Soportes de Motor - Caterpillar MINIEXCAVADORA HIDRÁULICA 304.5 305 305.5 306 306E 307B, EXCAVADORA 307-A E70 E70B 307B 307C 307D</t>
  </si>
  <si>
    <t xml:space="preserve">corbatin brazo oscilante Carterpillar A25g, A60H, A45GFS, A45G, A35G, A30G, A40G </t>
  </si>
  <si>
    <t>soportes de amortiguación Volquetes caterpillar 725, 730, 740, 750,  775D, 797</t>
  </si>
  <si>
    <t>Buje chasis Volquetes caterpillar 725, 730, 740, 750,  775D, 797</t>
  </si>
  <si>
    <t>Corbatin brazo oscilante Volquetes caterpillar 725, 730, 740, 750,  775D, 797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</si>
</sst>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s>
  <fonts count="51"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9"/>
      <color theme="1"/>
      <name val="Arial"/>
      <family val="2"/>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
      <sz val="8"/>
      <name val="Calibri"/>
      <family val="2"/>
      <scheme val="minor"/>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0" fontId="36" fillId="0" borderId="0" applyNumberFormat="0" applyFill="0" applyBorder="0" applyAlignment="0" applyProtection="0"/>
    <xf numFmtId="0" fontId="20" fillId="0" borderId="0"/>
  </cellStyleXfs>
  <cellXfs count="161">
    <xf numFmtId="0" fontId="0" fillId="0" borderId="0" xfId="0"/>
    <xf numFmtId="0" fontId="25" fillId="0" borderId="0" xfId="0" applyFont="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6" fillId="0" borderId="0" xfId="0" applyFont="1" applyProtection="1">
      <protection hidden="1"/>
    </xf>
    <xf numFmtId="173" fontId="24" fillId="0" borderId="0" xfId="1" applyNumberFormat="1" applyFont="1" applyFill="1" applyProtection="1">
      <protection hidden="1"/>
    </xf>
    <xf numFmtId="173" fontId="24" fillId="0" borderId="1" xfId="1" applyNumberFormat="1" applyFont="1" applyFill="1" applyBorder="1" applyProtection="1">
      <protection hidden="1"/>
    </xf>
    <xf numFmtId="175" fontId="20" fillId="0" borderId="0" xfId="3" applyNumberFormat="1" applyFont="1" applyFill="1" applyProtection="1">
      <protection hidden="1"/>
    </xf>
    <xf numFmtId="0" fontId="0" fillId="0" borderId="0" xfId="0"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7" fillId="0" borderId="0" xfId="3" applyNumberFormat="1" applyFont="1" applyFill="1" applyBorder="1" applyProtection="1">
      <protection hidden="1"/>
    </xf>
    <xf numFmtId="0" fontId="28" fillId="0" borderId="0" xfId="0" applyFont="1" applyProtection="1">
      <protection hidden="1"/>
    </xf>
    <xf numFmtId="0" fontId="29" fillId="4" borderId="0" xfId="0" applyFont="1" applyFill="1" applyProtection="1">
      <protection locked="0"/>
    </xf>
    <xf numFmtId="166" fontId="29" fillId="4" borderId="0" xfId="1" applyFont="1" applyFill="1" applyProtection="1">
      <protection locked="0"/>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8" fontId="6" fillId="0" borderId="0" xfId="1" applyNumberFormat="1" applyFont="1" applyProtection="1">
      <protection hidden="1"/>
    </xf>
    <xf numFmtId="168" fontId="6" fillId="0" borderId="0" xfId="0" applyNumberFormat="1" applyFont="1" applyProtection="1">
      <protection hidden="1"/>
    </xf>
    <xf numFmtId="0" fontId="16" fillId="0" borderId="0" xfId="0" applyFont="1" applyProtection="1">
      <protection hidden="1"/>
    </xf>
    <xf numFmtId="0" fontId="30" fillId="6" borderId="0" xfId="0" applyFont="1" applyFill="1" applyProtection="1">
      <protection locked="0"/>
    </xf>
    <xf numFmtId="170" fontId="30" fillId="6" borderId="0" xfId="2" applyNumberFormat="1" applyFont="1" applyFill="1" applyBorder="1" applyProtection="1">
      <protection locked="0"/>
    </xf>
    <xf numFmtId="170" fontId="30" fillId="6" borderId="14" xfId="2" applyNumberFormat="1" applyFont="1" applyFill="1" applyBorder="1" applyProtection="1">
      <protection locked="0"/>
    </xf>
    <xf numFmtId="170" fontId="30" fillId="6" borderId="3" xfId="2" applyNumberFormat="1" applyFont="1" applyFill="1" applyBorder="1" applyProtection="1">
      <protection locked="0"/>
    </xf>
    <xf numFmtId="170" fontId="30" fillId="6" borderId="5" xfId="2" applyNumberFormat="1" applyFont="1" applyFill="1" applyBorder="1" applyProtection="1">
      <protection locked="0"/>
    </xf>
    <xf numFmtId="167" fontId="29" fillId="4" borderId="0" xfId="4" applyFont="1" applyFill="1" applyProtection="1">
      <protection locked="0"/>
    </xf>
    <xf numFmtId="177" fontId="29" fillId="4" borderId="0" xfId="4" applyNumberFormat="1" applyFont="1" applyFill="1" applyAlignment="1" applyProtection="1">
      <alignment horizontal="center"/>
      <protection locked="0"/>
    </xf>
    <xf numFmtId="166"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Protection="1">
      <protection hidden="1"/>
    </xf>
    <xf numFmtId="0" fontId="0" fillId="5" borderId="0" xfId="0" applyFill="1" applyProtection="1">
      <protection hidden="1"/>
    </xf>
    <xf numFmtId="173"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8" fillId="0" borderId="0" xfId="0" applyFont="1" applyProtection="1">
      <protection hidden="1"/>
    </xf>
    <xf numFmtId="166" fontId="18" fillId="0" borderId="0" xfId="0" applyNumberFormat="1" applyFont="1" applyProtection="1">
      <protection hidden="1"/>
    </xf>
    <xf numFmtId="0" fontId="7" fillId="0" borderId="0" xfId="0" applyFont="1" applyProtection="1">
      <protection hidden="1"/>
    </xf>
    <xf numFmtId="166"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6" fontId="21" fillId="5" borderId="0" xfId="0" applyNumberFormat="1" applyFont="1" applyFill="1" applyProtection="1">
      <protection hidden="1"/>
    </xf>
    <xf numFmtId="166"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166" fontId="6" fillId="0" borderId="0" xfId="0" applyNumberFormat="1" applyFont="1" applyProtection="1">
      <protection hidden="1"/>
    </xf>
    <xf numFmtId="9" fontId="6" fillId="0" borderId="0" xfId="0" applyNumberFormat="1" applyFont="1" applyProtection="1">
      <protection hidden="1"/>
    </xf>
    <xf numFmtId="167" fontId="6" fillId="0" borderId="0" xfId="0" applyNumberFormat="1" applyFont="1" applyProtection="1">
      <protection hidden="1"/>
    </xf>
    <xf numFmtId="167" fontId="18"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7" fontId="35" fillId="0" borderId="0" xfId="4" applyFont="1" applyProtection="1">
      <protection hidden="1"/>
    </xf>
    <xf numFmtId="166" fontId="35" fillId="0" borderId="0" xfId="1" applyFont="1" applyProtection="1">
      <protection hidden="1"/>
    </xf>
    <xf numFmtId="0" fontId="2" fillId="0" borderId="0" xfId="0" applyFont="1" applyProtection="1">
      <protection hidden="1"/>
    </xf>
    <xf numFmtId="167"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4" fontId="0" fillId="0" borderId="0" xfId="0" applyNumberFormat="1" applyProtection="1">
      <protection hidden="1"/>
    </xf>
    <xf numFmtId="0" fontId="20" fillId="0" borderId="0" xfId="6"/>
    <xf numFmtId="178" fontId="20" fillId="0" borderId="0" xfId="6" applyNumberFormat="1"/>
    <xf numFmtId="164" fontId="20" fillId="0" borderId="0" xfId="6" applyNumberFormat="1"/>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179" fontId="41" fillId="0" borderId="3" xfId="0" applyNumberFormat="1" applyFont="1" applyBorder="1" applyProtection="1">
      <protection hidden="1"/>
    </xf>
    <xf numFmtId="179" fontId="41" fillId="0" borderId="12" xfId="0" applyNumberFormat="1" applyFont="1" applyBorder="1" applyProtection="1">
      <protection hidden="1"/>
    </xf>
    <xf numFmtId="165"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4" fillId="0" borderId="0" xfId="0" applyFont="1" applyAlignment="1" applyProtection="1">
      <alignment wrapText="1"/>
      <protection hidden="1"/>
    </xf>
    <xf numFmtId="0" fontId="2" fillId="0" borderId="0" xfId="0" applyFont="1" applyAlignment="1" applyProtection="1">
      <alignment horizontal="center"/>
      <protection hidden="1"/>
    </xf>
    <xf numFmtId="170" fontId="29" fillId="4" borderId="0" xfId="2" applyNumberFormat="1" applyFont="1" applyFill="1" applyProtection="1">
      <protection locked="0"/>
    </xf>
    <xf numFmtId="168" fontId="45" fillId="7" borderId="1" xfId="1" applyNumberFormat="1" applyFont="1" applyFill="1" applyBorder="1" applyProtection="1">
      <protection hidden="1"/>
    </xf>
    <xf numFmtId="0" fontId="46" fillId="0" borderId="13" xfId="0" applyFont="1" applyBorder="1" applyAlignment="1" applyProtection="1">
      <alignment wrapText="1"/>
      <protection hidden="1"/>
    </xf>
    <xf numFmtId="0" fontId="46" fillId="0" borderId="11" xfId="0" applyFont="1" applyBorder="1" applyProtection="1">
      <protection hidden="1"/>
    </xf>
    <xf numFmtId="0" fontId="0" fillId="0" borderId="8" xfId="0" applyBorder="1" applyProtection="1">
      <protection hidden="1"/>
    </xf>
    <xf numFmtId="0" fontId="26" fillId="0" borderId="15" xfId="0" applyFont="1" applyBorder="1" applyAlignment="1">
      <alignment horizontal="center"/>
    </xf>
    <xf numFmtId="0" fontId="26" fillId="0" borderId="16" xfId="0" applyFont="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Protection="1">
      <protection hidden="1"/>
    </xf>
    <xf numFmtId="180" fontId="6" fillId="0" borderId="14" xfId="0" applyNumberFormat="1" applyFont="1" applyBorder="1" applyProtection="1">
      <protection hidden="1"/>
    </xf>
    <xf numFmtId="180" fontId="6" fillId="0" borderId="3" xfId="0" applyNumberFormat="1" applyFont="1" applyBorder="1" applyProtection="1">
      <protection hidden="1"/>
    </xf>
    <xf numFmtId="180" fontId="6" fillId="0" borderId="12" xfId="0" applyNumberFormat="1" applyFont="1" applyBorder="1" applyProtection="1">
      <protection hidden="1"/>
    </xf>
    <xf numFmtId="0" fontId="18" fillId="4" borderId="0" xfId="0" applyFont="1" applyFill="1" applyProtection="1">
      <protection locked="0" hidden="1"/>
    </xf>
    <xf numFmtId="0" fontId="47" fillId="0" borderId="0" xfId="0" applyFont="1" applyProtection="1">
      <protection hidden="1"/>
    </xf>
    <xf numFmtId="166" fontId="18" fillId="0" borderId="0" xfId="1" applyFont="1" applyProtection="1">
      <protection hidden="1"/>
    </xf>
    <xf numFmtId="0" fontId="18" fillId="0" borderId="0" xfId="0" applyFont="1" applyAlignment="1" applyProtection="1">
      <alignment horizontal="center"/>
      <protection hidden="1"/>
    </xf>
    <xf numFmtId="166" fontId="48" fillId="0" borderId="0" xfId="1" applyFont="1" applyProtection="1">
      <protection hidden="1"/>
    </xf>
    <xf numFmtId="9" fontId="18" fillId="0" borderId="0" xfId="2" applyFont="1" applyProtection="1">
      <protection hidden="1"/>
    </xf>
    <xf numFmtId="10" fontId="42" fillId="0" borderId="0" xfId="2" applyNumberFormat="1" applyFont="1" applyFill="1" applyAlignment="1" applyProtection="1">
      <alignment horizontal="center" vertical="center"/>
      <protection locked="0"/>
    </xf>
    <xf numFmtId="0" fontId="11" fillId="0" borderId="4" xfId="0" applyFont="1" applyBorder="1" applyProtection="1">
      <protection hidden="1"/>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11" fillId="0" borderId="0" xfId="0" applyFont="1" applyAlignment="1" applyProtection="1">
      <alignment horizontal="center"/>
      <protection hidden="1"/>
    </xf>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11" fillId="0" borderId="0" xfId="0" applyFont="1" applyAlignment="1" applyProtection="1">
      <alignment wrapText="1"/>
      <protection hidden="1"/>
    </xf>
    <xf numFmtId="10" fontId="42"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49"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cellXfs>
  <cellStyles count="7">
    <cellStyle name="Comma" xfId="4" builtinId="3"/>
    <cellStyle name="Currency" xfId="1" builtinId="4"/>
    <cellStyle name="Hyperlink" xfId="5" builtinId="8"/>
    <cellStyle name="Millares_Modelo Financiero ACME Final 2" xfId="3" xr:uid="{00000000-0005-0000-0000-000002000000}"/>
    <cellStyle name="Normal" xfId="0" builtinId="0"/>
    <cellStyle name="Normal 2" xfId="6" xr:uid="{00000000-0005-0000-0000-000005000000}"/>
    <cellStyle name="Percent" xfId="2"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2675.6579106790964</c:v>
                </c:pt>
                <c:pt idx="2">
                  <c:v>5351.3158213581928</c:v>
                </c:pt>
              </c:numCache>
            </c:numRef>
          </c:cat>
          <c:val>
            <c:numRef>
              <c:f>'5'!$C$33:$C$35</c:f>
              <c:numCache>
                <c:formatCode>_("$"\ * #,##0.00_);_("$"\ * \(#,##0.00\);_("$"\ * "-"??_);_(@_)</c:formatCode>
                <c:ptCount val="3"/>
                <c:pt idx="0">
                  <c:v>637650000</c:v>
                </c:pt>
                <c:pt idx="1">
                  <c:v>637650000</c:v>
                </c:pt>
                <c:pt idx="2">
                  <c:v>637650000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2675.6579106790964</c:v>
                </c:pt>
                <c:pt idx="2">
                  <c:v>5351.3158213581928</c:v>
                </c:pt>
              </c:numCache>
            </c:numRef>
          </c:cat>
          <c:val>
            <c:numRef>
              <c:f>'5'!$D$33:$D$35</c:f>
              <c:numCache>
                <c:formatCode>_("$"\ * #,##0.00_);_("$"\ * \(#,##0.00\);_("$"\ * "-"??_);_(@_)</c:formatCode>
                <c:ptCount val="3"/>
                <c:pt idx="0" formatCode="General">
                  <c:v>0</c:v>
                </c:pt>
                <c:pt idx="1">
                  <c:v>1231946321.102155</c:v>
                </c:pt>
                <c:pt idx="2">
                  <c:v>2463892642.2043099</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2675.6579106790964</c:v>
                </c:pt>
                <c:pt idx="2">
                  <c:v>5351.3158213581928</c:v>
                </c:pt>
              </c:numCache>
            </c:numRef>
          </c:cat>
          <c:val>
            <c:numRef>
              <c:f>'5'!$F$33:$F$35</c:f>
              <c:numCache>
                <c:formatCode>_("$"\ * #,##0.00_);_("$"\ * \(#,##0.00\);_("$"\ * "-"??_);_(@_)</c:formatCode>
                <c:ptCount val="3"/>
                <c:pt idx="0">
                  <c:v>637650000</c:v>
                </c:pt>
                <c:pt idx="1">
                  <c:v>1231946321.1021547</c:v>
                </c:pt>
                <c:pt idx="2">
                  <c:v>1826242642.2043095</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n-US"/>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9</xdr:col>
      <xdr:colOff>332497</xdr:colOff>
      <xdr:row>14</xdr:row>
      <xdr:rowOff>71336</xdr:rowOff>
    </xdr:from>
    <xdr:to>
      <xdr:col>24</xdr:col>
      <xdr:colOff>702554</xdr:colOff>
      <xdr:row>33</xdr:row>
      <xdr:rowOff>80862</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20760582" y="3570591"/>
          <a:ext cx="1329312" cy="39816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910165</xdr:colOff>
      <xdr:row>13</xdr:row>
      <xdr:rowOff>118005</xdr:rowOff>
    </xdr:from>
    <xdr:to>
      <xdr:col>12</xdr:col>
      <xdr:colOff>243415</xdr:colOff>
      <xdr:row>26</xdr:row>
      <xdr:rowOff>17992</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defaultColWidth="10.81640625" defaultRowHeight="14.5" x14ac:dyDescent="0.35"/>
  <sheetData>
    <row r="23" spans="7:8" ht="20" x14ac:dyDescent="0.4">
      <c r="G23" s="137" t="s">
        <v>0</v>
      </c>
      <c r="H23" s="137"/>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view="pageBreakPreview" topLeftCell="A2" zoomScale="47" zoomScaleNormal="80" zoomScaleSheetLayoutView="70" workbookViewId="0">
      <selection activeCell="AA5" sqref="AA5"/>
    </sheetView>
  </sheetViews>
  <sheetFormatPr defaultColWidth="11.453125" defaultRowHeight="14.5" x14ac:dyDescent="0.35"/>
  <cols>
    <col min="1" max="1" width="22.54296875" style="8" customWidth="1"/>
    <col min="2" max="2" width="137.6328125" style="8" bestFit="1" customWidth="1"/>
    <col min="3" max="6" width="26" style="8" bestFit="1" customWidth="1"/>
    <col min="7" max="10" width="9.453125" style="8" bestFit="1" customWidth="1"/>
    <col min="11" max="11" width="4.26953125" style="8" customWidth="1"/>
    <col min="12" max="15" width="11.453125" style="8" hidden="1" customWidth="1"/>
    <col min="16" max="19" width="12" style="8" hidden="1" customWidth="1"/>
    <col min="20" max="24" width="15.54296875" style="8" hidden="1" customWidth="1"/>
    <col min="25" max="25" width="22.1796875" style="8" bestFit="1" customWidth="1"/>
    <col min="26" max="27" width="9.453125" style="8" bestFit="1" customWidth="1"/>
    <col min="28" max="28" width="11.453125" style="8" bestFit="1" customWidth="1"/>
    <col min="29" max="29" width="9.453125" style="8" bestFit="1" customWidth="1"/>
    <col min="30" max="16384" width="11.453125" style="8"/>
  </cols>
  <sheetData>
    <row r="1" spans="1:29" ht="30.75" customHeight="1" x14ac:dyDescent="0.45">
      <c r="A1" s="139" t="s">
        <v>1</v>
      </c>
      <c r="B1" s="139"/>
      <c r="C1" s="139"/>
      <c r="D1" s="139"/>
      <c r="E1" s="139"/>
      <c r="G1" s="140" t="s">
        <v>2</v>
      </c>
      <c r="H1" s="140"/>
      <c r="I1" s="140"/>
      <c r="J1" s="140"/>
      <c r="P1" s="8" t="s">
        <v>3</v>
      </c>
      <c r="Y1" s="15" t="s">
        <v>4</v>
      </c>
      <c r="Z1" s="49">
        <v>2024</v>
      </c>
      <c r="AA1" s="16"/>
    </row>
    <row r="2" spans="1:29" ht="32.25" customHeight="1" thickBot="1" x14ac:dyDescent="0.55000000000000004">
      <c r="B2" s="17" t="s">
        <v>5</v>
      </c>
      <c r="C2" s="18" t="s">
        <v>6</v>
      </c>
      <c r="D2" s="17" t="s">
        <v>7</v>
      </c>
      <c r="E2" s="18" t="s">
        <v>8</v>
      </c>
      <c r="F2" s="19" t="s">
        <v>9</v>
      </c>
      <c r="G2" s="20">
        <f>'1'!Z1+1</f>
        <v>2025</v>
      </c>
      <c r="H2" s="20">
        <f>G2+1</f>
        <v>2026</v>
      </c>
      <c r="I2" s="20">
        <f t="shared" ref="I2:J2" si="0">H2+1</f>
        <v>2027</v>
      </c>
      <c r="J2" s="20">
        <f t="shared" si="0"/>
        <v>2028</v>
      </c>
      <c r="L2" s="8">
        <f>G2</f>
        <v>2025</v>
      </c>
      <c r="M2" s="8">
        <f>H2</f>
        <v>2026</v>
      </c>
      <c r="N2" s="8">
        <f>M2+1</f>
        <v>2027</v>
      </c>
      <c r="O2" s="8">
        <f>N2+1</f>
        <v>2028</v>
      </c>
      <c r="P2" s="8" t="s">
        <v>10</v>
      </c>
      <c r="Q2" s="8" t="s">
        <v>11</v>
      </c>
      <c r="R2" s="8" t="s">
        <v>12</v>
      </c>
      <c r="S2" s="8" t="s">
        <v>13</v>
      </c>
      <c r="T2" s="8" t="s">
        <v>14</v>
      </c>
      <c r="U2" s="8" t="s">
        <v>15</v>
      </c>
      <c r="V2" s="8" t="s">
        <v>16</v>
      </c>
      <c r="W2" s="8" t="s">
        <v>17</v>
      </c>
      <c r="Y2" s="16"/>
      <c r="Z2" s="16"/>
      <c r="AA2" s="16"/>
    </row>
    <row r="3" spans="1:29" ht="23.5" thickBot="1" x14ac:dyDescent="0.55000000000000004">
      <c r="A3" s="21">
        <v>1</v>
      </c>
      <c r="B3" s="13" t="s">
        <v>167</v>
      </c>
      <c r="C3" s="54">
        <v>813</v>
      </c>
      <c r="D3" s="14">
        <v>650000</v>
      </c>
      <c r="E3" s="22">
        <f>C3*D3</f>
        <v>528450000</v>
      </c>
      <c r="F3" s="23">
        <f>IF($E$13=0,0,E3/$E$13)</f>
        <v>0.11073114616008399</v>
      </c>
      <c r="G3" s="114">
        <v>0.05</v>
      </c>
      <c r="H3" s="114">
        <v>0.1</v>
      </c>
      <c r="I3" s="114">
        <v>0.15</v>
      </c>
      <c r="J3" s="114">
        <v>0.2</v>
      </c>
      <c r="K3" s="24"/>
      <c r="L3" s="8">
        <f t="shared" ref="L3:L12" si="1">C3*(1+G3)</f>
        <v>853.65000000000009</v>
      </c>
      <c r="M3" s="8">
        <f>L3*(1+H3)</f>
        <v>939.01500000000021</v>
      </c>
      <c r="N3" s="8">
        <f t="shared" ref="N3:O3" si="2">M3*(1+I3)</f>
        <v>1079.8672500000002</v>
      </c>
      <c r="O3" s="8">
        <f t="shared" si="2"/>
        <v>1295.8407000000002</v>
      </c>
      <c r="P3" s="25">
        <f>D3*(1+'1'!$Z$4)</f>
        <v>685100</v>
      </c>
      <c r="Q3" s="25">
        <f>P3*(1+'1'!$AA$4)</f>
        <v>707023.20000000007</v>
      </c>
      <c r="R3" s="25">
        <f>Q3*(1+'1'!$AB$4)</f>
        <v>725405.80320000008</v>
      </c>
      <c r="S3" s="25">
        <f>R3*(1+'1'!$AC$4)</f>
        <v>750795.00631199998</v>
      </c>
      <c r="T3" s="26">
        <f>L3*P3</f>
        <v>584835615.00000012</v>
      </c>
      <c r="U3" s="26">
        <f>M3*Q3</f>
        <v>663905390.14800024</v>
      </c>
      <c r="V3" s="26">
        <f>N3*R3</f>
        <v>783341969.83562541</v>
      </c>
      <c r="W3" s="26">
        <f>O3*S3</f>
        <v>972910726.53584659</v>
      </c>
      <c r="X3" s="26"/>
      <c r="Y3" s="27" t="s">
        <v>18</v>
      </c>
      <c r="Z3" s="28">
        <f>G2</f>
        <v>2025</v>
      </c>
      <c r="AA3" s="28">
        <f>Z3+1</f>
        <v>2026</v>
      </c>
      <c r="AB3" s="28">
        <f t="shared" ref="AB3:AC3" si="3">AA3+1</f>
        <v>2027</v>
      </c>
      <c r="AC3" s="29">
        <f t="shared" si="3"/>
        <v>2028</v>
      </c>
    </row>
    <row r="4" spans="1:29" ht="22.5" x14ac:dyDescent="0.45">
      <c r="A4" s="21">
        <f>A3+1</f>
        <v>2</v>
      </c>
      <c r="B4" s="13" t="s">
        <v>168</v>
      </c>
      <c r="C4" s="54">
        <v>813</v>
      </c>
      <c r="D4" s="14">
        <v>540000</v>
      </c>
      <c r="E4" s="22">
        <f t="shared" ref="E4:E12" si="4">C4*D4</f>
        <v>439020000</v>
      </c>
      <c r="F4" s="23">
        <f t="shared" ref="F4:F12" si="5">IF($E$13=0,0,E4/$E$13)</f>
        <v>9.1992029117608232E-2</v>
      </c>
      <c r="G4" s="114">
        <v>0.05</v>
      </c>
      <c r="H4" s="114">
        <v>0.1</v>
      </c>
      <c r="I4" s="114">
        <v>0.15</v>
      </c>
      <c r="J4" s="114">
        <v>0.2</v>
      </c>
      <c r="K4" s="24"/>
      <c r="L4" s="8">
        <f t="shared" si="1"/>
        <v>853.65000000000009</v>
      </c>
      <c r="M4" s="8">
        <f t="shared" ref="M4:M12" si="6">L4*(1+H4)</f>
        <v>939.01500000000021</v>
      </c>
      <c r="N4" s="8">
        <f t="shared" ref="N4:N12" si="7">M4*(1+I4)</f>
        <v>1079.8672500000002</v>
      </c>
      <c r="O4" s="8">
        <f t="shared" ref="O4:O12" si="8">N4*(1+J4)</f>
        <v>1295.8407000000002</v>
      </c>
      <c r="P4" s="25">
        <f>D4*(1+'1'!$Z$4)</f>
        <v>569160</v>
      </c>
      <c r="Q4" s="25">
        <f>P4*(1+'1'!$AA$4)</f>
        <v>587373.12</v>
      </c>
      <c r="R4" s="25">
        <f>Q4*(1+'1'!$AB$4)</f>
        <v>602644.82111999998</v>
      </c>
      <c r="S4" s="25">
        <f>R4*(1+'1'!$AC$4)</f>
        <v>623737.38985919987</v>
      </c>
      <c r="T4" s="26">
        <f t="shared" ref="T4:T12" si="9">L4*P4</f>
        <v>485863434.00000006</v>
      </c>
      <c r="U4" s="26">
        <f t="shared" ref="U4:U12" si="10">M4*Q4</f>
        <v>551552170.27680016</v>
      </c>
      <c r="V4" s="26">
        <f t="shared" ref="V4:V12" si="11">N4*R4</f>
        <v>650776405.7095964</v>
      </c>
      <c r="W4" s="26">
        <f t="shared" ref="W4:W12" si="12">O4*S4</f>
        <v>808264295.89131856</v>
      </c>
      <c r="X4" s="26"/>
      <c r="Y4" s="116" t="s">
        <v>19</v>
      </c>
      <c r="Z4" s="50">
        <v>5.3999999999999999E-2</v>
      </c>
      <c r="AA4" s="50">
        <v>3.2000000000000001E-2</v>
      </c>
      <c r="AB4" s="50">
        <v>2.5999999999999999E-2</v>
      </c>
      <c r="AC4" s="51">
        <v>3.5000000000000003E-2</v>
      </c>
    </row>
    <row r="5" spans="1:29" ht="23.5" thickBot="1" x14ac:dyDescent="0.55000000000000004">
      <c r="A5" s="21">
        <f t="shared" ref="A5:A12" si="13">A4+1</f>
        <v>3</v>
      </c>
      <c r="B5" s="13" t="s">
        <v>169</v>
      </c>
      <c r="C5" s="54">
        <v>813</v>
      </c>
      <c r="D5" s="14">
        <v>320000</v>
      </c>
      <c r="E5" s="22">
        <f t="shared" si="4"/>
        <v>260160000</v>
      </c>
      <c r="F5" s="23">
        <f t="shared" si="5"/>
        <v>5.4513795032656728E-2</v>
      </c>
      <c r="G5" s="114">
        <v>0.05</v>
      </c>
      <c r="H5" s="114">
        <v>0.1</v>
      </c>
      <c r="I5" s="114">
        <v>0.15</v>
      </c>
      <c r="J5" s="114">
        <v>0.2</v>
      </c>
      <c r="K5" s="24"/>
      <c r="L5" s="8">
        <f t="shared" si="1"/>
        <v>853.65000000000009</v>
      </c>
      <c r="M5" s="8">
        <f t="shared" si="6"/>
        <v>939.01500000000021</v>
      </c>
      <c r="N5" s="8">
        <f t="shared" si="7"/>
        <v>1079.8672500000002</v>
      </c>
      <c r="O5" s="8">
        <f t="shared" si="8"/>
        <v>1295.8407000000002</v>
      </c>
      <c r="P5" s="25">
        <f>D5*(1+'1'!$Z$4)</f>
        <v>337280</v>
      </c>
      <c r="Q5" s="25">
        <f>P5*(1+'1'!$AA$4)</f>
        <v>348072.96000000002</v>
      </c>
      <c r="R5" s="25">
        <f>Q5*(1+'1'!$AB$4)</f>
        <v>357122.85696</v>
      </c>
      <c r="S5" s="25">
        <f>R5*(1+'1'!$AC$4)</f>
        <v>369622.1569536</v>
      </c>
      <c r="T5" s="26">
        <f t="shared" si="9"/>
        <v>287919072.00000006</v>
      </c>
      <c r="U5" s="26">
        <f t="shared" si="10"/>
        <v>326845730.53440011</v>
      </c>
      <c r="V5" s="26">
        <f t="shared" si="11"/>
        <v>385645277.45753866</v>
      </c>
      <c r="W5" s="26">
        <f t="shared" si="12"/>
        <v>478971434.60226297</v>
      </c>
      <c r="X5" s="26"/>
      <c r="Y5" s="117" t="s">
        <v>20</v>
      </c>
      <c r="Z5" s="52">
        <v>0.109</v>
      </c>
      <c r="AA5" s="52">
        <v>0.109</v>
      </c>
      <c r="AB5" s="52">
        <v>0.109</v>
      </c>
      <c r="AC5" s="52">
        <v>0.109</v>
      </c>
    </row>
    <row r="6" spans="1:29" ht="15" thickBot="1" x14ac:dyDescent="0.4">
      <c r="A6" s="21">
        <f t="shared" si="13"/>
        <v>4</v>
      </c>
      <c r="B6" s="13" t="s">
        <v>161</v>
      </c>
      <c r="C6" s="54">
        <v>100</v>
      </c>
      <c r="D6" s="14">
        <v>140000</v>
      </c>
      <c r="E6" s="22">
        <f t="shared" si="4"/>
        <v>14000000</v>
      </c>
      <c r="F6" s="23">
        <f t="shared" si="5"/>
        <v>2.9335529307241474E-3</v>
      </c>
      <c r="G6" s="114">
        <v>0.05</v>
      </c>
      <c r="H6" s="114">
        <v>0.1</v>
      </c>
      <c r="I6" s="114">
        <v>0.15</v>
      </c>
      <c r="J6" s="114">
        <v>0.2</v>
      </c>
      <c r="K6" s="24"/>
      <c r="L6" s="8">
        <f t="shared" si="1"/>
        <v>105</v>
      </c>
      <c r="M6" s="8">
        <f t="shared" si="6"/>
        <v>115.50000000000001</v>
      </c>
      <c r="N6" s="8">
        <f t="shared" si="7"/>
        <v>132.82500000000002</v>
      </c>
      <c r="O6" s="8">
        <f t="shared" si="8"/>
        <v>159.39000000000001</v>
      </c>
      <c r="P6" s="25">
        <f>D6*(1+'1'!$Z$4)</f>
        <v>147560</v>
      </c>
      <c r="Q6" s="25">
        <f>P6*(1+'1'!$AA$4)</f>
        <v>152281.92000000001</v>
      </c>
      <c r="R6" s="25">
        <f>Q6*(1+'1'!$AB$4)</f>
        <v>156241.24992000003</v>
      </c>
      <c r="S6" s="25">
        <f>R6*(1+'1'!$AC$4)</f>
        <v>161709.69366720002</v>
      </c>
      <c r="T6" s="26">
        <f t="shared" si="9"/>
        <v>15493800</v>
      </c>
      <c r="U6" s="26">
        <f t="shared" si="10"/>
        <v>17588561.760000005</v>
      </c>
      <c r="V6" s="26">
        <f t="shared" si="11"/>
        <v>20752744.020624008</v>
      </c>
      <c r="W6" s="26">
        <f t="shared" si="12"/>
        <v>25774908.073615015</v>
      </c>
      <c r="X6" s="26"/>
    </row>
    <row r="7" spans="1:29" ht="23.5" thickBot="1" x14ac:dyDescent="0.55000000000000004">
      <c r="A7" s="21">
        <f t="shared" si="13"/>
        <v>5</v>
      </c>
      <c r="B7" s="13" t="s">
        <v>162</v>
      </c>
      <c r="C7" s="54">
        <v>3848</v>
      </c>
      <c r="D7" s="14">
        <v>320000</v>
      </c>
      <c r="E7" s="22">
        <f t="shared" si="4"/>
        <v>1231360000</v>
      </c>
      <c r="F7" s="23">
        <f t="shared" si="5"/>
        <v>0.25801855262689188</v>
      </c>
      <c r="G7" s="114">
        <v>0.05</v>
      </c>
      <c r="H7" s="114">
        <v>0.1</v>
      </c>
      <c r="I7" s="114">
        <v>0.15</v>
      </c>
      <c r="J7" s="114">
        <v>0.2</v>
      </c>
      <c r="K7" s="24"/>
      <c r="L7" s="8">
        <f t="shared" si="1"/>
        <v>4040.4</v>
      </c>
      <c r="M7" s="8">
        <f t="shared" si="6"/>
        <v>4444.4400000000005</v>
      </c>
      <c r="N7" s="8">
        <f t="shared" si="7"/>
        <v>5111.1059999999998</v>
      </c>
      <c r="O7" s="8">
        <f t="shared" si="8"/>
        <v>6133.3271999999997</v>
      </c>
      <c r="P7" s="25">
        <f>D7*(1+'1'!$Z$4)</f>
        <v>337280</v>
      </c>
      <c r="Q7" s="25">
        <f>P7*(1+'1'!$AA$4)</f>
        <v>348072.96000000002</v>
      </c>
      <c r="R7" s="25">
        <f>Q7*(1+'1'!$AB$4)</f>
        <v>357122.85696</v>
      </c>
      <c r="S7" s="25">
        <f>R7*(1+'1'!$AC$4)</f>
        <v>369622.1569536</v>
      </c>
      <c r="T7" s="26">
        <f t="shared" si="9"/>
        <v>1362746112</v>
      </c>
      <c r="U7" s="26">
        <f t="shared" si="10"/>
        <v>1546989386.3424003</v>
      </c>
      <c r="V7" s="26">
        <f t="shared" si="11"/>
        <v>1825292776.9453976</v>
      </c>
      <c r="W7" s="26">
        <f t="shared" si="12"/>
        <v>2267013628.9661841</v>
      </c>
      <c r="X7" s="26"/>
      <c r="Y7" s="30" t="s">
        <v>21</v>
      </c>
      <c r="Z7" s="31"/>
      <c r="AA7" s="31"/>
      <c r="AB7" s="53">
        <v>0.34</v>
      </c>
      <c r="AC7" s="32"/>
    </row>
    <row r="8" spans="1:29" x14ac:dyDescent="0.35">
      <c r="A8" s="21">
        <f t="shared" si="13"/>
        <v>6</v>
      </c>
      <c r="B8" s="13" t="s">
        <v>165</v>
      </c>
      <c r="C8" s="54">
        <v>7147</v>
      </c>
      <c r="D8" s="14">
        <v>140000</v>
      </c>
      <c r="E8" s="22">
        <f t="shared" si="4"/>
        <v>1000580000</v>
      </c>
      <c r="F8" s="23">
        <f t="shared" si="5"/>
        <v>0.20966102795885483</v>
      </c>
      <c r="G8" s="114">
        <v>0.05</v>
      </c>
      <c r="H8" s="114">
        <v>0.1</v>
      </c>
      <c r="I8" s="114">
        <v>0.15</v>
      </c>
      <c r="J8" s="114">
        <v>0.2</v>
      </c>
      <c r="K8" s="24"/>
      <c r="L8" s="8">
        <f t="shared" si="1"/>
        <v>7504.35</v>
      </c>
      <c r="M8" s="8">
        <f t="shared" si="6"/>
        <v>8254.7850000000017</v>
      </c>
      <c r="N8" s="8">
        <f t="shared" si="7"/>
        <v>9493.0027500000015</v>
      </c>
      <c r="O8" s="8">
        <f t="shared" si="8"/>
        <v>11391.603300000001</v>
      </c>
      <c r="P8" s="25">
        <f>D8*(1+'1'!$Z$4)</f>
        <v>147560</v>
      </c>
      <c r="Q8" s="25">
        <f>P8*(1+'1'!$AA$4)</f>
        <v>152281.92000000001</v>
      </c>
      <c r="R8" s="25">
        <f>Q8*(1+'1'!$AB$4)</f>
        <v>156241.24992000003</v>
      </c>
      <c r="S8" s="25">
        <f>R8*(1+'1'!$AC$4)</f>
        <v>161709.69366720002</v>
      </c>
      <c r="T8" s="26">
        <f t="shared" si="9"/>
        <v>1107341886</v>
      </c>
      <c r="U8" s="26">
        <f t="shared" si="10"/>
        <v>1257054508.9872003</v>
      </c>
      <c r="V8" s="26">
        <f t="shared" si="11"/>
        <v>1483198615.1539979</v>
      </c>
      <c r="W8" s="26">
        <f t="shared" si="12"/>
        <v>1842132680.0212648</v>
      </c>
      <c r="X8" s="26"/>
    </row>
    <row r="9" spans="1:29" x14ac:dyDescent="0.35">
      <c r="A9" s="21">
        <f t="shared" si="13"/>
        <v>7</v>
      </c>
      <c r="B9" s="13" t="s">
        <v>160</v>
      </c>
      <c r="C9" s="54">
        <v>552</v>
      </c>
      <c r="D9" s="14">
        <v>750000</v>
      </c>
      <c r="E9" s="22">
        <f t="shared" si="4"/>
        <v>414000000</v>
      </c>
      <c r="F9" s="23">
        <f t="shared" si="5"/>
        <v>8.6749350951414075E-2</v>
      </c>
      <c r="G9" s="114">
        <v>0.05</v>
      </c>
      <c r="H9" s="114">
        <v>0.1</v>
      </c>
      <c r="I9" s="114">
        <v>0.15</v>
      </c>
      <c r="J9" s="114">
        <v>0.2</v>
      </c>
      <c r="K9" s="24"/>
      <c r="L9" s="8">
        <f t="shared" si="1"/>
        <v>579.6</v>
      </c>
      <c r="M9" s="8">
        <f t="shared" si="6"/>
        <v>637.56000000000006</v>
      </c>
      <c r="N9" s="8">
        <f t="shared" si="7"/>
        <v>733.19399999999996</v>
      </c>
      <c r="O9" s="8">
        <f t="shared" si="8"/>
        <v>879.83279999999991</v>
      </c>
      <c r="P9" s="25">
        <f>D9*(1+'1'!$Z$4)</f>
        <v>790500</v>
      </c>
      <c r="Q9" s="25">
        <f>P9*(1+'1'!$AA$4)</f>
        <v>815796</v>
      </c>
      <c r="R9" s="25">
        <f>Q9*(1+'1'!$AB$4)</f>
        <v>837006.696</v>
      </c>
      <c r="S9" s="25">
        <f>R9*(1+'1'!$AC$4)</f>
        <v>866301.93035999988</v>
      </c>
      <c r="T9" s="26">
        <f t="shared" si="9"/>
        <v>458173800</v>
      </c>
      <c r="U9" s="26">
        <f t="shared" si="10"/>
        <v>520118897.76000005</v>
      </c>
      <c r="V9" s="26">
        <f t="shared" si="11"/>
        <v>613688287.46702397</v>
      </c>
      <c r="W9" s="26">
        <f t="shared" si="12"/>
        <v>762200853.03404367</v>
      </c>
      <c r="X9" s="26"/>
    </row>
    <row r="10" spans="1:29" x14ac:dyDescent="0.35">
      <c r="A10" s="21">
        <f t="shared" si="13"/>
        <v>8</v>
      </c>
      <c r="B10" s="13" t="s">
        <v>163</v>
      </c>
      <c r="C10" s="54">
        <v>552</v>
      </c>
      <c r="D10" s="14">
        <v>970000</v>
      </c>
      <c r="E10" s="22">
        <f t="shared" si="4"/>
        <v>535440000</v>
      </c>
      <c r="F10" s="23">
        <f t="shared" si="5"/>
        <v>0.11219582723049554</v>
      </c>
      <c r="G10" s="114">
        <v>0.05</v>
      </c>
      <c r="H10" s="114">
        <v>0.1</v>
      </c>
      <c r="I10" s="114">
        <v>0.15</v>
      </c>
      <c r="J10" s="114">
        <v>0.2</v>
      </c>
      <c r="K10" s="24"/>
      <c r="L10" s="8">
        <f t="shared" si="1"/>
        <v>579.6</v>
      </c>
      <c r="M10" s="8">
        <f t="shared" si="6"/>
        <v>637.56000000000006</v>
      </c>
      <c r="N10" s="8">
        <f t="shared" si="7"/>
        <v>733.19399999999996</v>
      </c>
      <c r="O10" s="8">
        <f t="shared" si="8"/>
        <v>879.83279999999991</v>
      </c>
      <c r="P10" s="25">
        <f>D10*(1+'1'!$Z$4)</f>
        <v>1022380</v>
      </c>
      <c r="Q10" s="25">
        <f>P10*(1+'1'!$AA$4)</f>
        <v>1055096.1599999999</v>
      </c>
      <c r="R10" s="25">
        <f>Q10*(1+'1'!$AB$4)</f>
        <v>1082528.66016</v>
      </c>
      <c r="S10" s="25">
        <f>R10*(1+'1'!$AC$4)</f>
        <v>1120417.1632655999</v>
      </c>
      <c r="T10" s="26">
        <f t="shared" si="9"/>
        <v>592571448</v>
      </c>
      <c r="U10" s="26">
        <f t="shared" si="10"/>
        <v>672687107.76960003</v>
      </c>
      <c r="V10" s="26">
        <f t="shared" si="11"/>
        <v>793703518.45735097</v>
      </c>
      <c r="W10" s="26">
        <f t="shared" si="12"/>
        <v>985779769.92402983</v>
      </c>
      <c r="X10" s="26"/>
    </row>
    <row r="11" spans="1:29" x14ac:dyDescent="0.35">
      <c r="A11" s="21">
        <f t="shared" si="13"/>
        <v>9</v>
      </c>
      <c r="B11" s="13" t="s">
        <v>166</v>
      </c>
      <c r="C11" s="54">
        <v>552</v>
      </c>
      <c r="D11" s="14">
        <v>350000</v>
      </c>
      <c r="E11" s="22">
        <f t="shared" si="4"/>
        <v>193200000</v>
      </c>
      <c r="F11" s="23">
        <f t="shared" si="5"/>
        <v>4.0483030443993234E-2</v>
      </c>
      <c r="G11" s="114">
        <v>0.05</v>
      </c>
      <c r="H11" s="114">
        <v>0.1</v>
      </c>
      <c r="I11" s="114">
        <v>0.15</v>
      </c>
      <c r="J11" s="114">
        <v>0.2</v>
      </c>
      <c r="K11" s="24"/>
      <c r="L11" s="8">
        <f t="shared" si="1"/>
        <v>579.6</v>
      </c>
      <c r="M11" s="8">
        <f t="shared" si="6"/>
        <v>637.56000000000006</v>
      </c>
      <c r="N11" s="8">
        <f t="shared" si="7"/>
        <v>733.19399999999996</v>
      </c>
      <c r="O11" s="8">
        <f t="shared" si="8"/>
        <v>879.83279999999991</v>
      </c>
      <c r="P11" s="25">
        <f>D11*(1+'1'!$Z$4)</f>
        <v>368900</v>
      </c>
      <c r="Q11" s="25">
        <f>P11*(1+'1'!$AA$4)</f>
        <v>380704.8</v>
      </c>
      <c r="R11" s="25">
        <f>Q11*(1+'1'!$AB$4)</f>
        <v>390603.12479999999</v>
      </c>
      <c r="S11" s="25">
        <f>R11*(1+'1'!$AC$4)</f>
        <v>404274.23416799994</v>
      </c>
      <c r="T11" s="26">
        <f t="shared" si="9"/>
        <v>213814440</v>
      </c>
      <c r="U11" s="26">
        <f t="shared" si="10"/>
        <v>242722152.28800002</v>
      </c>
      <c r="V11" s="26">
        <f t="shared" si="11"/>
        <v>286387867.48461115</v>
      </c>
      <c r="W11" s="26">
        <f t="shared" si="12"/>
        <v>355693731.415887</v>
      </c>
      <c r="X11" s="26"/>
    </row>
    <row r="12" spans="1:29" x14ac:dyDescent="0.35">
      <c r="A12" s="21">
        <f t="shared" si="13"/>
        <v>10</v>
      </c>
      <c r="B12" s="13" t="s">
        <v>164</v>
      </c>
      <c r="C12" s="54">
        <v>244</v>
      </c>
      <c r="D12" s="14">
        <v>640000</v>
      </c>
      <c r="E12" s="22">
        <f t="shared" si="4"/>
        <v>156160000</v>
      </c>
      <c r="F12" s="23">
        <f t="shared" si="5"/>
        <v>3.2721687547277348E-2</v>
      </c>
      <c r="G12" s="114">
        <v>0.05</v>
      </c>
      <c r="H12" s="114">
        <v>0.1</v>
      </c>
      <c r="I12" s="114">
        <v>0.15</v>
      </c>
      <c r="J12" s="114">
        <v>0.2</v>
      </c>
      <c r="K12" s="24"/>
      <c r="L12" s="8">
        <f t="shared" si="1"/>
        <v>256.2</v>
      </c>
      <c r="M12" s="8">
        <f t="shared" si="6"/>
        <v>281.82</v>
      </c>
      <c r="N12" s="8">
        <f t="shared" si="7"/>
        <v>324.09299999999996</v>
      </c>
      <c r="O12" s="8">
        <f t="shared" si="8"/>
        <v>388.91159999999996</v>
      </c>
      <c r="P12" s="25">
        <f>D12*(1+'1'!$Z$4)</f>
        <v>674560</v>
      </c>
      <c r="Q12" s="25">
        <f>P12*(1+'1'!$AA$4)</f>
        <v>696145.92000000004</v>
      </c>
      <c r="R12" s="25">
        <f>Q12*(1+'1'!$AB$4)</f>
        <v>714245.71392000001</v>
      </c>
      <c r="S12" s="25">
        <f>R12*(1+'1'!$AC$4)</f>
        <v>739244.3139072</v>
      </c>
      <c r="T12" s="26">
        <f t="shared" si="9"/>
        <v>172822272</v>
      </c>
      <c r="U12" s="26">
        <f t="shared" si="10"/>
        <v>196187843.1744</v>
      </c>
      <c r="V12" s="26">
        <f t="shared" si="11"/>
        <v>231482036.16147453</v>
      </c>
      <c r="W12" s="26">
        <f t="shared" si="12"/>
        <v>287500688.9125514</v>
      </c>
      <c r="X12" s="26"/>
    </row>
    <row r="13" spans="1:29" x14ac:dyDescent="0.35">
      <c r="D13" s="8" t="s">
        <v>22</v>
      </c>
      <c r="E13" s="33">
        <f>SUM(E3:E12)</f>
        <v>4772370000</v>
      </c>
      <c r="F13" s="34">
        <f>SUM(F3:F12)</f>
        <v>1.0000000000000002</v>
      </c>
      <c r="T13" s="35">
        <f>SUM(T3:T12)</f>
        <v>5281581879</v>
      </c>
      <c r="U13" s="35">
        <f>SUM(U3:U12)</f>
        <v>5995651749.040802</v>
      </c>
      <c r="V13" s="35">
        <f>SUM(V3:V12)</f>
        <v>7074269498.6932402</v>
      </c>
      <c r="W13" s="35">
        <f>SUM(W3:W12)</f>
        <v>8786242717.3770027</v>
      </c>
      <c r="X13" s="26"/>
    </row>
    <row r="15" spans="1:29" ht="23.25" customHeight="1" x14ac:dyDescent="0.35">
      <c r="A15" s="139" t="s">
        <v>23</v>
      </c>
      <c r="B15" s="139"/>
      <c r="C15" s="139"/>
      <c r="D15" s="139"/>
      <c r="E15" s="139"/>
      <c r="G15" s="36"/>
    </row>
    <row r="16" spans="1:29" ht="25.5" customHeight="1" x14ac:dyDescent="0.35">
      <c r="B16" s="17" t="s">
        <v>24</v>
      </c>
      <c r="C16" s="37" t="s">
        <v>6</v>
      </c>
      <c r="D16" s="112" t="s">
        <v>25</v>
      </c>
      <c r="E16" s="18" t="s">
        <v>26</v>
      </c>
      <c r="L16" s="8">
        <f>L2</f>
        <v>2025</v>
      </c>
      <c r="M16" s="8">
        <f t="shared" ref="M16:W16" si="14">M2</f>
        <v>2026</v>
      </c>
      <c r="N16" s="8">
        <f t="shared" si="14"/>
        <v>2027</v>
      </c>
      <c r="O16" s="8">
        <f t="shared" si="14"/>
        <v>2028</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x14ac:dyDescent="0.35">
      <c r="A17" s="21">
        <f>A3</f>
        <v>1</v>
      </c>
      <c r="B17" s="93" t="str">
        <f>B3</f>
        <v>soportes de amortiguación Volquetes caterpillar 725, 730, 740, 750,  775D, 797</v>
      </c>
      <c r="C17" s="39">
        <f>C3</f>
        <v>813</v>
      </c>
      <c r="D17" s="14">
        <v>210000</v>
      </c>
      <c r="E17" s="22">
        <f>C17*D17</f>
        <v>170730000</v>
      </c>
      <c r="F17" s="23">
        <f>IF($E$27=0,0,E17/$E$27)</f>
        <v>6.5272993504432969E-2</v>
      </c>
      <c r="L17" s="8">
        <f t="shared" ref="L17:L26" si="15">C17*(1+G3)</f>
        <v>853.65000000000009</v>
      </c>
      <c r="M17" s="8">
        <f>L17*(1+H3)</f>
        <v>939.01500000000021</v>
      </c>
      <c r="N17" s="8">
        <f t="shared" ref="N17:O17" si="16">M17*(1+I3)</f>
        <v>1079.8672500000002</v>
      </c>
      <c r="O17" s="8">
        <f t="shared" si="16"/>
        <v>1295.8407000000002</v>
      </c>
      <c r="P17" s="40">
        <f>D17*(1+'1'!$Z$5)</f>
        <v>232890</v>
      </c>
      <c r="Q17" s="25">
        <f>P17*(1+'1'!$AA$5)</f>
        <v>258275.01</v>
      </c>
      <c r="R17" s="25">
        <f>Q17*(1+'1'!$AB$5)</f>
        <v>286426.98609000002</v>
      </c>
      <c r="S17" s="25">
        <f>R17*(1+'1'!$AC$5)</f>
        <v>317647.52757381002</v>
      </c>
      <c r="T17" s="40">
        <f t="shared" ref="T17:U19" si="17">L17*P17</f>
        <v>198806548.50000003</v>
      </c>
      <c r="U17" s="26">
        <f t="shared" si="17"/>
        <v>242524108.51515007</v>
      </c>
      <c r="V17" s="26">
        <f t="shared" ref="V17:W17" si="18">N17*R17</f>
        <v>309303121.79479665</v>
      </c>
      <c r="W17" s="26">
        <f t="shared" si="18"/>
        <v>411620594.48451531</v>
      </c>
      <c r="X17" s="26"/>
    </row>
    <row r="18" spans="1:24" x14ac:dyDescent="0.35">
      <c r="A18" s="21">
        <f t="shared" ref="A18:B25" si="19">A4</f>
        <v>2</v>
      </c>
      <c r="B18" s="41" t="str">
        <f>B4</f>
        <v>Buje chasis Volquetes caterpillar 725, 730, 740, 750,  775D, 797</v>
      </c>
      <c r="C18" s="39">
        <f t="shared" ref="C18:C26" si="20">C4</f>
        <v>813</v>
      </c>
      <c r="D18" s="14">
        <v>190000</v>
      </c>
      <c r="E18" s="22">
        <f t="shared" ref="E18:E26" si="21">C18*D18</f>
        <v>154470000</v>
      </c>
      <c r="F18" s="23">
        <f t="shared" ref="F18:F26" si="22">IF($E$27=0,0,E18/$E$27)</f>
        <v>5.9056517932582209E-2</v>
      </c>
      <c r="L18" s="8">
        <f t="shared" si="15"/>
        <v>853.65000000000009</v>
      </c>
      <c r="M18" s="8">
        <f t="shared" ref="M18:M26" si="23">L18*(1+H4)</f>
        <v>939.01500000000021</v>
      </c>
      <c r="N18" s="8">
        <f t="shared" ref="N18:N26" si="24">M18*(1+I4)</f>
        <v>1079.8672500000002</v>
      </c>
      <c r="O18" s="8">
        <f t="shared" ref="O18:O26" si="25">N18*(1+J4)</f>
        <v>1295.8407000000002</v>
      </c>
      <c r="P18" s="40">
        <f>D18*(1+'1'!$Z$5)</f>
        <v>210710</v>
      </c>
      <c r="Q18" s="25">
        <f>P18*(1+'1'!$AA$5)</f>
        <v>233677.38999999998</v>
      </c>
      <c r="R18" s="25">
        <f>Q18*(1+'1'!$AB$5)</f>
        <v>259148.22550999999</v>
      </c>
      <c r="S18" s="25">
        <f>R18*(1+'1'!$AC$5)</f>
        <v>287395.38209058996</v>
      </c>
      <c r="T18" s="40">
        <f t="shared" si="17"/>
        <v>179872591.50000003</v>
      </c>
      <c r="U18" s="26">
        <f t="shared" si="17"/>
        <v>219426574.37085003</v>
      </c>
      <c r="V18" s="26">
        <f t="shared" ref="V18:V26" si="26">N18*R18</f>
        <v>279845681.62386358</v>
      </c>
      <c r="W18" s="26">
        <f t="shared" ref="W18:W26" si="27">O18*S18</f>
        <v>372418633.10503763</v>
      </c>
      <c r="X18" s="26"/>
    </row>
    <row r="19" spans="1:24" x14ac:dyDescent="0.35">
      <c r="A19" s="21">
        <f t="shared" si="19"/>
        <v>3</v>
      </c>
      <c r="B19" s="41" t="str">
        <f t="shared" si="19"/>
        <v>Corbatin brazo oscilante Volquetes caterpillar 725, 730, 740, 750,  775D, 797</v>
      </c>
      <c r="C19" s="39">
        <f t="shared" si="20"/>
        <v>813</v>
      </c>
      <c r="D19" s="14">
        <v>100000</v>
      </c>
      <c r="E19" s="22">
        <f t="shared" si="21"/>
        <v>81300000</v>
      </c>
      <c r="F19" s="23">
        <f t="shared" si="22"/>
        <v>3.1082377859253794E-2</v>
      </c>
      <c r="L19" s="8">
        <f t="shared" si="15"/>
        <v>853.65000000000009</v>
      </c>
      <c r="M19" s="8">
        <f t="shared" si="23"/>
        <v>939.01500000000021</v>
      </c>
      <c r="N19" s="8">
        <f t="shared" si="24"/>
        <v>1079.8672500000002</v>
      </c>
      <c r="O19" s="8">
        <f t="shared" si="25"/>
        <v>1295.8407000000002</v>
      </c>
      <c r="P19" s="40">
        <f>D19*(1+'1'!$Z$5)</f>
        <v>110900</v>
      </c>
      <c r="Q19" s="25">
        <f>P19*(1+'1'!$AA$5)</f>
        <v>122988.09999999999</v>
      </c>
      <c r="R19" s="25">
        <f>Q19*(1+'1'!$AB$5)</f>
        <v>136393.80289999998</v>
      </c>
      <c r="S19" s="25">
        <f>R19*(1+'1'!$AC$5)</f>
        <v>151260.72741609998</v>
      </c>
      <c r="T19" s="40">
        <f t="shared" si="17"/>
        <v>94669785.000000015</v>
      </c>
      <c r="U19" s="26">
        <f t="shared" si="17"/>
        <v>115487670.72150002</v>
      </c>
      <c r="V19" s="26">
        <f t="shared" si="26"/>
        <v>147287200.85466504</v>
      </c>
      <c r="W19" s="26">
        <f t="shared" si="27"/>
        <v>196009806.89738822</v>
      </c>
      <c r="X19" s="26"/>
    </row>
    <row r="20" spans="1:24" x14ac:dyDescent="0.35">
      <c r="A20" s="21">
        <f t="shared" si="19"/>
        <v>4</v>
      </c>
      <c r="B20" s="41" t="str">
        <f t="shared" si="19"/>
        <v>Soportes de Motor - Otras Miniexcavadoras y Excavadoras</v>
      </c>
      <c r="C20" s="39">
        <f t="shared" si="20"/>
        <v>100</v>
      </c>
      <c r="D20" s="14">
        <v>90000</v>
      </c>
      <c r="E20" s="22">
        <f t="shared" si="21"/>
        <v>9000000</v>
      </c>
      <c r="F20" s="23">
        <f t="shared" si="22"/>
        <v>3.4408536375557706E-3</v>
      </c>
      <c r="L20" s="8">
        <f t="shared" si="15"/>
        <v>105</v>
      </c>
      <c r="M20" s="8">
        <f t="shared" si="23"/>
        <v>115.50000000000001</v>
      </c>
      <c r="N20" s="8">
        <f t="shared" si="24"/>
        <v>132.82500000000002</v>
      </c>
      <c r="O20" s="8">
        <f t="shared" si="25"/>
        <v>159.39000000000001</v>
      </c>
      <c r="P20" s="40">
        <f>D20*(1+'1'!$Z$5)</f>
        <v>99810</v>
      </c>
      <c r="Q20" s="25">
        <f>P20*(1+'1'!$AA$5)</f>
        <v>110689.29</v>
      </c>
      <c r="R20" s="25">
        <f>Q20*(1+'1'!$AB$5)</f>
        <v>122754.42260999999</v>
      </c>
      <c r="S20" s="25">
        <f>R20*(1+'1'!$AC$5)</f>
        <v>136134.65467448998</v>
      </c>
      <c r="T20" s="40">
        <f t="shared" ref="T20:T26" si="28">L20*P20</f>
        <v>10480050</v>
      </c>
      <c r="U20" s="26">
        <f t="shared" ref="U20:U26" si="29">M20*Q20</f>
        <v>12784612.995000001</v>
      </c>
      <c r="V20" s="26">
        <f t="shared" si="26"/>
        <v>16304856.18317325</v>
      </c>
      <c r="W20" s="26">
        <f t="shared" si="27"/>
        <v>21698502.608566958</v>
      </c>
      <c r="X20" s="26"/>
    </row>
    <row r="21" spans="1:24" x14ac:dyDescent="0.35">
      <c r="A21" s="21">
        <f t="shared" si="19"/>
        <v>5</v>
      </c>
      <c r="B21" s="41" t="str">
        <f t="shared" si="19"/>
        <v>Soportes de Motor - Caterpillar 320D series</v>
      </c>
      <c r="C21" s="39">
        <f t="shared" si="20"/>
        <v>3848</v>
      </c>
      <c r="D21" s="14">
        <v>190000</v>
      </c>
      <c r="E21" s="22">
        <f t="shared" si="21"/>
        <v>731120000</v>
      </c>
      <c r="F21" s="23">
        <f t="shared" si="22"/>
        <v>0.27951965683219721</v>
      </c>
      <c r="L21" s="8">
        <f t="shared" si="15"/>
        <v>4040.4</v>
      </c>
      <c r="M21" s="8">
        <f t="shared" si="23"/>
        <v>4444.4400000000005</v>
      </c>
      <c r="N21" s="8">
        <f t="shared" si="24"/>
        <v>5111.1059999999998</v>
      </c>
      <c r="O21" s="8">
        <f t="shared" si="25"/>
        <v>6133.3271999999997</v>
      </c>
      <c r="P21" s="40">
        <f>D21*(1+'1'!$Z$5)</f>
        <v>210710</v>
      </c>
      <c r="Q21" s="25">
        <f>P21*(1+'1'!$AA$5)</f>
        <v>233677.38999999998</v>
      </c>
      <c r="R21" s="25">
        <f>Q21*(1+'1'!$AB$5)</f>
        <v>259148.22550999999</v>
      </c>
      <c r="S21" s="25">
        <f>R21*(1+'1'!$AC$5)</f>
        <v>287395.38209058996</v>
      </c>
      <c r="T21" s="40">
        <f t="shared" si="28"/>
        <v>851352684</v>
      </c>
      <c r="U21" s="26">
        <f t="shared" si="29"/>
        <v>1038565139.2116001</v>
      </c>
      <c r="V21" s="26">
        <f t="shared" si="26"/>
        <v>1324534050.293514</v>
      </c>
      <c r="W21" s="26">
        <f t="shared" si="27"/>
        <v>1762689914.1306083</v>
      </c>
      <c r="X21" s="26"/>
    </row>
    <row r="22" spans="1:24" x14ac:dyDescent="0.35">
      <c r="A22" s="21">
        <f t="shared" si="19"/>
        <v>6</v>
      </c>
      <c r="B22" s="41" t="str">
        <f t="shared" si="19"/>
        <v>Soportes de Motor - Caterpillar MINIEXCAVADORA HIDRÁULICA 304.5 305 305.5 306 306E 307B, EXCAVADORA 307-A E70 E70B 307B 307C 307D</v>
      </c>
      <c r="C22" s="39">
        <f t="shared" si="20"/>
        <v>7147</v>
      </c>
      <c r="D22" s="14">
        <v>110000</v>
      </c>
      <c r="E22" s="22">
        <f t="shared" si="21"/>
        <v>786170000</v>
      </c>
      <c r="F22" s="23">
        <f t="shared" si="22"/>
        <v>0.30056621158191332</v>
      </c>
      <c r="L22" s="8">
        <f t="shared" si="15"/>
        <v>7504.35</v>
      </c>
      <c r="M22" s="8">
        <f t="shared" si="23"/>
        <v>8254.7850000000017</v>
      </c>
      <c r="N22" s="8">
        <f t="shared" si="24"/>
        <v>9493.0027500000015</v>
      </c>
      <c r="O22" s="8">
        <f t="shared" si="25"/>
        <v>11391.603300000001</v>
      </c>
      <c r="P22" s="40">
        <f>D22*(1+'1'!$Z$5)</f>
        <v>121990</v>
      </c>
      <c r="Q22" s="25">
        <f>P22*(1+'1'!$AA$5)</f>
        <v>135286.91</v>
      </c>
      <c r="R22" s="25">
        <f>Q22*(1+'1'!$AB$5)</f>
        <v>150033.18319000001</v>
      </c>
      <c r="S22" s="25">
        <f>R22*(1+'1'!$AC$5)</f>
        <v>166386.80015771001</v>
      </c>
      <c r="T22" s="40">
        <f t="shared" si="28"/>
        <v>915455656.5</v>
      </c>
      <c r="U22" s="26">
        <f t="shared" si="29"/>
        <v>1116764355.3643503</v>
      </c>
      <c r="V22" s="26">
        <f t="shared" si="26"/>
        <v>1424265420.613924</v>
      </c>
      <c r="W22" s="26">
        <f t="shared" si="27"/>
        <v>1895412421.75301</v>
      </c>
      <c r="X22" s="26"/>
    </row>
    <row r="23" spans="1:24" x14ac:dyDescent="0.35">
      <c r="A23" s="21">
        <f t="shared" si="19"/>
        <v>7</v>
      </c>
      <c r="B23" s="41" t="str">
        <f t="shared" si="19"/>
        <v xml:space="preserve">soportes de amortiguación Voquetes A25g, A60H, A45GFS, A45G, A35G, A30G, A40G </v>
      </c>
      <c r="C23" s="39">
        <f t="shared" si="20"/>
        <v>552</v>
      </c>
      <c r="D23" s="14">
        <v>530000</v>
      </c>
      <c r="E23" s="22">
        <f t="shared" si="21"/>
        <v>292560000</v>
      </c>
      <c r="F23" s="23">
        <f t="shared" si="22"/>
        <v>0.11185068224481291</v>
      </c>
      <c r="L23" s="8">
        <f t="shared" si="15"/>
        <v>579.6</v>
      </c>
      <c r="M23" s="8">
        <f t="shared" si="23"/>
        <v>637.56000000000006</v>
      </c>
      <c r="N23" s="8">
        <f t="shared" si="24"/>
        <v>733.19399999999996</v>
      </c>
      <c r="O23" s="8">
        <f t="shared" si="25"/>
        <v>879.83279999999991</v>
      </c>
      <c r="P23" s="40">
        <f>D23*(1+'1'!$Z$5)</f>
        <v>587770</v>
      </c>
      <c r="Q23" s="25">
        <f>P23*(1+'1'!$AA$5)</f>
        <v>651836.92999999993</v>
      </c>
      <c r="R23" s="25">
        <f>Q23*(1+'1'!$AB$5)</f>
        <v>722887.15536999993</v>
      </c>
      <c r="S23" s="25">
        <f>R23*(1+'1'!$AC$5)</f>
        <v>801681.8553053299</v>
      </c>
      <c r="T23" s="40">
        <f t="shared" si="28"/>
        <v>340671492</v>
      </c>
      <c r="U23" s="26">
        <f t="shared" si="29"/>
        <v>415585153.09079999</v>
      </c>
      <c r="V23" s="26">
        <f t="shared" si="26"/>
        <v>530016524.99435169</v>
      </c>
      <c r="W23" s="26">
        <f t="shared" si="27"/>
        <v>705345991.46248317</v>
      </c>
      <c r="X23" s="26"/>
    </row>
    <row r="24" spans="1:24" x14ac:dyDescent="0.35">
      <c r="A24" s="21">
        <f t="shared" si="19"/>
        <v>8</v>
      </c>
      <c r="B24" s="41" t="str">
        <f t="shared" si="19"/>
        <v xml:space="preserve">Buje chasis Caterpillar A25g, A60H, A45GFS, A45G, A35G, A30G, A40G </v>
      </c>
      <c r="C24" s="39">
        <f t="shared" si="20"/>
        <v>552</v>
      </c>
      <c r="D24" s="14">
        <v>340000</v>
      </c>
      <c r="E24" s="22">
        <f t="shared" si="21"/>
        <v>187680000</v>
      </c>
      <c r="F24" s="23">
        <f t="shared" si="22"/>
        <v>7.1753267855163005E-2</v>
      </c>
      <c r="L24" s="8">
        <f t="shared" si="15"/>
        <v>579.6</v>
      </c>
      <c r="M24" s="8">
        <f t="shared" si="23"/>
        <v>637.56000000000006</v>
      </c>
      <c r="N24" s="8">
        <f t="shared" si="24"/>
        <v>733.19399999999996</v>
      </c>
      <c r="O24" s="8">
        <f t="shared" si="25"/>
        <v>879.83279999999991</v>
      </c>
      <c r="P24" s="40">
        <f>D24*(1+'1'!$Z$5)</f>
        <v>377060</v>
      </c>
      <c r="Q24" s="25">
        <f>P24*(1+'1'!$AA$5)</f>
        <v>418159.54</v>
      </c>
      <c r="R24" s="25">
        <f>Q24*(1+'1'!$AB$5)</f>
        <v>463738.92985999997</v>
      </c>
      <c r="S24" s="25">
        <f>R24*(1+'1'!$AC$5)</f>
        <v>514286.47321473999</v>
      </c>
      <c r="T24" s="40">
        <f t="shared" si="28"/>
        <v>218543976</v>
      </c>
      <c r="U24" s="26">
        <f t="shared" si="29"/>
        <v>266601796.3224</v>
      </c>
      <c r="V24" s="26">
        <f t="shared" si="26"/>
        <v>340010600.93977278</v>
      </c>
      <c r="W24" s="26">
        <f t="shared" si="27"/>
        <v>452486107.73064965</v>
      </c>
      <c r="X24" s="26"/>
    </row>
    <row r="25" spans="1:24" x14ac:dyDescent="0.35">
      <c r="A25" s="21">
        <f t="shared" si="19"/>
        <v>9</v>
      </c>
      <c r="B25" s="41" t="str">
        <f t="shared" si="19"/>
        <v xml:space="preserve">corbatin brazo oscilante Carterpillar A25g, A60H, A45GFS, A45G, A35G, A30G, A40G </v>
      </c>
      <c r="C25" s="39">
        <f t="shared" si="20"/>
        <v>552</v>
      </c>
      <c r="D25" s="14">
        <v>230000</v>
      </c>
      <c r="E25" s="22">
        <f t="shared" si="21"/>
        <v>126960000</v>
      </c>
      <c r="F25" s="23">
        <f t="shared" si="22"/>
        <v>4.8538975313786738E-2</v>
      </c>
      <c r="L25" s="8">
        <f t="shared" si="15"/>
        <v>579.6</v>
      </c>
      <c r="M25" s="8">
        <f t="shared" si="23"/>
        <v>637.56000000000006</v>
      </c>
      <c r="N25" s="8">
        <f t="shared" si="24"/>
        <v>733.19399999999996</v>
      </c>
      <c r="O25" s="8">
        <f t="shared" si="25"/>
        <v>879.83279999999991</v>
      </c>
      <c r="P25" s="40">
        <f>D25*(1+'1'!$Z$5)</f>
        <v>255070</v>
      </c>
      <c r="Q25" s="25">
        <f>P25*(1+'1'!$AA$5)</f>
        <v>282872.63</v>
      </c>
      <c r="R25" s="25">
        <f>Q25*(1+'1'!$AB$5)</f>
        <v>313705.74667000002</v>
      </c>
      <c r="S25" s="25">
        <f>R25*(1+'1'!$AC$5)</f>
        <v>347899.67305703001</v>
      </c>
      <c r="T25" s="40">
        <f t="shared" si="28"/>
        <v>147838572</v>
      </c>
      <c r="U25" s="26">
        <f t="shared" si="29"/>
        <v>180348273.98280001</v>
      </c>
      <c r="V25" s="26">
        <f t="shared" si="26"/>
        <v>230007171.22396398</v>
      </c>
      <c r="W25" s="26">
        <f t="shared" si="27"/>
        <v>306093543.46485126</v>
      </c>
      <c r="X25" s="26"/>
    </row>
    <row r="26" spans="1:24" x14ac:dyDescent="0.35">
      <c r="A26" s="21">
        <f>A12</f>
        <v>10</v>
      </c>
      <c r="B26" s="41" t="str">
        <f>B12</f>
        <v>Soporte de amortiguación Terex 33-19</v>
      </c>
      <c r="C26" s="39">
        <f t="shared" si="20"/>
        <v>244</v>
      </c>
      <c r="D26" s="14">
        <v>310000</v>
      </c>
      <c r="E26" s="22">
        <f t="shared" si="21"/>
        <v>75640000</v>
      </c>
      <c r="F26" s="23">
        <f t="shared" si="22"/>
        <v>2.8918463238302054E-2</v>
      </c>
      <c r="L26" s="8">
        <f t="shared" si="15"/>
        <v>256.2</v>
      </c>
      <c r="M26" s="8">
        <f t="shared" si="23"/>
        <v>281.82</v>
      </c>
      <c r="N26" s="8">
        <f t="shared" si="24"/>
        <v>324.09299999999996</v>
      </c>
      <c r="O26" s="8">
        <f t="shared" si="25"/>
        <v>388.91159999999996</v>
      </c>
      <c r="P26" s="40">
        <f>D26*(1+'1'!$Z$5)</f>
        <v>343790</v>
      </c>
      <c r="Q26" s="25">
        <f>P26*(1+'1'!$AA$5)</f>
        <v>381263.11</v>
      </c>
      <c r="R26" s="25">
        <f>Q26*(1+'1'!$AB$5)</f>
        <v>422820.78898999997</v>
      </c>
      <c r="S26" s="25">
        <f>R26*(1+'1'!$AC$5)</f>
        <v>468908.25498990994</v>
      </c>
      <c r="T26" s="40">
        <f t="shared" si="28"/>
        <v>88078998</v>
      </c>
      <c r="U26" s="26">
        <f t="shared" si="29"/>
        <v>107447569.6602</v>
      </c>
      <c r="V26" s="26">
        <f t="shared" si="26"/>
        <v>137033257.96613604</v>
      </c>
      <c r="W26" s="26">
        <f t="shared" si="27"/>
        <v>182363859.70133385</v>
      </c>
      <c r="X26" s="26"/>
    </row>
    <row r="27" spans="1:24" x14ac:dyDescent="0.35">
      <c r="D27" s="8" t="str">
        <f>D13</f>
        <v>TOTAL</v>
      </c>
      <c r="E27" s="33">
        <f>SUM(E17:E26)</f>
        <v>2615630000</v>
      </c>
      <c r="F27" s="34">
        <f>SUM(F17:F26)</f>
        <v>0.99999999999999989</v>
      </c>
      <c r="T27" s="35">
        <f>SUM(T17:T26)</f>
        <v>3045770353.5</v>
      </c>
      <c r="U27" s="35">
        <f>SUM(U17:U26)</f>
        <v>3715535254.2346506</v>
      </c>
      <c r="V27" s="35">
        <f t="shared" ref="V27:W27" si="30">SUM(V17:V26)</f>
        <v>4738607886.4881611</v>
      </c>
      <c r="W27" s="35">
        <f t="shared" si="30"/>
        <v>6306139375.3384447</v>
      </c>
      <c r="X27" s="26"/>
    </row>
    <row r="30" spans="1:24" x14ac:dyDescent="0.35">
      <c r="A30" s="138" t="s">
        <v>27</v>
      </c>
      <c r="B30" s="138"/>
      <c r="C30" s="138"/>
      <c r="D30" s="138"/>
      <c r="E30" s="138"/>
      <c r="F30" s="138"/>
    </row>
    <row r="31" spans="1:24" ht="25" x14ac:dyDescent="0.5">
      <c r="A31" s="42" t="s">
        <v>18</v>
      </c>
      <c r="B31" s="43">
        <f>'1'!Z1</f>
        <v>2024</v>
      </c>
      <c r="C31" s="43">
        <f>B31+1</f>
        <v>2025</v>
      </c>
      <c r="D31" s="43">
        <f>C31+1</f>
        <v>2026</v>
      </c>
      <c r="E31" s="43">
        <f>D31+1</f>
        <v>2027</v>
      </c>
      <c r="F31" s="43">
        <f>E31+1</f>
        <v>2028</v>
      </c>
      <c r="H31" s="44"/>
      <c r="I31" s="44"/>
      <c r="J31" s="44"/>
      <c r="K31" s="44"/>
      <c r="L31" s="44"/>
      <c r="M31" s="44"/>
      <c r="N31" s="44"/>
      <c r="O31" s="44"/>
      <c r="P31" s="44"/>
      <c r="Q31" s="44"/>
      <c r="R31" s="44"/>
      <c r="S31" s="44"/>
      <c r="T31" s="44"/>
      <c r="U31" s="44"/>
      <c r="V31" s="44"/>
    </row>
    <row r="32" spans="1:24" x14ac:dyDescent="0.35">
      <c r="A32" s="45" t="s">
        <v>28</v>
      </c>
      <c r="B32" s="46">
        <f>'1'!E13</f>
        <v>4772370000</v>
      </c>
      <c r="C32" s="47">
        <f>'1'!T13</f>
        <v>5281581879</v>
      </c>
      <c r="D32" s="47">
        <f>'1'!U13</f>
        <v>5995651749.040802</v>
      </c>
      <c r="E32" s="47">
        <f>'1'!V13</f>
        <v>7074269498.6932402</v>
      </c>
      <c r="F32" s="47">
        <f>'1'!W13</f>
        <v>8786242717.3770027</v>
      </c>
    </row>
    <row r="33" spans="1:6" x14ac:dyDescent="0.35">
      <c r="A33" s="45" t="s">
        <v>29</v>
      </c>
      <c r="B33" s="46">
        <f>'1'!E27</f>
        <v>2615630000</v>
      </c>
      <c r="C33" s="46">
        <f>'1'!T27</f>
        <v>3045770353.5</v>
      </c>
      <c r="D33" s="46">
        <f>'1'!U27</f>
        <v>3715535254.2346506</v>
      </c>
      <c r="E33" s="46">
        <f>'1'!V27</f>
        <v>4738607886.4881611</v>
      </c>
      <c r="F33" s="46">
        <f>'1'!W27</f>
        <v>6306139375.3384447</v>
      </c>
    </row>
    <row r="34" spans="1:6" ht="20.5" thickBot="1" x14ac:dyDescent="0.45">
      <c r="A34" s="48" t="s">
        <v>30</v>
      </c>
      <c r="B34" s="115">
        <f>B32-B33</f>
        <v>2156740000</v>
      </c>
      <c r="C34" s="115">
        <f t="shared" ref="C34:D34" si="31">C32-C33</f>
        <v>2235811525.5</v>
      </c>
      <c r="D34" s="115">
        <f t="shared" si="31"/>
        <v>2280116494.8061514</v>
      </c>
      <c r="E34" s="115">
        <f t="shared" ref="E34" si="32">E32-E33</f>
        <v>2335661612.2050791</v>
      </c>
      <c r="F34" s="115">
        <f t="shared" ref="F34" si="33">F32-F33</f>
        <v>2480103342.038558</v>
      </c>
    </row>
    <row r="35" spans="1:6" ht="15" thickTop="1" x14ac:dyDescent="0.35"/>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phoneticPr fontId="50" type="noConversion"/>
  <conditionalFormatting sqref="B34:F34">
    <cfRule type="cellIs" dxfId="10" priority="1" operator="lessThan">
      <formula>0</formula>
    </cfRule>
  </conditionalFormatting>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zoomScale="60" zoomScaleNormal="60" workbookViewId="0">
      <pane ySplit="14" topLeftCell="A15" activePane="bottomLeft" state="frozenSplit"/>
      <selection activeCell="B40" sqref="B40"/>
      <selection pane="bottomLeft" activeCell="B3" sqref="B3:H31"/>
    </sheetView>
  </sheetViews>
  <sheetFormatPr defaultColWidth="11.453125" defaultRowHeight="14.5" x14ac:dyDescent="0.35"/>
  <cols>
    <col min="1" max="1" width="5.453125" style="8" customWidth="1"/>
    <col min="2" max="2" width="29.453125" style="8" bestFit="1" customWidth="1"/>
    <col min="3" max="3" width="20.26953125" style="8" customWidth="1"/>
    <col min="4" max="4" width="11.453125" style="8"/>
    <col min="5" max="5" width="23.26953125" style="8" customWidth="1"/>
    <col min="6" max="6" width="17.7265625" style="8" bestFit="1" customWidth="1"/>
    <col min="7" max="7" width="15.54296875" style="8" bestFit="1" customWidth="1"/>
    <col min="8" max="16384" width="11.453125" style="8"/>
  </cols>
  <sheetData>
    <row r="1" spans="2:8" x14ac:dyDescent="0.35">
      <c r="B1" s="141" t="s">
        <v>31</v>
      </c>
      <c r="C1" s="141"/>
      <c r="D1" s="141"/>
      <c r="E1" s="141"/>
      <c r="F1" s="141"/>
      <c r="G1" s="141"/>
      <c r="H1" s="141"/>
    </row>
    <row r="2" spans="2:8" ht="3.75" customHeight="1" x14ac:dyDescent="0.35">
      <c r="B2" s="141"/>
      <c r="C2" s="141"/>
      <c r="D2" s="141"/>
      <c r="E2" s="141"/>
      <c r="F2" s="141"/>
      <c r="G2" s="141"/>
      <c r="H2" s="141"/>
    </row>
    <row r="3" spans="2:8" x14ac:dyDescent="0.35">
      <c r="C3" s="21" t="s">
        <v>32</v>
      </c>
      <c r="F3" s="72" t="s">
        <v>33</v>
      </c>
      <c r="G3" s="72"/>
    </row>
    <row r="4" spans="2:8" x14ac:dyDescent="0.35">
      <c r="B4" s="48" t="s">
        <v>34</v>
      </c>
      <c r="C4" s="14">
        <v>0</v>
      </c>
      <c r="F4" s="72"/>
      <c r="G4" s="72"/>
    </row>
    <row r="5" spans="2:8" x14ac:dyDescent="0.35">
      <c r="B5" s="48" t="s">
        <v>35</v>
      </c>
      <c r="C5" s="14">
        <v>200000000</v>
      </c>
      <c r="F5" s="72">
        <v>10</v>
      </c>
      <c r="G5" s="73">
        <f t="shared" ref="G5:G11" si="0">C5/F5</f>
        <v>20000000</v>
      </c>
    </row>
    <row r="6" spans="2:8" x14ac:dyDescent="0.35">
      <c r="B6" s="48" t="s">
        <v>36</v>
      </c>
      <c r="C6" s="14">
        <v>0</v>
      </c>
      <c r="F6" s="72">
        <v>5</v>
      </c>
      <c r="G6" s="73">
        <f t="shared" si="0"/>
        <v>0</v>
      </c>
    </row>
    <row r="7" spans="2:8" x14ac:dyDescent="0.35">
      <c r="B7" s="48" t="s">
        <v>37</v>
      </c>
      <c r="C7" s="14">
        <v>0</v>
      </c>
      <c r="F7" s="72">
        <v>5</v>
      </c>
      <c r="G7" s="73">
        <f t="shared" si="0"/>
        <v>0</v>
      </c>
    </row>
    <row r="8" spans="2:8" x14ac:dyDescent="0.35">
      <c r="B8" s="48" t="s">
        <v>38</v>
      </c>
      <c r="C8" s="14">
        <v>0</v>
      </c>
      <c r="F8" s="72">
        <v>5</v>
      </c>
      <c r="G8" s="73">
        <f t="shared" si="0"/>
        <v>0</v>
      </c>
    </row>
    <row r="9" spans="2:8" x14ac:dyDescent="0.35">
      <c r="B9" s="48" t="s">
        <v>39</v>
      </c>
      <c r="C9" s="14">
        <v>0</v>
      </c>
      <c r="F9" s="72">
        <v>5</v>
      </c>
      <c r="G9" s="73">
        <f t="shared" si="0"/>
        <v>0</v>
      </c>
    </row>
    <row r="10" spans="2:8" x14ac:dyDescent="0.35">
      <c r="B10" s="48" t="s">
        <v>40</v>
      </c>
      <c r="C10" s="14">
        <v>50000000</v>
      </c>
      <c r="F10" s="72">
        <v>5</v>
      </c>
      <c r="G10" s="73">
        <f t="shared" si="0"/>
        <v>10000000</v>
      </c>
    </row>
    <row r="11" spans="2:8" x14ac:dyDescent="0.35">
      <c r="B11" s="48" t="s">
        <v>41</v>
      </c>
      <c r="C11" s="14">
        <v>50000000</v>
      </c>
      <c r="F11" s="72">
        <v>5</v>
      </c>
      <c r="G11" s="73">
        <f t="shared" si="0"/>
        <v>10000000</v>
      </c>
    </row>
    <row r="12" spans="2:8" ht="16" thickBot="1" x14ac:dyDescent="0.4">
      <c r="B12" s="74" t="s">
        <v>42</v>
      </c>
      <c r="C12" s="75">
        <f>SUM(C4:C11)</f>
        <v>300000000</v>
      </c>
      <c r="F12" s="72"/>
      <c r="G12" s="73">
        <f>SUM(G5:G11)</f>
        <v>40000000</v>
      </c>
    </row>
    <row r="13" spans="2:8" x14ac:dyDescent="0.35">
      <c r="B13" s="142" t="s">
        <v>43</v>
      </c>
      <c r="C13" s="143"/>
      <c r="D13" s="143"/>
      <c r="E13" s="143"/>
      <c r="F13" s="143"/>
      <c r="G13" s="143"/>
      <c r="H13" s="144"/>
    </row>
    <row r="14" spans="2:8" ht="15" thickBot="1" x14ac:dyDescent="0.4">
      <c r="B14" s="145"/>
      <c r="C14" s="146"/>
      <c r="D14" s="146"/>
      <c r="E14" s="146"/>
      <c r="F14" s="146"/>
      <c r="G14" s="146"/>
      <c r="H14" s="147"/>
    </row>
    <row r="15" spans="2:8" x14ac:dyDescent="0.35">
      <c r="B15" s="76"/>
      <c r="C15" s="76"/>
      <c r="D15" s="76"/>
      <c r="E15" s="76"/>
      <c r="F15" s="76"/>
      <c r="G15" s="76"/>
      <c r="H15" s="76"/>
    </row>
    <row r="16" spans="2:8" x14ac:dyDescent="0.35">
      <c r="B16" s="74" t="s">
        <v>44</v>
      </c>
      <c r="E16" s="74" t="s">
        <v>45</v>
      </c>
      <c r="F16" s="38"/>
    </row>
    <row r="17" spans="2:6" x14ac:dyDescent="0.35">
      <c r="C17" s="74" t="s">
        <v>46</v>
      </c>
      <c r="F17" s="74" t="str">
        <f>C17</f>
        <v>VALOR AÑO 1</v>
      </c>
    </row>
    <row r="18" spans="2:6" x14ac:dyDescent="0.35">
      <c r="B18" s="77" t="s">
        <v>47</v>
      </c>
      <c r="C18" s="14">
        <v>31896000</v>
      </c>
      <c r="E18" s="78" t="s">
        <v>48</v>
      </c>
      <c r="F18" s="14">
        <v>35000000</v>
      </c>
    </row>
    <row r="19" spans="2:6" x14ac:dyDescent="0.35">
      <c r="C19" s="79"/>
      <c r="E19" s="78" t="s">
        <v>49</v>
      </c>
      <c r="F19" s="14">
        <v>17016000</v>
      </c>
    </row>
    <row r="20" spans="2:6" x14ac:dyDescent="0.35">
      <c r="B20" s="77" t="s">
        <v>50</v>
      </c>
      <c r="C20" s="14">
        <v>44250000</v>
      </c>
      <c r="E20" s="78" t="s">
        <v>51</v>
      </c>
      <c r="F20" s="14">
        <v>720000</v>
      </c>
    </row>
    <row r="21" spans="2:6" x14ac:dyDescent="0.35">
      <c r="C21" s="79"/>
      <c r="E21" s="78" t="s">
        <v>52</v>
      </c>
      <c r="F21" s="14">
        <v>1020000</v>
      </c>
    </row>
    <row r="22" spans="2:6" x14ac:dyDescent="0.35">
      <c r="B22" s="77" t="s">
        <v>53</v>
      </c>
      <c r="C22" s="14">
        <f>233748000+88500000+49560000</f>
        <v>371808000</v>
      </c>
      <c r="E22" s="78" t="s">
        <v>54</v>
      </c>
      <c r="F22" s="14">
        <v>100000</v>
      </c>
    </row>
    <row r="23" spans="2:6" ht="24" x14ac:dyDescent="0.35">
      <c r="B23" s="8" t="s">
        <v>55</v>
      </c>
      <c r="C23" s="75">
        <f>C18+C20+C22</f>
        <v>447954000</v>
      </c>
      <c r="E23" s="78" t="s">
        <v>56</v>
      </c>
      <c r="F23" s="14">
        <v>0</v>
      </c>
    </row>
    <row r="24" spans="2:6" x14ac:dyDescent="0.35">
      <c r="E24" s="78" t="s">
        <v>57</v>
      </c>
      <c r="F24" s="14">
        <v>840000</v>
      </c>
    </row>
    <row r="25" spans="2:6" ht="24" x14ac:dyDescent="0.35">
      <c r="B25" s="78" t="s">
        <v>58</v>
      </c>
      <c r="C25" s="14">
        <v>100000000</v>
      </c>
      <c r="E25" s="99" t="s">
        <v>59</v>
      </c>
      <c r="F25" s="14">
        <v>10000000</v>
      </c>
    </row>
    <row r="26" spans="2:6" x14ac:dyDescent="0.35">
      <c r="E26" s="99" t="s">
        <v>159</v>
      </c>
      <c r="F26" s="14">
        <v>25000000</v>
      </c>
    </row>
    <row r="27" spans="2:6" x14ac:dyDescent="0.35">
      <c r="B27" s="97" t="s">
        <v>60</v>
      </c>
      <c r="C27" s="97"/>
      <c r="E27" s="99"/>
      <c r="F27" s="14">
        <v>0</v>
      </c>
    </row>
    <row r="28" spans="2:6" x14ac:dyDescent="0.35">
      <c r="B28" s="113">
        <f>'1'!G2</f>
        <v>2025</v>
      </c>
      <c r="C28" s="14">
        <v>10500000</v>
      </c>
      <c r="E28" s="99"/>
      <c r="F28" s="14">
        <v>0</v>
      </c>
    </row>
    <row r="29" spans="2:6" x14ac:dyDescent="0.35">
      <c r="B29" s="113">
        <f>'1'!H2</f>
        <v>2026</v>
      </c>
      <c r="C29" s="14">
        <v>11025000</v>
      </c>
      <c r="E29" s="99"/>
      <c r="F29" s="14">
        <v>0</v>
      </c>
    </row>
    <row r="30" spans="2:6" x14ac:dyDescent="0.35">
      <c r="B30" s="113">
        <f>'1'!I2</f>
        <v>2027</v>
      </c>
      <c r="C30" s="14">
        <v>11576000</v>
      </c>
      <c r="E30" s="99"/>
      <c r="F30" s="14">
        <v>0</v>
      </c>
    </row>
    <row r="31" spans="2:6" ht="15.5" x14ac:dyDescent="0.35">
      <c r="B31" s="113">
        <f>'1'!J2</f>
        <v>2028</v>
      </c>
      <c r="C31" s="14">
        <v>12155000</v>
      </c>
      <c r="E31" s="78" t="s">
        <v>61</v>
      </c>
      <c r="F31" s="75">
        <f>SUM(F18:F30)</f>
        <v>89696000</v>
      </c>
    </row>
  </sheetData>
  <sheetProtection password="8F5C" sheet="1" objects="1" scenarios="1" formatCells="0" formatColumns="0" formatRows="0"/>
  <mergeCells count="2">
    <mergeCell ref="B1:H2"/>
    <mergeCell ref="B13:H14"/>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zoomScale="60" zoomScaleNormal="60" workbookViewId="0">
      <selection activeCell="B2" sqref="B2:J16"/>
    </sheetView>
  </sheetViews>
  <sheetFormatPr defaultColWidth="11.453125" defaultRowHeight="14.5" x14ac:dyDescent="0.35"/>
  <cols>
    <col min="1" max="1" width="11.453125" style="8"/>
    <col min="2" max="2" width="39" style="8" bestFit="1" customWidth="1"/>
    <col min="3" max="3" width="18.54296875" style="8" bestFit="1" customWidth="1"/>
    <col min="4" max="4" width="19.1796875" style="8" bestFit="1" customWidth="1"/>
    <col min="5" max="5" width="12.81640625" style="8" customWidth="1"/>
    <col min="6" max="6" width="23.26953125" style="8" customWidth="1"/>
    <col min="7" max="8" width="15.81640625" style="8" bestFit="1" customWidth="1"/>
    <col min="9" max="9" width="17" style="8" bestFit="1" customWidth="1"/>
    <col min="10" max="10" width="21.81640625" style="8" customWidth="1"/>
    <col min="11" max="16384" width="11.453125" style="8"/>
  </cols>
  <sheetData>
    <row r="2" spans="2:12" ht="29.25" customHeight="1" x14ac:dyDescent="0.35">
      <c r="B2" s="139" t="s">
        <v>62</v>
      </c>
      <c r="C2" s="139"/>
      <c r="D2" s="139"/>
      <c r="E2" s="139"/>
      <c r="F2" s="139"/>
      <c r="G2" s="139"/>
      <c r="H2" s="139"/>
      <c r="I2" s="139"/>
      <c r="J2" s="139"/>
    </row>
    <row r="3" spans="2:12" x14ac:dyDescent="0.35">
      <c r="F3" s="148" t="s">
        <v>63</v>
      </c>
      <c r="G3" s="148"/>
    </row>
    <row r="4" spans="2:12" ht="15.5" x14ac:dyDescent="0.35">
      <c r="B4" s="16" t="s">
        <v>42</v>
      </c>
      <c r="C4" s="75">
        <f>'2'!C12</f>
        <v>300000000</v>
      </c>
      <c r="F4" s="149">
        <v>0.17130000000000001</v>
      </c>
      <c r="G4" s="149"/>
      <c r="I4" s="8" t="s">
        <v>64</v>
      </c>
      <c r="J4" s="129">
        <v>4</v>
      </c>
      <c r="L4" s="72">
        <v>1</v>
      </c>
    </row>
    <row r="5" spans="2:12" x14ac:dyDescent="0.35">
      <c r="L5" s="72">
        <v>2</v>
      </c>
    </row>
    <row r="6" spans="2:12" ht="15" thickBot="1" x14ac:dyDescent="0.4">
      <c r="B6" s="16" t="s">
        <v>65</v>
      </c>
      <c r="F6" s="138" t="s">
        <v>66</v>
      </c>
      <c r="G6" s="138"/>
      <c r="H6" s="138"/>
      <c r="I6" s="138"/>
      <c r="J6" s="138"/>
      <c r="L6" s="72">
        <v>3</v>
      </c>
    </row>
    <row r="7" spans="2:12" x14ac:dyDescent="0.35">
      <c r="C7" s="80" t="s">
        <v>67</v>
      </c>
      <c r="D7" s="80" t="s">
        <v>68</v>
      </c>
      <c r="E7" s="118"/>
      <c r="F7" s="119" t="s">
        <v>69</v>
      </c>
      <c r="G7" s="119" t="s">
        <v>70</v>
      </c>
      <c r="H7" s="119" t="s">
        <v>71</v>
      </c>
      <c r="I7" s="119" t="s">
        <v>72</v>
      </c>
      <c r="J7" s="120" t="s">
        <v>73</v>
      </c>
      <c r="L7" s="72">
        <v>4</v>
      </c>
    </row>
    <row r="8" spans="2:12" x14ac:dyDescent="0.35">
      <c r="B8" s="48" t="s">
        <v>74</v>
      </c>
      <c r="C8" s="55">
        <v>3</v>
      </c>
      <c r="D8" s="25">
        <f>('1'!B33/12)*C8</f>
        <v>653907500</v>
      </c>
      <c r="E8" s="121" t="s">
        <v>75</v>
      </c>
      <c r="F8" s="122"/>
      <c r="G8" s="122"/>
      <c r="H8" s="122"/>
      <c r="I8" s="122"/>
      <c r="J8" s="123">
        <f>D16</f>
        <v>1013320000</v>
      </c>
      <c r="L8" s="72">
        <v>5</v>
      </c>
    </row>
    <row r="9" spans="2:12" x14ac:dyDescent="0.35">
      <c r="B9" s="48" t="s">
        <v>76</v>
      </c>
      <c r="C9" s="55">
        <v>3</v>
      </c>
      <c r="D9" s="25">
        <f>('2'!C23/12)*C9</f>
        <v>111988500</v>
      </c>
      <c r="E9" s="121">
        <f>'1'!B31</f>
        <v>2024</v>
      </c>
      <c r="F9" s="125">
        <f t="shared" ref="F9:F13" si="0">IF(J8&gt;0,J8,0)</f>
        <v>1013320000</v>
      </c>
      <c r="G9" s="125">
        <f>F9*$F$4</f>
        <v>173581716</v>
      </c>
      <c r="H9" s="125">
        <f>IF(J8&lt;1,0,(I9-G9))</f>
        <v>196753473.16837817</v>
      </c>
      <c r="I9" s="125">
        <f>PMT(F4,J4,J8)*-1</f>
        <v>370335189.16837817</v>
      </c>
      <c r="J9" s="126">
        <f>F9-H9</f>
        <v>816566526.83162189</v>
      </c>
    </row>
    <row r="10" spans="2:12" x14ac:dyDescent="0.35">
      <c r="B10" s="48" t="s">
        <v>77</v>
      </c>
      <c r="C10" s="55">
        <v>3</v>
      </c>
      <c r="D10" s="25">
        <f>('2'!C25/12)*C10</f>
        <v>25000000</v>
      </c>
      <c r="E10" s="121">
        <f>'1'!C31</f>
        <v>2025</v>
      </c>
      <c r="F10" s="125">
        <f t="shared" si="0"/>
        <v>816566526.83162189</v>
      </c>
      <c r="G10" s="125">
        <f t="shared" ref="G10:G13" si="1">F10*$F$4</f>
        <v>139877846.04625684</v>
      </c>
      <c r="H10" s="125">
        <f t="shared" ref="H10:H13" si="2">IF(J9&lt;1,0,(I10-G10))</f>
        <v>230457343.12212133</v>
      </c>
      <c r="I10" s="125">
        <f>IF(J9&lt;1,0,(I9*(1+$K$7)))</f>
        <v>370335189.16837817</v>
      </c>
      <c r="J10" s="126">
        <f t="shared" ref="J10:J13" si="3">F10-H10</f>
        <v>586109183.70950055</v>
      </c>
    </row>
    <row r="11" spans="2:12" x14ac:dyDescent="0.35">
      <c r="B11" s="48" t="s">
        <v>78</v>
      </c>
      <c r="C11" s="55">
        <v>3</v>
      </c>
      <c r="D11" s="25">
        <f>('2'!F31/12)*C11</f>
        <v>22424000</v>
      </c>
      <c r="E11" s="121">
        <f>'1'!D31</f>
        <v>2026</v>
      </c>
      <c r="F11" s="125">
        <f t="shared" si="0"/>
        <v>586109183.70950055</v>
      </c>
      <c r="G11" s="125">
        <f t="shared" si="1"/>
        <v>100400503.16943745</v>
      </c>
      <c r="H11" s="125">
        <f t="shared" si="2"/>
        <v>269934685.99894071</v>
      </c>
      <c r="I11" s="125">
        <f t="shared" ref="I11:I13" si="4">IF(J10&lt;1,0,(I10*(1+$K$7)))</f>
        <v>370335189.16837817</v>
      </c>
      <c r="J11" s="126">
        <f t="shared" si="3"/>
        <v>316174497.71055984</v>
      </c>
    </row>
    <row r="12" spans="2:12" ht="15.5" x14ac:dyDescent="0.35">
      <c r="B12" s="81" t="s">
        <v>22</v>
      </c>
      <c r="C12" s="59"/>
      <c r="D12" s="82">
        <f>SUM(D8:D11)</f>
        <v>813320000</v>
      </c>
      <c r="E12" s="121">
        <f>'1'!E31</f>
        <v>2027</v>
      </c>
      <c r="F12" s="125">
        <f t="shared" si="0"/>
        <v>316174497.71055984</v>
      </c>
      <c r="G12" s="125">
        <f t="shared" si="1"/>
        <v>54160691.457818903</v>
      </c>
      <c r="H12" s="125">
        <f t="shared" si="2"/>
        <v>316174497.71055925</v>
      </c>
      <c r="I12" s="125">
        <f t="shared" si="4"/>
        <v>370335189.16837817</v>
      </c>
      <c r="J12" s="126">
        <f t="shared" si="3"/>
        <v>5.9604644775390625E-7</v>
      </c>
    </row>
    <row r="13" spans="2:12" ht="15" thickBot="1" x14ac:dyDescent="0.4">
      <c r="E13" s="124">
        <f>'1'!F31</f>
        <v>2028</v>
      </c>
      <c r="F13" s="127">
        <f t="shared" si="0"/>
        <v>5.9604644775390625E-7</v>
      </c>
      <c r="G13" s="127">
        <f t="shared" si="1"/>
        <v>1.0210275650024415E-7</v>
      </c>
      <c r="H13" s="127">
        <f t="shared" si="2"/>
        <v>0</v>
      </c>
      <c r="I13" s="127">
        <f t="shared" si="4"/>
        <v>0</v>
      </c>
      <c r="J13" s="128">
        <f t="shared" si="3"/>
        <v>5.9604644775390625E-7</v>
      </c>
    </row>
    <row r="14" spans="2:12" ht="15.5" x14ac:dyDescent="0.35">
      <c r="B14" s="48" t="s">
        <v>79</v>
      </c>
      <c r="D14" s="75">
        <f>C4+D12</f>
        <v>1113320000</v>
      </c>
    </row>
    <row r="15" spans="2:12" x14ac:dyDescent="0.35">
      <c r="B15" s="48" t="s">
        <v>80</v>
      </c>
      <c r="D15" s="56">
        <v>100000000</v>
      </c>
    </row>
    <row r="16" spans="2:12" ht="15.5" x14ac:dyDescent="0.35">
      <c r="B16" s="48" t="s">
        <v>81</v>
      </c>
      <c r="D16" s="83">
        <f>D14-D15</f>
        <v>1013320000</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61" zoomScaleNormal="60" workbookViewId="0">
      <pane xSplit="7" ySplit="1" topLeftCell="H37" activePane="bottomRight" state="frozenSplit"/>
      <selection pane="topRight" activeCell="E1" sqref="E1"/>
      <selection pane="bottomLeft" activeCell="A12" sqref="A12"/>
      <selection pane="bottomRight" activeCell="B3" sqref="A3:G59"/>
    </sheetView>
  </sheetViews>
  <sheetFormatPr defaultColWidth="11.453125" defaultRowHeight="14.5" x14ac:dyDescent="0.35"/>
  <cols>
    <col min="1" max="1" width="26.7265625" style="8" customWidth="1"/>
    <col min="2" max="2" width="25.81640625" style="8" bestFit="1" customWidth="1"/>
    <col min="3" max="3" width="21.7265625" style="8" bestFit="1" customWidth="1"/>
    <col min="4" max="7" width="18.453125" style="8" bestFit="1" customWidth="1"/>
    <col min="8" max="16384" width="11.453125" style="8"/>
  </cols>
  <sheetData>
    <row r="1" spans="1:7" ht="34.5" customHeight="1" x14ac:dyDescent="0.35">
      <c r="A1" s="150" t="s">
        <v>82</v>
      </c>
      <c r="B1" s="150"/>
      <c r="C1" s="150"/>
      <c r="D1" s="150"/>
      <c r="E1" s="150"/>
      <c r="F1" s="150"/>
      <c r="G1" s="150"/>
    </row>
    <row r="2" spans="1:7" ht="23" x14ac:dyDescent="0.35">
      <c r="A2" s="151" t="s">
        <v>83</v>
      </c>
      <c r="B2" s="151"/>
      <c r="C2" s="151"/>
      <c r="D2" s="151"/>
      <c r="E2" s="151"/>
      <c r="F2" s="151"/>
      <c r="G2" s="151"/>
    </row>
    <row r="3" spans="1:7" ht="8.25" customHeight="1" x14ac:dyDescent="0.35">
      <c r="A3" s="57"/>
      <c r="B3" s="57"/>
      <c r="C3" s="57"/>
      <c r="D3" s="57"/>
      <c r="E3" s="57"/>
      <c r="F3" s="57"/>
      <c r="G3" s="57"/>
    </row>
    <row r="4" spans="1:7" ht="15.5" x14ac:dyDescent="0.35">
      <c r="A4" s="152" t="s">
        <v>84</v>
      </c>
      <c r="B4" s="152"/>
      <c r="C4" s="152"/>
      <c r="D4" s="152"/>
      <c r="E4" s="152"/>
      <c r="F4" s="152"/>
      <c r="G4" s="152"/>
    </row>
    <row r="5" spans="1:7" ht="23" x14ac:dyDescent="0.35">
      <c r="C5" s="61">
        <f>'1'!B31</f>
        <v>2024</v>
      </c>
      <c r="D5" s="61">
        <f>'1'!C31</f>
        <v>2025</v>
      </c>
      <c r="E5" s="61">
        <f>'1'!D31</f>
        <v>2026</v>
      </c>
      <c r="F5" s="61">
        <f>'1'!E31</f>
        <v>2027</v>
      </c>
      <c r="G5" s="61">
        <f>'1'!F31</f>
        <v>2028</v>
      </c>
    </row>
    <row r="6" spans="1:7" x14ac:dyDescent="0.35">
      <c r="B6" s="8" t="s">
        <v>85</v>
      </c>
      <c r="C6" s="62">
        <f>'1'!B32</f>
        <v>4772370000</v>
      </c>
      <c r="D6" s="62">
        <f>'1'!C32</f>
        <v>5281581879</v>
      </c>
      <c r="E6" s="62">
        <f>'1'!D32</f>
        <v>5995651749.040802</v>
      </c>
      <c r="F6" s="62">
        <f>'1'!E32</f>
        <v>7074269498.6932402</v>
      </c>
      <c r="G6" s="62">
        <f>'1'!F32</f>
        <v>8786242717.3770027</v>
      </c>
    </row>
    <row r="7" spans="1:7" x14ac:dyDescent="0.35">
      <c r="B7" s="8" t="s">
        <v>86</v>
      </c>
      <c r="C7" s="62">
        <f>'1'!B33</f>
        <v>2615630000</v>
      </c>
      <c r="D7" s="62">
        <f>'1'!C33</f>
        <v>3045770353.5</v>
      </c>
      <c r="E7" s="62">
        <f>'1'!D33</f>
        <v>3715535254.2346506</v>
      </c>
      <c r="F7" s="62">
        <f>'1'!E33</f>
        <v>4738607886.4881611</v>
      </c>
      <c r="G7" s="62">
        <f>'1'!F33</f>
        <v>6306139375.3384447</v>
      </c>
    </row>
    <row r="8" spans="1:7" ht="15" thickBot="1" x14ac:dyDescent="0.4">
      <c r="B8" s="63" t="s">
        <v>87</v>
      </c>
      <c r="C8" s="64">
        <f>C6-C7</f>
        <v>2156740000</v>
      </c>
      <c r="D8" s="64">
        <f t="shared" ref="D8:G8" si="0">D6-D7</f>
        <v>2235811525.5</v>
      </c>
      <c r="E8" s="64">
        <f t="shared" si="0"/>
        <v>2280116494.8061514</v>
      </c>
      <c r="F8" s="64">
        <f t="shared" si="0"/>
        <v>2335661612.2050791</v>
      </c>
      <c r="G8" s="64">
        <f t="shared" si="0"/>
        <v>2480103342.038558</v>
      </c>
    </row>
    <row r="9" spans="1:7" ht="15" thickTop="1" x14ac:dyDescent="0.35">
      <c r="B9" s="8" t="s">
        <v>88</v>
      </c>
      <c r="C9" s="62">
        <f>'2'!C23</f>
        <v>447954000</v>
      </c>
      <c r="D9" s="62">
        <f>C9*(1+'1'!Z4)</f>
        <v>472143516</v>
      </c>
      <c r="E9" s="62">
        <f>D9*(1+'1'!AA4)</f>
        <v>487252108.51200002</v>
      </c>
      <c r="F9" s="62">
        <f>E9*(1+'1'!AB4)</f>
        <v>499920663.33331203</v>
      </c>
      <c r="G9" s="62">
        <f>F9*(1+'1'!AC4)</f>
        <v>517417886.5499779</v>
      </c>
    </row>
    <row r="10" spans="1:7" x14ac:dyDescent="0.35">
      <c r="B10" s="8" t="s">
        <v>89</v>
      </c>
      <c r="C10" s="62">
        <f>'2'!F31</f>
        <v>89696000</v>
      </c>
      <c r="D10" s="62">
        <f>C10*(1+'1'!Z4)</f>
        <v>94539584</v>
      </c>
      <c r="E10" s="62">
        <f>D10*(1+'1'!AA4)</f>
        <v>97564850.688000008</v>
      </c>
      <c r="F10" s="62">
        <f>E10*(1+'1'!AB4)</f>
        <v>100101536.80588801</v>
      </c>
      <c r="G10" s="62">
        <f>F10*(1+'1'!AC4)</f>
        <v>103605090.59409408</v>
      </c>
    </row>
    <row r="11" spans="1:7" x14ac:dyDescent="0.35">
      <c r="B11" s="8" t="s">
        <v>90</v>
      </c>
      <c r="C11" s="62">
        <f>'2'!C25</f>
        <v>100000000</v>
      </c>
      <c r="D11" s="62">
        <f>'2'!C28</f>
        <v>10500000</v>
      </c>
      <c r="E11" s="62">
        <f>'2'!C29</f>
        <v>11025000</v>
      </c>
      <c r="F11" s="62">
        <f>'2'!C30</f>
        <v>11576000</v>
      </c>
      <c r="G11" s="62">
        <f>'2'!C31</f>
        <v>12155000</v>
      </c>
    </row>
    <row r="12" spans="1:7" x14ac:dyDescent="0.35">
      <c r="B12" s="8" t="s">
        <v>91</v>
      </c>
      <c r="C12" s="62">
        <f>'2'!G12</f>
        <v>40000000</v>
      </c>
      <c r="D12" s="62">
        <f>C12</f>
        <v>40000000</v>
      </c>
      <c r="E12" s="62">
        <f t="shared" ref="E12:G12" si="1">D12</f>
        <v>40000000</v>
      </c>
      <c r="F12" s="62">
        <f t="shared" si="1"/>
        <v>40000000</v>
      </c>
      <c r="G12" s="62">
        <f t="shared" si="1"/>
        <v>40000000</v>
      </c>
    </row>
    <row r="13" spans="1:7" ht="15" thickBot="1" x14ac:dyDescent="0.4">
      <c r="B13" s="63" t="s">
        <v>92</v>
      </c>
      <c r="C13" s="65">
        <f>C8-C9-C10-C11-C12</f>
        <v>1479090000</v>
      </c>
      <c r="D13" s="65">
        <f t="shared" ref="D13:G13" si="2">D8-D9-D10-D11-D12</f>
        <v>1618628425.5</v>
      </c>
      <c r="E13" s="65">
        <f t="shared" si="2"/>
        <v>1644274535.6061513</v>
      </c>
      <c r="F13" s="65">
        <f t="shared" si="2"/>
        <v>1684063412.0658791</v>
      </c>
      <c r="G13" s="65">
        <f t="shared" si="2"/>
        <v>1806925364.8944862</v>
      </c>
    </row>
    <row r="14" spans="1:7" ht="15" thickTop="1" x14ac:dyDescent="0.35">
      <c r="B14" s="8" t="s">
        <v>93</v>
      </c>
      <c r="C14" s="62">
        <f>'3'!G9</f>
        <v>173581716</v>
      </c>
      <c r="D14" s="62">
        <f>'3'!G10</f>
        <v>139877846.04625684</v>
      </c>
      <c r="E14" s="62">
        <f>'3'!G11</f>
        <v>100400503.16943745</v>
      </c>
      <c r="F14" s="62">
        <f>'3'!G12</f>
        <v>54160691.457818903</v>
      </c>
      <c r="G14" s="62">
        <f>'3'!G13</f>
        <v>1.0210275650024415E-7</v>
      </c>
    </row>
    <row r="15" spans="1:7" ht="15" thickBot="1" x14ac:dyDescent="0.4">
      <c r="B15" s="63" t="s">
        <v>94</v>
      </c>
      <c r="C15" s="65">
        <f>C13-C14</f>
        <v>1305508284</v>
      </c>
      <c r="D15" s="65">
        <f t="shared" ref="D15:G15" si="3">D13-D14</f>
        <v>1478750579.4537432</v>
      </c>
      <c r="E15" s="65">
        <f t="shared" si="3"/>
        <v>1543874032.4367139</v>
      </c>
      <c r="F15" s="65">
        <f t="shared" si="3"/>
        <v>1629902720.6080601</v>
      </c>
      <c r="G15" s="65">
        <f t="shared" si="3"/>
        <v>1806925364.8944862</v>
      </c>
    </row>
    <row r="16" spans="1:7" ht="15" thickTop="1" x14ac:dyDescent="0.35">
      <c r="B16" s="8" t="s">
        <v>95</v>
      </c>
      <c r="C16" s="66">
        <f>IF(C15*'1'!$AB$7&lt;0,0,C15*'1'!$AB$7)</f>
        <v>443872816.56</v>
      </c>
      <c r="D16" s="66">
        <f>IF(D15*'1'!$AB$7&lt;0,0,D15*'1'!$AB$7)</f>
        <v>502775197.01427275</v>
      </c>
      <c r="E16" s="66">
        <f>IF(E15*'1'!$AB$7&lt;0,0,E15*'1'!$AB$7)</f>
        <v>524917171.02848279</v>
      </c>
      <c r="F16" s="66">
        <f>IF(F15*'1'!$AB$7&lt;0,0,F15*'1'!$AB$7)</f>
        <v>554166925.00674045</v>
      </c>
      <c r="G16" s="66">
        <f>IF(G15*'1'!$AB$7&lt;0,0,G15*'1'!$AB$7)</f>
        <v>614354624.0641253</v>
      </c>
    </row>
    <row r="17" spans="1:8" ht="15" thickBot="1" x14ac:dyDescent="0.4">
      <c r="B17" s="67" t="s">
        <v>96</v>
      </c>
      <c r="C17" s="68">
        <f>C15-C16</f>
        <v>861635467.44000006</v>
      </c>
      <c r="D17" s="68">
        <f t="shared" ref="D17:G17" si="4">D15-D16</f>
        <v>975975382.43947053</v>
      </c>
      <c r="E17" s="68">
        <f t="shared" si="4"/>
        <v>1018956861.4082311</v>
      </c>
      <c r="F17" s="68">
        <f t="shared" si="4"/>
        <v>1075735795.6013198</v>
      </c>
      <c r="G17" s="68">
        <f t="shared" si="4"/>
        <v>1192570740.8303609</v>
      </c>
    </row>
    <row r="19" spans="1:8" ht="15.5" x14ac:dyDescent="0.35">
      <c r="A19" s="152" t="s">
        <v>97</v>
      </c>
      <c r="B19" s="152"/>
      <c r="C19" s="152"/>
      <c r="D19" s="152"/>
      <c r="E19" s="152"/>
      <c r="F19" s="152"/>
      <c r="G19" s="152"/>
    </row>
    <row r="20" spans="1:8" ht="22.5" x14ac:dyDescent="0.35">
      <c r="B20" s="69" t="s">
        <v>75</v>
      </c>
      <c r="C20" s="61">
        <f>C5</f>
        <v>2024</v>
      </c>
      <c r="D20" s="61">
        <f>D5</f>
        <v>2025</v>
      </c>
      <c r="E20" s="61">
        <f>E5</f>
        <v>2026</v>
      </c>
      <c r="F20" s="61">
        <f>F5</f>
        <v>2027</v>
      </c>
      <c r="G20" s="61">
        <f>G5</f>
        <v>2028</v>
      </c>
    </row>
    <row r="21" spans="1:8" x14ac:dyDescent="0.35">
      <c r="A21" s="153" t="s">
        <v>98</v>
      </c>
      <c r="B21" s="153"/>
      <c r="C21" s="153"/>
      <c r="D21" s="153"/>
      <c r="E21" s="153"/>
      <c r="F21" s="153"/>
      <c r="G21" s="153"/>
    </row>
    <row r="22" spans="1:8" x14ac:dyDescent="0.35">
      <c r="A22" s="8" t="s">
        <v>99</v>
      </c>
      <c r="B22" s="26">
        <f>B38-B26</f>
        <v>813320000</v>
      </c>
      <c r="C22" s="26">
        <f t="shared" ref="C22:G22" si="5">C38-C26</f>
        <v>1962074810.8316221</v>
      </c>
      <c r="D22" s="26">
        <f t="shared" si="5"/>
        <v>1944859763.1632438</v>
      </c>
      <c r="E22" s="26">
        <f t="shared" si="5"/>
        <v>1780048530.147274</v>
      </c>
      <c r="F22" s="26">
        <f t="shared" si="5"/>
        <v>1589902720.6080608</v>
      </c>
      <c r="G22" s="26">
        <f t="shared" si="5"/>
        <v>1806925364.8944869</v>
      </c>
    </row>
    <row r="23" spans="1:8" x14ac:dyDescent="0.35">
      <c r="A23" s="8" t="s">
        <v>100</v>
      </c>
      <c r="B23" s="26">
        <f>'2'!C4</f>
        <v>0</v>
      </c>
      <c r="C23" s="26">
        <f>B23</f>
        <v>0</v>
      </c>
      <c r="D23" s="26">
        <f t="shared" ref="D23:G23" si="6">C23</f>
        <v>0</v>
      </c>
      <c r="E23" s="26">
        <f t="shared" si="6"/>
        <v>0</v>
      </c>
      <c r="F23" s="26">
        <f t="shared" si="6"/>
        <v>0</v>
      </c>
      <c r="G23" s="26">
        <f t="shared" si="6"/>
        <v>0</v>
      </c>
      <c r="H23" s="26"/>
    </row>
    <row r="24" spans="1:8" x14ac:dyDescent="0.35">
      <c r="A24" s="8" t="s">
        <v>101</v>
      </c>
      <c r="B24" s="26">
        <f>'2'!C12-'2'!C4</f>
        <v>300000000</v>
      </c>
      <c r="C24" s="26">
        <f>B24</f>
        <v>300000000</v>
      </c>
      <c r="D24" s="26">
        <f t="shared" ref="D24:G24" si="7">C24</f>
        <v>300000000</v>
      </c>
      <c r="E24" s="26">
        <f t="shared" si="7"/>
        <v>300000000</v>
      </c>
      <c r="F24" s="26">
        <f t="shared" si="7"/>
        <v>300000000</v>
      </c>
      <c r="G24" s="26">
        <f t="shared" si="7"/>
        <v>300000000</v>
      </c>
      <c r="H24" s="26"/>
    </row>
    <row r="25" spans="1:8" x14ac:dyDescent="0.35">
      <c r="A25" s="8" t="s">
        <v>102</v>
      </c>
      <c r="B25" s="26">
        <v>0</v>
      </c>
      <c r="C25" s="26">
        <f>C12</f>
        <v>40000000</v>
      </c>
      <c r="D25" s="26">
        <f>D12+C12</f>
        <v>80000000</v>
      </c>
      <c r="E25" s="26">
        <f>E12+D12+C12</f>
        <v>120000000</v>
      </c>
      <c r="F25" s="26">
        <f>F12+E12+D12+C12</f>
        <v>160000000</v>
      </c>
      <c r="G25" s="26">
        <f>F25+G12</f>
        <v>200000000</v>
      </c>
      <c r="H25" s="26"/>
    </row>
    <row r="26" spans="1:8" x14ac:dyDescent="0.35">
      <c r="A26" s="8" t="s">
        <v>103</v>
      </c>
      <c r="B26" s="26">
        <f>B23+(B24-B25)</f>
        <v>300000000</v>
      </c>
      <c r="C26" s="26">
        <f>C23+(C24-C25)</f>
        <v>260000000</v>
      </c>
      <c r="D26" s="26">
        <f t="shared" ref="D26:G26" si="8">D23+(D24-D25)</f>
        <v>220000000</v>
      </c>
      <c r="E26" s="26">
        <f t="shared" si="8"/>
        <v>180000000</v>
      </c>
      <c r="F26" s="26">
        <f t="shared" si="8"/>
        <v>140000000</v>
      </c>
      <c r="G26" s="26">
        <f t="shared" si="8"/>
        <v>100000000</v>
      </c>
      <c r="H26" s="26"/>
    </row>
    <row r="27" spans="1:8" ht="15" thickBot="1" x14ac:dyDescent="0.4">
      <c r="A27" s="63" t="s">
        <v>104</v>
      </c>
      <c r="B27" s="70">
        <f>B22+B26</f>
        <v>1113320000</v>
      </c>
      <c r="C27" s="70">
        <f t="shared" ref="C27:G27" si="9">C22+C26</f>
        <v>2222074810.8316221</v>
      </c>
      <c r="D27" s="70">
        <f t="shared" si="9"/>
        <v>2164859763.1632438</v>
      </c>
      <c r="E27" s="70">
        <f t="shared" si="9"/>
        <v>1960048530.147274</v>
      </c>
      <c r="F27" s="70">
        <f t="shared" si="9"/>
        <v>1729902720.6080608</v>
      </c>
      <c r="G27" s="70">
        <f t="shared" si="9"/>
        <v>1906925364.8944869</v>
      </c>
      <c r="H27" s="26"/>
    </row>
    <row r="28" spans="1:8" ht="15" thickTop="1" x14ac:dyDescent="0.35">
      <c r="A28" s="153" t="s">
        <v>105</v>
      </c>
      <c r="B28" s="153"/>
      <c r="C28" s="153"/>
      <c r="D28" s="153"/>
      <c r="E28" s="153"/>
      <c r="F28" s="153"/>
      <c r="G28" s="153"/>
    </row>
    <row r="29" spans="1:8" x14ac:dyDescent="0.35">
      <c r="A29" s="8" t="s">
        <v>106</v>
      </c>
      <c r="B29" s="8">
        <v>0</v>
      </c>
      <c r="C29" s="66">
        <f>C16</f>
        <v>443872816.56</v>
      </c>
      <c r="D29" s="66">
        <f>D16</f>
        <v>502775197.01427275</v>
      </c>
      <c r="E29" s="66">
        <f>E16</f>
        <v>524917171.02848279</v>
      </c>
      <c r="F29" s="66">
        <f>F16</f>
        <v>554166925.00674045</v>
      </c>
      <c r="G29" s="66">
        <f>G16</f>
        <v>614354624.0641253</v>
      </c>
    </row>
    <row r="30" spans="1:8" x14ac:dyDescent="0.35">
      <c r="A30" s="8" t="s">
        <v>107</v>
      </c>
      <c r="B30" s="66">
        <f>B29</f>
        <v>0</v>
      </c>
      <c r="C30" s="66">
        <f t="shared" ref="C30:G30" si="10">C29</f>
        <v>443872816.56</v>
      </c>
      <c r="D30" s="66">
        <f t="shared" si="10"/>
        <v>502775197.01427275</v>
      </c>
      <c r="E30" s="66">
        <f t="shared" si="10"/>
        <v>524917171.02848279</v>
      </c>
      <c r="F30" s="66">
        <f t="shared" si="10"/>
        <v>554166925.00674045</v>
      </c>
      <c r="G30" s="66">
        <f t="shared" si="10"/>
        <v>614354624.0641253</v>
      </c>
    </row>
    <row r="31" spans="1:8" x14ac:dyDescent="0.35">
      <c r="A31" s="8" t="s">
        <v>108</v>
      </c>
      <c r="B31" s="25">
        <f>'3'!J8</f>
        <v>1013320000</v>
      </c>
      <c r="C31" s="25">
        <f>'3'!J9</f>
        <v>816566526.83162189</v>
      </c>
      <c r="D31" s="25">
        <f>'3'!J10</f>
        <v>586109183.70950055</v>
      </c>
      <c r="E31" s="25">
        <f>'3'!J11</f>
        <v>316174497.71055984</v>
      </c>
      <c r="F31" s="25">
        <f>'3'!J12</f>
        <v>5.9604644775390625E-7</v>
      </c>
      <c r="G31" s="25">
        <f>'3'!J13</f>
        <v>5.9604644775390625E-7</v>
      </c>
    </row>
    <row r="32" spans="1:8" ht="15" thickBot="1" x14ac:dyDescent="0.4">
      <c r="A32" s="63" t="s">
        <v>105</v>
      </c>
      <c r="B32" s="70">
        <f>B30+B31</f>
        <v>1013320000</v>
      </c>
      <c r="C32" s="70">
        <f t="shared" ref="C32:G32" si="11">C30+C31</f>
        <v>1260439343.3916218</v>
      </c>
      <c r="D32" s="70">
        <f t="shared" si="11"/>
        <v>1088884380.7237732</v>
      </c>
      <c r="E32" s="70">
        <f t="shared" si="11"/>
        <v>841091668.73904264</v>
      </c>
      <c r="F32" s="70">
        <f t="shared" si="11"/>
        <v>554166925.00674105</v>
      </c>
      <c r="G32" s="70">
        <f t="shared" si="11"/>
        <v>614354624.0641259</v>
      </c>
    </row>
    <row r="33" spans="1:7" ht="15" thickTop="1" x14ac:dyDescent="0.35">
      <c r="A33" s="153" t="s">
        <v>109</v>
      </c>
      <c r="B33" s="153"/>
      <c r="C33" s="153"/>
      <c r="D33" s="153"/>
      <c r="E33" s="153"/>
      <c r="F33" s="153"/>
      <c r="G33" s="153"/>
    </row>
    <row r="34" spans="1:7" x14ac:dyDescent="0.35">
      <c r="A34" s="8" t="s">
        <v>110</v>
      </c>
      <c r="B34" s="26">
        <f>'3'!D15</f>
        <v>100000000</v>
      </c>
      <c r="C34" s="26">
        <f>B34</f>
        <v>100000000</v>
      </c>
      <c r="D34" s="26">
        <f t="shared" ref="D34:G34" si="12">C34</f>
        <v>100000000</v>
      </c>
      <c r="E34" s="26">
        <f t="shared" si="12"/>
        <v>100000000</v>
      </c>
      <c r="F34" s="26">
        <f t="shared" si="12"/>
        <v>100000000</v>
      </c>
      <c r="G34" s="26">
        <f t="shared" si="12"/>
        <v>100000000</v>
      </c>
    </row>
    <row r="35" spans="1:7" x14ac:dyDescent="0.35">
      <c r="A35" s="8" t="s">
        <v>111</v>
      </c>
      <c r="B35" s="8">
        <v>0</v>
      </c>
      <c r="C35" s="66">
        <f>C17</f>
        <v>861635467.44000006</v>
      </c>
      <c r="D35" s="66">
        <f>D17</f>
        <v>975975382.43947053</v>
      </c>
      <c r="E35" s="66">
        <f>E17</f>
        <v>1018956861.4082311</v>
      </c>
      <c r="F35" s="66">
        <f>F17</f>
        <v>1075735795.6013198</v>
      </c>
      <c r="G35" s="66">
        <f>G17</f>
        <v>1192570740.8303609</v>
      </c>
    </row>
    <row r="36" spans="1:7" ht="15" thickBot="1" x14ac:dyDescent="0.4">
      <c r="A36" s="63" t="s">
        <v>112</v>
      </c>
      <c r="B36" s="70">
        <f>B34+B35</f>
        <v>100000000</v>
      </c>
      <c r="C36" s="70">
        <f t="shared" ref="C36:G36" si="13">C34+C35</f>
        <v>961635467.44000006</v>
      </c>
      <c r="D36" s="70">
        <f t="shared" si="13"/>
        <v>1075975382.4394705</v>
      </c>
      <c r="E36" s="70">
        <f t="shared" si="13"/>
        <v>1118956861.4082313</v>
      </c>
      <c r="F36" s="70">
        <f t="shared" si="13"/>
        <v>1175735795.6013198</v>
      </c>
      <c r="G36" s="70">
        <f t="shared" si="13"/>
        <v>1292570740.8303609</v>
      </c>
    </row>
    <row r="37" spans="1:7" ht="15" thickTop="1" x14ac:dyDescent="0.35"/>
    <row r="38" spans="1:7" ht="15" thickBot="1" x14ac:dyDescent="0.4">
      <c r="A38" s="63" t="s">
        <v>113</v>
      </c>
      <c r="B38" s="70">
        <f>B32+B36</f>
        <v>1113320000</v>
      </c>
      <c r="C38" s="70">
        <f t="shared" ref="C38:G38" si="14">C32+C36</f>
        <v>2222074810.8316221</v>
      </c>
      <c r="D38" s="70">
        <f t="shared" si="14"/>
        <v>2164859763.1632438</v>
      </c>
      <c r="E38" s="70">
        <f t="shared" si="14"/>
        <v>1960048530.147274</v>
      </c>
      <c r="F38" s="70">
        <f t="shared" si="14"/>
        <v>1729902720.6080608</v>
      </c>
      <c r="G38" s="70">
        <f t="shared" si="14"/>
        <v>1906925364.8944869</v>
      </c>
    </row>
    <row r="39" spans="1:7" ht="15" thickTop="1" x14ac:dyDescent="0.35">
      <c r="A39" s="59" t="s">
        <v>114</v>
      </c>
      <c r="B39" s="71">
        <f>B27-B38</f>
        <v>0</v>
      </c>
      <c r="C39" s="71">
        <f t="shared" ref="C39:G39" si="15">C27-C38</f>
        <v>0</v>
      </c>
      <c r="D39" s="71">
        <f t="shared" si="15"/>
        <v>0</v>
      </c>
      <c r="E39" s="71">
        <f t="shared" si="15"/>
        <v>0</v>
      </c>
      <c r="F39" s="71">
        <f t="shared" si="15"/>
        <v>0</v>
      </c>
      <c r="G39" s="71">
        <f t="shared" si="15"/>
        <v>0</v>
      </c>
    </row>
    <row r="41" spans="1:7" ht="15.5" x14ac:dyDescent="0.35">
      <c r="A41" s="152" t="s">
        <v>115</v>
      </c>
      <c r="B41" s="152"/>
      <c r="C41" s="152"/>
      <c r="D41" s="152"/>
      <c r="E41" s="152"/>
      <c r="F41" s="152"/>
      <c r="G41" s="152"/>
    </row>
    <row r="42" spans="1:7" x14ac:dyDescent="0.35">
      <c r="A42" s="153" t="s">
        <v>116</v>
      </c>
      <c r="B42" s="153"/>
      <c r="C42" s="153"/>
      <c r="D42" s="153"/>
      <c r="E42" s="153"/>
      <c r="F42" s="153"/>
      <c r="G42" s="153"/>
    </row>
    <row r="43" spans="1:7" ht="22.5" x14ac:dyDescent="0.35">
      <c r="A43" s="11"/>
      <c r="B43" s="69" t="s">
        <v>75</v>
      </c>
      <c r="C43" s="61">
        <f>C20</f>
        <v>2024</v>
      </c>
      <c r="D43" s="61">
        <f t="shared" ref="D43:G43" si="16">D20</f>
        <v>2025</v>
      </c>
      <c r="E43" s="61">
        <f t="shared" si="16"/>
        <v>2026</v>
      </c>
      <c r="F43" s="61">
        <f t="shared" si="16"/>
        <v>2027</v>
      </c>
      <c r="G43" s="61">
        <f t="shared" si="16"/>
        <v>2028</v>
      </c>
    </row>
    <row r="44" spans="1:7" x14ac:dyDescent="0.35">
      <c r="A44" s="1" t="s">
        <v>117</v>
      </c>
      <c r="B44" s="2">
        <f>B22</f>
        <v>813320000</v>
      </c>
      <c r="C44" s="2">
        <f t="shared" ref="C44:G44" si="17">C22</f>
        <v>1962074810.8316221</v>
      </c>
      <c r="D44" s="2">
        <f t="shared" si="17"/>
        <v>1944859763.1632438</v>
      </c>
      <c r="E44" s="2">
        <f t="shared" si="17"/>
        <v>1780048530.147274</v>
      </c>
      <c r="F44" s="2">
        <f t="shared" si="17"/>
        <v>1589902720.6080608</v>
      </c>
      <c r="G44" s="2">
        <f t="shared" si="17"/>
        <v>1806925364.8944869</v>
      </c>
    </row>
    <row r="45" spans="1:7" ht="15" thickBot="1" x14ac:dyDescent="0.4">
      <c r="A45" s="1" t="s">
        <v>118</v>
      </c>
      <c r="B45" s="3">
        <f>B29</f>
        <v>0</v>
      </c>
      <c r="C45" s="3">
        <f t="shared" ref="C45:G45" si="18">C29</f>
        <v>443872816.56</v>
      </c>
      <c r="D45" s="3">
        <f t="shared" si="18"/>
        <v>502775197.01427275</v>
      </c>
      <c r="E45" s="3">
        <f t="shared" si="18"/>
        <v>524917171.02848279</v>
      </c>
      <c r="F45" s="3">
        <f t="shared" si="18"/>
        <v>554166925.00674045</v>
      </c>
      <c r="G45" s="3">
        <f t="shared" si="18"/>
        <v>614354624.0641253</v>
      </c>
    </row>
    <row r="46" spans="1:7" ht="15" thickTop="1" x14ac:dyDescent="0.35">
      <c r="A46" s="4" t="s">
        <v>119</v>
      </c>
      <c r="B46" s="5">
        <f t="shared" ref="B46:G46" si="19">B44-B45</f>
        <v>813320000</v>
      </c>
      <c r="C46" s="5">
        <f t="shared" si="19"/>
        <v>1518201994.2716222</v>
      </c>
      <c r="D46" s="5">
        <f t="shared" si="19"/>
        <v>1442084566.1489711</v>
      </c>
      <c r="E46" s="5">
        <f t="shared" si="19"/>
        <v>1255131359.1187911</v>
      </c>
      <c r="F46" s="5">
        <f t="shared" si="19"/>
        <v>1035735795.6013204</v>
      </c>
      <c r="G46" s="5">
        <f t="shared" si="19"/>
        <v>1192570740.8303616</v>
      </c>
    </row>
    <row r="47" spans="1:7" x14ac:dyDescent="0.35">
      <c r="A47" s="1"/>
      <c r="B47" s="2"/>
      <c r="C47" s="2"/>
      <c r="D47" s="2"/>
      <c r="E47" s="2"/>
      <c r="F47" s="2"/>
      <c r="G47" s="2"/>
    </row>
    <row r="48" spans="1:7" x14ac:dyDescent="0.35">
      <c r="A48" s="4" t="s">
        <v>120</v>
      </c>
      <c r="B48" s="2">
        <f>B26</f>
        <v>300000000</v>
      </c>
      <c r="C48" s="2">
        <f t="shared" ref="C48:G48" si="20">C26</f>
        <v>260000000</v>
      </c>
      <c r="D48" s="2">
        <f t="shared" si="20"/>
        <v>220000000</v>
      </c>
      <c r="E48" s="2">
        <f t="shared" si="20"/>
        <v>180000000</v>
      </c>
      <c r="F48" s="2">
        <f t="shared" si="20"/>
        <v>140000000</v>
      </c>
      <c r="G48" s="2">
        <f t="shared" si="20"/>
        <v>100000000</v>
      </c>
    </row>
    <row r="49" spans="1:7" ht="15" thickBot="1" x14ac:dyDescent="0.4">
      <c r="A49" s="1" t="s">
        <v>121</v>
      </c>
      <c r="B49" s="3">
        <f>B25</f>
        <v>0</v>
      </c>
      <c r="C49" s="3">
        <f t="shared" ref="C49:G49" si="21">C25</f>
        <v>40000000</v>
      </c>
      <c r="D49" s="3">
        <f t="shared" si="21"/>
        <v>80000000</v>
      </c>
      <c r="E49" s="3">
        <f t="shared" si="21"/>
        <v>120000000</v>
      </c>
      <c r="F49" s="3">
        <f t="shared" si="21"/>
        <v>160000000</v>
      </c>
      <c r="G49" s="3">
        <f t="shared" si="21"/>
        <v>200000000</v>
      </c>
    </row>
    <row r="50" spans="1:7" ht="15" thickTop="1" x14ac:dyDescent="0.35">
      <c r="A50" s="4" t="s">
        <v>122</v>
      </c>
      <c r="B50" s="5">
        <f t="shared" ref="B50:G50" si="22">B48+B49</f>
        <v>300000000</v>
      </c>
      <c r="C50" s="5">
        <f t="shared" si="22"/>
        <v>300000000</v>
      </c>
      <c r="D50" s="5">
        <f t="shared" si="22"/>
        <v>300000000</v>
      </c>
      <c r="E50" s="5">
        <f t="shared" si="22"/>
        <v>300000000</v>
      </c>
      <c r="F50" s="5">
        <f t="shared" si="22"/>
        <v>300000000</v>
      </c>
      <c r="G50" s="5">
        <f t="shared" si="22"/>
        <v>300000000</v>
      </c>
    </row>
    <row r="51" spans="1:7" x14ac:dyDescent="0.35">
      <c r="A51" s="1"/>
      <c r="B51" s="2"/>
      <c r="C51" s="2"/>
      <c r="D51" s="2"/>
      <c r="E51" s="2"/>
      <c r="F51" s="2"/>
      <c r="G51" s="2"/>
    </row>
    <row r="52" spans="1:7" ht="15" thickBot="1" x14ac:dyDescent="0.4">
      <c r="A52" s="12" t="s">
        <v>123</v>
      </c>
      <c r="B52" s="6">
        <f t="shared" ref="B52:G52" si="23">B46+B48</f>
        <v>1113320000</v>
      </c>
      <c r="C52" s="6">
        <f t="shared" si="23"/>
        <v>1778201994.2716222</v>
      </c>
      <c r="D52" s="6">
        <f t="shared" si="23"/>
        <v>1662084566.1489711</v>
      </c>
      <c r="E52" s="6">
        <f t="shared" si="23"/>
        <v>1435131359.1187911</v>
      </c>
      <c r="F52" s="6">
        <f t="shared" si="23"/>
        <v>1175735795.6013203</v>
      </c>
      <c r="G52" s="6">
        <f t="shared" si="23"/>
        <v>1292570740.8303616</v>
      </c>
    </row>
    <row r="53" spans="1:7" ht="15" thickTop="1" x14ac:dyDescent="0.35">
      <c r="A53" s="7"/>
      <c r="B53" s="2"/>
      <c r="C53" s="2"/>
      <c r="D53" s="2"/>
      <c r="E53" s="2"/>
      <c r="F53" s="2"/>
      <c r="G53" s="2"/>
    </row>
    <row r="54" spans="1:7" x14ac:dyDescent="0.35">
      <c r="A54" s="154" t="s">
        <v>124</v>
      </c>
      <c r="B54" s="154"/>
      <c r="C54" s="154"/>
      <c r="D54" s="154"/>
      <c r="E54" s="154"/>
      <c r="F54" s="154"/>
      <c r="G54" s="154"/>
    </row>
    <row r="55" spans="1:7" x14ac:dyDescent="0.35">
      <c r="A55" s="1" t="s">
        <v>125</v>
      </c>
      <c r="C55" s="9">
        <f>C13</f>
        <v>1479090000</v>
      </c>
      <c r="D55" s="9">
        <f t="shared" ref="D55:G55" si="24">D13</f>
        <v>1618628425.5</v>
      </c>
      <c r="E55" s="9">
        <f t="shared" si="24"/>
        <v>1644274535.6061513</v>
      </c>
      <c r="F55" s="9">
        <f t="shared" si="24"/>
        <v>1684063412.0658791</v>
      </c>
      <c r="G55" s="9">
        <f t="shared" si="24"/>
        <v>1806925364.8944862</v>
      </c>
    </row>
    <row r="56" spans="1:7" ht="15" thickBot="1" x14ac:dyDescent="0.4">
      <c r="A56" s="1" t="s">
        <v>126</v>
      </c>
      <c r="C56" s="10">
        <f>C55*'1'!$AB$7</f>
        <v>502890600.00000006</v>
      </c>
      <c r="D56" s="10">
        <f>D55*'1'!$AB$7</f>
        <v>550333664.67000008</v>
      </c>
      <c r="E56" s="10">
        <f>E55*'1'!$AB$7</f>
        <v>559053342.1060915</v>
      </c>
      <c r="F56" s="10">
        <f>F55*'1'!$AB$7</f>
        <v>572581560.10239899</v>
      </c>
      <c r="G56" s="10">
        <f>G55*'1'!$AB$7</f>
        <v>614354624.0641253</v>
      </c>
    </row>
    <row r="57" spans="1:7" ht="15" thickTop="1" x14ac:dyDescent="0.35">
      <c r="A57" s="4" t="s">
        <v>127</v>
      </c>
      <c r="C57" s="9">
        <f>C55-C56</f>
        <v>976199400</v>
      </c>
      <c r="D57" s="9">
        <f>D55-D56</f>
        <v>1068294760.8299999</v>
      </c>
      <c r="E57" s="9">
        <f>E55-E56</f>
        <v>1085221193.5000598</v>
      </c>
      <c r="F57" s="9">
        <f>F55-F56</f>
        <v>1111481851.96348</v>
      </c>
      <c r="G57" s="9">
        <f>G55-G56</f>
        <v>1192570740.8303609</v>
      </c>
    </row>
    <row r="58" spans="1:7" ht="15" thickBot="1" x14ac:dyDescent="0.4">
      <c r="A58" s="1" t="s">
        <v>128</v>
      </c>
      <c r="C58" s="10">
        <f>-(C52-B52)</f>
        <v>-664881994.27162218</v>
      </c>
      <c r="D58" s="10">
        <f t="shared" ref="D58:G58" si="25">-(D52-C52)</f>
        <v>116117428.1226511</v>
      </c>
      <c r="E58" s="10">
        <f t="shared" si="25"/>
        <v>226953207.03017998</v>
      </c>
      <c r="F58" s="10">
        <f t="shared" si="25"/>
        <v>259395563.51747084</v>
      </c>
      <c r="G58" s="10">
        <f t="shared" si="25"/>
        <v>-116834945.22904134</v>
      </c>
    </row>
    <row r="59" spans="1:7" ht="15.5" thickTop="1" thickBot="1" x14ac:dyDescent="0.4">
      <c r="A59" s="58" t="s">
        <v>129</v>
      </c>
      <c r="B59" s="59"/>
      <c r="C59" s="60">
        <f>SUM(C57:C58)</f>
        <v>311317405.72837782</v>
      </c>
      <c r="D59" s="60">
        <f t="shared" ref="D59:G59" si="26">SUM(D57:D58)</f>
        <v>1184412188.952651</v>
      </c>
      <c r="E59" s="60">
        <f t="shared" si="26"/>
        <v>1312174400.5302398</v>
      </c>
      <c r="F59" s="60">
        <f t="shared" si="26"/>
        <v>1370877415.4809508</v>
      </c>
      <c r="G59" s="60">
        <f t="shared" si="26"/>
        <v>1075735795.6013196</v>
      </c>
    </row>
    <row r="60" spans="1:7" ht="15" thickTop="1" x14ac:dyDescent="0.35"/>
  </sheetData>
  <sheetProtection algorithmName="SHA-512" hashValue="IQcSUX7WgA2g30pLr7tJMmGcfuMimbrrDJr6FK6q2BovQKn0/6cnsWuXbCiptrpMrL+x4GNmNQ/jXdjtPO3XfQ==" saltValue="CaVricx0vPQy+wJOqrscFw==" spinCount="100000" sheet="1" formatCells="0" formatColumns="0" formatRows="0"/>
  <mergeCells count="10">
    <mergeCell ref="A54:G54"/>
    <mergeCell ref="A21:G21"/>
    <mergeCell ref="A28:G28"/>
    <mergeCell ref="A33:G33"/>
    <mergeCell ref="A19:G19"/>
    <mergeCell ref="A1:G1"/>
    <mergeCell ref="A2:G2"/>
    <mergeCell ref="A4:G4"/>
    <mergeCell ref="A41:G41"/>
    <mergeCell ref="A42:G42"/>
  </mergeCells>
  <conditionalFormatting sqref="B22:G22">
    <cfRule type="cellIs" dxfId="9" priority="2" operator="lessThan">
      <formula>0</formula>
    </cfRule>
  </conditionalFormatting>
  <conditionalFormatting sqref="C17:G17">
    <cfRule type="cellIs" dxfId="8" priority="3" operator="lessThan">
      <formula>0</formula>
    </cfRule>
  </conditionalFormatting>
  <conditionalFormatting sqref="C59:G59">
    <cfRule type="cellIs" dxfId="7"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tabSelected="1" topLeftCell="A9" zoomScale="60" zoomScaleNormal="60" workbookViewId="0">
      <selection activeCell="B10" sqref="B10:D11"/>
    </sheetView>
  </sheetViews>
  <sheetFormatPr defaultColWidth="11.453125" defaultRowHeight="14.5" x14ac:dyDescent="0.35"/>
  <cols>
    <col min="1" max="1" width="11.453125" style="8"/>
    <col min="2" max="2" width="32.54296875" style="8" customWidth="1"/>
    <col min="3" max="3" width="24.26953125" style="8" bestFit="1" customWidth="1"/>
    <col min="4" max="4" width="36.26953125" style="8" bestFit="1" customWidth="1"/>
    <col min="5" max="5" width="27.1796875" style="8" bestFit="1" customWidth="1"/>
    <col min="6" max="6" width="26" style="8" customWidth="1"/>
    <col min="7" max="7" width="36.81640625" style="8" customWidth="1"/>
    <col min="8" max="8" width="21.7265625" style="8" bestFit="1" customWidth="1"/>
    <col min="9" max="9" width="11.453125" style="8"/>
    <col min="10" max="10" width="12" style="8" bestFit="1" customWidth="1"/>
    <col min="11" max="14" width="11.453125" style="8"/>
    <col min="15" max="15" width="15.26953125" style="8" bestFit="1" customWidth="1"/>
    <col min="16" max="16" width="21.54296875" style="8" bestFit="1" customWidth="1"/>
    <col min="17" max="16384" width="11.453125" style="8"/>
  </cols>
  <sheetData>
    <row r="2" spans="2:16" ht="38.25" customHeight="1" x14ac:dyDescent="0.35">
      <c r="B2" s="139" t="s">
        <v>130</v>
      </c>
      <c r="C2" s="139"/>
      <c r="D2" s="139"/>
      <c r="E2" s="139"/>
      <c r="F2" s="139"/>
      <c r="G2" s="139"/>
      <c r="H2" s="139"/>
    </row>
    <row r="3" spans="2:16" ht="15.75" customHeight="1" x14ac:dyDescent="0.35">
      <c r="B3" s="155" t="s">
        <v>131</v>
      </c>
      <c r="C3" s="155"/>
      <c r="D3" s="155"/>
      <c r="E3" s="156">
        <v>0.26440000000000002</v>
      </c>
      <c r="F3" s="156"/>
    </row>
    <row r="4" spans="2:16" ht="16.5" customHeight="1" x14ac:dyDescent="0.35">
      <c r="B4" s="155"/>
      <c r="C4" s="155"/>
      <c r="D4" s="155"/>
      <c r="E4" s="156"/>
      <c r="F4" s="156"/>
      <c r="O4" s="101"/>
    </row>
    <row r="5" spans="2:16" ht="16.5" customHeight="1" x14ac:dyDescent="0.35">
      <c r="B5" s="159"/>
      <c r="C5" s="159"/>
      <c r="D5" s="159"/>
      <c r="E5" s="135"/>
      <c r="F5" s="135"/>
      <c r="O5" s="101"/>
    </row>
    <row r="6" spans="2:16" ht="15" thickBot="1" x14ac:dyDescent="0.4">
      <c r="O6" s="101"/>
      <c r="P6" s="104"/>
    </row>
    <row r="7" spans="2:16" ht="22.5" x14ac:dyDescent="0.35">
      <c r="B7" s="100" t="s">
        <v>132</v>
      </c>
      <c r="C7" s="84" t="s">
        <v>133</v>
      </c>
      <c r="D7" s="85">
        <f>'4'!C20</f>
        <v>2024</v>
      </c>
      <c r="E7" s="85">
        <f>'4'!D20</f>
        <v>2025</v>
      </c>
      <c r="F7" s="85">
        <f>'4'!E20</f>
        <v>2026</v>
      </c>
      <c r="G7" s="85">
        <f>'4'!F20</f>
        <v>2027</v>
      </c>
      <c r="H7" s="86">
        <f>'4'!G20</f>
        <v>2028</v>
      </c>
      <c r="O7" s="101"/>
      <c r="P7" s="103"/>
    </row>
    <row r="8" spans="2:16" ht="19" thickBot="1" x14ac:dyDescent="0.5">
      <c r="B8" s="87"/>
      <c r="C8" s="108">
        <f>-'3'!D14</f>
        <v>-1113320000</v>
      </c>
      <c r="D8" s="108">
        <f>'4'!C59</f>
        <v>311317405.72837782</v>
      </c>
      <c r="E8" s="108">
        <f>'4'!D59</f>
        <v>1184412188.952651</v>
      </c>
      <c r="F8" s="108">
        <f>'4'!E59</f>
        <v>1312174400.5302398</v>
      </c>
      <c r="G8" s="108">
        <f>'4'!F59</f>
        <v>1370877415.4809508</v>
      </c>
      <c r="H8" s="109">
        <f>'4'!G59</f>
        <v>1075735795.6013196</v>
      </c>
      <c r="O8" s="101"/>
      <c r="P8" s="103"/>
    </row>
    <row r="9" spans="2:16" ht="15" thickBot="1" x14ac:dyDescent="0.4">
      <c r="C9" s="72">
        <f>C8/(1+$E$3)^0</f>
        <v>-1113320000</v>
      </c>
      <c r="D9" s="72">
        <f>D8/(1+$E$3)^1</f>
        <v>246217498.99428806</v>
      </c>
      <c r="E9" s="72">
        <f>E8/(1+$E$3)^2</f>
        <v>740856155.78366458</v>
      </c>
      <c r="F9" s="72">
        <f>F8/(1+$E$3)^3</f>
        <v>649139593.57220566</v>
      </c>
      <c r="G9" s="72">
        <f>G8/(1+$E$3)^4</f>
        <v>536365299.38607091</v>
      </c>
      <c r="H9" s="72">
        <f>H8/(1+$E$3)^5</f>
        <v>332876536.72727841</v>
      </c>
      <c r="O9" s="101"/>
      <c r="P9" s="103"/>
    </row>
    <row r="10" spans="2:16" ht="24" thickBot="1" x14ac:dyDescent="0.6">
      <c r="B10" s="30" t="s">
        <v>134</v>
      </c>
      <c r="C10" s="31"/>
      <c r="D10" s="110">
        <f>NPV(E3,D8:H8)+$C$8</f>
        <v>1392135084.4635081</v>
      </c>
      <c r="O10" s="101"/>
      <c r="P10" s="103"/>
    </row>
    <row r="11" spans="2:16" ht="28" thickBot="1" x14ac:dyDescent="0.6">
      <c r="B11" s="136" t="s">
        <v>135</v>
      </c>
      <c r="C11" s="31"/>
      <c r="D11" s="111">
        <f>IF(ISERROR(IRR(C8:H8)),"NO_APLICA",(IRR(C8:H8)))</f>
        <v>0.69206565462418079</v>
      </c>
      <c r="F11" s="105" t="s">
        <v>136</v>
      </c>
      <c r="G11" s="31"/>
      <c r="H11" s="106">
        <f>IF(ISERROR(-C9/AVERAGE(D9:H9)),"NO_APLICA",(-C9/AVERAGE(D9:H9)))</f>
        <v>2.2217919748467474</v>
      </c>
      <c r="I11" s="107" t="s">
        <v>137</v>
      </c>
      <c r="P11" s="102"/>
    </row>
    <row r="13" spans="2:16" ht="18" x14ac:dyDescent="0.4">
      <c r="B13" s="157" t="s">
        <v>138</v>
      </c>
      <c r="C13" s="157"/>
      <c r="D13" s="157"/>
      <c r="E13" s="157"/>
      <c r="F13" s="157"/>
      <c r="G13" s="157"/>
      <c r="H13" s="157"/>
    </row>
    <row r="14" spans="2:16" ht="35.5" x14ac:dyDescent="0.35">
      <c r="B14" s="88" t="str">
        <f>'1'!B2</f>
        <v>NOMBRE DEL PRODUCTO O SERVICIO</v>
      </c>
      <c r="C14" s="88" t="s">
        <v>139</v>
      </c>
      <c r="D14" s="88" t="s">
        <v>140</v>
      </c>
      <c r="E14" s="88" t="s">
        <v>141</v>
      </c>
      <c r="F14" s="88" t="s">
        <v>142</v>
      </c>
      <c r="H14" s="72"/>
      <c r="I14" s="72"/>
      <c r="J14" s="72" t="s">
        <v>143</v>
      </c>
    </row>
    <row r="15" spans="2:16" x14ac:dyDescent="0.35">
      <c r="B15" s="38" t="str">
        <f>'1'!B3</f>
        <v>soportes de amortiguación Volquetes caterpillar 725, 730, 740, 750,  775D, 797</v>
      </c>
      <c r="C15" s="89">
        <f>'1'!D3-'1'!D17</f>
        <v>440000</v>
      </c>
      <c r="D15" s="90">
        <f>'1'!F3</f>
        <v>0.11073114616008399</v>
      </c>
      <c r="E15" s="89">
        <f>C15*D15</f>
        <v>48721.704310436959</v>
      </c>
      <c r="F15" s="91">
        <f t="shared" ref="F15:F24" si="0">$E$28*D15</f>
        <v>296.278667181792</v>
      </c>
      <c r="G15" s="38" t="s">
        <v>144</v>
      </c>
      <c r="H15" s="73">
        <f>'1'!D3</f>
        <v>650000</v>
      </c>
      <c r="I15" s="92">
        <f t="shared" ref="I15:I24" si="1">$B$35*D15</f>
        <v>592.557334363584</v>
      </c>
      <c r="J15" s="73">
        <f>'1'!D17</f>
        <v>210000</v>
      </c>
    </row>
    <row r="16" spans="2:16" x14ac:dyDescent="0.35">
      <c r="B16" s="93" t="str">
        <f>'1'!B4</f>
        <v>Buje chasis Volquetes caterpillar 725, 730, 740, 750,  775D, 797</v>
      </c>
      <c r="C16" s="89">
        <f>'1'!D4-'1'!D18</f>
        <v>350000</v>
      </c>
      <c r="D16" s="90">
        <f>'1'!F4</f>
        <v>9.1992029117608232E-2</v>
      </c>
      <c r="E16" s="89">
        <f t="shared" ref="E16:E24" si="2">C16*D16</f>
        <v>32197.210191162882</v>
      </c>
      <c r="F16" s="91">
        <f t="shared" si="0"/>
        <v>246.13920042795024</v>
      </c>
      <c r="G16" s="38" t="str">
        <f>G15</f>
        <v>UNIDADES</v>
      </c>
      <c r="H16" s="73">
        <f>'1'!D4</f>
        <v>540000</v>
      </c>
      <c r="I16" s="92">
        <f t="shared" si="1"/>
        <v>492.27840085590049</v>
      </c>
      <c r="J16" s="73">
        <f>'1'!D18</f>
        <v>190000</v>
      </c>
    </row>
    <row r="17" spans="2:10" x14ac:dyDescent="0.35">
      <c r="B17" s="93" t="str">
        <f>'1'!B5</f>
        <v>Corbatin brazo oscilante Volquetes caterpillar 725, 730, 740, 750,  775D, 797</v>
      </c>
      <c r="C17" s="89">
        <f>'1'!D5-'1'!D19</f>
        <v>220000</v>
      </c>
      <c r="D17" s="90">
        <f>'1'!F5</f>
        <v>5.4513795032656728E-2</v>
      </c>
      <c r="E17" s="89">
        <f t="shared" si="2"/>
        <v>11993.034907184479</v>
      </c>
      <c r="F17" s="91">
        <f t="shared" si="0"/>
        <v>145.86026692026681</v>
      </c>
      <c r="G17" s="38" t="str">
        <f t="shared" ref="G17:G24" si="3">G16</f>
        <v>UNIDADES</v>
      </c>
      <c r="H17" s="73">
        <f>'1'!D5</f>
        <v>320000</v>
      </c>
      <c r="I17" s="92">
        <f t="shared" si="1"/>
        <v>291.72053384053362</v>
      </c>
      <c r="J17" s="73">
        <f>'1'!D19</f>
        <v>100000</v>
      </c>
    </row>
    <row r="18" spans="2:10" x14ac:dyDescent="0.35">
      <c r="B18" s="93" t="str">
        <f>'1'!B6</f>
        <v>Soportes de Motor - Otras Miniexcavadoras y Excavadoras</v>
      </c>
      <c r="C18" s="89">
        <f>'1'!D6-'1'!D20</f>
        <v>50000</v>
      </c>
      <c r="D18" s="90">
        <f>'1'!F6</f>
        <v>2.9335529307241474E-3</v>
      </c>
      <c r="E18" s="89">
        <f t="shared" si="2"/>
        <v>146.67764653620736</v>
      </c>
      <c r="F18" s="91">
        <f t="shared" si="0"/>
        <v>7.8491841054879119</v>
      </c>
      <c r="G18" s="38" t="str">
        <f t="shared" si="3"/>
        <v>UNIDADES</v>
      </c>
      <c r="H18" s="73">
        <f>'1'!D6</f>
        <v>140000</v>
      </c>
      <c r="I18" s="92">
        <f t="shared" si="1"/>
        <v>15.698368210975824</v>
      </c>
      <c r="J18" s="73">
        <f>'1'!D20</f>
        <v>90000</v>
      </c>
    </row>
    <row r="19" spans="2:10" x14ac:dyDescent="0.35">
      <c r="B19" s="93" t="str">
        <f>'1'!B7</f>
        <v>Soportes de Motor - Caterpillar 320D series</v>
      </c>
      <c r="C19" s="89">
        <f>'1'!D7-'1'!D21</f>
        <v>130000</v>
      </c>
      <c r="D19" s="90">
        <f>'1'!F7</f>
        <v>0.25801855262689188</v>
      </c>
      <c r="E19" s="89">
        <f t="shared" si="2"/>
        <v>33542.411841495945</v>
      </c>
      <c r="F19" s="91">
        <f t="shared" si="0"/>
        <v>690.36938143811403</v>
      </c>
      <c r="G19" s="38" t="str">
        <f t="shared" si="3"/>
        <v>UNIDADES</v>
      </c>
      <c r="H19" s="73">
        <f>'1'!D7</f>
        <v>320000</v>
      </c>
      <c r="I19" s="92">
        <f t="shared" si="1"/>
        <v>1380.7387628762281</v>
      </c>
      <c r="J19" s="73">
        <f>'1'!D21</f>
        <v>190000</v>
      </c>
    </row>
    <row r="20" spans="2:10" x14ac:dyDescent="0.35">
      <c r="B20" s="93" t="str">
        <f>'1'!B8</f>
        <v>Soportes de Motor - Caterpillar MINIEXCAVADORA HIDRÁULICA 304.5 305 305.5 306 306E 307B, EXCAVADORA 307-A E70 E70B 307B 307C 307D</v>
      </c>
      <c r="C20" s="89">
        <f>'1'!D8-'1'!D22</f>
        <v>30000</v>
      </c>
      <c r="D20" s="90">
        <f>'1'!F8</f>
        <v>0.20966102795885483</v>
      </c>
      <c r="E20" s="89">
        <f t="shared" si="2"/>
        <v>6289.8308387656452</v>
      </c>
      <c r="F20" s="91">
        <f t="shared" si="0"/>
        <v>560.98118801922112</v>
      </c>
      <c r="G20" s="38" t="str">
        <f t="shared" si="3"/>
        <v>UNIDADES</v>
      </c>
      <c r="H20" s="73">
        <f>'1'!D8</f>
        <v>140000</v>
      </c>
      <c r="I20" s="92">
        <f t="shared" si="1"/>
        <v>1121.9623760384422</v>
      </c>
      <c r="J20" s="73">
        <f>'1'!D22</f>
        <v>110000</v>
      </c>
    </row>
    <row r="21" spans="2:10" x14ac:dyDescent="0.35">
      <c r="B21" s="93" t="str">
        <f>'1'!B9</f>
        <v xml:space="preserve">soportes de amortiguación Voquetes A25g, A60H, A45GFS, A45G, A35G, A30G, A40G </v>
      </c>
      <c r="C21" s="89">
        <f>'1'!D9-'1'!D23</f>
        <v>220000</v>
      </c>
      <c r="D21" s="90">
        <f>'1'!F9</f>
        <v>8.6749350951414075E-2</v>
      </c>
      <c r="E21" s="89">
        <f t="shared" si="2"/>
        <v>19084.857209311096</v>
      </c>
      <c r="F21" s="91">
        <f t="shared" si="0"/>
        <v>232.11158711942826</v>
      </c>
      <c r="G21" s="38" t="str">
        <f t="shared" si="3"/>
        <v>UNIDADES</v>
      </c>
      <c r="H21" s="73">
        <f>'1'!D9</f>
        <v>750000</v>
      </c>
      <c r="I21" s="92">
        <f t="shared" si="1"/>
        <v>464.22317423885653</v>
      </c>
      <c r="J21" s="73">
        <f>'1'!D23</f>
        <v>530000</v>
      </c>
    </row>
    <row r="22" spans="2:10" x14ac:dyDescent="0.35">
      <c r="B22" s="93" t="str">
        <f>'1'!B10</f>
        <v xml:space="preserve">Buje chasis Caterpillar A25g, A60H, A45GFS, A45G, A35G, A30G, A40G </v>
      </c>
      <c r="C22" s="89">
        <f>'1'!D10-'1'!D24</f>
        <v>630000</v>
      </c>
      <c r="D22" s="90">
        <f>'1'!F10</f>
        <v>0.11219582723049554</v>
      </c>
      <c r="E22" s="89">
        <f t="shared" si="2"/>
        <v>70683.371155212182</v>
      </c>
      <c r="F22" s="91">
        <f t="shared" si="0"/>
        <v>300.19765267446058</v>
      </c>
      <c r="G22" s="38" t="str">
        <f t="shared" si="3"/>
        <v>UNIDADES</v>
      </c>
      <c r="H22" s="73">
        <f>'1'!D10</f>
        <v>970000</v>
      </c>
      <c r="I22" s="92">
        <f t="shared" si="1"/>
        <v>600.39530534892117</v>
      </c>
      <c r="J22" s="73">
        <f>'1'!D24</f>
        <v>340000</v>
      </c>
    </row>
    <row r="23" spans="2:10" x14ac:dyDescent="0.35">
      <c r="B23" s="93" t="str">
        <f>'1'!B11</f>
        <v xml:space="preserve">corbatin brazo oscilante Carterpillar A25g, A60H, A45GFS, A45G, A35G, A30G, A40G </v>
      </c>
      <c r="C23" s="89">
        <f>'1'!D11-'1'!D25</f>
        <v>120000</v>
      </c>
      <c r="D23" s="90">
        <f>'1'!F11</f>
        <v>4.0483030443993234E-2</v>
      </c>
      <c r="E23" s="89">
        <f t="shared" si="2"/>
        <v>4857.9636532791883</v>
      </c>
      <c r="F23" s="91">
        <f t="shared" si="0"/>
        <v>108.31874065573319</v>
      </c>
      <c r="G23" s="38" t="str">
        <f t="shared" si="3"/>
        <v>UNIDADES</v>
      </c>
      <c r="H23" s="73">
        <f>'1'!D11</f>
        <v>350000</v>
      </c>
      <c r="I23" s="92">
        <f t="shared" si="1"/>
        <v>216.63748131146639</v>
      </c>
      <c r="J23" s="73">
        <f>'1'!D25</f>
        <v>230000</v>
      </c>
    </row>
    <row r="24" spans="2:10" x14ac:dyDescent="0.35">
      <c r="B24" s="38" t="str">
        <f>'1'!B12</f>
        <v>Soporte de amortiguación Terex 33-19</v>
      </c>
      <c r="C24" s="89">
        <f>'1'!D12-'1'!D26</f>
        <v>330000</v>
      </c>
      <c r="D24" s="90">
        <f>'1'!F12</f>
        <v>3.2721687547277348E-2</v>
      </c>
      <c r="E24" s="89">
        <f t="shared" si="2"/>
        <v>10798.156890601525</v>
      </c>
      <c r="F24" s="91">
        <f t="shared" si="0"/>
        <v>87.552042136642314</v>
      </c>
      <c r="G24" s="38" t="str">
        <f t="shared" si="3"/>
        <v>UNIDADES</v>
      </c>
      <c r="H24" s="73">
        <f>'1'!D12</f>
        <v>640000</v>
      </c>
      <c r="I24" s="92">
        <f t="shared" si="1"/>
        <v>175.10408427328463</v>
      </c>
      <c r="J24" s="73">
        <f>'1'!D26</f>
        <v>310000</v>
      </c>
    </row>
    <row r="25" spans="2:10" ht="25" x14ac:dyDescent="0.5">
      <c r="C25" s="26"/>
      <c r="D25" s="94"/>
      <c r="E25" s="26"/>
      <c r="F25" s="95">
        <f>SUM(F15:F24)</f>
        <v>2675.6579106790964</v>
      </c>
      <c r="G25" s="8" t="str">
        <f>G24</f>
        <v>UNIDADES</v>
      </c>
      <c r="H25" s="73"/>
      <c r="I25" s="92"/>
      <c r="J25" s="73"/>
    </row>
    <row r="26" spans="2:10" ht="12.75" customHeight="1" x14ac:dyDescent="0.5">
      <c r="C26" s="26"/>
      <c r="D26" s="94"/>
      <c r="E26" s="26"/>
      <c r="F26" s="95"/>
      <c r="H26" s="73"/>
      <c r="I26" s="92"/>
      <c r="J26" s="73"/>
    </row>
    <row r="27" spans="2:10" ht="21" customHeight="1" x14ac:dyDescent="0.5">
      <c r="B27" s="160" t="s">
        <v>145</v>
      </c>
      <c r="C27" s="160"/>
      <c r="D27" s="160"/>
      <c r="E27" s="96">
        <f>SUM(E15:E24)</f>
        <v>238315.21864398613</v>
      </c>
      <c r="H27" s="72"/>
      <c r="I27" s="72"/>
      <c r="J27" s="72"/>
    </row>
    <row r="28" spans="2:10" ht="19.5" customHeight="1" x14ac:dyDescent="0.5">
      <c r="B28" s="160" t="s">
        <v>146</v>
      </c>
      <c r="C28" s="160"/>
      <c r="D28" s="160"/>
      <c r="E28" s="95">
        <f>IF(E27=0,0,('2'!C23+'2'!F31+'2'!C25)/'5'!E27)</f>
        <v>2675.6579106790964</v>
      </c>
      <c r="F28" s="97" t="s">
        <v>144</v>
      </c>
      <c r="H28" s="98"/>
    </row>
    <row r="29" spans="2:10" ht="25" x14ac:dyDescent="0.5">
      <c r="B29" s="160" t="s">
        <v>147</v>
      </c>
      <c r="C29" s="160"/>
      <c r="D29" s="160"/>
      <c r="E29" s="96">
        <f>E49</f>
        <v>1231946321.102155</v>
      </c>
    </row>
    <row r="30" spans="2:10" x14ac:dyDescent="0.35">
      <c r="B30" s="130"/>
      <c r="C30" s="130"/>
      <c r="D30" s="130"/>
      <c r="E30" s="130"/>
      <c r="F30" s="130"/>
      <c r="G30" s="130"/>
    </row>
    <row r="31" spans="2:10" s="72" customFormat="1" x14ac:dyDescent="0.35"/>
    <row r="32" spans="2:10" s="72" customFormat="1" x14ac:dyDescent="0.35">
      <c r="C32" s="72" t="s">
        <v>148</v>
      </c>
      <c r="D32" s="72" t="s">
        <v>149</v>
      </c>
      <c r="E32" s="72" t="s">
        <v>150</v>
      </c>
      <c r="F32" s="72" t="s">
        <v>151</v>
      </c>
    </row>
    <row r="33" spans="2:6" s="72" customFormat="1" x14ac:dyDescent="0.35">
      <c r="B33" s="72">
        <v>0</v>
      </c>
      <c r="C33" s="73">
        <f>'2'!C25+'2'!F31+'2'!C23</f>
        <v>637650000</v>
      </c>
      <c r="D33" s="72">
        <f>0</f>
        <v>0</v>
      </c>
      <c r="E33" s="72">
        <v>0</v>
      </c>
      <c r="F33" s="73">
        <f>C33+E33</f>
        <v>637650000</v>
      </c>
    </row>
    <row r="34" spans="2:6" s="72" customFormat="1" x14ac:dyDescent="0.35">
      <c r="B34" s="92">
        <f>F25</f>
        <v>2675.6579106790964</v>
      </c>
      <c r="C34" s="73">
        <f>C33</f>
        <v>637650000</v>
      </c>
      <c r="D34" s="131">
        <f>SUMPRODUCT(F15:F24,H15:H24)</f>
        <v>1231946321.102155</v>
      </c>
      <c r="E34" s="131">
        <f>SUMPRODUCT(F15:F24,J15:J24)</f>
        <v>594296321.10215473</v>
      </c>
      <c r="F34" s="73">
        <f t="shared" ref="F34:F35" si="4">C34+E34</f>
        <v>1231946321.1021547</v>
      </c>
    </row>
    <row r="35" spans="2:6" s="72" customFormat="1" x14ac:dyDescent="0.35">
      <c r="B35" s="92">
        <f>B34*2</f>
        <v>5351.3158213581928</v>
      </c>
      <c r="C35" s="73">
        <f>C34</f>
        <v>637650000</v>
      </c>
      <c r="D35" s="131">
        <f>SUMPRODUCT(H15:H24,I15:I24)</f>
        <v>2463892642.2043099</v>
      </c>
      <c r="E35" s="131">
        <f>SUMPRODUCT(I15:I24,J15:J24)</f>
        <v>1188592642.2043095</v>
      </c>
      <c r="F35" s="73">
        <f t="shared" si="4"/>
        <v>1826242642.2043095</v>
      </c>
    </row>
    <row r="36" spans="2:6" s="72" customFormat="1" x14ac:dyDescent="0.35">
      <c r="C36" s="73"/>
    </row>
    <row r="37" spans="2:6" s="72" customFormat="1" x14ac:dyDescent="0.35">
      <c r="C37" s="73"/>
    </row>
    <row r="38" spans="2:6" s="72" customFormat="1" x14ac:dyDescent="0.35">
      <c r="C38" s="132" t="s">
        <v>152</v>
      </c>
      <c r="D38" s="72" t="s">
        <v>144</v>
      </c>
      <c r="E38" s="72" t="s">
        <v>153</v>
      </c>
    </row>
    <row r="39" spans="2:6" s="72" customFormat="1" x14ac:dyDescent="0.35">
      <c r="B39" s="72">
        <v>1</v>
      </c>
      <c r="C39" s="73">
        <f>'1'!D3</f>
        <v>650000</v>
      </c>
      <c r="D39" s="92">
        <f>F15</f>
        <v>296.278667181792</v>
      </c>
      <c r="E39" s="72">
        <f>C39*D39</f>
        <v>192581133.66816479</v>
      </c>
    </row>
    <row r="40" spans="2:6" s="72" customFormat="1" x14ac:dyDescent="0.35">
      <c r="B40" s="72">
        <f>B39+1</f>
        <v>2</v>
      </c>
      <c r="C40" s="73">
        <f>'1'!D4</f>
        <v>540000</v>
      </c>
      <c r="D40" s="92">
        <f t="shared" ref="D40:D48" si="5">F16</f>
        <v>246.13920042795024</v>
      </c>
      <c r="E40" s="72">
        <f t="shared" ref="E40:E48" si="6">C40*D40</f>
        <v>132915168.23109314</v>
      </c>
    </row>
    <row r="41" spans="2:6" s="72" customFormat="1" x14ac:dyDescent="0.35">
      <c r="B41" s="72">
        <f t="shared" ref="B41:B48" si="7">B40+1</f>
        <v>3</v>
      </c>
      <c r="C41" s="73">
        <f>'1'!D5</f>
        <v>320000</v>
      </c>
      <c r="D41" s="92">
        <f t="shared" si="5"/>
        <v>145.86026692026681</v>
      </c>
      <c r="E41" s="72">
        <f t="shared" si="6"/>
        <v>46675285.41448538</v>
      </c>
    </row>
    <row r="42" spans="2:6" s="72" customFormat="1" x14ac:dyDescent="0.35">
      <c r="B42" s="72">
        <f t="shared" si="7"/>
        <v>4</v>
      </c>
      <c r="C42" s="73">
        <f>'1'!D6</f>
        <v>140000</v>
      </c>
      <c r="D42" s="92">
        <f t="shared" si="5"/>
        <v>7.8491841054879119</v>
      </c>
      <c r="E42" s="72">
        <f t="shared" si="6"/>
        <v>1098885.7747683076</v>
      </c>
    </row>
    <row r="43" spans="2:6" s="72" customFormat="1" x14ac:dyDescent="0.35">
      <c r="B43" s="72">
        <f t="shared" si="7"/>
        <v>5</v>
      </c>
      <c r="C43" s="73">
        <f>'1'!D7</f>
        <v>320000</v>
      </c>
      <c r="D43" s="92">
        <f t="shared" si="5"/>
        <v>690.36938143811403</v>
      </c>
      <c r="E43" s="72">
        <f t="shared" si="6"/>
        <v>220918202.06019649</v>
      </c>
    </row>
    <row r="44" spans="2:6" s="72" customFormat="1" x14ac:dyDescent="0.35">
      <c r="B44" s="72">
        <f t="shared" si="7"/>
        <v>6</v>
      </c>
      <c r="C44" s="73">
        <f>'1'!D8</f>
        <v>140000</v>
      </c>
      <c r="D44" s="92">
        <f t="shared" si="5"/>
        <v>560.98118801922112</v>
      </c>
      <c r="E44" s="72">
        <f t="shared" si="6"/>
        <v>78537366.322690964</v>
      </c>
    </row>
    <row r="45" spans="2:6" s="72" customFormat="1" x14ac:dyDescent="0.35">
      <c r="B45" s="72">
        <f t="shared" si="7"/>
        <v>7</v>
      </c>
      <c r="C45" s="73">
        <f>'1'!D9</f>
        <v>750000</v>
      </c>
      <c r="D45" s="92">
        <f t="shared" si="5"/>
        <v>232.11158711942826</v>
      </c>
      <c r="E45" s="72">
        <f t="shared" si="6"/>
        <v>174083690.33957121</v>
      </c>
    </row>
    <row r="46" spans="2:6" s="72" customFormat="1" x14ac:dyDescent="0.35">
      <c r="B46" s="72">
        <f t="shared" si="7"/>
        <v>8</v>
      </c>
      <c r="C46" s="73">
        <f>'1'!D10</f>
        <v>970000</v>
      </c>
      <c r="D46" s="92">
        <f t="shared" si="5"/>
        <v>300.19765267446058</v>
      </c>
      <c r="E46" s="72">
        <f t="shared" si="6"/>
        <v>291191723.09422678</v>
      </c>
    </row>
    <row r="47" spans="2:6" s="72" customFormat="1" x14ac:dyDescent="0.35">
      <c r="B47" s="72">
        <f t="shared" si="7"/>
        <v>9</v>
      </c>
      <c r="C47" s="73">
        <f>'1'!D11</f>
        <v>350000</v>
      </c>
      <c r="D47" s="92">
        <f t="shared" si="5"/>
        <v>108.31874065573319</v>
      </c>
      <c r="E47" s="72">
        <f t="shared" si="6"/>
        <v>37911559.229506619</v>
      </c>
    </row>
    <row r="48" spans="2:6" s="72" customFormat="1" x14ac:dyDescent="0.35">
      <c r="B48" s="72">
        <f t="shared" si="7"/>
        <v>10</v>
      </c>
      <c r="C48" s="73">
        <f>'1'!D12</f>
        <v>640000</v>
      </c>
      <c r="D48" s="92">
        <f t="shared" si="5"/>
        <v>87.552042136642314</v>
      </c>
      <c r="E48" s="72">
        <f t="shared" si="6"/>
        <v>56033306.967451081</v>
      </c>
    </row>
    <row r="49" spans="2:8" s="72" customFormat="1" x14ac:dyDescent="0.35">
      <c r="C49" s="73"/>
      <c r="E49" s="133">
        <f>SUM(E39:E48)</f>
        <v>1231946321.102155</v>
      </c>
    </row>
    <row r="50" spans="2:8" s="72" customFormat="1" x14ac:dyDescent="0.35"/>
    <row r="51" spans="2:8" s="72" customFormat="1" x14ac:dyDescent="0.35">
      <c r="C51" s="73"/>
    </row>
    <row r="52" spans="2:8" s="72" customFormat="1" x14ac:dyDescent="0.35">
      <c r="B52" s="158"/>
      <c r="C52" s="158"/>
      <c r="D52" s="158"/>
      <c r="G52" s="72" t="s">
        <v>154</v>
      </c>
      <c r="H52" s="134">
        <f>'4'!B32/'4'!B27</f>
        <v>0.91017856501275463</v>
      </c>
    </row>
    <row r="53" spans="2:8" s="72" customFormat="1" x14ac:dyDescent="0.35">
      <c r="C53" s="73"/>
      <c r="G53" s="72" t="s">
        <v>155</v>
      </c>
      <c r="H53" s="134">
        <f>'4'!B36/'4'!B27</f>
        <v>8.982143498724536E-2</v>
      </c>
    </row>
    <row r="54" spans="2:8" s="72" customFormat="1" x14ac:dyDescent="0.35">
      <c r="G54" s="72" t="s">
        <v>156</v>
      </c>
      <c r="H54" s="72">
        <f>'1'!AB7</f>
        <v>0.34</v>
      </c>
    </row>
    <row r="55" spans="2:8" s="72" customFormat="1" x14ac:dyDescent="0.35">
      <c r="G55" s="72" t="s">
        <v>157</v>
      </c>
      <c r="H55" s="134">
        <f>'3'!F4</f>
        <v>0.17130000000000001</v>
      </c>
    </row>
    <row r="56" spans="2:8" s="72" customFormat="1" x14ac:dyDescent="0.35">
      <c r="G56" s="72" t="s">
        <v>158</v>
      </c>
    </row>
    <row r="57" spans="2:8" s="72" customFormat="1" x14ac:dyDescent="0.35"/>
    <row r="58" spans="2:8" s="72" customFormat="1" x14ac:dyDescent="0.35"/>
    <row r="59" spans="2:8" s="72" customFormat="1" x14ac:dyDescent="0.35"/>
    <row r="60" spans="2:8" s="72" customFormat="1" x14ac:dyDescent="0.35"/>
    <row r="61" spans="2:8" s="72" customFormat="1" x14ac:dyDescent="0.35"/>
    <row r="62" spans="2:8" x14ac:dyDescent="0.35">
      <c r="B62" s="130"/>
      <c r="C62" s="130"/>
      <c r="D62" s="130"/>
      <c r="E62" s="130"/>
      <c r="F62" s="130"/>
      <c r="G62" s="130"/>
    </row>
    <row r="63" spans="2:8" x14ac:dyDescent="0.35">
      <c r="B63" s="130"/>
      <c r="C63" s="130"/>
      <c r="D63" s="130"/>
      <c r="E63" s="130"/>
      <c r="F63" s="130"/>
      <c r="G63" s="130"/>
    </row>
    <row r="64" spans="2:8" x14ac:dyDescent="0.35">
      <c r="B64" s="130"/>
      <c r="C64" s="130"/>
      <c r="D64" s="130"/>
      <c r="E64" s="130"/>
      <c r="F64" s="130"/>
      <c r="G64" s="130"/>
    </row>
    <row r="65" spans="2:7" x14ac:dyDescent="0.35">
      <c r="B65" s="130"/>
      <c r="C65" s="130"/>
      <c r="D65" s="130"/>
      <c r="E65" s="130"/>
      <c r="F65" s="130"/>
      <c r="G65" s="130"/>
    </row>
    <row r="66" spans="2:7" x14ac:dyDescent="0.35">
      <c r="B66" s="130"/>
      <c r="C66" s="130"/>
      <c r="D66" s="130"/>
      <c r="E66" s="130"/>
      <c r="F66" s="130"/>
      <c r="G66" s="130"/>
    </row>
  </sheetData>
  <sheetProtection algorithmName="SHA-512" hashValue="d8YmbEuhgH/1suTHnyk65cUm7JICPWvCYFmBmgZq8qv3j6oNX1dH6pxbsOvEemrfsUtiheOuJ37FLcWPLzLIBA==" saltValue="9SYKwqsdfai2EFAADOs7AQ==" spinCount="100000" sheet="1" formatCells="0" formatColumns="0" formatRows="0"/>
  <mergeCells count="10">
    <mergeCell ref="B52:D52"/>
    <mergeCell ref="B5:D5"/>
    <mergeCell ref="B29:D29"/>
    <mergeCell ref="B27:D27"/>
    <mergeCell ref="B28:D28"/>
    <mergeCell ref="B2:F2"/>
    <mergeCell ref="G2:H2"/>
    <mergeCell ref="B3:D4"/>
    <mergeCell ref="E3:F4"/>
    <mergeCell ref="B13:H13"/>
  </mergeCells>
  <conditionalFormatting sqref="D10:D11">
    <cfRule type="cellIs" dxfId="6" priority="4" operator="lessThan">
      <formula>0</formula>
    </cfRule>
  </conditionalFormatting>
  <conditionalFormatting sqref="D11">
    <cfRule type="containsText" dxfId="5" priority="2" operator="containsText" text="NO_APLICA">
      <formula>NOT(ISERROR(SEARCH("NO_APLICA",D11)))</formula>
    </cfRule>
    <cfRule type="cellIs" dxfId="4" priority="6" operator="equal">
      <formula>$E$3</formula>
    </cfRule>
    <cfRule type="cellIs" dxfId="3" priority="7" operator="greaterThan">
      <formula>$E$3</formula>
    </cfRule>
    <cfRule type="cellIs" dxfId="2" priority="8" operator="lessThan">
      <formula>$E$3</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E1867F41BDD9240A81FEDAA9DCD38CD" ma:contentTypeVersion="4" ma:contentTypeDescription="Crear nuevo documento." ma:contentTypeScope="" ma:versionID="073022b879163f8d5ebae8fc2c730274">
  <xsd:schema xmlns:xsd="http://www.w3.org/2001/XMLSchema" xmlns:xs="http://www.w3.org/2001/XMLSchema" xmlns:p="http://schemas.microsoft.com/office/2006/metadata/properties" xmlns:ns2="f7ff1548-ea36-4159-a306-74aa0083697f" xmlns:ns3="d59ba5de-05cd-4945-add5-aa2c30c31883" targetNamespace="http://schemas.microsoft.com/office/2006/metadata/properties" ma:root="true" ma:fieldsID="132ae79edaa00bd3d08c47edf1b971c7" ns2:_="" ns3:_="">
    <xsd:import namespace="f7ff1548-ea36-4159-a306-74aa0083697f"/>
    <xsd:import namespace="d59ba5de-05cd-4945-add5-aa2c30c318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f1548-ea36-4159-a306-74aa00836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9ba5de-05cd-4945-add5-aa2c30c318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641118-A753-42A3-B749-BC5DC5244A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ff1548-ea36-4159-a306-74aa0083697f"/>
    <ds:schemaRef ds:uri="d59ba5de-05cd-4945-add5-aa2c30c318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46126D-72FF-43C3-B754-1B03FE5D021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C712E58-D6D2-4C0F-B37A-BDAB77C8BA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Menú</vt:lpstr>
      <vt:lpstr>1</vt:lpstr>
      <vt:lpstr>2</vt:lpstr>
      <vt:lpstr>3</vt:lpstr>
      <vt:lpstr>4</vt:lpstr>
      <vt:lpstr>5</vt:lpstr>
      <vt:lpstr>Menú!Print_Area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Quintanilla, Sonia</cp:lastModifiedBy>
  <cp:revision/>
  <dcterms:created xsi:type="dcterms:W3CDTF">2013-07-30T17:19:59Z</dcterms:created>
  <dcterms:modified xsi:type="dcterms:W3CDTF">2023-11-04T14:03:02Z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0x010100FE1867F41BDD9240A81FEDAA9DCD38CD</vt:lpwstr>
  </property>
</Properties>
</file>